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3D5824EA-4565-45E6-A16F-5186400A58A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ocks" sheetId="1" r:id="rId1"/>
    <sheet name="Current Month" sheetId="2" r:id="rId2"/>
    <sheet name="February 2024" sheetId="3" r:id="rId3"/>
    <sheet name="January 2024" sheetId="4" r:id="rId4"/>
    <sheet name="December 2023" sheetId="5" r:id="rId5"/>
    <sheet name="November 2023" sheetId="6" r:id="rId6"/>
    <sheet name="October 2023" sheetId="7" r:id="rId7"/>
    <sheet name="September 2023" sheetId="8" r:id="rId8"/>
    <sheet name="August 2023" sheetId="9" r:id="rId9"/>
    <sheet name="July 2023" sheetId="10" r:id="rId10"/>
    <sheet name="June 2023" sheetId="11" r:id="rId11"/>
    <sheet name="May 2023" sheetId="12" r:id="rId12"/>
    <sheet name="April 2023" sheetId="13" r:id="rId13"/>
    <sheet name="March 2023" sheetId="14" r:id="rId14"/>
    <sheet name="February 2023" sheetId="15" r:id="rId15"/>
    <sheet name="January 2023" sheetId="16" r:id="rId16"/>
    <sheet name="December 2022" sheetId="17" r:id="rId17"/>
    <sheet name="November 2022" sheetId="18" r:id="rId18"/>
    <sheet name="October 2022" sheetId="19" r:id="rId19"/>
    <sheet name="September 2022" sheetId="20" r:id="rId20"/>
    <sheet name="August 2022" sheetId="21" r:id="rId21"/>
    <sheet name="August 2021" sheetId="22" r:id="rId22"/>
  </sheets>
  <calcPr calcId="191029"/>
</workbook>
</file>

<file path=xl/calcChain.xml><?xml version="1.0" encoding="utf-8"?>
<calcChain xmlns="http://schemas.openxmlformats.org/spreadsheetml/2006/main">
  <c r="D176" i="22" l="1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2" i="22"/>
  <c r="D176" i="21"/>
  <c r="D175" i="21"/>
  <c r="D174" i="21"/>
  <c r="D173" i="21"/>
  <c r="D172" i="21"/>
  <c r="D171" i="21"/>
  <c r="D170" i="21"/>
  <c r="D169" i="21"/>
  <c r="D168" i="21"/>
  <c r="D167" i="21"/>
  <c r="D166" i="21"/>
  <c r="D165" i="21"/>
  <c r="D164" i="21"/>
  <c r="D163" i="21"/>
  <c r="D162" i="21"/>
  <c r="D161" i="21"/>
  <c r="D160" i="21"/>
  <c r="D159" i="21"/>
  <c r="D158" i="21"/>
  <c r="D157" i="21"/>
  <c r="D156" i="21"/>
  <c r="D155" i="21"/>
  <c r="D154" i="21"/>
  <c r="D153" i="21"/>
  <c r="D152" i="21"/>
  <c r="D151" i="21"/>
  <c r="D150" i="21"/>
  <c r="D149" i="21"/>
  <c r="D148" i="21"/>
  <c r="D147" i="21"/>
  <c r="D146" i="21"/>
  <c r="D145" i="21"/>
  <c r="D144" i="21"/>
  <c r="D143" i="21"/>
  <c r="D142" i="21"/>
  <c r="D141" i="21"/>
  <c r="D140" i="21"/>
  <c r="D139" i="21"/>
  <c r="D138" i="21"/>
  <c r="D137" i="21"/>
  <c r="D136" i="21"/>
  <c r="D135" i="21"/>
  <c r="D134" i="21"/>
  <c r="D133" i="21"/>
  <c r="D132" i="21"/>
  <c r="D131" i="21"/>
  <c r="D130" i="21"/>
  <c r="D129" i="21"/>
  <c r="D128" i="21"/>
  <c r="D127" i="21"/>
  <c r="D126" i="21"/>
  <c r="D125" i="21"/>
  <c r="D124" i="21"/>
  <c r="D123" i="21"/>
  <c r="D122" i="21"/>
  <c r="D121" i="21"/>
  <c r="D120" i="21"/>
  <c r="D119" i="21"/>
  <c r="D118" i="21"/>
  <c r="D117" i="21"/>
  <c r="D116" i="21"/>
  <c r="D115" i="21"/>
  <c r="D114" i="21"/>
  <c r="D113" i="21"/>
  <c r="D112" i="21"/>
  <c r="D111" i="21"/>
  <c r="D110" i="21"/>
  <c r="D109" i="21"/>
  <c r="D108" i="21"/>
  <c r="D107" i="21"/>
  <c r="D106" i="21"/>
  <c r="D105" i="21"/>
  <c r="D104" i="21"/>
  <c r="D103" i="21"/>
  <c r="D102" i="21"/>
  <c r="D101" i="2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D75" i="21"/>
  <c r="D74" i="21"/>
  <c r="D73" i="21"/>
  <c r="D72" i="21"/>
  <c r="D71" i="21"/>
  <c r="D70" i="21"/>
  <c r="D69" i="21"/>
  <c r="D68" i="21"/>
  <c r="D67" i="21"/>
  <c r="D66" i="21"/>
  <c r="D65" i="21"/>
  <c r="D64" i="2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D31" i="21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D3" i="21"/>
  <c r="D2" i="21"/>
  <c r="D176" i="20"/>
  <c r="D175" i="20"/>
  <c r="D174" i="20"/>
  <c r="D173" i="20"/>
  <c r="D172" i="20"/>
  <c r="D171" i="20"/>
  <c r="D170" i="20"/>
  <c r="D169" i="20"/>
  <c r="D168" i="20"/>
  <c r="D167" i="20"/>
  <c r="D166" i="20"/>
  <c r="D165" i="20"/>
  <c r="D164" i="20"/>
  <c r="D163" i="20"/>
  <c r="D162" i="20"/>
  <c r="D161" i="20"/>
  <c r="D160" i="20"/>
  <c r="D159" i="20"/>
  <c r="D158" i="20"/>
  <c r="D157" i="20"/>
  <c r="D156" i="20"/>
  <c r="D155" i="20"/>
  <c r="D154" i="20"/>
  <c r="D153" i="20"/>
  <c r="D152" i="20"/>
  <c r="D151" i="20"/>
  <c r="D150" i="20"/>
  <c r="D149" i="20"/>
  <c r="D148" i="20"/>
  <c r="D147" i="20"/>
  <c r="D146" i="20"/>
  <c r="D145" i="20"/>
  <c r="D144" i="20"/>
  <c r="D143" i="20"/>
  <c r="D142" i="20"/>
  <c r="D141" i="20"/>
  <c r="D140" i="20"/>
  <c r="D139" i="20"/>
  <c r="D138" i="20"/>
  <c r="D137" i="20"/>
  <c r="D136" i="20"/>
  <c r="D135" i="20"/>
  <c r="D134" i="20"/>
  <c r="D133" i="20"/>
  <c r="D132" i="20"/>
  <c r="D131" i="20"/>
  <c r="D130" i="20"/>
  <c r="D129" i="20"/>
  <c r="D128" i="20"/>
  <c r="D127" i="20"/>
  <c r="D126" i="20"/>
  <c r="D125" i="20"/>
  <c r="D124" i="20"/>
  <c r="D123" i="20"/>
  <c r="D122" i="20"/>
  <c r="D121" i="20"/>
  <c r="D120" i="20"/>
  <c r="D119" i="20"/>
  <c r="D118" i="20"/>
  <c r="D117" i="20"/>
  <c r="D116" i="20"/>
  <c r="D115" i="20"/>
  <c r="D114" i="20"/>
  <c r="D113" i="20"/>
  <c r="D11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D143" i="19"/>
  <c r="D142" i="19"/>
  <c r="D141" i="19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D109" i="19"/>
  <c r="D108" i="19"/>
  <c r="D107" i="19"/>
  <c r="D106" i="19"/>
  <c r="D105" i="19"/>
  <c r="D104" i="19"/>
  <c r="D103" i="19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D89" i="19"/>
  <c r="D88" i="19"/>
  <c r="D87" i="19"/>
  <c r="D86" i="19"/>
  <c r="D85" i="19"/>
  <c r="D84" i="19"/>
  <c r="D83" i="19"/>
  <c r="D82" i="19"/>
  <c r="D81" i="19"/>
  <c r="D80" i="19"/>
  <c r="D79" i="19"/>
  <c r="D78" i="19"/>
  <c r="D77" i="19"/>
  <c r="D76" i="19"/>
  <c r="D75" i="19"/>
  <c r="D74" i="19"/>
  <c r="D73" i="19"/>
  <c r="D72" i="19"/>
  <c r="D71" i="19"/>
  <c r="D70" i="19"/>
  <c r="D69" i="19"/>
  <c r="D68" i="19"/>
  <c r="D67" i="19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5" i="19"/>
  <c r="D4" i="19"/>
  <c r="D3" i="19"/>
  <c r="D2" i="19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7" i="18"/>
  <c r="D126" i="18"/>
  <c r="D125" i="18"/>
  <c r="D124" i="18"/>
  <c r="D123" i="18"/>
  <c r="D122" i="18"/>
  <c r="D121" i="18"/>
  <c r="D120" i="18"/>
  <c r="D119" i="18"/>
  <c r="D118" i="18"/>
  <c r="D117" i="18"/>
  <c r="D116" i="18"/>
  <c r="D115" i="18"/>
  <c r="D114" i="18"/>
  <c r="D113" i="18"/>
  <c r="D112" i="18"/>
  <c r="D111" i="18"/>
  <c r="D110" i="18"/>
  <c r="D109" i="18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D89" i="18"/>
  <c r="D88" i="18"/>
  <c r="D87" i="18"/>
  <c r="D86" i="18"/>
  <c r="D85" i="18"/>
  <c r="D84" i="18"/>
  <c r="D83" i="18"/>
  <c r="D82" i="18"/>
  <c r="D81" i="18"/>
  <c r="D80" i="18"/>
  <c r="D79" i="18"/>
  <c r="D78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D58" i="18"/>
  <c r="D57" i="18"/>
  <c r="D56" i="18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D35" i="18"/>
  <c r="D34" i="18"/>
  <c r="D33" i="18"/>
  <c r="D32" i="18"/>
  <c r="D31" i="18"/>
  <c r="D30" i="18"/>
  <c r="D29" i="18"/>
  <c r="D28" i="18"/>
  <c r="D27" i="18"/>
  <c r="D26" i="18"/>
  <c r="D25" i="18"/>
  <c r="D24" i="18"/>
  <c r="D23" i="18"/>
  <c r="D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D5" i="18"/>
  <c r="D4" i="18"/>
  <c r="D3" i="18"/>
  <c r="D2" i="18"/>
  <c r="D182" i="17"/>
  <c r="D181" i="17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7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183" i="16"/>
  <c r="D182" i="16"/>
  <c r="D181" i="16"/>
  <c r="D180" i="16"/>
  <c r="D179" i="16"/>
  <c r="D178" i="16"/>
  <c r="D177" i="16"/>
  <c r="D176" i="16"/>
  <c r="D175" i="16"/>
  <c r="D174" i="16"/>
  <c r="D173" i="16"/>
  <c r="D172" i="16"/>
  <c r="D171" i="16"/>
  <c r="D170" i="16"/>
  <c r="D169" i="16"/>
  <c r="D168" i="16"/>
  <c r="D167" i="16"/>
  <c r="D166" i="16"/>
  <c r="D165" i="16"/>
  <c r="D164" i="16"/>
  <c r="D163" i="16"/>
  <c r="D162" i="16"/>
  <c r="D161" i="16"/>
  <c r="D160" i="16"/>
  <c r="D159" i="16"/>
  <c r="D158" i="16"/>
  <c r="D157" i="16"/>
  <c r="D156" i="16"/>
  <c r="D155" i="16"/>
  <c r="D154" i="16"/>
  <c r="D153" i="16"/>
  <c r="D152" i="16"/>
  <c r="D151" i="16"/>
  <c r="D150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D121" i="16"/>
  <c r="D120" i="16"/>
  <c r="D119" i="16"/>
  <c r="D118" i="16"/>
  <c r="D117" i="16"/>
  <c r="D116" i="16"/>
  <c r="D115" i="16"/>
  <c r="D114" i="16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6" i="16"/>
  <c r="D5" i="16"/>
  <c r="D4" i="16"/>
  <c r="D3" i="16"/>
  <c r="D2" i="16"/>
  <c r="I183" i="15"/>
  <c r="H183" i="15"/>
  <c r="D183" i="15"/>
  <c r="I182" i="15"/>
  <c r="H182" i="15"/>
  <c r="D182" i="15"/>
  <c r="I181" i="15"/>
  <c r="H181" i="15"/>
  <c r="D181" i="15"/>
  <c r="I180" i="15"/>
  <c r="H180" i="15"/>
  <c r="D180" i="15"/>
  <c r="I179" i="15"/>
  <c r="H179" i="15"/>
  <c r="D179" i="15"/>
  <c r="I178" i="15"/>
  <c r="H178" i="15"/>
  <c r="D178" i="15"/>
  <c r="I177" i="15"/>
  <c r="H177" i="15"/>
  <c r="D177" i="15"/>
  <c r="I176" i="15"/>
  <c r="H176" i="15"/>
  <c r="D176" i="15"/>
  <c r="I175" i="15"/>
  <c r="H175" i="15"/>
  <c r="D175" i="15"/>
  <c r="I174" i="15"/>
  <c r="H174" i="15"/>
  <c r="D174" i="15"/>
  <c r="I173" i="15"/>
  <c r="H173" i="15"/>
  <c r="D173" i="15"/>
  <c r="I172" i="15"/>
  <c r="H172" i="15"/>
  <c r="D172" i="15"/>
  <c r="I171" i="15"/>
  <c r="H171" i="15"/>
  <c r="D171" i="15"/>
  <c r="I170" i="15"/>
  <c r="H170" i="15"/>
  <c r="D170" i="15"/>
  <c r="I169" i="15"/>
  <c r="H169" i="15"/>
  <c r="D169" i="15"/>
  <c r="I168" i="15"/>
  <c r="H168" i="15"/>
  <c r="D168" i="15"/>
  <c r="I167" i="15"/>
  <c r="H167" i="15"/>
  <c r="D167" i="15"/>
  <c r="I166" i="15"/>
  <c r="H166" i="15"/>
  <c r="D166" i="15"/>
  <c r="I165" i="15"/>
  <c r="H165" i="15"/>
  <c r="D165" i="15"/>
  <c r="I164" i="15"/>
  <c r="H164" i="15"/>
  <c r="D164" i="15"/>
  <c r="I163" i="15"/>
  <c r="H163" i="15"/>
  <c r="D163" i="15"/>
  <c r="I162" i="15"/>
  <c r="H162" i="15"/>
  <c r="D162" i="15"/>
  <c r="I161" i="15"/>
  <c r="H161" i="15"/>
  <c r="D161" i="15"/>
  <c r="I160" i="15"/>
  <c r="H160" i="15"/>
  <c r="D160" i="15"/>
  <c r="I159" i="15"/>
  <c r="H159" i="15"/>
  <c r="D159" i="15"/>
  <c r="I158" i="15"/>
  <c r="H158" i="15"/>
  <c r="D158" i="15"/>
  <c r="I157" i="15"/>
  <c r="H157" i="15"/>
  <c r="D157" i="15"/>
  <c r="I156" i="15"/>
  <c r="H156" i="15"/>
  <c r="D156" i="15"/>
  <c r="I155" i="15"/>
  <c r="H155" i="15"/>
  <c r="D155" i="15"/>
  <c r="I154" i="15"/>
  <c r="H154" i="15"/>
  <c r="D154" i="15"/>
  <c r="I153" i="15"/>
  <c r="H153" i="15"/>
  <c r="D153" i="15"/>
  <c r="I152" i="15"/>
  <c r="H152" i="15"/>
  <c r="D152" i="15"/>
  <c r="I151" i="15"/>
  <c r="H151" i="15"/>
  <c r="D151" i="15"/>
  <c r="I150" i="15"/>
  <c r="H150" i="15"/>
  <c r="D150" i="15"/>
  <c r="I149" i="15"/>
  <c r="H149" i="15"/>
  <c r="D149" i="15"/>
  <c r="I148" i="15"/>
  <c r="H148" i="15"/>
  <c r="D148" i="15"/>
  <c r="I147" i="15"/>
  <c r="H147" i="15"/>
  <c r="D147" i="15"/>
  <c r="I146" i="15"/>
  <c r="H146" i="15"/>
  <c r="D146" i="15"/>
  <c r="I145" i="15"/>
  <c r="H145" i="15"/>
  <c r="D145" i="15"/>
  <c r="I144" i="15"/>
  <c r="H144" i="15"/>
  <c r="D144" i="15"/>
  <c r="I143" i="15"/>
  <c r="H143" i="15"/>
  <c r="D143" i="15"/>
  <c r="I142" i="15"/>
  <c r="H142" i="15"/>
  <c r="D142" i="15"/>
  <c r="I141" i="15"/>
  <c r="H141" i="15"/>
  <c r="D141" i="15"/>
  <c r="I140" i="15"/>
  <c r="H140" i="15"/>
  <c r="D140" i="15"/>
  <c r="I139" i="15"/>
  <c r="H139" i="15"/>
  <c r="D139" i="15"/>
  <c r="I138" i="15"/>
  <c r="H138" i="15"/>
  <c r="D138" i="15"/>
  <c r="I137" i="15"/>
  <c r="H137" i="15"/>
  <c r="D137" i="15"/>
  <c r="I136" i="15"/>
  <c r="H136" i="15"/>
  <c r="D136" i="15"/>
  <c r="I135" i="15"/>
  <c r="H135" i="15"/>
  <c r="D135" i="15"/>
  <c r="I134" i="15"/>
  <c r="H134" i="15"/>
  <c r="D134" i="15"/>
  <c r="I133" i="15"/>
  <c r="H133" i="15"/>
  <c r="D133" i="15"/>
  <c r="I132" i="15"/>
  <c r="H132" i="15"/>
  <c r="D132" i="15"/>
  <c r="I131" i="15"/>
  <c r="H131" i="15"/>
  <c r="D131" i="15"/>
  <c r="I130" i="15"/>
  <c r="H130" i="15"/>
  <c r="D130" i="15"/>
  <c r="I129" i="15"/>
  <c r="H129" i="15"/>
  <c r="D129" i="15"/>
  <c r="I128" i="15"/>
  <c r="H128" i="15"/>
  <c r="D128" i="15"/>
  <c r="I127" i="15"/>
  <c r="H127" i="15"/>
  <c r="D127" i="15"/>
  <c r="I126" i="15"/>
  <c r="H126" i="15"/>
  <c r="D126" i="15"/>
  <c r="I125" i="15"/>
  <c r="H125" i="15"/>
  <c r="D125" i="15"/>
  <c r="I124" i="15"/>
  <c r="H124" i="15"/>
  <c r="D124" i="15"/>
  <c r="I123" i="15"/>
  <c r="H123" i="15"/>
  <c r="D123" i="15"/>
  <c r="I122" i="15"/>
  <c r="H122" i="15"/>
  <c r="D122" i="15"/>
  <c r="I121" i="15"/>
  <c r="H121" i="15"/>
  <c r="D121" i="15"/>
  <c r="I120" i="15"/>
  <c r="H120" i="15"/>
  <c r="D120" i="15"/>
  <c r="I119" i="15"/>
  <c r="H119" i="15"/>
  <c r="D119" i="15"/>
  <c r="I118" i="15"/>
  <c r="H118" i="15"/>
  <c r="D118" i="15"/>
  <c r="I117" i="15"/>
  <c r="H117" i="15"/>
  <c r="D117" i="15"/>
  <c r="I116" i="15"/>
  <c r="H116" i="15"/>
  <c r="D116" i="15"/>
  <c r="I115" i="15"/>
  <c r="H115" i="15"/>
  <c r="D115" i="15"/>
  <c r="I114" i="15"/>
  <c r="H114" i="15"/>
  <c r="D114" i="15"/>
  <c r="I113" i="15"/>
  <c r="H113" i="15"/>
  <c r="D113" i="15"/>
  <c r="I112" i="15"/>
  <c r="H112" i="15"/>
  <c r="D112" i="15"/>
  <c r="I111" i="15"/>
  <c r="H111" i="15"/>
  <c r="D111" i="15"/>
  <c r="I110" i="15"/>
  <c r="H110" i="15"/>
  <c r="D110" i="15"/>
  <c r="I109" i="15"/>
  <c r="H109" i="15"/>
  <c r="D109" i="15"/>
  <c r="I108" i="15"/>
  <c r="H108" i="15"/>
  <c r="D108" i="15"/>
  <c r="I107" i="15"/>
  <c r="H107" i="15"/>
  <c r="D107" i="15"/>
  <c r="I106" i="15"/>
  <c r="H106" i="15"/>
  <c r="D106" i="15"/>
  <c r="I105" i="15"/>
  <c r="H105" i="15"/>
  <c r="D105" i="15"/>
  <c r="I104" i="15"/>
  <c r="H104" i="15"/>
  <c r="D104" i="15"/>
  <c r="I103" i="15"/>
  <c r="H103" i="15"/>
  <c r="D103" i="15"/>
  <c r="I102" i="15"/>
  <c r="H102" i="15"/>
  <c r="D102" i="15"/>
  <c r="I101" i="15"/>
  <c r="H101" i="15"/>
  <c r="D101" i="15"/>
  <c r="I100" i="15"/>
  <c r="H100" i="15"/>
  <c r="D100" i="15"/>
  <c r="I99" i="15"/>
  <c r="H99" i="15"/>
  <c r="D99" i="15"/>
  <c r="I98" i="15"/>
  <c r="H98" i="15"/>
  <c r="D98" i="15"/>
  <c r="I97" i="15"/>
  <c r="H97" i="15"/>
  <c r="D97" i="15"/>
  <c r="I96" i="15"/>
  <c r="H96" i="15"/>
  <c r="D96" i="15"/>
  <c r="I95" i="15"/>
  <c r="H95" i="15"/>
  <c r="D95" i="15"/>
  <c r="I94" i="15"/>
  <c r="H94" i="15"/>
  <c r="D94" i="15"/>
  <c r="I93" i="15"/>
  <c r="H93" i="15"/>
  <c r="D93" i="15"/>
  <c r="I92" i="15"/>
  <c r="H92" i="15"/>
  <c r="D92" i="15"/>
  <c r="I91" i="15"/>
  <c r="H91" i="15"/>
  <c r="D91" i="15"/>
  <c r="I90" i="15"/>
  <c r="H90" i="15"/>
  <c r="D90" i="15"/>
  <c r="I89" i="15"/>
  <c r="H89" i="15"/>
  <c r="D89" i="15"/>
  <c r="I88" i="15"/>
  <c r="H88" i="15"/>
  <c r="D88" i="15"/>
  <c r="I87" i="15"/>
  <c r="H87" i="15"/>
  <c r="D87" i="15"/>
  <c r="I86" i="15"/>
  <c r="H86" i="15"/>
  <c r="D86" i="15"/>
  <c r="I85" i="15"/>
  <c r="H85" i="15"/>
  <c r="D85" i="15"/>
  <c r="I84" i="15"/>
  <c r="H84" i="15"/>
  <c r="D84" i="15"/>
  <c r="I83" i="15"/>
  <c r="H83" i="15"/>
  <c r="D83" i="15"/>
  <c r="I82" i="15"/>
  <c r="H82" i="15"/>
  <c r="D82" i="15"/>
  <c r="I81" i="15"/>
  <c r="H81" i="15"/>
  <c r="D81" i="15"/>
  <c r="I80" i="15"/>
  <c r="H80" i="15"/>
  <c r="D80" i="15"/>
  <c r="I79" i="15"/>
  <c r="H79" i="15"/>
  <c r="D79" i="15"/>
  <c r="I78" i="15"/>
  <c r="H78" i="15"/>
  <c r="D78" i="15"/>
  <c r="I77" i="15"/>
  <c r="H77" i="15"/>
  <c r="D77" i="15"/>
  <c r="I76" i="15"/>
  <c r="H76" i="15"/>
  <c r="D76" i="15"/>
  <c r="I75" i="15"/>
  <c r="H75" i="15"/>
  <c r="D75" i="15"/>
  <c r="I74" i="15"/>
  <c r="H74" i="15"/>
  <c r="D74" i="15"/>
  <c r="I73" i="15"/>
  <c r="H73" i="15"/>
  <c r="D73" i="15"/>
  <c r="I72" i="15"/>
  <c r="H72" i="15"/>
  <c r="D72" i="15"/>
  <c r="I71" i="15"/>
  <c r="H71" i="15"/>
  <c r="D71" i="15"/>
  <c r="I70" i="15"/>
  <c r="H70" i="15"/>
  <c r="D70" i="15"/>
  <c r="I69" i="15"/>
  <c r="H69" i="15"/>
  <c r="D69" i="15"/>
  <c r="I68" i="15"/>
  <c r="H68" i="15"/>
  <c r="D68" i="15"/>
  <c r="I67" i="15"/>
  <c r="H67" i="15"/>
  <c r="D67" i="15"/>
  <c r="I66" i="15"/>
  <c r="H66" i="15"/>
  <c r="D66" i="15"/>
  <c r="I65" i="15"/>
  <c r="H65" i="15"/>
  <c r="D65" i="15"/>
  <c r="I64" i="15"/>
  <c r="H64" i="15"/>
  <c r="D64" i="15"/>
  <c r="I63" i="15"/>
  <c r="H63" i="15"/>
  <c r="D63" i="15"/>
  <c r="I62" i="15"/>
  <c r="H62" i="15"/>
  <c r="D62" i="15"/>
  <c r="I61" i="15"/>
  <c r="H61" i="15"/>
  <c r="D61" i="15"/>
  <c r="I60" i="15"/>
  <c r="H60" i="15"/>
  <c r="D60" i="15"/>
  <c r="I59" i="15"/>
  <c r="H59" i="15"/>
  <c r="D59" i="15"/>
  <c r="I58" i="15"/>
  <c r="H58" i="15"/>
  <c r="D58" i="15"/>
  <c r="I57" i="15"/>
  <c r="H57" i="15"/>
  <c r="D57" i="15"/>
  <c r="I56" i="15"/>
  <c r="H56" i="15"/>
  <c r="D56" i="15"/>
  <c r="I55" i="15"/>
  <c r="H55" i="15"/>
  <c r="D55" i="15"/>
  <c r="I54" i="15"/>
  <c r="H54" i="15"/>
  <c r="D54" i="15"/>
  <c r="I53" i="15"/>
  <c r="H53" i="15"/>
  <c r="D53" i="15"/>
  <c r="I52" i="15"/>
  <c r="H52" i="15"/>
  <c r="D52" i="15"/>
  <c r="I51" i="15"/>
  <c r="H51" i="15"/>
  <c r="D51" i="15"/>
  <c r="I50" i="15"/>
  <c r="H50" i="15"/>
  <c r="D50" i="15"/>
  <c r="I49" i="15"/>
  <c r="H49" i="15"/>
  <c r="D49" i="15"/>
  <c r="I48" i="15"/>
  <c r="H48" i="15"/>
  <c r="D48" i="15"/>
  <c r="I47" i="15"/>
  <c r="H47" i="15"/>
  <c r="D47" i="15"/>
  <c r="I46" i="15"/>
  <c r="H46" i="15"/>
  <c r="D46" i="15"/>
  <c r="I45" i="15"/>
  <c r="H45" i="15"/>
  <c r="D45" i="15"/>
  <c r="I44" i="15"/>
  <c r="H44" i="15"/>
  <c r="D44" i="15"/>
  <c r="I43" i="15"/>
  <c r="H43" i="15"/>
  <c r="D43" i="15"/>
  <c r="I42" i="15"/>
  <c r="H42" i="15"/>
  <c r="D42" i="15"/>
  <c r="I41" i="15"/>
  <c r="H41" i="15"/>
  <c r="D41" i="15"/>
  <c r="I40" i="15"/>
  <c r="H40" i="15"/>
  <c r="D40" i="15"/>
  <c r="I39" i="15"/>
  <c r="H39" i="15"/>
  <c r="D39" i="15"/>
  <c r="I38" i="15"/>
  <c r="H38" i="15"/>
  <c r="D38" i="15"/>
  <c r="I37" i="15"/>
  <c r="H37" i="15"/>
  <c r="D37" i="15"/>
  <c r="I36" i="15"/>
  <c r="H36" i="15"/>
  <c r="D36" i="15"/>
  <c r="I35" i="15"/>
  <c r="H35" i="15"/>
  <c r="D35" i="15"/>
  <c r="I34" i="15"/>
  <c r="H34" i="15"/>
  <c r="D34" i="15"/>
  <c r="I33" i="15"/>
  <c r="H33" i="15"/>
  <c r="D33" i="15"/>
  <c r="I32" i="15"/>
  <c r="H32" i="15"/>
  <c r="D32" i="15"/>
  <c r="I31" i="15"/>
  <c r="H31" i="15"/>
  <c r="D31" i="15"/>
  <c r="I30" i="15"/>
  <c r="H30" i="15"/>
  <c r="D30" i="15"/>
  <c r="I29" i="15"/>
  <c r="H29" i="15"/>
  <c r="D29" i="15"/>
  <c r="I28" i="15"/>
  <c r="H28" i="15"/>
  <c r="D28" i="15"/>
  <c r="I27" i="15"/>
  <c r="H27" i="15"/>
  <c r="D27" i="15"/>
  <c r="I26" i="15"/>
  <c r="H26" i="15"/>
  <c r="D26" i="15"/>
  <c r="I25" i="15"/>
  <c r="H25" i="15"/>
  <c r="D25" i="15"/>
  <c r="I24" i="15"/>
  <c r="H24" i="15"/>
  <c r="D24" i="15"/>
  <c r="I23" i="15"/>
  <c r="H23" i="15"/>
  <c r="D23" i="15"/>
  <c r="I22" i="15"/>
  <c r="H22" i="15"/>
  <c r="D22" i="15"/>
  <c r="I21" i="15"/>
  <c r="H21" i="15"/>
  <c r="D21" i="15"/>
  <c r="I20" i="15"/>
  <c r="H20" i="15"/>
  <c r="D20" i="15"/>
  <c r="I19" i="15"/>
  <c r="H19" i="15"/>
  <c r="D19" i="15"/>
  <c r="I18" i="15"/>
  <c r="H18" i="15"/>
  <c r="D18" i="15"/>
  <c r="I17" i="15"/>
  <c r="H17" i="15"/>
  <c r="D17" i="15"/>
  <c r="I16" i="15"/>
  <c r="H16" i="15"/>
  <c r="D16" i="15"/>
  <c r="I15" i="15"/>
  <c r="H15" i="15"/>
  <c r="D15" i="15"/>
  <c r="I14" i="15"/>
  <c r="H14" i="15"/>
  <c r="D14" i="15"/>
  <c r="I13" i="15"/>
  <c r="H13" i="15"/>
  <c r="D13" i="15"/>
  <c r="I12" i="15"/>
  <c r="H12" i="15"/>
  <c r="D12" i="15"/>
  <c r="I11" i="15"/>
  <c r="H11" i="15"/>
  <c r="D11" i="15"/>
  <c r="I10" i="15"/>
  <c r="H10" i="15"/>
  <c r="D10" i="15"/>
  <c r="I9" i="15"/>
  <c r="H9" i="15"/>
  <c r="D9" i="15"/>
  <c r="I8" i="15"/>
  <c r="H8" i="15"/>
  <c r="D8" i="15"/>
  <c r="I7" i="15"/>
  <c r="H7" i="15"/>
  <c r="D7" i="15"/>
  <c r="I6" i="15"/>
  <c r="H6" i="15"/>
  <c r="D6" i="15"/>
  <c r="I5" i="15"/>
  <c r="H5" i="15"/>
  <c r="D5" i="15"/>
  <c r="I4" i="15"/>
  <c r="H4" i="15"/>
  <c r="D4" i="15"/>
  <c r="I3" i="15"/>
  <c r="H3" i="15"/>
  <c r="D3" i="15"/>
  <c r="I2" i="15"/>
  <c r="H2" i="15"/>
  <c r="D2" i="15"/>
  <c r="I183" i="14"/>
  <c r="H183" i="14"/>
  <c r="D183" i="14"/>
  <c r="I182" i="14"/>
  <c r="H182" i="14"/>
  <c r="D182" i="14"/>
  <c r="I181" i="14"/>
  <c r="H181" i="14"/>
  <c r="D181" i="14"/>
  <c r="I180" i="14"/>
  <c r="H180" i="14"/>
  <c r="D180" i="14"/>
  <c r="I179" i="14"/>
  <c r="H179" i="14"/>
  <c r="D179" i="14"/>
  <c r="I178" i="14"/>
  <c r="H178" i="14"/>
  <c r="D178" i="14"/>
  <c r="I177" i="14"/>
  <c r="H177" i="14"/>
  <c r="D177" i="14"/>
  <c r="I176" i="14"/>
  <c r="H176" i="14"/>
  <c r="D176" i="14"/>
  <c r="I175" i="14"/>
  <c r="H175" i="14"/>
  <c r="D175" i="14"/>
  <c r="I174" i="14"/>
  <c r="H174" i="14"/>
  <c r="D174" i="14"/>
  <c r="I173" i="14"/>
  <c r="H173" i="14"/>
  <c r="D173" i="14"/>
  <c r="I172" i="14"/>
  <c r="H172" i="14"/>
  <c r="D172" i="14"/>
  <c r="I171" i="14"/>
  <c r="H171" i="14"/>
  <c r="D171" i="14"/>
  <c r="I170" i="14"/>
  <c r="H170" i="14"/>
  <c r="D170" i="14"/>
  <c r="I169" i="14"/>
  <c r="H169" i="14"/>
  <c r="D169" i="14"/>
  <c r="I168" i="14"/>
  <c r="H168" i="14"/>
  <c r="D168" i="14"/>
  <c r="I167" i="14"/>
  <c r="H167" i="14"/>
  <c r="D167" i="14"/>
  <c r="I166" i="14"/>
  <c r="H166" i="14"/>
  <c r="D166" i="14"/>
  <c r="I165" i="14"/>
  <c r="H165" i="14"/>
  <c r="D165" i="14"/>
  <c r="I164" i="14"/>
  <c r="H164" i="14"/>
  <c r="D164" i="14"/>
  <c r="I163" i="14"/>
  <c r="H163" i="14"/>
  <c r="D163" i="14"/>
  <c r="I162" i="14"/>
  <c r="H162" i="14"/>
  <c r="D162" i="14"/>
  <c r="I161" i="14"/>
  <c r="H161" i="14"/>
  <c r="D161" i="14"/>
  <c r="I160" i="14"/>
  <c r="H160" i="14"/>
  <c r="D160" i="14"/>
  <c r="I159" i="14"/>
  <c r="H159" i="14"/>
  <c r="D159" i="14"/>
  <c r="I158" i="14"/>
  <c r="H158" i="14"/>
  <c r="D158" i="14"/>
  <c r="I157" i="14"/>
  <c r="H157" i="14"/>
  <c r="D157" i="14"/>
  <c r="I156" i="14"/>
  <c r="H156" i="14"/>
  <c r="D156" i="14"/>
  <c r="I155" i="14"/>
  <c r="H155" i="14"/>
  <c r="D155" i="14"/>
  <c r="I154" i="14"/>
  <c r="H154" i="14"/>
  <c r="D154" i="14"/>
  <c r="I153" i="14"/>
  <c r="H153" i="14"/>
  <c r="D153" i="14"/>
  <c r="I152" i="14"/>
  <c r="H152" i="14"/>
  <c r="D152" i="14"/>
  <c r="I151" i="14"/>
  <c r="H151" i="14"/>
  <c r="D151" i="14"/>
  <c r="I150" i="14"/>
  <c r="H150" i="14"/>
  <c r="D150" i="14"/>
  <c r="I149" i="14"/>
  <c r="H149" i="14"/>
  <c r="D149" i="14"/>
  <c r="I148" i="14"/>
  <c r="H148" i="14"/>
  <c r="D148" i="14"/>
  <c r="I147" i="14"/>
  <c r="H147" i="14"/>
  <c r="D147" i="14"/>
  <c r="I146" i="14"/>
  <c r="H146" i="14"/>
  <c r="D146" i="14"/>
  <c r="I145" i="14"/>
  <c r="H145" i="14"/>
  <c r="D145" i="14"/>
  <c r="I144" i="14"/>
  <c r="H144" i="14"/>
  <c r="D144" i="14"/>
  <c r="I143" i="14"/>
  <c r="H143" i="14"/>
  <c r="D143" i="14"/>
  <c r="I142" i="14"/>
  <c r="H142" i="14"/>
  <c r="D142" i="14"/>
  <c r="I141" i="14"/>
  <c r="H141" i="14"/>
  <c r="D141" i="14"/>
  <c r="I140" i="14"/>
  <c r="H140" i="14"/>
  <c r="D140" i="14"/>
  <c r="I139" i="14"/>
  <c r="H139" i="14"/>
  <c r="D139" i="14"/>
  <c r="I138" i="14"/>
  <c r="H138" i="14"/>
  <c r="D138" i="14"/>
  <c r="I137" i="14"/>
  <c r="H137" i="14"/>
  <c r="D137" i="14"/>
  <c r="I136" i="14"/>
  <c r="H136" i="14"/>
  <c r="D136" i="14"/>
  <c r="I135" i="14"/>
  <c r="H135" i="14"/>
  <c r="D135" i="14"/>
  <c r="I134" i="14"/>
  <c r="H134" i="14"/>
  <c r="D134" i="14"/>
  <c r="I133" i="14"/>
  <c r="H133" i="14"/>
  <c r="D133" i="14"/>
  <c r="I132" i="14"/>
  <c r="H132" i="14"/>
  <c r="D132" i="14"/>
  <c r="I131" i="14"/>
  <c r="H131" i="14"/>
  <c r="D131" i="14"/>
  <c r="I130" i="14"/>
  <c r="H130" i="14"/>
  <c r="D130" i="14"/>
  <c r="I129" i="14"/>
  <c r="H129" i="14"/>
  <c r="D129" i="14"/>
  <c r="I128" i="14"/>
  <c r="H128" i="14"/>
  <c r="D128" i="14"/>
  <c r="I127" i="14"/>
  <c r="H127" i="14"/>
  <c r="D127" i="14"/>
  <c r="I126" i="14"/>
  <c r="H126" i="14"/>
  <c r="D126" i="14"/>
  <c r="I125" i="14"/>
  <c r="H125" i="14"/>
  <c r="D125" i="14"/>
  <c r="I124" i="14"/>
  <c r="H124" i="14"/>
  <c r="D124" i="14"/>
  <c r="I123" i="14"/>
  <c r="H123" i="14"/>
  <c r="D123" i="14"/>
  <c r="I122" i="14"/>
  <c r="H122" i="14"/>
  <c r="D122" i="14"/>
  <c r="I121" i="14"/>
  <c r="H121" i="14"/>
  <c r="D121" i="14"/>
  <c r="I120" i="14"/>
  <c r="H120" i="14"/>
  <c r="D120" i="14"/>
  <c r="I119" i="14"/>
  <c r="H119" i="14"/>
  <c r="D119" i="14"/>
  <c r="I118" i="14"/>
  <c r="H118" i="14"/>
  <c r="D118" i="14"/>
  <c r="I117" i="14"/>
  <c r="H117" i="14"/>
  <c r="D117" i="14"/>
  <c r="I116" i="14"/>
  <c r="H116" i="14"/>
  <c r="D116" i="14"/>
  <c r="I115" i="14"/>
  <c r="H115" i="14"/>
  <c r="D115" i="14"/>
  <c r="I114" i="14"/>
  <c r="H114" i="14"/>
  <c r="D114" i="14"/>
  <c r="I113" i="14"/>
  <c r="H113" i="14"/>
  <c r="D113" i="14"/>
  <c r="I112" i="14"/>
  <c r="H112" i="14"/>
  <c r="D112" i="14"/>
  <c r="I111" i="14"/>
  <c r="H111" i="14"/>
  <c r="D111" i="14"/>
  <c r="I110" i="14"/>
  <c r="H110" i="14"/>
  <c r="D110" i="14"/>
  <c r="I109" i="14"/>
  <c r="H109" i="14"/>
  <c r="D109" i="14"/>
  <c r="I108" i="14"/>
  <c r="H108" i="14"/>
  <c r="D108" i="14"/>
  <c r="I107" i="14"/>
  <c r="H107" i="14"/>
  <c r="D107" i="14"/>
  <c r="I106" i="14"/>
  <c r="H106" i="14"/>
  <c r="D106" i="14"/>
  <c r="I105" i="14"/>
  <c r="H105" i="14"/>
  <c r="D105" i="14"/>
  <c r="I104" i="14"/>
  <c r="H104" i="14"/>
  <c r="D104" i="14"/>
  <c r="I103" i="14"/>
  <c r="H103" i="14"/>
  <c r="D103" i="14"/>
  <c r="I102" i="14"/>
  <c r="H102" i="14"/>
  <c r="D102" i="14"/>
  <c r="I101" i="14"/>
  <c r="H101" i="14"/>
  <c r="D101" i="14"/>
  <c r="I100" i="14"/>
  <c r="H100" i="14"/>
  <c r="D100" i="14"/>
  <c r="I99" i="14"/>
  <c r="H99" i="14"/>
  <c r="D99" i="14"/>
  <c r="I98" i="14"/>
  <c r="H98" i="14"/>
  <c r="D98" i="14"/>
  <c r="I97" i="14"/>
  <c r="H97" i="14"/>
  <c r="D97" i="14"/>
  <c r="I96" i="14"/>
  <c r="H96" i="14"/>
  <c r="D96" i="14"/>
  <c r="I95" i="14"/>
  <c r="H95" i="14"/>
  <c r="D95" i="14"/>
  <c r="I94" i="14"/>
  <c r="H94" i="14"/>
  <c r="D94" i="14"/>
  <c r="I93" i="14"/>
  <c r="H93" i="14"/>
  <c r="D93" i="14"/>
  <c r="I92" i="14"/>
  <c r="H92" i="14"/>
  <c r="D92" i="14"/>
  <c r="I91" i="14"/>
  <c r="H91" i="14"/>
  <c r="D91" i="14"/>
  <c r="I90" i="14"/>
  <c r="H90" i="14"/>
  <c r="D90" i="14"/>
  <c r="I89" i="14"/>
  <c r="H89" i="14"/>
  <c r="D89" i="14"/>
  <c r="I88" i="14"/>
  <c r="H88" i="14"/>
  <c r="D88" i="14"/>
  <c r="I87" i="14"/>
  <c r="H87" i="14"/>
  <c r="D87" i="14"/>
  <c r="I86" i="14"/>
  <c r="H86" i="14"/>
  <c r="D86" i="14"/>
  <c r="I85" i="14"/>
  <c r="H85" i="14"/>
  <c r="D85" i="14"/>
  <c r="I84" i="14"/>
  <c r="H84" i="14"/>
  <c r="D84" i="14"/>
  <c r="I83" i="14"/>
  <c r="H83" i="14"/>
  <c r="D83" i="14"/>
  <c r="I82" i="14"/>
  <c r="H82" i="14"/>
  <c r="D82" i="14"/>
  <c r="I81" i="14"/>
  <c r="H81" i="14"/>
  <c r="D81" i="14"/>
  <c r="I80" i="14"/>
  <c r="H80" i="14"/>
  <c r="D80" i="14"/>
  <c r="I79" i="14"/>
  <c r="H79" i="14"/>
  <c r="D79" i="14"/>
  <c r="I78" i="14"/>
  <c r="H78" i="14"/>
  <c r="D78" i="14"/>
  <c r="I77" i="14"/>
  <c r="H77" i="14"/>
  <c r="D77" i="14"/>
  <c r="I76" i="14"/>
  <c r="H76" i="14"/>
  <c r="D76" i="14"/>
  <c r="I75" i="14"/>
  <c r="H75" i="14"/>
  <c r="D75" i="14"/>
  <c r="I74" i="14"/>
  <c r="H74" i="14"/>
  <c r="D74" i="14"/>
  <c r="I73" i="14"/>
  <c r="H73" i="14"/>
  <c r="D73" i="14"/>
  <c r="I72" i="14"/>
  <c r="H72" i="14"/>
  <c r="D72" i="14"/>
  <c r="I71" i="14"/>
  <c r="H71" i="14"/>
  <c r="D71" i="14"/>
  <c r="I70" i="14"/>
  <c r="H70" i="14"/>
  <c r="D70" i="14"/>
  <c r="I69" i="14"/>
  <c r="H69" i="14"/>
  <c r="D69" i="14"/>
  <c r="I68" i="14"/>
  <c r="H68" i="14"/>
  <c r="D68" i="14"/>
  <c r="I67" i="14"/>
  <c r="H67" i="14"/>
  <c r="D67" i="14"/>
  <c r="I66" i="14"/>
  <c r="H66" i="14"/>
  <c r="D66" i="14"/>
  <c r="I65" i="14"/>
  <c r="H65" i="14"/>
  <c r="D65" i="14"/>
  <c r="I64" i="14"/>
  <c r="H64" i="14"/>
  <c r="D64" i="14"/>
  <c r="I63" i="14"/>
  <c r="H63" i="14"/>
  <c r="D63" i="14"/>
  <c r="I62" i="14"/>
  <c r="H62" i="14"/>
  <c r="D62" i="14"/>
  <c r="I61" i="14"/>
  <c r="H61" i="14"/>
  <c r="D61" i="14"/>
  <c r="I60" i="14"/>
  <c r="H60" i="14"/>
  <c r="D60" i="14"/>
  <c r="I59" i="14"/>
  <c r="H59" i="14"/>
  <c r="D59" i="14"/>
  <c r="I58" i="14"/>
  <c r="H58" i="14"/>
  <c r="D58" i="14"/>
  <c r="I57" i="14"/>
  <c r="H57" i="14"/>
  <c r="D57" i="14"/>
  <c r="I56" i="14"/>
  <c r="H56" i="14"/>
  <c r="D56" i="14"/>
  <c r="I55" i="14"/>
  <c r="H55" i="14"/>
  <c r="D55" i="14"/>
  <c r="I54" i="14"/>
  <c r="H54" i="14"/>
  <c r="D54" i="14"/>
  <c r="I53" i="14"/>
  <c r="H53" i="14"/>
  <c r="D53" i="14"/>
  <c r="I52" i="14"/>
  <c r="H52" i="14"/>
  <c r="D52" i="14"/>
  <c r="I51" i="14"/>
  <c r="H51" i="14"/>
  <c r="D51" i="14"/>
  <c r="I50" i="14"/>
  <c r="H50" i="14"/>
  <c r="D50" i="14"/>
  <c r="I49" i="14"/>
  <c r="H49" i="14"/>
  <c r="D49" i="14"/>
  <c r="I48" i="14"/>
  <c r="H48" i="14"/>
  <c r="D48" i="14"/>
  <c r="I47" i="14"/>
  <c r="H47" i="14"/>
  <c r="D47" i="14"/>
  <c r="I46" i="14"/>
  <c r="H46" i="14"/>
  <c r="D46" i="14"/>
  <c r="I45" i="14"/>
  <c r="H45" i="14"/>
  <c r="D45" i="14"/>
  <c r="I44" i="14"/>
  <c r="H44" i="14"/>
  <c r="D44" i="14"/>
  <c r="I43" i="14"/>
  <c r="H43" i="14"/>
  <c r="D43" i="14"/>
  <c r="I42" i="14"/>
  <c r="H42" i="14"/>
  <c r="D42" i="14"/>
  <c r="I41" i="14"/>
  <c r="H41" i="14"/>
  <c r="D41" i="14"/>
  <c r="I40" i="14"/>
  <c r="H40" i="14"/>
  <c r="D40" i="14"/>
  <c r="I39" i="14"/>
  <c r="H39" i="14"/>
  <c r="D39" i="14"/>
  <c r="I38" i="14"/>
  <c r="H38" i="14"/>
  <c r="D38" i="14"/>
  <c r="I37" i="14"/>
  <c r="H37" i="14"/>
  <c r="D37" i="14"/>
  <c r="I36" i="14"/>
  <c r="H36" i="14"/>
  <c r="D36" i="14"/>
  <c r="I35" i="14"/>
  <c r="H35" i="14"/>
  <c r="D35" i="14"/>
  <c r="I34" i="14"/>
  <c r="H34" i="14"/>
  <c r="D34" i="14"/>
  <c r="I33" i="14"/>
  <c r="H33" i="14"/>
  <c r="D33" i="14"/>
  <c r="I32" i="14"/>
  <c r="H32" i="14"/>
  <c r="D32" i="14"/>
  <c r="I31" i="14"/>
  <c r="H31" i="14"/>
  <c r="D31" i="14"/>
  <c r="I30" i="14"/>
  <c r="H30" i="14"/>
  <c r="D30" i="14"/>
  <c r="I29" i="14"/>
  <c r="H29" i="14"/>
  <c r="D29" i="14"/>
  <c r="I28" i="14"/>
  <c r="H28" i="14"/>
  <c r="D28" i="14"/>
  <c r="I27" i="14"/>
  <c r="H27" i="14"/>
  <c r="D27" i="14"/>
  <c r="I26" i="14"/>
  <c r="H26" i="14"/>
  <c r="D26" i="14"/>
  <c r="I25" i="14"/>
  <c r="H25" i="14"/>
  <c r="D25" i="14"/>
  <c r="I24" i="14"/>
  <c r="H24" i="14"/>
  <c r="D24" i="14"/>
  <c r="I23" i="14"/>
  <c r="H23" i="14"/>
  <c r="D23" i="14"/>
  <c r="I22" i="14"/>
  <c r="H22" i="14"/>
  <c r="D22" i="14"/>
  <c r="I21" i="14"/>
  <c r="H21" i="14"/>
  <c r="D21" i="14"/>
  <c r="I20" i="14"/>
  <c r="H20" i="14"/>
  <c r="D20" i="14"/>
  <c r="I19" i="14"/>
  <c r="H19" i="14"/>
  <c r="D19" i="14"/>
  <c r="I18" i="14"/>
  <c r="H18" i="14"/>
  <c r="D18" i="14"/>
  <c r="I17" i="14"/>
  <c r="H17" i="14"/>
  <c r="D17" i="14"/>
  <c r="I16" i="14"/>
  <c r="H16" i="14"/>
  <c r="D16" i="14"/>
  <c r="I15" i="14"/>
  <c r="H15" i="14"/>
  <c r="D15" i="14"/>
  <c r="I14" i="14"/>
  <c r="H14" i="14"/>
  <c r="D14" i="14"/>
  <c r="I13" i="14"/>
  <c r="H13" i="14"/>
  <c r="D13" i="14"/>
  <c r="I12" i="14"/>
  <c r="H12" i="14"/>
  <c r="D12" i="14"/>
  <c r="I11" i="14"/>
  <c r="H11" i="14"/>
  <c r="D11" i="14"/>
  <c r="I10" i="14"/>
  <c r="H10" i="14"/>
  <c r="D10" i="14"/>
  <c r="I9" i="14"/>
  <c r="H9" i="14"/>
  <c r="D9" i="14"/>
  <c r="I8" i="14"/>
  <c r="H8" i="14"/>
  <c r="D8" i="14"/>
  <c r="I7" i="14"/>
  <c r="H7" i="14"/>
  <c r="D7" i="14"/>
  <c r="I6" i="14"/>
  <c r="H6" i="14"/>
  <c r="D6" i="14"/>
  <c r="I5" i="14"/>
  <c r="H5" i="14"/>
  <c r="D5" i="14"/>
  <c r="I4" i="14"/>
  <c r="H4" i="14"/>
  <c r="D4" i="14"/>
  <c r="I3" i="14"/>
  <c r="H3" i="14"/>
  <c r="D3" i="14"/>
  <c r="I2" i="14"/>
  <c r="H2" i="14"/>
  <c r="D2" i="14"/>
  <c r="I186" i="12"/>
  <c r="H186" i="12"/>
  <c r="D186" i="12"/>
  <c r="I185" i="12"/>
  <c r="H185" i="12"/>
  <c r="D185" i="12"/>
  <c r="I184" i="12"/>
  <c r="H184" i="12"/>
  <c r="D184" i="12"/>
  <c r="I183" i="12"/>
  <c r="H183" i="12"/>
  <c r="D183" i="12"/>
  <c r="I182" i="12"/>
  <c r="H182" i="12"/>
  <c r="D182" i="12"/>
  <c r="I181" i="12"/>
  <c r="H181" i="12"/>
  <c r="D181" i="12"/>
  <c r="I180" i="12"/>
  <c r="H180" i="12"/>
  <c r="D180" i="12"/>
  <c r="I179" i="12"/>
  <c r="H179" i="12"/>
  <c r="D179" i="12"/>
  <c r="I178" i="12"/>
  <c r="H178" i="12"/>
  <c r="D178" i="12"/>
  <c r="I177" i="12"/>
  <c r="H177" i="12"/>
  <c r="D177" i="12"/>
  <c r="I176" i="12"/>
  <c r="H176" i="12"/>
  <c r="D176" i="12"/>
  <c r="I175" i="12"/>
  <c r="H175" i="12"/>
  <c r="D175" i="12"/>
  <c r="I174" i="12"/>
  <c r="H174" i="12"/>
  <c r="D174" i="12"/>
  <c r="I173" i="12"/>
  <c r="H173" i="12"/>
  <c r="D173" i="12"/>
  <c r="I172" i="12"/>
  <c r="H172" i="12"/>
  <c r="D172" i="12"/>
  <c r="I171" i="12"/>
  <c r="H171" i="12"/>
  <c r="D171" i="12"/>
  <c r="I170" i="12"/>
  <c r="H170" i="12"/>
  <c r="D170" i="12"/>
  <c r="I169" i="12"/>
  <c r="H169" i="12"/>
  <c r="D169" i="12"/>
  <c r="I168" i="12"/>
  <c r="H168" i="12"/>
  <c r="D168" i="12"/>
  <c r="I167" i="12"/>
  <c r="H167" i="12"/>
  <c r="D167" i="12"/>
  <c r="I166" i="12"/>
  <c r="H166" i="12"/>
  <c r="D166" i="12"/>
  <c r="I165" i="12"/>
  <c r="H165" i="12"/>
  <c r="D165" i="12"/>
  <c r="I164" i="12"/>
  <c r="H164" i="12"/>
  <c r="D164" i="12"/>
  <c r="I163" i="12"/>
  <c r="H163" i="12"/>
  <c r="D163" i="12"/>
  <c r="I162" i="12"/>
  <c r="H162" i="12"/>
  <c r="D162" i="12"/>
  <c r="I161" i="12"/>
  <c r="H161" i="12"/>
  <c r="D161" i="12"/>
  <c r="I160" i="12"/>
  <c r="H160" i="12"/>
  <c r="D160" i="12"/>
  <c r="I159" i="12"/>
  <c r="H159" i="12"/>
  <c r="D159" i="12"/>
  <c r="I158" i="12"/>
  <c r="H158" i="12"/>
  <c r="D158" i="12"/>
  <c r="I157" i="12"/>
  <c r="H157" i="12"/>
  <c r="D157" i="12"/>
  <c r="I156" i="12"/>
  <c r="H156" i="12"/>
  <c r="D156" i="12"/>
  <c r="I155" i="12"/>
  <c r="H155" i="12"/>
  <c r="D155" i="12"/>
  <c r="I154" i="12"/>
  <c r="H154" i="12"/>
  <c r="D154" i="12"/>
  <c r="I153" i="12"/>
  <c r="H153" i="12"/>
  <c r="D153" i="12"/>
  <c r="I152" i="12"/>
  <c r="H152" i="12"/>
  <c r="D152" i="12"/>
  <c r="I151" i="12"/>
  <c r="H151" i="12"/>
  <c r="D151" i="12"/>
  <c r="I150" i="12"/>
  <c r="H150" i="12"/>
  <c r="D150" i="12"/>
  <c r="I149" i="12"/>
  <c r="H149" i="12"/>
  <c r="D149" i="12"/>
  <c r="I148" i="12"/>
  <c r="H148" i="12"/>
  <c r="D148" i="12"/>
  <c r="I147" i="12"/>
  <c r="H147" i="12"/>
  <c r="D147" i="12"/>
  <c r="I146" i="12"/>
  <c r="H146" i="12"/>
  <c r="D146" i="12"/>
  <c r="I145" i="12"/>
  <c r="H145" i="12"/>
  <c r="D145" i="12"/>
  <c r="I144" i="12"/>
  <c r="H144" i="12"/>
  <c r="D144" i="12"/>
  <c r="I143" i="12"/>
  <c r="H143" i="12"/>
  <c r="D143" i="12"/>
  <c r="I142" i="12"/>
  <c r="H142" i="12"/>
  <c r="D142" i="12"/>
  <c r="I141" i="12"/>
  <c r="H141" i="12"/>
  <c r="D141" i="12"/>
  <c r="I140" i="12"/>
  <c r="H140" i="12"/>
  <c r="D140" i="12"/>
  <c r="I139" i="12"/>
  <c r="H139" i="12"/>
  <c r="D139" i="12"/>
  <c r="I138" i="12"/>
  <c r="H138" i="12"/>
  <c r="D138" i="12"/>
  <c r="I137" i="12"/>
  <c r="H137" i="12"/>
  <c r="D137" i="12"/>
  <c r="I136" i="12"/>
  <c r="H136" i="12"/>
  <c r="D136" i="12"/>
  <c r="I135" i="12"/>
  <c r="H135" i="12"/>
  <c r="D135" i="12"/>
  <c r="I134" i="12"/>
  <c r="H134" i="12"/>
  <c r="D134" i="12"/>
  <c r="I133" i="12"/>
  <c r="H133" i="12"/>
  <c r="D133" i="12"/>
  <c r="I132" i="12"/>
  <c r="H132" i="12"/>
  <c r="D132" i="12"/>
  <c r="I131" i="12"/>
  <c r="H131" i="12"/>
  <c r="D131" i="12"/>
  <c r="I130" i="12"/>
  <c r="H130" i="12"/>
  <c r="D130" i="12"/>
  <c r="I129" i="12"/>
  <c r="H129" i="12"/>
  <c r="D129" i="12"/>
  <c r="I128" i="12"/>
  <c r="H128" i="12"/>
  <c r="D128" i="12"/>
  <c r="I127" i="12"/>
  <c r="H127" i="12"/>
  <c r="D127" i="12"/>
  <c r="I126" i="12"/>
  <c r="H126" i="12"/>
  <c r="D126" i="12"/>
  <c r="I125" i="12"/>
  <c r="H125" i="12"/>
  <c r="D125" i="12"/>
  <c r="I124" i="12"/>
  <c r="H124" i="12"/>
  <c r="D124" i="12"/>
  <c r="I123" i="12"/>
  <c r="H123" i="12"/>
  <c r="D123" i="12"/>
  <c r="I122" i="12"/>
  <c r="H122" i="12"/>
  <c r="D122" i="12"/>
  <c r="I121" i="12"/>
  <c r="H121" i="12"/>
  <c r="D121" i="12"/>
  <c r="I120" i="12"/>
  <c r="H120" i="12"/>
  <c r="D120" i="12"/>
  <c r="I119" i="12"/>
  <c r="H119" i="12"/>
  <c r="D119" i="12"/>
  <c r="I118" i="12"/>
  <c r="H118" i="12"/>
  <c r="D118" i="12"/>
  <c r="I117" i="12"/>
  <c r="H117" i="12"/>
  <c r="D117" i="12"/>
  <c r="I116" i="12"/>
  <c r="H116" i="12"/>
  <c r="D116" i="12"/>
  <c r="I115" i="12"/>
  <c r="H115" i="12"/>
  <c r="D115" i="12"/>
  <c r="I114" i="12"/>
  <c r="H114" i="12"/>
  <c r="D114" i="12"/>
  <c r="I113" i="12"/>
  <c r="H113" i="12"/>
  <c r="D113" i="12"/>
  <c r="I112" i="12"/>
  <c r="H112" i="12"/>
  <c r="D112" i="12"/>
  <c r="I111" i="12"/>
  <c r="H111" i="12"/>
  <c r="D111" i="12"/>
  <c r="I110" i="12"/>
  <c r="H110" i="12"/>
  <c r="D110" i="12"/>
  <c r="I109" i="12"/>
  <c r="H109" i="12"/>
  <c r="D109" i="12"/>
  <c r="I108" i="12"/>
  <c r="H108" i="12"/>
  <c r="D108" i="12"/>
  <c r="I107" i="12"/>
  <c r="H107" i="12"/>
  <c r="D107" i="12"/>
  <c r="I106" i="12"/>
  <c r="H106" i="12"/>
  <c r="D106" i="12"/>
  <c r="I105" i="12"/>
  <c r="H105" i="12"/>
  <c r="D105" i="12"/>
  <c r="I104" i="12"/>
  <c r="H104" i="12"/>
  <c r="D104" i="12"/>
  <c r="I103" i="12"/>
  <c r="H103" i="12"/>
  <c r="D103" i="12"/>
  <c r="I102" i="12"/>
  <c r="H102" i="12"/>
  <c r="D102" i="12"/>
  <c r="I101" i="12"/>
  <c r="H101" i="12"/>
  <c r="D101" i="12"/>
  <c r="I100" i="12"/>
  <c r="H100" i="12"/>
  <c r="D100" i="12"/>
  <c r="I99" i="12"/>
  <c r="H99" i="12"/>
  <c r="D99" i="12"/>
  <c r="I98" i="12"/>
  <c r="H98" i="12"/>
  <c r="D98" i="12"/>
  <c r="I97" i="12"/>
  <c r="H97" i="12"/>
  <c r="D97" i="12"/>
  <c r="I96" i="12"/>
  <c r="H96" i="12"/>
  <c r="D96" i="12"/>
  <c r="I95" i="12"/>
  <c r="H95" i="12"/>
  <c r="D95" i="12"/>
  <c r="I94" i="12"/>
  <c r="H94" i="12"/>
  <c r="D94" i="12"/>
  <c r="I93" i="12"/>
  <c r="H93" i="12"/>
  <c r="D93" i="12"/>
  <c r="I92" i="12"/>
  <c r="H92" i="12"/>
  <c r="D92" i="12"/>
  <c r="I91" i="12"/>
  <c r="H91" i="12"/>
  <c r="D91" i="12"/>
  <c r="I90" i="12"/>
  <c r="H90" i="12"/>
  <c r="D90" i="12"/>
  <c r="I89" i="12"/>
  <c r="H89" i="12"/>
  <c r="D89" i="12"/>
  <c r="I88" i="12"/>
  <c r="H88" i="12"/>
  <c r="D88" i="12"/>
  <c r="I87" i="12"/>
  <c r="H87" i="12"/>
  <c r="D87" i="12"/>
  <c r="I86" i="12"/>
  <c r="H86" i="12"/>
  <c r="D86" i="12"/>
  <c r="I85" i="12"/>
  <c r="H85" i="12"/>
  <c r="D85" i="12"/>
  <c r="I84" i="12"/>
  <c r="H84" i="12"/>
  <c r="D84" i="12"/>
  <c r="I83" i="12"/>
  <c r="H83" i="12"/>
  <c r="D83" i="12"/>
  <c r="I82" i="12"/>
  <c r="H82" i="12"/>
  <c r="D82" i="12"/>
  <c r="I81" i="12"/>
  <c r="H81" i="12"/>
  <c r="D81" i="12"/>
  <c r="I80" i="12"/>
  <c r="H80" i="12"/>
  <c r="D80" i="12"/>
  <c r="I79" i="12"/>
  <c r="H79" i="12"/>
  <c r="D79" i="12"/>
  <c r="I78" i="12"/>
  <c r="H78" i="12"/>
  <c r="D78" i="12"/>
  <c r="I77" i="12"/>
  <c r="H77" i="12"/>
  <c r="D77" i="12"/>
  <c r="I76" i="12"/>
  <c r="H76" i="12"/>
  <c r="D76" i="12"/>
  <c r="I75" i="12"/>
  <c r="H75" i="12"/>
  <c r="D75" i="12"/>
  <c r="I74" i="12"/>
  <c r="H74" i="12"/>
  <c r="D74" i="12"/>
  <c r="I73" i="12"/>
  <c r="H73" i="12"/>
  <c r="D73" i="12"/>
  <c r="I72" i="12"/>
  <c r="H72" i="12"/>
  <c r="D72" i="12"/>
  <c r="I71" i="12"/>
  <c r="H71" i="12"/>
  <c r="D71" i="12"/>
  <c r="I70" i="12"/>
  <c r="H70" i="12"/>
  <c r="D70" i="12"/>
  <c r="I69" i="12"/>
  <c r="H69" i="12"/>
  <c r="D69" i="12"/>
  <c r="I68" i="12"/>
  <c r="H68" i="12"/>
  <c r="D68" i="12"/>
  <c r="I67" i="12"/>
  <c r="H67" i="12"/>
  <c r="D67" i="12"/>
  <c r="I66" i="12"/>
  <c r="H66" i="12"/>
  <c r="D66" i="12"/>
  <c r="I65" i="12"/>
  <c r="H65" i="12"/>
  <c r="D65" i="12"/>
  <c r="I64" i="12"/>
  <c r="H64" i="12"/>
  <c r="D64" i="12"/>
  <c r="I63" i="12"/>
  <c r="H63" i="12"/>
  <c r="D63" i="12"/>
  <c r="I62" i="12"/>
  <c r="H62" i="12"/>
  <c r="D62" i="12"/>
  <c r="I61" i="12"/>
  <c r="H61" i="12"/>
  <c r="D61" i="12"/>
  <c r="I60" i="12"/>
  <c r="H60" i="12"/>
  <c r="D60" i="12"/>
  <c r="I59" i="12"/>
  <c r="H59" i="12"/>
  <c r="D59" i="12"/>
  <c r="I58" i="12"/>
  <c r="H58" i="12"/>
  <c r="D58" i="12"/>
  <c r="I57" i="12"/>
  <c r="H57" i="12"/>
  <c r="D57" i="12"/>
  <c r="I56" i="12"/>
  <c r="H56" i="12"/>
  <c r="D56" i="12"/>
  <c r="I55" i="12"/>
  <c r="H55" i="12"/>
  <c r="D55" i="12"/>
  <c r="I54" i="12"/>
  <c r="H54" i="12"/>
  <c r="D54" i="12"/>
  <c r="I53" i="12"/>
  <c r="H53" i="12"/>
  <c r="D53" i="12"/>
  <c r="I52" i="12"/>
  <c r="H52" i="12"/>
  <c r="D52" i="12"/>
  <c r="I51" i="12"/>
  <c r="H51" i="12"/>
  <c r="D51" i="12"/>
  <c r="I50" i="12"/>
  <c r="H50" i="12"/>
  <c r="D50" i="12"/>
  <c r="I49" i="12"/>
  <c r="H49" i="12"/>
  <c r="D49" i="12"/>
  <c r="I48" i="12"/>
  <c r="H48" i="12"/>
  <c r="D48" i="12"/>
  <c r="I47" i="12"/>
  <c r="H47" i="12"/>
  <c r="D47" i="12"/>
  <c r="I46" i="12"/>
  <c r="H46" i="12"/>
  <c r="D46" i="12"/>
  <c r="I45" i="12"/>
  <c r="H45" i="12"/>
  <c r="D45" i="12"/>
  <c r="I44" i="12"/>
  <c r="H44" i="12"/>
  <c r="D44" i="12"/>
  <c r="I43" i="12"/>
  <c r="H43" i="12"/>
  <c r="D43" i="12"/>
  <c r="I42" i="12"/>
  <c r="H42" i="12"/>
  <c r="D42" i="12"/>
  <c r="I41" i="12"/>
  <c r="H41" i="12"/>
  <c r="D41" i="12"/>
  <c r="I40" i="12"/>
  <c r="H40" i="12"/>
  <c r="D40" i="12"/>
  <c r="I39" i="12"/>
  <c r="H39" i="12"/>
  <c r="D39" i="12"/>
  <c r="I38" i="12"/>
  <c r="H38" i="12"/>
  <c r="D38" i="12"/>
  <c r="I37" i="12"/>
  <c r="H37" i="12"/>
  <c r="D37" i="12"/>
  <c r="I36" i="12"/>
  <c r="H36" i="12"/>
  <c r="D36" i="12"/>
  <c r="I35" i="12"/>
  <c r="H35" i="12"/>
  <c r="D35" i="12"/>
  <c r="I34" i="12"/>
  <c r="H34" i="12"/>
  <c r="D34" i="12"/>
  <c r="I33" i="12"/>
  <c r="H33" i="12"/>
  <c r="D33" i="12"/>
  <c r="I32" i="12"/>
  <c r="H32" i="12"/>
  <c r="D32" i="12"/>
  <c r="I31" i="12"/>
  <c r="H31" i="12"/>
  <c r="D31" i="12"/>
  <c r="I30" i="12"/>
  <c r="H30" i="12"/>
  <c r="D30" i="12"/>
  <c r="I29" i="12"/>
  <c r="H29" i="12"/>
  <c r="D29" i="12"/>
  <c r="I28" i="12"/>
  <c r="H28" i="12"/>
  <c r="D28" i="12"/>
  <c r="I27" i="12"/>
  <c r="H27" i="12"/>
  <c r="D27" i="12"/>
  <c r="I26" i="12"/>
  <c r="H26" i="12"/>
  <c r="D26" i="12"/>
  <c r="I25" i="12"/>
  <c r="H25" i="12"/>
  <c r="D25" i="12"/>
  <c r="I24" i="12"/>
  <c r="H24" i="12"/>
  <c r="D24" i="12"/>
  <c r="I23" i="12"/>
  <c r="H23" i="12"/>
  <c r="D23" i="12"/>
  <c r="I22" i="12"/>
  <c r="H22" i="12"/>
  <c r="D22" i="12"/>
  <c r="I21" i="12"/>
  <c r="H21" i="12"/>
  <c r="D21" i="12"/>
  <c r="I20" i="12"/>
  <c r="H20" i="12"/>
  <c r="D20" i="12"/>
  <c r="I19" i="12"/>
  <c r="H19" i="12"/>
  <c r="D19" i="12"/>
  <c r="I18" i="12"/>
  <c r="H18" i="12"/>
  <c r="D18" i="12"/>
  <c r="I17" i="12"/>
  <c r="H17" i="12"/>
  <c r="D17" i="12"/>
  <c r="I16" i="12"/>
  <c r="H16" i="12"/>
  <c r="D16" i="12"/>
  <c r="I15" i="12"/>
  <c r="H15" i="12"/>
  <c r="D15" i="12"/>
  <c r="I14" i="12"/>
  <c r="H14" i="12"/>
  <c r="D14" i="12"/>
  <c r="I13" i="12"/>
  <c r="H13" i="12"/>
  <c r="D13" i="12"/>
  <c r="I12" i="12"/>
  <c r="H12" i="12"/>
  <c r="D12" i="12"/>
  <c r="I11" i="12"/>
  <c r="H11" i="12"/>
  <c r="D11" i="12"/>
  <c r="I10" i="12"/>
  <c r="H10" i="12"/>
  <c r="D10" i="12"/>
  <c r="I9" i="12"/>
  <c r="H9" i="12"/>
  <c r="D9" i="12"/>
  <c r="I8" i="12"/>
  <c r="H8" i="12"/>
  <c r="D8" i="12"/>
  <c r="I7" i="12"/>
  <c r="H7" i="12"/>
  <c r="D7" i="12"/>
  <c r="I6" i="12"/>
  <c r="H6" i="12"/>
  <c r="D6" i="12"/>
  <c r="I5" i="12"/>
  <c r="H5" i="12"/>
  <c r="D5" i="12"/>
  <c r="I4" i="12"/>
  <c r="H4" i="12"/>
  <c r="D4" i="12"/>
  <c r="I3" i="12"/>
  <c r="H3" i="12"/>
  <c r="D3" i="12"/>
  <c r="I2" i="12"/>
  <c r="H2" i="12"/>
  <c r="D2" i="12"/>
  <c r="I186" i="11"/>
  <c r="H186" i="11"/>
  <c r="D186" i="11"/>
  <c r="I185" i="11"/>
  <c r="H185" i="11"/>
  <c r="D185" i="11"/>
  <c r="I184" i="11"/>
  <c r="H184" i="11"/>
  <c r="D184" i="11"/>
  <c r="I183" i="11"/>
  <c r="H183" i="11"/>
  <c r="D183" i="11"/>
  <c r="I182" i="11"/>
  <c r="H182" i="11"/>
  <c r="D182" i="11"/>
  <c r="I181" i="11"/>
  <c r="H181" i="11"/>
  <c r="D181" i="11"/>
  <c r="I180" i="11"/>
  <c r="H180" i="11"/>
  <c r="D180" i="11"/>
  <c r="I179" i="11"/>
  <c r="H179" i="11"/>
  <c r="D179" i="11"/>
  <c r="I178" i="11"/>
  <c r="H178" i="11"/>
  <c r="D178" i="11"/>
  <c r="I177" i="11"/>
  <c r="H177" i="11"/>
  <c r="D177" i="11"/>
  <c r="I176" i="11"/>
  <c r="H176" i="11"/>
  <c r="D176" i="11"/>
  <c r="I175" i="11"/>
  <c r="H175" i="11"/>
  <c r="D175" i="11"/>
  <c r="I174" i="11"/>
  <c r="H174" i="11"/>
  <c r="D174" i="11"/>
  <c r="I173" i="11"/>
  <c r="H173" i="11"/>
  <c r="D173" i="11"/>
  <c r="I172" i="11"/>
  <c r="H172" i="11"/>
  <c r="D172" i="11"/>
  <c r="I171" i="11"/>
  <c r="H171" i="11"/>
  <c r="D171" i="11"/>
  <c r="I170" i="11"/>
  <c r="H170" i="11"/>
  <c r="D170" i="11"/>
  <c r="I169" i="11"/>
  <c r="H169" i="11"/>
  <c r="D169" i="11"/>
  <c r="I168" i="11"/>
  <c r="H168" i="11"/>
  <c r="D168" i="11"/>
  <c r="I167" i="11"/>
  <c r="H167" i="11"/>
  <c r="D167" i="11"/>
  <c r="I166" i="11"/>
  <c r="H166" i="11"/>
  <c r="D166" i="11"/>
  <c r="I165" i="11"/>
  <c r="H165" i="11"/>
  <c r="D165" i="11"/>
  <c r="I164" i="11"/>
  <c r="H164" i="11"/>
  <c r="D164" i="11"/>
  <c r="I163" i="11"/>
  <c r="H163" i="11"/>
  <c r="D163" i="11"/>
  <c r="I162" i="11"/>
  <c r="H162" i="11"/>
  <c r="D162" i="11"/>
  <c r="I161" i="11"/>
  <c r="H161" i="11"/>
  <c r="D161" i="11"/>
  <c r="I160" i="11"/>
  <c r="H160" i="11"/>
  <c r="D160" i="11"/>
  <c r="I159" i="11"/>
  <c r="H159" i="11"/>
  <c r="D159" i="11"/>
  <c r="I158" i="11"/>
  <c r="H158" i="11"/>
  <c r="D158" i="11"/>
  <c r="I157" i="11"/>
  <c r="H157" i="11"/>
  <c r="D157" i="11"/>
  <c r="I156" i="11"/>
  <c r="H156" i="11"/>
  <c r="D156" i="11"/>
  <c r="I155" i="11"/>
  <c r="H155" i="11"/>
  <c r="D155" i="11"/>
  <c r="I154" i="11"/>
  <c r="H154" i="11"/>
  <c r="D154" i="11"/>
  <c r="I153" i="11"/>
  <c r="H153" i="11"/>
  <c r="D153" i="11"/>
  <c r="I152" i="11"/>
  <c r="H152" i="11"/>
  <c r="D152" i="11"/>
  <c r="I151" i="11"/>
  <c r="H151" i="11"/>
  <c r="D151" i="11"/>
  <c r="I150" i="11"/>
  <c r="H150" i="11"/>
  <c r="D150" i="11"/>
  <c r="I149" i="11"/>
  <c r="H149" i="11"/>
  <c r="D149" i="11"/>
  <c r="I148" i="11"/>
  <c r="H148" i="11"/>
  <c r="D148" i="11"/>
  <c r="I147" i="11"/>
  <c r="H147" i="11"/>
  <c r="D147" i="11"/>
  <c r="I146" i="11"/>
  <c r="H146" i="11"/>
  <c r="D146" i="11"/>
  <c r="I145" i="11"/>
  <c r="H145" i="11"/>
  <c r="D145" i="11"/>
  <c r="I144" i="11"/>
  <c r="H144" i="11"/>
  <c r="D144" i="11"/>
  <c r="I143" i="11"/>
  <c r="H143" i="11"/>
  <c r="D143" i="11"/>
  <c r="I142" i="11"/>
  <c r="H142" i="11"/>
  <c r="D142" i="11"/>
  <c r="I141" i="11"/>
  <c r="H141" i="11"/>
  <c r="D141" i="11"/>
  <c r="I140" i="11"/>
  <c r="H140" i="11"/>
  <c r="D140" i="11"/>
  <c r="I139" i="11"/>
  <c r="H139" i="11"/>
  <c r="D139" i="11"/>
  <c r="I138" i="11"/>
  <c r="H138" i="11"/>
  <c r="D138" i="11"/>
  <c r="I137" i="11"/>
  <c r="H137" i="11"/>
  <c r="D137" i="11"/>
  <c r="I136" i="11"/>
  <c r="H136" i="11"/>
  <c r="D136" i="11"/>
  <c r="I135" i="11"/>
  <c r="H135" i="11"/>
  <c r="D135" i="11"/>
  <c r="I134" i="11"/>
  <c r="H134" i="11"/>
  <c r="D134" i="11"/>
  <c r="I133" i="11"/>
  <c r="H133" i="11"/>
  <c r="D133" i="11"/>
  <c r="I132" i="11"/>
  <c r="H132" i="11"/>
  <c r="D132" i="11"/>
  <c r="I131" i="11"/>
  <c r="H131" i="11"/>
  <c r="D131" i="11"/>
  <c r="I130" i="11"/>
  <c r="H130" i="11"/>
  <c r="D130" i="11"/>
  <c r="I129" i="11"/>
  <c r="H129" i="11"/>
  <c r="D129" i="11"/>
  <c r="I128" i="11"/>
  <c r="H128" i="11"/>
  <c r="D128" i="11"/>
  <c r="I127" i="11"/>
  <c r="H127" i="11"/>
  <c r="D127" i="11"/>
  <c r="I126" i="11"/>
  <c r="H126" i="11"/>
  <c r="D126" i="11"/>
  <c r="I125" i="11"/>
  <c r="H125" i="11"/>
  <c r="D125" i="11"/>
  <c r="I124" i="11"/>
  <c r="H124" i="11"/>
  <c r="D124" i="11"/>
  <c r="I123" i="11"/>
  <c r="H123" i="11"/>
  <c r="D123" i="11"/>
  <c r="I122" i="11"/>
  <c r="H122" i="11"/>
  <c r="D122" i="11"/>
  <c r="I121" i="11"/>
  <c r="H121" i="11"/>
  <c r="D121" i="11"/>
  <c r="I120" i="11"/>
  <c r="H120" i="11"/>
  <c r="D120" i="11"/>
  <c r="I119" i="11"/>
  <c r="H119" i="11"/>
  <c r="D119" i="11"/>
  <c r="I118" i="11"/>
  <c r="H118" i="11"/>
  <c r="D118" i="11"/>
  <c r="I117" i="11"/>
  <c r="H117" i="11"/>
  <c r="D117" i="11"/>
  <c r="I116" i="11"/>
  <c r="H116" i="11"/>
  <c r="D116" i="11"/>
  <c r="I115" i="11"/>
  <c r="H115" i="11"/>
  <c r="D115" i="11"/>
  <c r="I114" i="11"/>
  <c r="H114" i="11"/>
  <c r="D114" i="11"/>
  <c r="I113" i="11"/>
  <c r="H113" i="11"/>
  <c r="D113" i="11"/>
  <c r="I112" i="11"/>
  <c r="H112" i="11"/>
  <c r="D112" i="11"/>
  <c r="I111" i="11"/>
  <c r="H111" i="11"/>
  <c r="D111" i="11"/>
  <c r="I110" i="11"/>
  <c r="H110" i="11"/>
  <c r="D110" i="11"/>
  <c r="I109" i="11"/>
  <c r="H109" i="11"/>
  <c r="D109" i="11"/>
  <c r="I108" i="11"/>
  <c r="H108" i="11"/>
  <c r="D108" i="11"/>
  <c r="I107" i="11"/>
  <c r="H107" i="11"/>
  <c r="D107" i="11"/>
  <c r="I106" i="11"/>
  <c r="H106" i="11"/>
  <c r="D106" i="11"/>
  <c r="I105" i="11"/>
  <c r="H105" i="11"/>
  <c r="D105" i="11"/>
  <c r="I104" i="11"/>
  <c r="H104" i="11"/>
  <c r="D104" i="11"/>
  <c r="I103" i="11"/>
  <c r="H103" i="11"/>
  <c r="D103" i="11"/>
  <c r="I102" i="11"/>
  <c r="H102" i="11"/>
  <c r="D102" i="11"/>
  <c r="I101" i="11"/>
  <c r="H101" i="11"/>
  <c r="D101" i="11"/>
  <c r="I100" i="11"/>
  <c r="H100" i="11"/>
  <c r="D100" i="11"/>
  <c r="I99" i="11"/>
  <c r="H99" i="11"/>
  <c r="D99" i="11"/>
  <c r="I98" i="11"/>
  <c r="H98" i="11"/>
  <c r="D98" i="11"/>
  <c r="I97" i="11"/>
  <c r="H97" i="11"/>
  <c r="D97" i="11"/>
  <c r="I96" i="11"/>
  <c r="H96" i="11"/>
  <c r="D96" i="11"/>
  <c r="I95" i="11"/>
  <c r="H95" i="11"/>
  <c r="D95" i="11"/>
  <c r="I94" i="11"/>
  <c r="H94" i="11"/>
  <c r="D94" i="11"/>
  <c r="I93" i="11"/>
  <c r="H93" i="11"/>
  <c r="D93" i="11"/>
  <c r="I92" i="11"/>
  <c r="H92" i="11"/>
  <c r="D92" i="11"/>
  <c r="I91" i="11"/>
  <c r="H91" i="11"/>
  <c r="D91" i="11"/>
  <c r="I90" i="11"/>
  <c r="H90" i="11"/>
  <c r="D90" i="11"/>
  <c r="I89" i="11"/>
  <c r="H89" i="11"/>
  <c r="D89" i="11"/>
  <c r="I88" i="11"/>
  <c r="H88" i="11"/>
  <c r="D88" i="11"/>
  <c r="I87" i="11"/>
  <c r="H87" i="11"/>
  <c r="D87" i="11"/>
  <c r="I86" i="11"/>
  <c r="H86" i="11"/>
  <c r="D86" i="11"/>
  <c r="I85" i="11"/>
  <c r="H85" i="11"/>
  <c r="D85" i="11"/>
  <c r="I84" i="11"/>
  <c r="H84" i="11"/>
  <c r="D84" i="11"/>
  <c r="I83" i="11"/>
  <c r="H83" i="11"/>
  <c r="D83" i="11"/>
  <c r="I82" i="11"/>
  <c r="H82" i="11"/>
  <c r="D82" i="11"/>
  <c r="I81" i="11"/>
  <c r="H81" i="11"/>
  <c r="D81" i="11"/>
  <c r="I80" i="11"/>
  <c r="H80" i="11"/>
  <c r="D80" i="11"/>
  <c r="I79" i="11"/>
  <c r="H79" i="11"/>
  <c r="D79" i="11"/>
  <c r="I78" i="11"/>
  <c r="H78" i="11"/>
  <c r="D78" i="11"/>
  <c r="I77" i="11"/>
  <c r="H77" i="11"/>
  <c r="D77" i="11"/>
  <c r="I76" i="11"/>
  <c r="H76" i="11"/>
  <c r="D76" i="11"/>
  <c r="I75" i="11"/>
  <c r="H75" i="11"/>
  <c r="D75" i="11"/>
  <c r="I74" i="11"/>
  <c r="H74" i="11"/>
  <c r="D74" i="11"/>
  <c r="I73" i="11"/>
  <c r="H73" i="11"/>
  <c r="D73" i="11"/>
  <c r="I72" i="11"/>
  <c r="H72" i="11"/>
  <c r="D72" i="11"/>
  <c r="I71" i="11"/>
  <c r="H71" i="11"/>
  <c r="D71" i="11"/>
  <c r="I70" i="11"/>
  <c r="H70" i="11"/>
  <c r="D70" i="11"/>
  <c r="I69" i="11"/>
  <c r="H69" i="11"/>
  <c r="D69" i="11"/>
  <c r="I68" i="11"/>
  <c r="H68" i="11"/>
  <c r="D68" i="11"/>
  <c r="I67" i="11"/>
  <c r="H67" i="11"/>
  <c r="D67" i="11"/>
  <c r="I66" i="11"/>
  <c r="H66" i="11"/>
  <c r="D66" i="11"/>
  <c r="I65" i="11"/>
  <c r="H65" i="11"/>
  <c r="D65" i="11"/>
  <c r="I64" i="11"/>
  <c r="H64" i="11"/>
  <c r="D64" i="11"/>
  <c r="I63" i="11"/>
  <c r="H63" i="11"/>
  <c r="D63" i="11"/>
  <c r="I62" i="11"/>
  <c r="H62" i="11"/>
  <c r="D62" i="11"/>
  <c r="I61" i="11"/>
  <c r="H61" i="11"/>
  <c r="D61" i="11"/>
  <c r="I60" i="11"/>
  <c r="H60" i="11"/>
  <c r="D60" i="11"/>
  <c r="I59" i="11"/>
  <c r="H59" i="11"/>
  <c r="D59" i="11"/>
  <c r="I58" i="11"/>
  <c r="H58" i="11"/>
  <c r="D58" i="11"/>
  <c r="I57" i="11"/>
  <c r="H57" i="11"/>
  <c r="D57" i="11"/>
  <c r="I56" i="11"/>
  <c r="H56" i="11"/>
  <c r="D56" i="11"/>
  <c r="I55" i="11"/>
  <c r="H55" i="11"/>
  <c r="D55" i="11"/>
  <c r="I54" i="11"/>
  <c r="H54" i="11"/>
  <c r="D54" i="11"/>
  <c r="I53" i="11"/>
  <c r="H53" i="11"/>
  <c r="D53" i="11"/>
  <c r="I52" i="11"/>
  <c r="H52" i="11"/>
  <c r="D52" i="11"/>
  <c r="I51" i="11"/>
  <c r="H51" i="11"/>
  <c r="D51" i="11"/>
  <c r="I50" i="11"/>
  <c r="H50" i="11"/>
  <c r="D50" i="11"/>
  <c r="I49" i="11"/>
  <c r="H49" i="11"/>
  <c r="D49" i="11"/>
  <c r="I48" i="11"/>
  <c r="H48" i="11"/>
  <c r="D48" i="11"/>
  <c r="I47" i="11"/>
  <c r="H47" i="11"/>
  <c r="D47" i="11"/>
  <c r="I46" i="11"/>
  <c r="H46" i="11"/>
  <c r="D46" i="11"/>
  <c r="I45" i="11"/>
  <c r="H45" i="11"/>
  <c r="D45" i="11"/>
  <c r="I44" i="11"/>
  <c r="H44" i="11"/>
  <c r="D44" i="11"/>
  <c r="I43" i="11"/>
  <c r="H43" i="11"/>
  <c r="D43" i="11"/>
  <c r="I42" i="11"/>
  <c r="H42" i="11"/>
  <c r="D42" i="11"/>
  <c r="I41" i="11"/>
  <c r="H41" i="11"/>
  <c r="D41" i="11"/>
  <c r="I40" i="11"/>
  <c r="H40" i="11"/>
  <c r="D40" i="11"/>
  <c r="I39" i="11"/>
  <c r="H39" i="11"/>
  <c r="D39" i="11"/>
  <c r="I38" i="11"/>
  <c r="H38" i="11"/>
  <c r="D38" i="11"/>
  <c r="I37" i="11"/>
  <c r="H37" i="11"/>
  <c r="D37" i="11"/>
  <c r="I36" i="11"/>
  <c r="H36" i="11"/>
  <c r="D36" i="11"/>
  <c r="I35" i="11"/>
  <c r="H35" i="11"/>
  <c r="D35" i="11"/>
  <c r="I34" i="11"/>
  <c r="H34" i="11"/>
  <c r="D34" i="11"/>
  <c r="I33" i="11"/>
  <c r="H33" i="11"/>
  <c r="D33" i="11"/>
  <c r="I32" i="11"/>
  <c r="H32" i="11"/>
  <c r="D32" i="11"/>
  <c r="I31" i="11"/>
  <c r="H31" i="11"/>
  <c r="D31" i="11"/>
  <c r="I30" i="11"/>
  <c r="H30" i="11"/>
  <c r="D30" i="11"/>
  <c r="I29" i="11"/>
  <c r="H29" i="11"/>
  <c r="D29" i="11"/>
  <c r="I28" i="11"/>
  <c r="H28" i="11"/>
  <c r="D28" i="11"/>
  <c r="I27" i="11"/>
  <c r="H27" i="11"/>
  <c r="D27" i="11"/>
  <c r="I26" i="11"/>
  <c r="H26" i="11"/>
  <c r="D26" i="11"/>
  <c r="I25" i="11"/>
  <c r="H25" i="11"/>
  <c r="D25" i="11"/>
  <c r="I24" i="11"/>
  <c r="H24" i="11"/>
  <c r="D24" i="11"/>
  <c r="I23" i="11"/>
  <c r="H23" i="11"/>
  <c r="D23" i="11"/>
  <c r="I22" i="11"/>
  <c r="H22" i="11"/>
  <c r="D22" i="11"/>
  <c r="I21" i="11"/>
  <c r="H21" i="11"/>
  <c r="D21" i="11"/>
  <c r="I20" i="11"/>
  <c r="H20" i="11"/>
  <c r="D20" i="11"/>
  <c r="I19" i="11"/>
  <c r="H19" i="11"/>
  <c r="D19" i="11"/>
  <c r="I18" i="11"/>
  <c r="H18" i="11"/>
  <c r="D18" i="11"/>
  <c r="I17" i="11"/>
  <c r="H17" i="11"/>
  <c r="D17" i="11"/>
  <c r="I16" i="11"/>
  <c r="H16" i="11"/>
  <c r="D16" i="11"/>
  <c r="I15" i="11"/>
  <c r="H15" i="11"/>
  <c r="D15" i="11"/>
  <c r="I14" i="11"/>
  <c r="H14" i="11"/>
  <c r="D14" i="11"/>
  <c r="I13" i="11"/>
  <c r="H13" i="11"/>
  <c r="D13" i="11"/>
  <c r="I12" i="11"/>
  <c r="H12" i="11"/>
  <c r="D12" i="11"/>
  <c r="I11" i="11"/>
  <c r="H11" i="11"/>
  <c r="D11" i="11"/>
  <c r="I10" i="11"/>
  <c r="H10" i="11"/>
  <c r="D10" i="11"/>
  <c r="I9" i="11"/>
  <c r="H9" i="11"/>
  <c r="D9" i="11"/>
  <c r="I8" i="11"/>
  <c r="H8" i="11"/>
  <c r="D8" i="11"/>
  <c r="I7" i="11"/>
  <c r="H7" i="11"/>
  <c r="D7" i="11"/>
  <c r="I6" i="11"/>
  <c r="H6" i="11"/>
  <c r="D6" i="11"/>
  <c r="I5" i="11"/>
  <c r="H5" i="11"/>
  <c r="D5" i="11"/>
  <c r="I4" i="11"/>
  <c r="H4" i="11"/>
  <c r="D4" i="11"/>
  <c r="I3" i="11"/>
  <c r="H3" i="11"/>
  <c r="D3" i="11"/>
  <c r="I2" i="11"/>
  <c r="H2" i="11"/>
  <c r="D2" i="11"/>
  <c r="I186" i="10"/>
  <c r="H186" i="10"/>
  <c r="D186" i="10"/>
  <c r="I185" i="10"/>
  <c r="H185" i="10"/>
  <c r="D185" i="10"/>
  <c r="I184" i="10"/>
  <c r="H184" i="10"/>
  <c r="D184" i="10"/>
  <c r="I183" i="10"/>
  <c r="H183" i="10"/>
  <c r="D183" i="10"/>
  <c r="I182" i="10"/>
  <c r="H182" i="10"/>
  <c r="D182" i="10"/>
  <c r="I181" i="10"/>
  <c r="H181" i="10"/>
  <c r="D181" i="10"/>
  <c r="I180" i="10"/>
  <c r="H180" i="10"/>
  <c r="D180" i="10"/>
  <c r="I179" i="10"/>
  <c r="H179" i="10"/>
  <c r="D179" i="10"/>
  <c r="I178" i="10"/>
  <c r="H178" i="10"/>
  <c r="D178" i="10"/>
  <c r="I177" i="10"/>
  <c r="H177" i="10"/>
  <c r="D177" i="10"/>
  <c r="I176" i="10"/>
  <c r="H176" i="10"/>
  <c r="D176" i="10"/>
  <c r="I175" i="10"/>
  <c r="H175" i="10"/>
  <c r="D175" i="10"/>
  <c r="I174" i="10"/>
  <c r="H174" i="10"/>
  <c r="D174" i="10"/>
  <c r="I173" i="10"/>
  <c r="H173" i="10"/>
  <c r="D173" i="10"/>
  <c r="I172" i="10"/>
  <c r="H172" i="10"/>
  <c r="D172" i="10"/>
  <c r="I171" i="10"/>
  <c r="H171" i="10"/>
  <c r="D171" i="10"/>
  <c r="I170" i="10"/>
  <c r="H170" i="10"/>
  <c r="D170" i="10"/>
  <c r="I169" i="10"/>
  <c r="H169" i="10"/>
  <c r="D169" i="10"/>
  <c r="I168" i="10"/>
  <c r="H168" i="10"/>
  <c r="D168" i="10"/>
  <c r="I167" i="10"/>
  <c r="H167" i="10"/>
  <c r="D167" i="10"/>
  <c r="I166" i="10"/>
  <c r="H166" i="10"/>
  <c r="D166" i="10"/>
  <c r="I165" i="10"/>
  <c r="H165" i="10"/>
  <c r="D165" i="10"/>
  <c r="I164" i="10"/>
  <c r="H164" i="10"/>
  <c r="D164" i="10"/>
  <c r="I163" i="10"/>
  <c r="H163" i="10"/>
  <c r="D163" i="10"/>
  <c r="I162" i="10"/>
  <c r="H162" i="10"/>
  <c r="D162" i="10"/>
  <c r="I161" i="10"/>
  <c r="H161" i="10"/>
  <c r="D161" i="10"/>
  <c r="I160" i="10"/>
  <c r="H160" i="10"/>
  <c r="D160" i="10"/>
  <c r="I159" i="10"/>
  <c r="H159" i="10"/>
  <c r="D159" i="10"/>
  <c r="I158" i="10"/>
  <c r="H158" i="10"/>
  <c r="D158" i="10"/>
  <c r="I157" i="10"/>
  <c r="H157" i="10"/>
  <c r="D157" i="10"/>
  <c r="I156" i="10"/>
  <c r="H156" i="10"/>
  <c r="D156" i="10"/>
  <c r="I155" i="10"/>
  <c r="H155" i="10"/>
  <c r="D155" i="10"/>
  <c r="I154" i="10"/>
  <c r="H154" i="10"/>
  <c r="D154" i="10"/>
  <c r="I153" i="10"/>
  <c r="H153" i="10"/>
  <c r="D153" i="10"/>
  <c r="I152" i="10"/>
  <c r="H152" i="10"/>
  <c r="D152" i="10"/>
  <c r="I151" i="10"/>
  <c r="H151" i="10"/>
  <c r="D151" i="10"/>
  <c r="I150" i="10"/>
  <c r="H150" i="10"/>
  <c r="D150" i="10"/>
  <c r="I149" i="10"/>
  <c r="H149" i="10"/>
  <c r="D149" i="10"/>
  <c r="I148" i="10"/>
  <c r="H148" i="10"/>
  <c r="D148" i="10"/>
  <c r="I147" i="10"/>
  <c r="H147" i="10"/>
  <c r="D147" i="10"/>
  <c r="I146" i="10"/>
  <c r="H146" i="10"/>
  <c r="D146" i="10"/>
  <c r="I145" i="10"/>
  <c r="H145" i="10"/>
  <c r="D145" i="10"/>
  <c r="I144" i="10"/>
  <c r="H144" i="10"/>
  <c r="D144" i="10"/>
  <c r="I143" i="10"/>
  <c r="H143" i="10"/>
  <c r="D143" i="10"/>
  <c r="I142" i="10"/>
  <c r="H142" i="10"/>
  <c r="D142" i="10"/>
  <c r="I141" i="10"/>
  <c r="H141" i="10"/>
  <c r="D141" i="10"/>
  <c r="I140" i="10"/>
  <c r="H140" i="10"/>
  <c r="D140" i="10"/>
  <c r="I139" i="10"/>
  <c r="H139" i="10"/>
  <c r="D139" i="10"/>
  <c r="I138" i="10"/>
  <c r="H138" i="10"/>
  <c r="D138" i="10"/>
  <c r="I137" i="10"/>
  <c r="H137" i="10"/>
  <c r="D137" i="10"/>
  <c r="I136" i="10"/>
  <c r="H136" i="10"/>
  <c r="D136" i="10"/>
  <c r="I135" i="10"/>
  <c r="H135" i="10"/>
  <c r="D135" i="10"/>
  <c r="I134" i="10"/>
  <c r="H134" i="10"/>
  <c r="D134" i="10"/>
  <c r="I133" i="10"/>
  <c r="H133" i="10"/>
  <c r="D133" i="10"/>
  <c r="I132" i="10"/>
  <c r="H132" i="10"/>
  <c r="D132" i="10"/>
  <c r="I131" i="10"/>
  <c r="H131" i="10"/>
  <c r="D131" i="10"/>
  <c r="I130" i="10"/>
  <c r="H130" i="10"/>
  <c r="D130" i="10"/>
  <c r="I129" i="10"/>
  <c r="H129" i="10"/>
  <c r="D129" i="10"/>
  <c r="I128" i="10"/>
  <c r="H128" i="10"/>
  <c r="D128" i="10"/>
  <c r="I127" i="10"/>
  <c r="H127" i="10"/>
  <c r="D127" i="10"/>
  <c r="I126" i="10"/>
  <c r="H126" i="10"/>
  <c r="D126" i="10"/>
  <c r="I125" i="10"/>
  <c r="H125" i="10"/>
  <c r="D125" i="10"/>
  <c r="I124" i="10"/>
  <c r="H124" i="10"/>
  <c r="D124" i="10"/>
  <c r="I123" i="10"/>
  <c r="H123" i="10"/>
  <c r="D123" i="10"/>
  <c r="I122" i="10"/>
  <c r="H122" i="10"/>
  <c r="D122" i="10"/>
  <c r="I121" i="10"/>
  <c r="H121" i="10"/>
  <c r="D121" i="10"/>
  <c r="I120" i="10"/>
  <c r="H120" i="10"/>
  <c r="D120" i="10"/>
  <c r="I119" i="10"/>
  <c r="H119" i="10"/>
  <c r="D119" i="10"/>
  <c r="I118" i="10"/>
  <c r="H118" i="10"/>
  <c r="D118" i="10"/>
  <c r="I117" i="10"/>
  <c r="H117" i="10"/>
  <c r="D117" i="10"/>
  <c r="I116" i="10"/>
  <c r="H116" i="10"/>
  <c r="D116" i="10"/>
  <c r="I115" i="10"/>
  <c r="H115" i="10"/>
  <c r="D115" i="10"/>
  <c r="I114" i="10"/>
  <c r="H114" i="10"/>
  <c r="D114" i="10"/>
  <c r="I113" i="10"/>
  <c r="H113" i="10"/>
  <c r="D113" i="10"/>
  <c r="I112" i="10"/>
  <c r="H112" i="10"/>
  <c r="D112" i="10"/>
  <c r="I111" i="10"/>
  <c r="H111" i="10"/>
  <c r="D111" i="10"/>
  <c r="I110" i="10"/>
  <c r="H110" i="10"/>
  <c r="D110" i="10"/>
  <c r="I109" i="10"/>
  <c r="H109" i="10"/>
  <c r="D109" i="10"/>
  <c r="I108" i="10"/>
  <c r="H108" i="10"/>
  <c r="D108" i="10"/>
  <c r="I107" i="10"/>
  <c r="H107" i="10"/>
  <c r="D107" i="10"/>
  <c r="I106" i="10"/>
  <c r="H106" i="10"/>
  <c r="D106" i="10"/>
  <c r="I105" i="10"/>
  <c r="H105" i="10"/>
  <c r="D105" i="10"/>
  <c r="I104" i="10"/>
  <c r="H104" i="10"/>
  <c r="D104" i="10"/>
  <c r="I103" i="10"/>
  <c r="H103" i="10"/>
  <c r="D103" i="10"/>
  <c r="I102" i="10"/>
  <c r="H102" i="10"/>
  <c r="D102" i="10"/>
  <c r="I101" i="10"/>
  <c r="H101" i="10"/>
  <c r="D101" i="10"/>
  <c r="I100" i="10"/>
  <c r="H100" i="10"/>
  <c r="D100" i="10"/>
  <c r="I99" i="10"/>
  <c r="H99" i="10"/>
  <c r="D99" i="10"/>
  <c r="I98" i="10"/>
  <c r="H98" i="10"/>
  <c r="D98" i="10"/>
  <c r="I97" i="10"/>
  <c r="H97" i="10"/>
  <c r="D97" i="10"/>
  <c r="I96" i="10"/>
  <c r="H96" i="10"/>
  <c r="D96" i="10"/>
  <c r="I95" i="10"/>
  <c r="H95" i="10"/>
  <c r="D95" i="10"/>
  <c r="I94" i="10"/>
  <c r="H94" i="10"/>
  <c r="D94" i="10"/>
  <c r="I93" i="10"/>
  <c r="H93" i="10"/>
  <c r="D93" i="10"/>
  <c r="I92" i="10"/>
  <c r="H92" i="10"/>
  <c r="D92" i="10"/>
  <c r="I91" i="10"/>
  <c r="H91" i="10"/>
  <c r="D91" i="10"/>
  <c r="I90" i="10"/>
  <c r="H90" i="10"/>
  <c r="D90" i="10"/>
  <c r="I89" i="10"/>
  <c r="H89" i="10"/>
  <c r="D89" i="10"/>
  <c r="I88" i="10"/>
  <c r="H88" i="10"/>
  <c r="D88" i="10"/>
  <c r="I87" i="10"/>
  <c r="H87" i="10"/>
  <c r="D87" i="10"/>
  <c r="I86" i="10"/>
  <c r="H86" i="10"/>
  <c r="D86" i="10"/>
  <c r="I85" i="10"/>
  <c r="H85" i="10"/>
  <c r="D85" i="10"/>
  <c r="I84" i="10"/>
  <c r="H84" i="10"/>
  <c r="D84" i="10"/>
  <c r="I83" i="10"/>
  <c r="H83" i="10"/>
  <c r="D83" i="10"/>
  <c r="I82" i="10"/>
  <c r="H82" i="10"/>
  <c r="D82" i="10"/>
  <c r="I81" i="10"/>
  <c r="H81" i="10"/>
  <c r="D81" i="10"/>
  <c r="I80" i="10"/>
  <c r="H80" i="10"/>
  <c r="D80" i="10"/>
  <c r="I79" i="10"/>
  <c r="H79" i="10"/>
  <c r="D79" i="10"/>
  <c r="I78" i="10"/>
  <c r="H78" i="10"/>
  <c r="D78" i="10"/>
  <c r="I77" i="10"/>
  <c r="H77" i="10"/>
  <c r="D77" i="10"/>
  <c r="I76" i="10"/>
  <c r="H76" i="10"/>
  <c r="D76" i="10"/>
  <c r="I75" i="10"/>
  <c r="H75" i="10"/>
  <c r="D75" i="10"/>
  <c r="I74" i="10"/>
  <c r="H74" i="10"/>
  <c r="D74" i="10"/>
  <c r="I73" i="10"/>
  <c r="H73" i="10"/>
  <c r="D73" i="10"/>
  <c r="I72" i="10"/>
  <c r="H72" i="10"/>
  <c r="D72" i="10"/>
  <c r="I71" i="10"/>
  <c r="H71" i="10"/>
  <c r="D71" i="10"/>
  <c r="I70" i="10"/>
  <c r="H70" i="10"/>
  <c r="D70" i="10"/>
  <c r="I69" i="10"/>
  <c r="H69" i="10"/>
  <c r="D69" i="10"/>
  <c r="I68" i="10"/>
  <c r="H68" i="10"/>
  <c r="D68" i="10"/>
  <c r="I67" i="10"/>
  <c r="H67" i="10"/>
  <c r="D67" i="10"/>
  <c r="I66" i="10"/>
  <c r="H66" i="10"/>
  <c r="D66" i="10"/>
  <c r="I65" i="10"/>
  <c r="H65" i="10"/>
  <c r="D65" i="10"/>
  <c r="I64" i="10"/>
  <c r="H64" i="10"/>
  <c r="D64" i="10"/>
  <c r="I63" i="10"/>
  <c r="H63" i="10"/>
  <c r="D63" i="10"/>
  <c r="I62" i="10"/>
  <c r="H62" i="10"/>
  <c r="D62" i="10"/>
  <c r="I61" i="10"/>
  <c r="H61" i="10"/>
  <c r="D61" i="10"/>
  <c r="I60" i="10"/>
  <c r="H60" i="10"/>
  <c r="D60" i="10"/>
  <c r="I59" i="10"/>
  <c r="H59" i="10"/>
  <c r="D59" i="10"/>
  <c r="I58" i="10"/>
  <c r="H58" i="10"/>
  <c r="D58" i="10"/>
  <c r="I57" i="10"/>
  <c r="H57" i="10"/>
  <c r="D57" i="10"/>
  <c r="I56" i="10"/>
  <c r="H56" i="10"/>
  <c r="D56" i="10"/>
  <c r="I55" i="10"/>
  <c r="H55" i="10"/>
  <c r="D55" i="10"/>
  <c r="I54" i="10"/>
  <c r="H54" i="10"/>
  <c r="D54" i="10"/>
  <c r="I53" i="10"/>
  <c r="H53" i="10"/>
  <c r="D53" i="10"/>
  <c r="I52" i="10"/>
  <c r="H52" i="10"/>
  <c r="D52" i="10"/>
  <c r="I51" i="10"/>
  <c r="H51" i="10"/>
  <c r="D51" i="10"/>
  <c r="I50" i="10"/>
  <c r="H50" i="10"/>
  <c r="D50" i="10"/>
  <c r="I49" i="10"/>
  <c r="H49" i="10"/>
  <c r="D49" i="10"/>
  <c r="I48" i="10"/>
  <c r="H48" i="10"/>
  <c r="D48" i="10"/>
  <c r="I47" i="10"/>
  <c r="H47" i="10"/>
  <c r="D47" i="10"/>
  <c r="I46" i="10"/>
  <c r="H46" i="10"/>
  <c r="D46" i="10"/>
  <c r="I45" i="10"/>
  <c r="H45" i="10"/>
  <c r="D45" i="10"/>
  <c r="I44" i="10"/>
  <c r="H44" i="10"/>
  <c r="D44" i="10"/>
  <c r="I43" i="10"/>
  <c r="H43" i="10"/>
  <c r="D43" i="10"/>
  <c r="I42" i="10"/>
  <c r="H42" i="10"/>
  <c r="D42" i="10"/>
  <c r="I41" i="10"/>
  <c r="H41" i="10"/>
  <c r="D41" i="10"/>
  <c r="I40" i="10"/>
  <c r="H40" i="10"/>
  <c r="D40" i="10"/>
  <c r="I39" i="10"/>
  <c r="H39" i="10"/>
  <c r="D39" i="10"/>
  <c r="I38" i="10"/>
  <c r="H38" i="10"/>
  <c r="D38" i="10"/>
  <c r="I37" i="10"/>
  <c r="H37" i="10"/>
  <c r="D37" i="10"/>
  <c r="I36" i="10"/>
  <c r="H36" i="10"/>
  <c r="D36" i="10"/>
  <c r="I35" i="10"/>
  <c r="H35" i="10"/>
  <c r="D35" i="10"/>
  <c r="I34" i="10"/>
  <c r="H34" i="10"/>
  <c r="D34" i="10"/>
  <c r="I33" i="10"/>
  <c r="H33" i="10"/>
  <c r="D33" i="10"/>
  <c r="I32" i="10"/>
  <c r="H32" i="10"/>
  <c r="D32" i="10"/>
  <c r="I31" i="10"/>
  <c r="H31" i="10"/>
  <c r="D31" i="10"/>
  <c r="I30" i="10"/>
  <c r="H30" i="10"/>
  <c r="D30" i="10"/>
  <c r="I29" i="10"/>
  <c r="H29" i="10"/>
  <c r="D29" i="10"/>
  <c r="I28" i="10"/>
  <c r="H28" i="10"/>
  <c r="D28" i="10"/>
  <c r="I27" i="10"/>
  <c r="H27" i="10"/>
  <c r="D27" i="10"/>
  <c r="I26" i="10"/>
  <c r="H26" i="10"/>
  <c r="D26" i="10"/>
  <c r="I25" i="10"/>
  <c r="H25" i="10"/>
  <c r="D25" i="10"/>
  <c r="I24" i="10"/>
  <c r="H24" i="10"/>
  <c r="D24" i="10"/>
  <c r="I23" i="10"/>
  <c r="H23" i="10"/>
  <c r="D23" i="10"/>
  <c r="I22" i="10"/>
  <c r="H22" i="10"/>
  <c r="D22" i="10"/>
  <c r="I21" i="10"/>
  <c r="H21" i="10"/>
  <c r="D21" i="10"/>
  <c r="I20" i="10"/>
  <c r="H20" i="10"/>
  <c r="D20" i="10"/>
  <c r="I19" i="10"/>
  <c r="H19" i="10"/>
  <c r="D19" i="10"/>
  <c r="I18" i="10"/>
  <c r="H18" i="10"/>
  <c r="D18" i="10"/>
  <c r="I17" i="10"/>
  <c r="H17" i="10"/>
  <c r="D17" i="10"/>
  <c r="I16" i="10"/>
  <c r="H16" i="10"/>
  <c r="D16" i="10"/>
  <c r="I15" i="10"/>
  <c r="H15" i="10"/>
  <c r="D15" i="10"/>
  <c r="I14" i="10"/>
  <c r="H14" i="10"/>
  <c r="D14" i="10"/>
  <c r="I13" i="10"/>
  <c r="H13" i="10"/>
  <c r="D13" i="10"/>
  <c r="I12" i="10"/>
  <c r="H12" i="10"/>
  <c r="D12" i="10"/>
  <c r="I11" i="10"/>
  <c r="H11" i="10"/>
  <c r="D11" i="10"/>
  <c r="I10" i="10"/>
  <c r="H10" i="10"/>
  <c r="D10" i="10"/>
  <c r="I9" i="10"/>
  <c r="H9" i="10"/>
  <c r="D9" i="10"/>
  <c r="I8" i="10"/>
  <c r="H8" i="10"/>
  <c r="D8" i="10"/>
  <c r="I7" i="10"/>
  <c r="H7" i="10"/>
  <c r="D7" i="10"/>
  <c r="I6" i="10"/>
  <c r="H6" i="10"/>
  <c r="D6" i="10"/>
  <c r="I5" i="10"/>
  <c r="H5" i="10"/>
  <c r="D5" i="10"/>
  <c r="I4" i="10"/>
  <c r="H4" i="10"/>
  <c r="D4" i="10"/>
  <c r="I3" i="10"/>
  <c r="H3" i="10"/>
  <c r="D3" i="10"/>
  <c r="I2" i="10"/>
  <c r="H2" i="10"/>
  <c r="D2" i="10"/>
  <c r="I187" i="9"/>
  <c r="H187" i="9"/>
  <c r="D187" i="9"/>
  <c r="I186" i="9"/>
  <c r="H186" i="9"/>
  <c r="D186" i="9"/>
  <c r="I185" i="9"/>
  <c r="H185" i="9"/>
  <c r="D185" i="9"/>
  <c r="I184" i="9"/>
  <c r="H184" i="9"/>
  <c r="D184" i="9"/>
  <c r="I183" i="9"/>
  <c r="H183" i="9"/>
  <c r="D183" i="9"/>
  <c r="I182" i="9"/>
  <c r="H182" i="9"/>
  <c r="D182" i="9"/>
  <c r="I181" i="9"/>
  <c r="H181" i="9"/>
  <c r="D181" i="9"/>
  <c r="I180" i="9"/>
  <c r="H180" i="9"/>
  <c r="D180" i="9"/>
  <c r="I179" i="9"/>
  <c r="H179" i="9"/>
  <c r="D179" i="9"/>
  <c r="I178" i="9"/>
  <c r="H178" i="9"/>
  <c r="D178" i="9"/>
  <c r="I177" i="9"/>
  <c r="H177" i="9"/>
  <c r="D177" i="9"/>
  <c r="I176" i="9"/>
  <c r="H176" i="9"/>
  <c r="D176" i="9"/>
  <c r="I175" i="9"/>
  <c r="H175" i="9"/>
  <c r="D175" i="9"/>
  <c r="I174" i="9"/>
  <c r="H174" i="9"/>
  <c r="D174" i="9"/>
  <c r="I173" i="9"/>
  <c r="H173" i="9"/>
  <c r="D173" i="9"/>
  <c r="I172" i="9"/>
  <c r="H172" i="9"/>
  <c r="D172" i="9"/>
  <c r="I171" i="9"/>
  <c r="H171" i="9"/>
  <c r="D171" i="9"/>
  <c r="I170" i="9"/>
  <c r="H170" i="9"/>
  <c r="D170" i="9"/>
  <c r="I169" i="9"/>
  <c r="H169" i="9"/>
  <c r="D169" i="9"/>
  <c r="I168" i="9"/>
  <c r="H168" i="9"/>
  <c r="D168" i="9"/>
  <c r="I167" i="9"/>
  <c r="H167" i="9"/>
  <c r="D167" i="9"/>
  <c r="I166" i="9"/>
  <c r="H166" i="9"/>
  <c r="D166" i="9"/>
  <c r="I165" i="9"/>
  <c r="H165" i="9"/>
  <c r="D165" i="9"/>
  <c r="I164" i="9"/>
  <c r="H164" i="9"/>
  <c r="D164" i="9"/>
  <c r="I163" i="9"/>
  <c r="H163" i="9"/>
  <c r="D163" i="9"/>
  <c r="I162" i="9"/>
  <c r="H162" i="9"/>
  <c r="D162" i="9"/>
  <c r="I161" i="9"/>
  <c r="H161" i="9"/>
  <c r="D161" i="9"/>
  <c r="I160" i="9"/>
  <c r="H160" i="9"/>
  <c r="D160" i="9"/>
  <c r="I159" i="9"/>
  <c r="H159" i="9"/>
  <c r="D159" i="9"/>
  <c r="I158" i="9"/>
  <c r="H158" i="9"/>
  <c r="D158" i="9"/>
  <c r="I157" i="9"/>
  <c r="H157" i="9"/>
  <c r="D157" i="9"/>
  <c r="I156" i="9"/>
  <c r="H156" i="9"/>
  <c r="D156" i="9"/>
  <c r="I155" i="9"/>
  <c r="H155" i="9"/>
  <c r="D155" i="9"/>
  <c r="I154" i="9"/>
  <c r="H154" i="9"/>
  <c r="D154" i="9"/>
  <c r="I153" i="9"/>
  <c r="H153" i="9"/>
  <c r="D153" i="9"/>
  <c r="I152" i="9"/>
  <c r="H152" i="9"/>
  <c r="D152" i="9"/>
  <c r="I151" i="9"/>
  <c r="H151" i="9"/>
  <c r="D151" i="9"/>
  <c r="I150" i="9"/>
  <c r="H150" i="9"/>
  <c r="D150" i="9"/>
  <c r="I149" i="9"/>
  <c r="H149" i="9"/>
  <c r="D149" i="9"/>
  <c r="I148" i="9"/>
  <c r="H148" i="9"/>
  <c r="D148" i="9"/>
  <c r="I147" i="9"/>
  <c r="H147" i="9"/>
  <c r="D147" i="9"/>
  <c r="I146" i="9"/>
  <c r="H146" i="9"/>
  <c r="D146" i="9"/>
  <c r="I145" i="9"/>
  <c r="H145" i="9"/>
  <c r="D145" i="9"/>
  <c r="I144" i="9"/>
  <c r="H144" i="9"/>
  <c r="D144" i="9"/>
  <c r="I143" i="9"/>
  <c r="H143" i="9"/>
  <c r="D143" i="9"/>
  <c r="I142" i="9"/>
  <c r="H142" i="9"/>
  <c r="D142" i="9"/>
  <c r="I141" i="9"/>
  <c r="H141" i="9"/>
  <c r="D141" i="9"/>
  <c r="I140" i="9"/>
  <c r="H140" i="9"/>
  <c r="D140" i="9"/>
  <c r="I139" i="9"/>
  <c r="H139" i="9"/>
  <c r="D139" i="9"/>
  <c r="I138" i="9"/>
  <c r="H138" i="9"/>
  <c r="D138" i="9"/>
  <c r="I137" i="9"/>
  <c r="H137" i="9"/>
  <c r="D137" i="9"/>
  <c r="I136" i="9"/>
  <c r="H136" i="9"/>
  <c r="D136" i="9"/>
  <c r="I135" i="9"/>
  <c r="H135" i="9"/>
  <c r="D135" i="9"/>
  <c r="I134" i="9"/>
  <c r="H134" i="9"/>
  <c r="D134" i="9"/>
  <c r="I133" i="9"/>
  <c r="H133" i="9"/>
  <c r="D133" i="9"/>
  <c r="I132" i="9"/>
  <c r="H132" i="9"/>
  <c r="D132" i="9"/>
  <c r="I131" i="9"/>
  <c r="H131" i="9"/>
  <c r="D131" i="9"/>
  <c r="I130" i="9"/>
  <c r="H130" i="9"/>
  <c r="D130" i="9"/>
  <c r="I129" i="9"/>
  <c r="H129" i="9"/>
  <c r="D129" i="9"/>
  <c r="I128" i="9"/>
  <c r="H128" i="9"/>
  <c r="D128" i="9"/>
  <c r="I127" i="9"/>
  <c r="H127" i="9"/>
  <c r="D127" i="9"/>
  <c r="I126" i="9"/>
  <c r="H126" i="9"/>
  <c r="D126" i="9"/>
  <c r="I125" i="9"/>
  <c r="H125" i="9"/>
  <c r="D125" i="9"/>
  <c r="I124" i="9"/>
  <c r="H124" i="9"/>
  <c r="D124" i="9"/>
  <c r="I123" i="9"/>
  <c r="H123" i="9"/>
  <c r="D123" i="9"/>
  <c r="I122" i="9"/>
  <c r="H122" i="9"/>
  <c r="D122" i="9"/>
  <c r="I121" i="9"/>
  <c r="H121" i="9"/>
  <c r="D121" i="9"/>
  <c r="I120" i="9"/>
  <c r="H120" i="9"/>
  <c r="D120" i="9"/>
  <c r="I119" i="9"/>
  <c r="H119" i="9"/>
  <c r="D119" i="9"/>
  <c r="I118" i="9"/>
  <c r="H118" i="9"/>
  <c r="D118" i="9"/>
  <c r="I117" i="9"/>
  <c r="H117" i="9"/>
  <c r="D117" i="9"/>
  <c r="I116" i="9"/>
  <c r="H116" i="9"/>
  <c r="D116" i="9"/>
  <c r="I115" i="9"/>
  <c r="H115" i="9"/>
  <c r="D115" i="9"/>
  <c r="I114" i="9"/>
  <c r="H114" i="9"/>
  <c r="D114" i="9"/>
  <c r="I113" i="9"/>
  <c r="H113" i="9"/>
  <c r="D113" i="9"/>
  <c r="I112" i="9"/>
  <c r="H112" i="9"/>
  <c r="D112" i="9"/>
  <c r="I111" i="9"/>
  <c r="H111" i="9"/>
  <c r="D111" i="9"/>
  <c r="I110" i="9"/>
  <c r="H110" i="9"/>
  <c r="D110" i="9"/>
  <c r="I109" i="9"/>
  <c r="H109" i="9"/>
  <c r="D109" i="9"/>
  <c r="I108" i="9"/>
  <c r="H108" i="9"/>
  <c r="D108" i="9"/>
  <c r="I107" i="9"/>
  <c r="H107" i="9"/>
  <c r="D107" i="9"/>
  <c r="I106" i="9"/>
  <c r="H106" i="9"/>
  <c r="D106" i="9"/>
  <c r="I105" i="9"/>
  <c r="H105" i="9"/>
  <c r="D105" i="9"/>
  <c r="I104" i="9"/>
  <c r="H104" i="9"/>
  <c r="D104" i="9"/>
  <c r="I103" i="9"/>
  <c r="H103" i="9"/>
  <c r="D103" i="9"/>
  <c r="I102" i="9"/>
  <c r="H102" i="9"/>
  <c r="D102" i="9"/>
  <c r="I101" i="9"/>
  <c r="H101" i="9"/>
  <c r="D101" i="9"/>
  <c r="I100" i="9"/>
  <c r="H100" i="9"/>
  <c r="D100" i="9"/>
  <c r="I99" i="9"/>
  <c r="H99" i="9"/>
  <c r="D99" i="9"/>
  <c r="I98" i="9"/>
  <c r="H98" i="9"/>
  <c r="D98" i="9"/>
  <c r="I97" i="9"/>
  <c r="H97" i="9"/>
  <c r="D97" i="9"/>
  <c r="I96" i="9"/>
  <c r="H96" i="9"/>
  <c r="D96" i="9"/>
  <c r="I95" i="9"/>
  <c r="H95" i="9"/>
  <c r="D95" i="9"/>
  <c r="I94" i="9"/>
  <c r="H94" i="9"/>
  <c r="D94" i="9"/>
  <c r="I93" i="9"/>
  <c r="H93" i="9"/>
  <c r="D93" i="9"/>
  <c r="I92" i="9"/>
  <c r="H92" i="9"/>
  <c r="D92" i="9"/>
  <c r="I91" i="9"/>
  <c r="H91" i="9"/>
  <c r="D91" i="9"/>
  <c r="I90" i="9"/>
  <c r="H90" i="9"/>
  <c r="D90" i="9"/>
  <c r="I89" i="9"/>
  <c r="H89" i="9"/>
  <c r="D89" i="9"/>
  <c r="I88" i="9"/>
  <c r="H88" i="9"/>
  <c r="D88" i="9"/>
  <c r="I87" i="9"/>
  <c r="H87" i="9"/>
  <c r="D87" i="9"/>
  <c r="I86" i="9"/>
  <c r="H86" i="9"/>
  <c r="D86" i="9"/>
  <c r="I85" i="9"/>
  <c r="H85" i="9"/>
  <c r="D85" i="9"/>
  <c r="I84" i="9"/>
  <c r="H84" i="9"/>
  <c r="D84" i="9"/>
  <c r="I83" i="9"/>
  <c r="H83" i="9"/>
  <c r="D83" i="9"/>
  <c r="I82" i="9"/>
  <c r="H82" i="9"/>
  <c r="D82" i="9"/>
  <c r="I81" i="9"/>
  <c r="H81" i="9"/>
  <c r="D81" i="9"/>
  <c r="I80" i="9"/>
  <c r="H80" i="9"/>
  <c r="D80" i="9"/>
  <c r="I79" i="9"/>
  <c r="H79" i="9"/>
  <c r="D79" i="9"/>
  <c r="I78" i="9"/>
  <c r="H78" i="9"/>
  <c r="D78" i="9"/>
  <c r="I77" i="9"/>
  <c r="H77" i="9"/>
  <c r="D77" i="9"/>
  <c r="I76" i="9"/>
  <c r="H76" i="9"/>
  <c r="D76" i="9"/>
  <c r="I75" i="9"/>
  <c r="H75" i="9"/>
  <c r="D75" i="9"/>
  <c r="I74" i="9"/>
  <c r="H74" i="9"/>
  <c r="D74" i="9"/>
  <c r="I73" i="9"/>
  <c r="H73" i="9"/>
  <c r="D73" i="9"/>
  <c r="I72" i="9"/>
  <c r="H72" i="9"/>
  <c r="D72" i="9"/>
  <c r="I71" i="9"/>
  <c r="H71" i="9"/>
  <c r="D71" i="9"/>
  <c r="I70" i="9"/>
  <c r="H70" i="9"/>
  <c r="D70" i="9"/>
  <c r="I69" i="9"/>
  <c r="H69" i="9"/>
  <c r="D69" i="9"/>
  <c r="I68" i="9"/>
  <c r="H68" i="9"/>
  <c r="D68" i="9"/>
  <c r="I67" i="9"/>
  <c r="H67" i="9"/>
  <c r="D67" i="9"/>
  <c r="I66" i="9"/>
  <c r="H66" i="9"/>
  <c r="D66" i="9"/>
  <c r="I65" i="9"/>
  <c r="H65" i="9"/>
  <c r="D65" i="9"/>
  <c r="I64" i="9"/>
  <c r="H64" i="9"/>
  <c r="D64" i="9"/>
  <c r="I63" i="9"/>
  <c r="H63" i="9"/>
  <c r="D63" i="9"/>
  <c r="I62" i="9"/>
  <c r="H62" i="9"/>
  <c r="D62" i="9"/>
  <c r="I61" i="9"/>
  <c r="H61" i="9"/>
  <c r="D61" i="9"/>
  <c r="I60" i="9"/>
  <c r="H60" i="9"/>
  <c r="D60" i="9"/>
  <c r="I59" i="9"/>
  <c r="H59" i="9"/>
  <c r="D59" i="9"/>
  <c r="I58" i="9"/>
  <c r="H58" i="9"/>
  <c r="D58" i="9"/>
  <c r="I57" i="9"/>
  <c r="H57" i="9"/>
  <c r="D57" i="9"/>
  <c r="I56" i="9"/>
  <c r="H56" i="9"/>
  <c r="D56" i="9"/>
  <c r="I55" i="9"/>
  <c r="H55" i="9"/>
  <c r="D55" i="9"/>
  <c r="I54" i="9"/>
  <c r="H54" i="9"/>
  <c r="D54" i="9"/>
  <c r="I53" i="9"/>
  <c r="H53" i="9"/>
  <c r="D53" i="9"/>
  <c r="I52" i="9"/>
  <c r="H52" i="9"/>
  <c r="D52" i="9"/>
  <c r="I51" i="9"/>
  <c r="H51" i="9"/>
  <c r="D51" i="9"/>
  <c r="I50" i="9"/>
  <c r="H50" i="9"/>
  <c r="D50" i="9"/>
  <c r="I49" i="9"/>
  <c r="H49" i="9"/>
  <c r="D49" i="9"/>
  <c r="I48" i="9"/>
  <c r="H48" i="9"/>
  <c r="D48" i="9"/>
  <c r="I47" i="9"/>
  <c r="H47" i="9"/>
  <c r="D47" i="9"/>
  <c r="I46" i="9"/>
  <c r="H46" i="9"/>
  <c r="D46" i="9"/>
  <c r="I45" i="9"/>
  <c r="H45" i="9"/>
  <c r="D45" i="9"/>
  <c r="I44" i="9"/>
  <c r="H44" i="9"/>
  <c r="D44" i="9"/>
  <c r="I43" i="9"/>
  <c r="H43" i="9"/>
  <c r="D43" i="9"/>
  <c r="I42" i="9"/>
  <c r="H42" i="9"/>
  <c r="D42" i="9"/>
  <c r="I41" i="9"/>
  <c r="H41" i="9"/>
  <c r="D41" i="9"/>
  <c r="I40" i="9"/>
  <c r="H40" i="9"/>
  <c r="D40" i="9"/>
  <c r="I39" i="9"/>
  <c r="H39" i="9"/>
  <c r="D39" i="9"/>
  <c r="I38" i="9"/>
  <c r="H38" i="9"/>
  <c r="D38" i="9"/>
  <c r="I37" i="9"/>
  <c r="H37" i="9"/>
  <c r="D37" i="9"/>
  <c r="I36" i="9"/>
  <c r="H36" i="9"/>
  <c r="D36" i="9"/>
  <c r="I35" i="9"/>
  <c r="H35" i="9"/>
  <c r="D35" i="9"/>
  <c r="I34" i="9"/>
  <c r="H34" i="9"/>
  <c r="D34" i="9"/>
  <c r="I33" i="9"/>
  <c r="H33" i="9"/>
  <c r="D33" i="9"/>
  <c r="I32" i="9"/>
  <c r="H32" i="9"/>
  <c r="D32" i="9"/>
  <c r="I31" i="9"/>
  <c r="H31" i="9"/>
  <c r="D31" i="9"/>
  <c r="I30" i="9"/>
  <c r="H30" i="9"/>
  <c r="D30" i="9"/>
  <c r="I29" i="9"/>
  <c r="H29" i="9"/>
  <c r="D29" i="9"/>
  <c r="I28" i="9"/>
  <c r="H28" i="9"/>
  <c r="D28" i="9"/>
  <c r="I27" i="9"/>
  <c r="H27" i="9"/>
  <c r="D27" i="9"/>
  <c r="I26" i="9"/>
  <c r="H26" i="9"/>
  <c r="D26" i="9"/>
  <c r="I25" i="9"/>
  <c r="H25" i="9"/>
  <c r="D25" i="9"/>
  <c r="I24" i="9"/>
  <c r="H24" i="9"/>
  <c r="D24" i="9"/>
  <c r="I23" i="9"/>
  <c r="H23" i="9"/>
  <c r="D23" i="9"/>
  <c r="I22" i="9"/>
  <c r="H22" i="9"/>
  <c r="D22" i="9"/>
  <c r="I21" i="9"/>
  <c r="H21" i="9"/>
  <c r="D21" i="9"/>
  <c r="I20" i="9"/>
  <c r="H20" i="9"/>
  <c r="D20" i="9"/>
  <c r="I19" i="9"/>
  <c r="H19" i="9"/>
  <c r="D19" i="9"/>
  <c r="I18" i="9"/>
  <c r="H18" i="9"/>
  <c r="D18" i="9"/>
  <c r="I17" i="9"/>
  <c r="H17" i="9"/>
  <c r="D17" i="9"/>
  <c r="I16" i="9"/>
  <c r="H16" i="9"/>
  <c r="D16" i="9"/>
  <c r="I15" i="9"/>
  <c r="H15" i="9"/>
  <c r="D15" i="9"/>
  <c r="I14" i="9"/>
  <c r="H14" i="9"/>
  <c r="D14" i="9"/>
  <c r="I13" i="9"/>
  <c r="H13" i="9"/>
  <c r="D13" i="9"/>
  <c r="I12" i="9"/>
  <c r="H12" i="9"/>
  <c r="D12" i="9"/>
  <c r="I11" i="9"/>
  <c r="H11" i="9"/>
  <c r="D11" i="9"/>
  <c r="I10" i="9"/>
  <c r="H10" i="9"/>
  <c r="D10" i="9"/>
  <c r="I9" i="9"/>
  <c r="H9" i="9"/>
  <c r="D9" i="9"/>
  <c r="I8" i="9"/>
  <c r="H8" i="9"/>
  <c r="D8" i="9"/>
  <c r="I7" i="9"/>
  <c r="H7" i="9"/>
  <c r="D7" i="9"/>
  <c r="I6" i="9"/>
  <c r="H6" i="9"/>
  <c r="D6" i="9"/>
  <c r="I5" i="9"/>
  <c r="H5" i="9"/>
  <c r="D5" i="9"/>
  <c r="I4" i="9"/>
  <c r="H4" i="9"/>
  <c r="D4" i="9"/>
  <c r="I3" i="9"/>
  <c r="H3" i="9"/>
  <c r="D3" i="9"/>
  <c r="I2" i="9"/>
  <c r="H2" i="9"/>
  <c r="D2" i="9"/>
  <c r="I187" i="8"/>
  <c r="H187" i="8"/>
  <c r="D187" i="8"/>
  <c r="I186" i="8"/>
  <c r="H186" i="8"/>
  <c r="D186" i="8"/>
  <c r="I185" i="8"/>
  <c r="H185" i="8"/>
  <c r="D185" i="8"/>
  <c r="I184" i="8"/>
  <c r="H184" i="8"/>
  <c r="D184" i="8"/>
  <c r="I183" i="8"/>
  <c r="H183" i="8"/>
  <c r="D183" i="8"/>
  <c r="I182" i="8"/>
  <c r="H182" i="8"/>
  <c r="D182" i="8"/>
  <c r="I181" i="8"/>
  <c r="H181" i="8"/>
  <c r="D181" i="8"/>
  <c r="I180" i="8"/>
  <c r="H180" i="8"/>
  <c r="D180" i="8"/>
  <c r="I179" i="8"/>
  <c r="H179" i="8"/>
  <c r="D179" i="8"/>
  <c r="I178" i="8"/>
  <c r="H178" i="8"/>
  <c r="D178" i="8"/>
  <c r="I177" i="8"/>
  <c r="H177" i="8"/>
  <c r="D177" i="8"/>
  <c r="I176" i="8"/>
  <c r="H176" i="8"/>
  <c r="D176" i="8"/>
  <c r="I175" i="8"/>
  <c r="H175" i="8"/>
  <c r="D175" i="8"/>
  <c r="I174" i="8"/>
  <c r="H174" i="8"/>
  <c r="D174" i="8"/>
  <c r="I173" i="8"/>
  <c r="H173" i="8"/>
  <c r="D173" i="8"/>
  <c r="I172" i="8"/>
  <c r="H172" i="8"/>
  <c r="D172" i="8"/>
  <c r="I171" i="8"/>
  <c r="H171" i="8"/>
  <c r="D171" i="8"/>
  <c r="I170" i="8"/>
  <c r="H170" i="8"/>
  <c r="D170" i="8"/>
  <c r="I169" i="8"/>
  <c r="H169" i="8"/>
  <c r="D169" i="8"/>
  <c r="I168" i="8"/>
  <c r="H168" i="8"/>
  <c r="D168" i="8"/>
  <c r="I167" i="8"/>
  <c r="H167" i="8"/>
  <c r="D167" i="8"/>
  <c r="I166" i="8"/>
  <c r="H166" i="8"/>
  <c r="D166" i="8"/>
  <c r="I165" i="8"/>
  <c r="H165" i="8"/>
  <c r="D165" i="8"/>
  <c r="I164" i="8"/>
  <c r="H164" i="8"/>
  <c r="D164" i="8"/>
  <c r="I163" i="8"/>
  <c r="H163" i="8"/>
  <c r="D163" i="8"/>
  <c r="I162" i="8"/>
  <c r="H162" i="8"/>
  <c r="D162" i="8"/>
  <c r="I161" i="8"/>
  <c r="H161" i="8"/>
  <c r="D161" i="8"/>
  <c r="I160" i="8"/>
  <c r="H160" i="8"/>
  <c r="D160" i="8"/>
  <c r="I159" i="8"/>
  <c r="H159" i="8"/>
  <c r="D159" i="8"/>
  <c r="I158" i="8"/>
  <c r="H158" i="8"/>
  <c r="D158" i="8"/>
  <c r="I157" i="8"/>
  <c r="H157" i="8"/>
  <c r="D157" i="8"/>
  <c r="I156" i="8"/>
  <c r="H156" i="8"/>
  <c r="D156" i="8"/>
  <c r="I155" i="8"/>
  <c r="H155" i="8"/>
  <c r="D155" i="8"/>
  <c r="I154" i="8"/>
  <c r="H154" i="8"/>
  <c r="D154" i="8"/>
  <c r="I153" i="8"/>
  <c r="H153" i="8"/>
  <c r="D153" i="8"/>
  <c r="I152" i="8"/>
  <c r="H152" i="8"/>
  <c r="D152" i="8"/>
  <c r="I151" i="8"/>
  <c r="H151" i="8"/>
  <c r="D151" i="8"/>
  <c r="I150" i="8"/>
  <c r="H150" i="8"/>
  <c r="D150" i="8"/>
  <c r="I149" i="8"/>
  <c r="H149" i="8"/>
  <c r="D149" i="8"/>
  <c r="I148" i="8"/>
  <c r="H148" i="8"/>
  <c r="D148" i="8"/>
  <c r="I147" i="8"/>
  <c r="H147" i="8"/>
  <c r="D147" i="8"/>
  <c r="I146" i="8"/>
  <c r="H146" i="8"/>
  <c r="D146" i="8"/>
  <c r="I145" i="8"/>
  <c r="H145" i="8"/>
  <c r="D145" i="8"/>
  <c r="I144" i="8"/>
  <c r="H144" i="8"/>
  <c r="D144" i="8"/>
  <c r="I143" i="8"/>
  <c r="H143" i="8"/>
  <c r="D143" i="8"/>
  <c r="I142" i="8"/>
  <c r="H142" i="8"/>
  <c r="D142" i="8"/>
  <c r="I141" i="8"/>
  <c r="H141" i="8"/>
  <c r="D141" i="8"/>
  <c r="I140" i="8"/>
  <c r="H140" i="8"/>
  <c r="D140" i="8"/>
  <c r="I139" i="8"/>
  <c r="H139" i="8"/>
  <c r="D139" i="8"/>
  <c r="I138" i="8"/>
  <c r="H138" i="8"/>
  <c r="D138" i="8"/>
  <c r="I137" i="8"/>
  <c r="H137" i="8"/>
  <c r="D137" i="8"/>
  <c r="I136" i="8"/>
  <c r="H136" i="8"/>
  <c r="D136" i="8"/>
  <c r="I135" i="8"/>
  <c r="H135" i="8"/>
  <c r="D135" i="8"/>
  <c r="I134" i="8"/>
  <c r="H134" i="8"/>
  <c r="D134" i="8"/>
  <c r="I133" i="8"/>
  <c r="H133" i="8"/>
  <c r="D133" i="8"/>
  <c r="I132" i="8"/>
  <c r="H132" i="8"/>
  <c r="D132" i="8"/>
  <c r="I131" i="8"/>
  <c r="H131" i="8"/>
  <c r="D131" i="8"/>
  <c r="I130" i="8"/>
  <c r="H130" i="8"/>
  <c r="D130" i="8"/>
  <c r="I129" i="8"/>
  <c r="H129" i="8"/>
  <c r="D129" i="8"/>
  <c r="I128" i="8"/>
  <c r="H128" i="8"/>
  <c r="D128" i="8"/>
  <c r="I127" i="8"/>
  <c r="H127" i="8"/>
  <c r="D127" i="8"/>
  <c r="I126" i="8"/>
  <c r="H126" i="8"/>
  <c r="D126" i="8"/>
  <c r="I125" i="8"/>
  <c r="H125" i="8"/>
  <c r="D125" i="8"/>
  <c r="I124" i="8"/>
  <c r="H124" i="8"/>
  <c r="D124" i="8"/>
  <c r="I123" i="8"/>
  <c r="H123" i="8"/>
  <c r="D123" i="8"/>
  <c r="I122" i="8"/>
  <c r="H122" i="8"/>
  <c r="D122" i="8"/>
  <c r="I121" i="8"/>
  <c r="H121" i="8"/>
  <c r="D121" i="8"/>
  <c r="I120" i="8"/>
  <c r="H120" i="8"/>
  <c r="D120" i="8"/>
  <c r="I119" i="8"/>
  <c r="H119" i="8"/>
  <c r="D119" i="8"/>
  <c r="I118" i="8"/>
  <c r="H118" i="8"/>
  <c r="D118" i="8"/>
  <c r="I117" i="8"/>
  <c r="H117" i="8"/>
  <c r="D117" i="8"/>
  <c r="I116" i="8"/>
  <c r="H116" i="8"/>
  <c r="D116" i="8"/>
  <c r="I115" i="8"/>
  <c r="H115" i="8"/>
  <c r="D115" i="8"/>
  <c r="I114" i="8"/>
  <c r="H114" i="8"/>
  <c r="D114" i="8"/>
  <c r="I113" i="8"/>
  <c r="H113" i="8"/>
  <c r="D113" i="8"/>
  <c r="I112" i="8"/>
  <c r="H112" i="8"/>
  <c r="D112" i="8"/>
  <c r="I111" i="8"/>
  <c r="H111" i="8"/>
  <c r="D111" i="8"/>
  <c r="I110" i="8"/>
  <c r="H110" i="8"/>
  <c r="D110" i="8"/>
  <c r="I109" i="8"/>
  <c r="H109" i="8"/>
  <c r="D109" i="8"/>
  <c r="I108" i="8"/>
  <c r="H108" i="8"/>
  <c r="D108" i="8"/>
  <c r="I107" i="8"/>
  <c r="H107" i="8"/>
  <c r="D107" i="8"/>
  <c r="I106" i="8"/>
  <c r="H106" i="8"/>
  <c r="D106" i="8"/>
  <c r="I105" i="8"/>
  <c r="H105" i="8"/>
  <c r="D105" i="8"/>
  <c r="I104" i="8"/>
  <c r="H104" i="8"/>
  <c r="D104" i="8"/>
  <c r="I103" i="8"/>
  <c r="H103" i="8"/>
  <c r="D103" i="8"/>
  <c r="I102" i="8"/>
  <c r="H102" i="8"/>
  <c r="D102" i="8"/>
  <c r="I101" i="8"/>
  <c r="H101" i="8"/>
  <c r="D101" i="8"/>
  <c r="I100" i="8"/>
  <c r="H100" i="8"/>
  <c r="D100" i="8"/>
  <c r="I99" i="8"/>
  <c r="H99" i="8"/>
  <c r="D99" i="8"/>
  <c r="I98" i="8"/>
  <c r="H98" i="8"/>
  <c r="D98" i="8"/>
  <c r="I97" i="8"/>
  <c r="H97" i="8"/>
  <c r="D97" i="8"/>
  <c r="I96" i="8"/>
  <c r="H96" i="8"/>
  <c r="D96" i="8"/>
  <c r="I95" i="8"/>
  <c r="H95" i="8"/>
  <c r="D95" i="8"/>
  <c r="I94" i="8"/>
  <c r="H94" i="8"/>
  <c r="D94" i="8"/>
  <c r="I93" i="8"/>
  <c r="H93" i="8"/>
  <c r="D93" i="8"/>
  <c r="I92" i="8"/>
  <c r="H92" i="8"/>
  <c r="D92" i="8"/>
  <c r="I91" i="8"/>
  <c r="H91" i="8"/>
  <c r="D91" i="8"/>
  <c r="I90" i="8"/>
  <c r="H90" i="8"/>
  <c r="D90" i="8"/>
  <c r="I89" i="8"/>
  <c r="H89" i="8"/>
  <c r="D89" i="8"/>
  <c r="I88" i="8"/>
  <c r="H88" i="8"/>
  <c r="D88" i="8"/>
  <c r="I87" i="8"/>
  <c r="H87" i="8"/>
  <c r="D87" i="8"/>
  <c r="I86" i="8"/>
  <c r="H86" i="8"/>
  <c r="D86" i="8"/>
  <c r="I85" i="8"/>
  <c r="H85" i="8"/>
  <c r="D85" i="8"/>
  <c r="I84" i="8"/>
  <c r="H84" i="8"/>
  <c r="D84" i="8"/>
  <c r="I83" i="8"/>
  <c r="H83" i="8"/>
  <c r="D83" i="8"/>
  <c r="I82" i="8"/>
  <c r="H82" i="8"/>
  <c r="D82" i="8"/>
  <c r="I81" i="8"/>
  <c r="H81" i="8"/>
  <c r="D81" i="8"/>
  <c r="I80" i="8"/>
  <c r="H80" i="8"/>
  <c r="D80" i="8"/>
  <c r="I79" i="8"/>
  <c r="H79" i="8"/>
  <c r="D79" i="8"/>
  <c r="I78" i="8"/>
  <c r="H78" i="8"/>
  <c r="D78" i="8"/>
  <c r="I77" i="8"/>
  <c r="H77" i="8"/>
  <c r="D77" i="8"/>
  <c r="I76" i="8"/>
  <c r="H76" i="8"/>
  <c r="D76" i="8"/>
  <c r="I75" i="8"/>
  <c r="H75" i="8"/>
  <c r="D75" i="8"/>
  <c r="I74" i="8"/>
  <c r="H74" i="8"/>
  <c r="D74" i="8"/>
  <c r="I73" i="8"/>
  <c r="H73" i="8"/>
  <c r="D73" i="8"/>
  <c r="I72" i="8"/>
  <c r="H72" i="8"/>
  <c r="D72" i="8"/>
  <c r="I71" i="8"/>
  <c r="H71" i="8"/>
  <c r="D71" i="8"/>
  <c r="I70" i="8"/>
  <c r="H70" i="8"/>
  <c r="D70" i="8"/>
  <c r="I69" i="8"/>
  <c r="H69" i="8"/>
  <c r="D69" i="8"/>
  <c r="I68" i="8"/>
  <c r="H68" i="8"/>
  <c r="D68" i="8"/>
  <c r="I67" i="8"/>
  <c r="H67" i="8"/>
  <c r="D67" i="8"/>
  <c r="I66" i="8"/>
  <c r="H66" i="8"/>
  <c r="D66" i="8"/>
  <c r="I65" i="8"/>
  <c r="H65" i="8"/>
  <c r="D65" i="8"/>
  <c r="I64" i="8"/>
  <c r="H64" i="8"/>
  <c r="D64" i="8"/>
  <c r="I63" i="8"/>
  <c r="H63" i="8"/>
  <c r="D63" i="8"/>
  <c r="I62" i="8"/>
  <c r="H62" i="8"/>
  <c r="D62" i="8"/>
  <c r="I61" i="8"/>
  <c r="H61" i="8"/>
  <c r="D61" i="8"/>
  <c r="I60" i="8"/>
  <c r="H60" i="8"/>
  <c r="D60" i="8"/>
  <c r="I59" i="8"/>
  <c r="H59" i="8"/>
  <c r="D59" i="8"/>
  <c r="I58" i="8"/>
  <c r="H58" i="8"/>
  <c r="D58" i="8"/>
  <c r="I57" i="8"/>
  <c r="H57" i="8"/>
  <c r="D57" i="8"/>
  <c r="I56" i="8"/>
  <c r="H56" i="8"/>
  <c r="D56" i="8"/>
  <c r="I55" i="8"/>
  <c r="H55" i="8"/>
  <c r="D55" i="8"/>
  <c r="I54" i="8"/>
  <c r="H54" i="8"/>
  <c r="D54" i="8"/>
  <c r="I53" i="8"/>
  <c r="H53" i="8"/>
  <c r="D53" i="8"/>
  <c r="I52" i="8"/>
  <c r="H52" i="8"/>
  <c r="D52" i="8"/>
  <c r="I51" i="8"/>
  <c r="H51" i="8"/>
  <c r="D51" i="8"/>
  <c r="I50" i="8"/>
  <c r="H50" i="8"/>
  <c r="D50" i="8"/>
  <c r="I49" i="8"/>
  <c r="H49" i="8"/>
  <c r="D49" i="8"/>
  <c r="I48" i="8"/>
  <c r="H48" i="8"/>
  <c r="D48" i="8"/>
  <c r="I47" i="8"/>
  <c r="H47" i="8"/>
  <c r="D47" i="8"/>
  <c r="I46" i="8"/>
  <c r="H46" i="8"/>
  <c r="D46" i="8"/>
  <c r="I45" i="8"/>
  <c r="H45" i="8"/>
  <c r="D45" i="8"/>
  <c r="I44" i="8"/>
  <c r="H44" i="8"/>
  <c r="D44" i="8"/>
  <c r="I43" i="8"/>
  <c r="H43" i="8"/>
  <c r="D43" i="8"/>
  <c r="I42" i="8"/>
  <c r="H42" i="8"/>
  <c r="D42" i="8"/>
  <c r="I41" i="8"/>
  <c r="H41" i="8"/>
  <c r="D41" i="8"/>
  <c r="I40" i="8"/>
  <c r="H40" i="8"/>
  <c r="D40" i="8"/>
  <c r="I39" i="8"/>
  <c r="H39" i="8"/>
  <c r="D39" i="8"/>
  <c r="I38" i="8"/>
  <c r="H38" i="8"/>
  <c r="D38" i="8"/>
  <c r="I37" i="8"/>
  <c r="H37" i="8"/>
  <c r="D37" i="8"/>
  <c r="I36" i="8"/>
  <c r="H36" i="8"/>
  <c r="D36" i="8"/>
  <c r="I35" i="8"/>
  <c r="H35" i="8"/>
  <c r="D35" i="8"/>
  <c r="I34" i="8"/>
  <c r="H34" i="8"/>
  <c r="D34" i="8"/>
  <c r="I33" i="8"/>
  <c r="H33" i="8"/>
  <c r="D33" i="8"/>
  <c r="I32" i="8"/>
  <c r="H32" i="8"/>
  <c r="D32" i="8"/>
  <c r="I31" i="8"/>
  <c r="H31" i="8"/>
  <c r="D31" i="8"/>
  <c r="I30" i="8"/>
  <c r="H30" i="8"/>
  <c r="D30" i="8"/>
  <c r="I29" i="8"/>
  <c r="H29" i="8"/>
  <c r="D29" i="8"/>
  <c r="I28" i="8"/>
  <c r="H28" i="8"/>
  <c r="D28" i="8"/>
  <c r="I27" i="8"/>
  <c r="H27" i="8"/>
  <c r="D27" i="8"/>
  <c r="I26" i="8"/>
  <c r="H26" i="8"/>
  <c r="D26" i="8"/>
  <c r="I25" i="8"/>
  <c r="H25" i="8"/>
  <c r="D25" i="8"/>
  <c r="I24" i="8"/>
  <c r="H24" i="8"/>
  <c r="D24" i="8"/>
  <c r="I23" i="8"/>
  <c r="H23" i="8"/>
  <c r="D23" i="8"/>
  <c r="I22" i="8"/>
  <c r="H22" i="8"/>
  <c r="D22" i="8"/>
  <c r="I21" i="8"/>
  <c r="H21" i="8"/>
  <c r="D21" i="8"/>
  <c r="I20" i="8"/>
  <c r="H20" i="8"/>
  <c r="D20" i="8"/>
  <c r="I19" i="8"/>
  <c r="H19" i="8"/>
  <c r="D19" i="8"/>
  <c r="I18" i="8"/>
  <c r="H18" i="8"/>
  <c r="D18" i="8"/>
  <c r="I17" i="8"/>
  <c r="H17" i="8"/>
  <c r="D17" i="8"/>
  <c r="I16" i="8"/>
  <c r="H16" i="8"/>
  <c r="D16" i="8"/>
  <c r="I15" i="8"/>
  <c r="H15" i="8"/>
  <c r="D15" i="8"/>
  <c r="I14" i="8"/>
  <c r="H14" i="8"/>
  <c r="D14" i="8"/>
  <c r="I13" i="8"/>
  <c r="H13" i="8"/>
  <c r="D13" i="8"/>
  <c r="I12" i="8"/>
  <c r="H12" i="8"/>
  <c r="D12" i="8"/>
  <c r="I11" i="8"/>
  <c r="H11" i="8"/>
  <c r="D11" i="8"/>
  <c r="I10" i="8"/>
  <c r="H10" i="8"/>
  <c r="D10" i="8"/>
  <c r="I9" i="8"/>
  <c r="H9" i="8"/>
  <c r="D9" i="8"/>
  <c r="I8" i="8"/>
  <c r="H8" i="8"/>
  <c r="D8" i="8"/>
  <c r="I7" i="8"/>
  <c r="H7" i="8"/>
  <c r="D7" i="8"/>
  <c r="I6" i="8"/>
  <c r="H6" i="8"/>
  <c r="D6" i="8"/>
  <c r="I5" i="8"/>
  <c r="H5" i="8"/>
  <c r="D5" i="8"/>
  <c r="I4" i="8"/>
  <c r="H4" i="8"/>
  <c r="D4" i="8"/>
  <c r="I3" i="8"/>
  <c r="H3" i="8"/>
  <c r="D3" i="8"/>
  <c r="I2" i="8"/>
  <c r="H2" i="8"/>
  <c r="D2" i="8"/>
  <c r="I187" i="7"/>
  <c r="H187" i="7"/>
  <c r="D187" i="7"/>
  <c r="I186" i="7"/>
  <c r="H186" i="7"/>
  <c r="D186" i="7"/>
  <c r="I185" i="7"/>
  <c r="H185" i="7"/>
  <c r="D185" i="7"/>
  <c r="I184" i="7"/>
  <c r="H184" i="7"/>
  <c r="D184" i="7"/>
  <c r="I183" i="7"/>
  <c r="H183" i="7"/>
  <c r="D183" i="7"/>
  <c r="I182" i="7"/>
  <c r="H182" i="7"/>
  <c r="D182" i="7"/>
  <c r="I181" i="7"/>
  <c r="H181" i="7"/>
  <c r="D181" i="7"/>
  <c r="I180" i="7"/>
  <c r="H180" i="7"/>
  <c r="D180" i="7"/>
  <c r="I179" i="7"/>
  <c r="H179" i="7"/>
  <c r="D179" i="7"/>
  <c r="I178" i="7"/>
  <c r="H178" i="7"/>
  <c r="D178" i="7"/>
  <c r="I177" i="7"/>
  <c r="H177" i="7"/>
  <c r="D177" i="7"/>
  <c r="I176" i="7"/>
  <c r="H176" i="7"/>
  <c r="D176" i="7"/>
  <c r="I175" i="7"/>
  <c r="H175" i="7"/>
  <c r="D175" i="7"/>
  <c r="I174" i="7"/>
  <c r="H174" i="7"/>
  <c r="D174" i="7"/>
  <c r="I173" i="7"/>
  <c r="H173" i="7"/>
  <c r="D173" i="7"/>
  <c r="I172" i="7"/>
  <c r="H172" i="7"/>
  <c r="D172" i="7"/>
  <c r="I171" i="7"/>
  <c r="H171" i="7"/>
  <c r="D171" i="7"/>
  <c r="I170" i="7"/>
  <c r="H170" i="7"/>
  <c r="D170" i="7"/>
  <c r="I169" i="7"/>
  <c r="H169" i="7"/>
  <c r="D169" i="7"/>
  <c r="I168" i="7"/>
  <c r="H168" i="7"/>
  <c r="D168" i="7"/>
  <c r="I167" i="7"/>
  <c r="H167" i="7"/>
  <c r="D167" i="7"/>
  <c r="I166" i="7"/>
  <c r="H166" i="7"/>
  <c r="D166" i="7"/>
  <c r="I165" i="7"/>
  <c r="H165" i="7"/>
  <c r="D165" i="7"/>
  <c r="I164" i="7"/>
  <c r="H164" i="7"/>
  <c r="D164" i="7"/>
  <c r="I163" i="7"/>
  <c r="H163" i="7"/>
  <c r="D163" i="7"/>
  <c r="I162" i="7"/>
  <c r="H162" i="7"/>
  <c r="D162" i="7"/>
  <c r="I161" i="7"/>
  <c r="H161" i="7"/>
  <c r="D161" i="7"/>
  <c r="I160" i="7"/>
  <c r="H160" i="7"/>
  <c r="D160" i="7"/>
  <c r="I159" i="7"/>
  <c r="H159" i="7"/>
  <c r="D159" i="7"/>
  <c r="I158" i="7"/>
  <c r="H158" i="7"/>
  <c r="D158" i="7"/>
  <c r="I157" i="7"/>
  <c r="H157" i="7"/>
  <c r="D157" i="7"/>
  <c r="I156" i="7"/>
  <c r="H156" i="7"/>
  <c r="D156" i="7"/>
  <c r="I155" i="7"/>
  <c r="H155" i="7"/>
  <c r="D155" i="7"/>
  <c r="I154" i="7"/>
  <c r="H154" i="7"/>
  <c r="D154" i="7"/>
  <c r="I153" i="7"/>
  <c r="H153" i="7"/>
  <c r="D153" i="7"/>
  <c r="I152" i="7"/>
  <c r="H152" i="7"/>
  <c r="D152" i="7"/>
  <c r="I151" i="7"/>
  <c r="H151" i="7"/>
  <c r="D151" i="7"/>
  <c r="I150" i="7"/>
  <c r="H150" i="7"/>
  <c r="D150" i="7"/>
  <c r="I149" i="7"/>
  <c r="H149" i="7"/>
  <c r="D149" i="7"/>
  <c r="I148" i="7"/>
  <c r="H148" i="7"/>
  <c r="D148" i="7"/>
  <c r="I147" i="7"/>
  <c r="H147" i="7"/>
  <c r="D147" i="7"/>
  <c r="I146" i="7"/>
  <c r="H146" i="7"/>
  <c r="D146" i="7"/>
  <c r="I145" i="7"/>
  <c r="H145" i="7"/>
  <c r="D145" i="7"/>
  <c r="I144" i="7"/>
  <c r="H144" i="7"/>
  <c r="D144" i="7"/>
  <c r="I143" i="7"/>
  <c r="H143" i="7"/>
  <c r="D143" i="7"/>
  <c r="I142" i="7"/>
  <c r="H142" i="7"/>
  <c r="D142" i="7"/>
  <c r="I141" i="7"/>
  <c r="H141" i="7"/>
  <c r="D141" i="7"/>
  <c r="I140" i="7"/>
  <c r="H140" i="7"/>
  <c r="D140" i="7"/>
  <c r="I139" i="7"/>
  <c r="H139" i="7"/>
  <c r="D139" i="7"/>
  <c r="I138" i="7"/>
  <c r="H138" i="7"/>
  <c r="D138" i="7"/>
  <c r="I137" i="7"/>
  <c r="H137" i="7"/>
  <c r="D137" i="7"/>
  <c r="I136" i="7"/>
  <c r="H136" i="7"/>
  <c r="D136" i="7"/>
  <c r="I135" i="7"/>
  <c r="H135" i="7"/>
  <c r="D135" i="7"/>
  <c r="I134" i="7"/>
  <c r="H134" i="7"/>
  <c r="D134" i="7"/>
  <c r="I133" i="7"/>
  <c r="H133" i="7"/>
  <c r="D133" i="7"/>
  <c r="I132" i="7"/>
  <c r="H132" i="7"/>
  <c r="D132" i="7"/>
  <c r="I131" i="7"/>
  <c r="H131" i="7"/>
  <c r="D131" i="7"/>
  <c r="I130" i="7"/>
  <c r="H130" i="7"/>
  <c r="D130" i="7"/>
  <c r="I129" i="7"/>
  <c r="H129" i="7"/>
  <c r="D129" i="7"/>
  <c r="I128" i="7"/>
  <c r="H128" i="7"/>
  <c r="D128" i="7"/>
  <c r="I127" i="7"/>
  <c r="H127" i="7"/>
  <c r="D127" i="7"/>
  <c r="I126" i="7"/>
  <c r="H126" i="7"/>
  <c r="D126" i="7"/>
  <c r="I125" i="7"/>
  <c r="H125" i="7"/>
  <c r="D125" i="7"/>
  <c r="I124" i="7"/>
  <c r="H124" i="7"/>
  <c r="D124" i="7"/>
  <c r="I123" i="7"/>
  <c r="H123" i="7"/>
  <c r="D123" i="7"/>
  <c r="I122" i="7"/>
  <c r="H122" i="7"/>
  <c r="D122" i="7"/>
  <c r="I121" i="7"/>
  <c r="H121" i="7"/>
  <c r="D121" i="7"/>
  <c r="I120" i="7"/>
  <c r="H120" i="7"/>
  <c r="D120" i="7"/>
  <c r="I119" i="7"/>
  <c r="H119" i="7"/>
  <c r="D119" i="7"/>
  <c r="I118" i="7"/>
  <c r="H118" i="7"/>
  <c r="D118" i="7"/>
  <c r="I117" i="7"/>
  <c r="H117" i="7"/>
  <c r="D117" i="7"/>
  <c r="I116" i="7"/>
  <c r="H116" i="7"/>
  <c r="D116" i="7"/>
  <c r="I115" i="7"/>
  <c r="H115" i="7"/>
  <c r="D115" i="7"/>
  <c r="I114" i="7"/>
  <c r="H114" i="7"/>
  <c r="D114" i="7"/>
  <c r="I113" i="7"/>
  <c r="H113" i="7"/>
  <c r="D113" i="7"/>
  <c r="I112" i="7"/>
  <c r="H112" i="7"/>
  <c r="D112" i="7"/>
  <c r="I111" i="7"/>
  <c r="H111" i="7"/>
  <c r="D111" i="7"/>
  <c r="I110" i="7"/>
  <c r="H110" i="7"/>
  <c r="D110" i="7"/>
  <c r="I109" i="7"/>
  <c r="H109" i="7"/>
  <c r="D109" i="7"/>
  <c r="I108" i="7"/>
  <c r="H108" i="7"/>
  <c r="D108" i="7"/>
  <c r="I107" i="7"/>
  <c r="H107" i="7"/>
  <c r="D107" i="7"/>
  <c r="I106" i="7"/>
  <c r="H106" i="7"/>
  <c r="D106" i="7"/>
  <c r="I105" i="7"/>
  <c r="H105" i="7"/>
  <c r="D105" i="7"/>
  <c r="I104" i="7"/>
  <c r="H104" i="7"/>
  <c r="D104" i="7"/>
  <c r="I103" i="7"/>
  <c r="H103" i="7"/>
  <c r="D103" i="7"/>
  <c r="I102" i="7"/>
  <c r="H102" i="7"/>
  <c r="D102" i="7"/>
  <c r="I101" i="7"/>
  <c r="H101" i="7"/>
  <c r="D101" i="7"/>
  <c r="I100" i="7"/>
  <c r="H100" i="7"/>
  <c r="D100" i="7"/>
  <c r="I99" i="7"/>
  <c r="H99" i="7"/>
  <c r="D99" i="7"/>
  <c r="I98" i="7"/>
  <c r="H98" i="7"/>
  <c r="D98" i="7"/>
  <c r="I97" i="7"/>
  <c r="H97" i="7"/>
  <c r="D97" i="7"/>
  <c r="I96" i="7"/>
  <c r="H96" i="7"/>
  <c r="D96" i="7"/>
  <c r="I95" i="7"/>
  <c r="H95" i="7"/>
  <c r="D95" i="7"/>
  <c r="I94" i="7"/>
  <c r="H94" i="7"/>
  <c r="D94" i="7"/>
  <c r="I93" i="7"/>
  <c r="H93" i="7"/>
  <c r="D93" i="7"/>
  <c r="I92" i="7"/>
  <c r="H92" i="7"/>
  <c r="D92" i="7"/>
  <c r="I91" i="7"/>
  <c r="H91" i="7"/>
  <c r="D91" i="7"/>
  <c r="I90" i="7"/>
  <c r="H90" i="7"/>
  <c r="D90" i="7"/>
  <c r="I89" i="7"/>
  <c r="H89" i="7"/>
  <c r="D89" i="7"/>
  <c r="I88" i="7"/>
  <c r="H88" i="7"/>
  <c r="D88" i="7"/>
  <c r="I87" i="7"/>
  <c r="H87" i="7"/>
  <c r="D87" i="7"/>
  <c r="I86" i="7"/>
  <c r="H86" i="7"/>
  <c r="D86" i="7"/>
  <c r="I85" i="7"/>
  <c r="H85" i="7"/>
  <c r="D85" i="7"/>
  <c r="I84" i="7"/>
  <c r="H84" i="7"/>
  <c r="D84" i="7"/>
  <c r="I83" i="7"/>
  <c r="H83" i="7"/>
  <c r="D83" i="7"/>
  <c r="I82" i="7"/>
  <c r="H82" i="7"/>
  <c r="D82" i="7"/>
  <c r="I81" i="7"/>
  <c r="H81" i="7"/>
  <c r="D81" i="7"/>
  <c r="I80" i="7"/>
  <c r="H80" i="7"/>
  <c r="D80" i="7"/>
  <c r="I79" i="7"/>
  <c r="H79" i="7"/>
  <c r="D79" i="7"/>
  <c r="I78" i="7"/>
  <c r="H78" i="7"/>
  <c r="D78" i="7"/>
  <c r="I77" i="7"/>
  <c r="H77" i="7"/>
  <c r="D77" i="7"/>
  <c r="I76" i="7"/>
  <c r="H76" i="7"/>
  <c r="D76" i="7"/>
  <c r="I75" i="7"/>
  <c r="H75" i="7"/>
  <c r="D75" i="7"/>
  <c r="I74" i="7"/>
  <c r="H74" i="7"/>
  <c r="D74" i="7"/>
  <c r="I73" i="7"/>
  <c r="H73" i="7"/>
  <c r="D73" i="7"/>
  <c r="I72" i="7"/>
  <c r="H72" i="7"/>
  <c r="D72" i="7"/>
  <c r="I71" i="7"/>
  <c r="H71" i="7"/>
  <c r="D71" i="7"/>
  <c r="I70" i="7"/>
  <c r="H70" i="7"/>
  <c r="D70" i="7"/>
  <c r="I69" i="7"/>
  <c r="H69" i="7"/>
  <c r="D69" i="7"/>
  <c r="I68" i="7"/>
  <c r="H68" i="7"/>
  <c r="D68" i="7"/>
  <c r="I67" i="7"/>
  <c r="H67" i="7"/>
  <c r="D67" i="7"/>
  <c r="I66" i="7"/>
  <c r="H66" i="7"/>
  <c r="D66" i="7"/>
  <c r="I65" i="7"/>
  <c r="H65" i="7"/>
  <c r="D65" i="7"/>
  <c r="I64" i="7"/>
  <c r="H64" i="7"/>
  <c r="D64" i="7"/>
  <c r="I63" i="7"/>
  <c r="H63" i="7"/>
  <c r="D63" i="7"/>
  <c r="I62" i="7"/>
  <c r="H62" i="7"/>
  <c r="D62" i="7"/>
  <c r="I61" i="7"/>
  <c r="H61" i="7"/>
  <c r="D61" i="7"/>
  <c r="I60" i="7"/>
  <c r="H60" i="7"/>
  <c r="D60" i="7"/>
  <c r="I59" i="7"/>
  <c r="H59" i="7"/>
  <c r="D59" i="7"/>
  <c r="I58" i="7"/>
  <c r="H58" i="7"/>
  <c r="D58" i="7"/>
  <c r="I57" i="7"/>
  <c r="H57" i="7"/>
  <c r="D57" i="7"/>
  <c r="I56" i="7"/>
  <c r="H56" i="7"/>
  <c r="D56" i="7"/>
  <c r="I55" i="7"/>
  <c r="H55" i="7"/>
  <c r="D55" i="7"/>
  <c r="I54" i="7"/>
  <c r="H54" i="7"/>
  <c r="D54" i="7"/>
  <c r="I53" i="7"/>
  <c r="H53" i="7"/>
  <c r="D53" i="7"/>
  <c r="I52" i="7"/>
  <c r="H52" i="7"/>
  <c r="D52" i="7"/>
  <c r="I51" i="7"/>
  <c r="H51" i="7"/>
  <c r="D51" i="7"/>
  <c r="I50" i="7"/>
  <c r="H50" i="7"/>
  <c r="D50" i="7"/>
  <c r="I49" i="7"/>
  <c r="H49" i="7"/>
  <c r="D49" i="7"/>
  <c r="I48" i="7"/>
  <c r="H48" i="7"/>
  <c r="D48" i="7"/>
  <c r="I47" i="7"/>
  <c r="H47" i="7"/>
  <c r="D47" i="7"/>
  <c r="I46" i="7"/>
  <c r="H46" i="7"/>
  <c r="D46" i="7"/>
  <c r="I45" i="7"/>
  <c r="H45" i="7"/>
  <c r="D45" i="7"/>
  <c r="I44" i="7"/>
  <c r="H44" i="7"/>
  <c r="D44" i="7"/>
  <c r="I43" i="7"/>
  <c r="H43" i="7"/>
  <c r="D43" i="7"/>
  <c r="I42" i="7"/>
  <c r="H42" i="7"/>
  <c r="D42" i="7"/>
  <c r="I41" i="7"/>
  <c r="H41" i="7"/>
  <c r="D41" i="7"/>
  <c r="I40" i="7"/>
  <c r="H40" i="7"/>
  <c r="D40" i="7"/>
  <c r="I39" i="7"/>
  <c r="H39" i="7"/>
  <c r="D39" i="7"/>
  <c r="I38" i="7"/>
  <c r="H38" i="7"/>
  <c r="D38" i="7"/>
  <c r="I37" i="7"/>
  <c r="H37" i="7"/>
  <c r="D37" i="7"/>
  <c r="I36" i="7"/>
  <c r="H36" i="7"/>
  <c r="D36" i="7"/>
  <c r="I35" i="7"/>
  <c r="H35" i="7"/>
  <c r="D35" i="7"/>
  <c r="I34" i="7"/>
  <c r="H34" i="7"/>
  <c r="D34" i="7"/>
  <c r="I33" i="7"/>
  <c r="H33" i="7"/>
  <c r="D33" i="7"/>
  <c r="I32" i="7"/>
  <c r="H32" i="7"/>
  <c r="D32" i="7"/>
  <c r="I31" i="7"/>
  <c r="H31" i="7"/>
  <c r="D31" i="7"/>
  <c r="I30" i="7"/>
  <c r="H30" i="7"/>
  <c r="D30" i="7"/>
  <c r="I29" i="7"/>
  <c r="H29" i="7"/>
  <c r="D29" i="7"/>
  <c r="I28" i="7"/>
  <c r="H28" i="7"/>
  <c r="D28" i="7"/>
  <c r="I27" i="7"/>
  <c r="H27" i="7"/>
  <c r="D27" i="7"/>
  <c r="I26" i="7"/>
  <c r="H26" i="7"/>
  <c r="D26" i="7"/>
  <c r="I25" i="7"/>
  <c r="H25" i="7"/>
  <c r="D25" i="7"/>
  <c r="I24" i="7"/>
  <c r="H24" i="7"/>
  <c r="D24" i="7"/>
  <c r="I23" i="7"/>
  <c r="H23" i="7"/>
  <c r="D23" i="7"/>
  <c r="I22" i="7"/>
  <c r="H22" i="7"/>
  <c r="D22" i="7"/>
  <c r="I21" i="7"/>
  <c r="H21" i="7"/>
  <c r="D21" i="7"/>
  <c r="I20" i="7"/>
  <c r="H20" i="7"/>
  <c r="D20" i="7"/>
  <c r="I19" i="7"/>
  <c r="H19" i="7"/>
  <c r="D19" i="7"/>
  <c r="I18" i="7"/>
  <c r="H18" i="7"/>
  <c r="D18" i="7"/>
  <c r="I17" i="7"/>
  <c r="H17" i="7"/>
  <c r="D17" i="7"/>
  <c r="I16" i="7"/>
  <c r="H16" i="7"/>
  <c r="D16" i="7"/>
  <c r="I15" i="7"/>
  <c r="H15" i="7"/>
  <c r="D15" i="7"/>
  <c r="I14" i="7"/>
  <c r="H14" i="7"/>
  <c r="D14" i="7"/>
  <c r="I13" i="7"/>
  <c r="H13" i="7"/>
  <c r="D13" i="7"/>
  <c r="I12" i="7"/>
  <c r="H12" i="7"/>
  <c r="D12" i="7"/>
  <c r="I11" i="7"/>
  <c r="H11" i="7"/>
  <c r="D11" i="7"/>
  <c r="I10" i="7"/>
  <c r="H10" i="7"/>
  <c r="D10" i="7"/>
  <c r="I9" i="7"/>
  <c r="H9" i="7"/>
  <c r="D9" i="7"/>
  <c r="I8" i="7"/>
  <c r="H8" i="7"/>
  <c r="D8" i="7"/>
  <c r="I7" i="7"/>
  <c r="H7" i="7"/>
  <c r="D7" i="7"/>
  <c r="I6" i="7"/>
  <c r="H6" i="7"/>
  <c r="D6" i="7"/>
  <c r="I5" i="7"/>
  <c r="H5" i="7"/>
  <c r="D5" i="7"/>
  <c r="I4" i="7"/>
  <c r="H4" i="7"/>
  <c r="D4" i="7"/>
  <c r="I3" i="7"/>
  <c r="H3" i="7"/>
  <c r="D3" i="7"/>
  <c r="I2" i="7"/>
  <c r="H2" i="7"/>
  <c r="D2" i="7"/>
  <c r="I187" i="6"/>
  <c r="H187" i="6"/>
  <c r="D187" i="6"/>
  <c r="I186" i="6"/>
  <c r="H186" i="6"/>
  <c r="D186" i="6"/>
  <c r="I185" i="6"/>
  <c r="H185" i="6"/>
  <c r="D185" i="6"/>
  <c r="I184" i="6"/>
  <c r="H184" i="6"/>
  <c r="D184" i="6"/>
  <c r="I183" i="6"/>
  <c r="H183" i="6"/>
  <c r="D183" i="6"/>
  <c r="I182" i="6"/>
  <c r="H182" i="6"/>
  <c r="D182" i="6"/>
  <c r="I181" i="6"/>
  <c r="H181" i="6"/>
  <c r="D181" i="6"/>
  <c r="I180" i="6"/>
  <c r="H180" i="6"/>
  <c r="D180" i="6"/>
  <c r="I179" i="6"/>
  <c r="H179" i="6"/>
  <c r="D179" i="6"/>
  <c r="I178" i="6"/>
  <c r="H178" i="6"/>
  <c r="D178" i="6"/>
  <c r="I177" i="6"/>
  <c r="H177" i="6"/>
  <c r="D177" i="6"/>
  <c r="I176" i="6"/>
  <c r="H176" i="6"/>
  <c r="D176" i="6"/>
  <c r="I175" i="6"/>
  <c r="H175" i="6"/>
  <c r="D175" i="6"/>
  <c r="I174" i="6"/>
  <c r="H174" i="6"/>
  <c r="D174" i="6"/>
  <c r="I173" i="6"/>
  <c r="H173" i="6"/>
  <c r="D173" i="6"/>
  <c r="I172" i="6"/>
  <c r="H172" i="6"/>
  <c r="D172" i="6"/>
  <c r="I171" i="6"/>
  <c r="H171" i="6"/>
  <c r="D171" i="6"/>
  <c r="I170" i="6"/>
  <c r="H170" i="6"/>
  <c r="D170" i="6"/>
  <c r="I169" i="6"/>
  <c r="H169" i="6"/>
  <c r="D169" i="6"/>
  <c r="I168" i="6"/>
  <c r="H168" i="6"/>
  <c r="D168" i="6"/>
  <c r="I167" i="6"/>
  <c r="H167" i="6"/>
  <c r="D167" i="6"/>
  <c r="I166" i="6"/>
  <c r="H166" i="6"/>
  <c r="D166" i="6"/>
  <c r="I165" i="6"/>
  <c r="H165" i="6"/>
  <c r="D165" i="6"/>
  <c r="I164" i="6"/>
  <c r="H164" i="6"/>
  <c r="D164" i="6"/>
  <c r="I163" i="6"/>
  <c r="H163" i="6"/>
  <c r="D163" i="6"/>
  <c r="I162" i="6"/>
  <c r="H162" i="6"/>
  <c r="D162" i="6"/>
  <c r="I161" i="6"/>
  <c r="H161" i="6"/>
  <c r="D161" i="6"/>
  <c r="I160" i="6"/>
  <c r="H160" i="6"/>
  <c r="D160" i="6"/>
  <c r="I159" i="6"/>
  <c r="H159" i="6"/>
  <c r="D159" i="6"/>
  <c r="I158" i="6"/>
  <c r="H158" i="6"/>
  <c r="D158" i="6"/>
  <c r="I157" i="6"/>
  <c r="H157" i="6"/>
  <c r="D157" i="6"/>
  <c r="I156" i="6"/>
  <c r="H156" i="6"/>
  <c r="D156" i="6"/>
  <c r="I155" i="6"/>
  <c r="H155" i="6"/>
  <c r="D155" i="6"/>
  <c r="I154" i="6"/>
  <c r="H154" i="6"/>
  <c r="D154" i="6"/>
  <c r="I153" i="6"/>
  <c r="H153" i="6"/>
  <c r="D153" i="6"/>
  <c r="I152" i="6"/>
  <c r="H152" i="6"/>
  <c r="D152" i="6"/>
  <c r="I151" i="6"/>
  <c r="H151" i="6"/>
  <c r="D151" i="6"/>
  <c r="I150" i="6"/>
  <c r="H150" i="6"/>
  <c r="D150" i="6"/>
  <c r="I149" i="6"/>
  <c r="H149" i="6"/>
  <c r="D149" i="6"/>
  <c r="I148" i="6"/>
  <c r="H148" i="6"/>
  <c r="D148" i="6"/>
  <c r="I147" i="6"/>
  <c r="H147" i="6"/>
  <c r="D147" i="6"/>
  <c r="I146" i="6"/>
  <c r="H146" i="6"/>
  <c r="D146" i="6"/>
  <c r="I145" i="6"/>
  <c r="H145" i="6"/>
  <c r="D145" i="6"/>
  <c r="I144" i="6"/>
  <c r="H144" i="6"/>
  <c r="D144" i="6"/>
  <c r="I143" i="6"/>
  <c r="H143" i="6"/>
  <c r="D143" i="6"/>
  <c r="I142" i="6"/>
  <c r="H142" i="6"/>
  <c r="D142" i="6"/>
  <c r="I141" i="6"/>
  <c r="H141" i="6"/>
  <c r="D141" i="6"/>
  <c r="I140" i="6"/>
  <c r="H140" i="6"/>
  <c r="D140" i="6"/>
  <c r="I139" i="6"/>
  <c r="H139" i="6"/>
  <c r="D139" i="6"/>
  <c r="I138" i="6"/>
  <c r="H138" i="6"/>
  <c r="D138" i="6"/>
  <c r="I137" i="6"/>
  <c r="H137" i="6"/>
  <c r="D137" i="6"/>
  <c r="I136" i="6"/>
  <c r="H136" i="6"/>
  <c r="D136" i="6"/>
  <c r="I135" i="6"/>
  <c r="H135" i="6"/>
  <c r="D135" i="6"/>
  <c r="I134" i="6"/>
  <c r="H134" i="6"/>
  <c r="D134" i="6"/>
  <c r="I133" i="6"/>
  <c r="H133" i="6"/>
  <c r="D133" i="6"/>
  <c r="I132" i="6"/>
  <c r="H132" i="6"/>
  <c r="D132" i="6"/>
  <c r="I131" i="6"/>
  <c r="H131" i="6"/>
  <c r="D131" i="6"/>
  <c r="I130" i="6"/>
  <c r="H130" i="6"/>
  <c r="D130" i="6"/>
  <c r="I129" i="6"/>
  <c r="H129" i="6"/>
  <c r="D129" i="6"/>
  <c r="I128" i="6"/>
  <c r="H128" i="6"/>
  <c r="D128" i="6"/>
  <c r="I127" i="6"/>
  <c r="H127" i="6"/>
  <c r="D127" i="6"/>
  <c r="I126" i="6"/>
  <c r="H126" i="6"/>
  <c r="D126" i="6"/>
  <c r="I125" i="6"/>
  <c r="H125" i="6"/>
  <c r="D125" i="6"/>
  <c r="I124" i="6"/>
  <c r="H124" i="6"/>
  <c r="D124" i="6"/>
  <c r="I123" i="6"/>
  <c r="H123" i="6"/>
  <c r="D123" i="6"/>
  <c r="I122" i="6"/>
  <c r="H122" i="6"/>
  <c r="D122" i="6"/>
  <c r="I121" i="6"/>
  <c r="H121" i="6"/>
  <c r="D121" i="6"/>
  <c r="I120" i="6"/>
  <c r="H120" i="6"/>
  <c r="D120" i="6"/>
  <c r="I119" i="6"/>
  <c r="H119" i="6"/>
  <c r="D119" i="6"/>
  <c r="I118" i="6"/>
  <c r="H118" i="6"/>
  <c r="D118" i="6"/>
  <c r="I117" i="6"/>
  <c r="H117" i="6"/>
  <c r="D117" i="6"/>
  <c r="I116" i="6"/>
  <c r="H116" i="6"/>
  <c r="D116" i="6"/>
  <c r="I115" i="6"/>
  <c r="H115" i="6"/>
  <c r="D115" i="6"/>
  <c r="I114" i="6"/>
  <c r="H114" i="6"/>
  <c r="D114" i="6"/>
  <c r="I113" i="6"/>
  <c r="H113" i="6"/>
  <c r="D113" i="6"/>
  <c r="I112" i="6"/>
  <c r="H112" i="6"/>
  <c r="D112" i="6"/>
  <c r="I111" i="6"/>
  <c r="H111" i="6"/>
  <c r="D111" i="6"/>
  <c r="I110" i="6"/>
  <c r="H110" i="6"/>
  <c r="D110" i="6"/>
  <c r="I109" i="6"/>
  <c r="H109" i="6"/>
  <c r="D109" i="6"/>
  <c r="I108" i="6"/>
  <c r="H108" i="6"/>
  <c r="D108" i="6"/>
  <c r="I107" i="6"/>
  <c r="H107" i="6"/>
  <c r="D107" i="6"/>
  <c r="I106" i="6"/>
  <c r="H106" i="6"/>
  <c r="D106" i="6"/>
  <c r="I105" i="6"/>
  <c r="H105" i="6"/>
  <c r="D105" i="6"/>
  <c r="I104" i="6"/>
  <c r="H104" i="6"/>
  <c r="D104" i="6"/>
  <c r="I103" i="6"/>
  <c r="H103" i="6"/>
  <c r="D103" i="6"/>
  <c r="I102" i="6"/>
  <c r="H102" i="6"/>
  <c r="D102" i="6"/>
  <c r="I101" i="6"/>
  <c r="H101" i="6"/>
  <c r="D101" i="6"/>
  <c r="I100" i="6"/>
  <c r="H100" i="6"/>
  <c r="D100" i="6"/>
  <c r="I99" i="6"/>
  <c r="H99" i="6"/>
  <c r="D99" i="6"/>
  <c r="I98" i="6"/>
  <c r="H98" i="6"/>
  <c r="D98" i="6"/>
  <c r="I97" i="6"/>
  <c r="H97" i="6"/>
  <c r="D97" i="6"/>
  <c r="I96" i="6"/>
  <c r="H96" i="6"/>
  <c r="D96" i="6"/>
  <c r="I95" i="6"/>
  <c r="H95" i="6"/>
  <c r="D95" i="6"/>
  <c r="I94" i="6"/>
  <c r="H94" i="6"/>
  <c r="D94" i="6"/>
  <c r="I93" i="6"/>
  <c r="H93" i="6"/>
  <c r="D93" i="6"/>
  <c r="I92" i="6"/>
  <c r="H92" i="6"/>
  <c r="D92" i="6"/>
  <c r="I91" i="6"/>
  <c r="H91" i="6"/>
  <c r="D91" i="6"/>
  <c r="I90" i="6"/>
  <c r="H90" i="6"/>
  <c r="D90" i="6"/>
  <c r="I89" i="6"/>
  <c r="H89" i="6"/>
  <c r="D89" i="6"/>
  <c r="I88" i="6"/>
  <c r="H88" i="6"/>
  <c r="D88" i="6"/>
  <c r="I87" i="6"/>
  <c r="H87" i="6"/>
  <c r="D87" i="6"/>
  <c r="I86" i="6"/>
  <c r="H86" i="6"/>
  <c r="D86" i="6"/>
  <c r="I85" i="6"/>
  <c r="H85" i="6"/>
  <c r="D85" i="6"/>
  <c r="I84" i="6"/>
  <c r="H84" i="6"/>
  <c r="D84" i="6"/>
  <c r="I83" i="6"/>
  <c r="H83" i="6"/>
  <c r="D83" i="6"/>
  <c r="I82" i="6"/>
  <c r="H82" i="6"/>
  <c r="D82" i="6"/>
  <c r="I81" i="6"/>
  <c r="H81" i="6"/>
  <c r="D81" i="6"/>
  <c r="I80" i="6"/>
  <c r="H80" i="6"/>
  <c r="D80" i="6"/>
  <c r="I79" i="6"/>
  <c r="H79" i="6"/>
  <c r="D79" i="6"/>
  <c r="I78" i="6"/>
  <c r="H78" i="6"/>
  <c r="D78" i="6"/>
  <c r="I77" i="6"/>
  <c r="H77" i="6"/>
  <c r="D77" i="6"/>
  <c r="I76" i="6"/>
  <c r="H76" i="6"/>
  <c r="D76" i="6"/>
  <c r="I75" i="6"/>
  <c r="H75" i="6"/>
  <c r="D75" i="6"/>
  <c r="I74" i="6"/>
  <c r="H74" i="6"/>
  <c r="D74" i="6"/>
  <c r="I73" i="6"/>
  <c r="H73" i="6"/>
  <c r="D73" i="6"/>
  <c r="I72" i="6"/>
  <c r="H72" i="6"/>
  <c r="D72" i="6"/>
  <c r="I71" i="6"/>
  <c r="H71" i="6"/>
  <c r="D71" i="6"/>
  <c r="I70" i="6"/>
  <c r="H70" i="6"/>
  <c r="D70" i="6"/>
  <c r="I69" i="6"/>
  <c r="H69" i="6"/>
  <c r="D69" i="6"/>
  <c r="I68" i="6"/>
  <c r="H68" i="6"/>
  <c r="D68" i="6"/>
  <c r="I67" i="6"/>
  <c r="H67" i="6"/>
  <c r="D67" i="6"/>
  <c r="I66" i="6"/>
  <c r="H66" i="6"/>
  <c r="D66" i="6"/>
  <c r="I65" i="6"/>
  <c r="H65" i="6"/>
  <c r="D65" i="6"/>
  <c r="I64" i="6"/>
  <c r="H64" i="6"/>
  <c r="D64" i="6"/>
  <c r="I63" i="6"/>
  <c r="H63" i="6"/>
  <c r="D63" i="6"/>
  <c r="I62" i="6"/>
  <c r="H62" i="6"/>
  <c r="D62" i="6"/>
  <c r="I61" i="6"/>
  <c r="H61" i="6"/>
  <c r="D61" i="6"/>
  <c r="I60" i="6"/>
  <c r="H60" i="6"/>
  <c r="D60" i="6"/>
  <c r="I59" i="6"/>
  <c r="H59" i="6"/>
  <c r="D59" i="6"/>
  <c r="I58" i="6"/>
  <c r="H58" i="6"/>
  <c r="D58" i="6"/>
  <c r="I57" i="6"/>
  <c r="H57" i="6"/>
  <c r="D57" i="6"/>
  <c r="I56" i="6"/>
  <c r="H56" i="6"/>
  <c r="D56" i="6"/>
  <c r="I55" i="6"/>
  <c r="H55" i="6"/>
  <c r="D55" i="6"/>
  <c r="I54" i="6"/>
  <c r="H54" i="6"/>
  <c r="D54" i="6"/>
  <c r="I53" i="6"/>
  <c r="H53" i="6"/>
  <c r="D53" i="6"/>
  <c r="I52" i="6"/>
  <c r="H52" i="6"/>
  <c r="D52" i="6"/>
  <c r="I51" i="6"/>
  <c r="H51" i="6"/>
  <c r="D51" i="6"/>
  <c r="I50" i="6"/>
  <c r="H50" i="6"/>
  <c r="D50" i="6"/>
  <c r="I49" i="6"/>
  <c r="H49" i="6"/>
  <c r="D49" i="6"/>
  <c r="I48" i="6"/>
  <c r="H48" i="6"/>
  <c r="D48" i="6"/>
  <c r="I47" i="6"/>
  <c r="H47" i="6"/>
  <c r="D47" i="6"/>
  <c r="I46" i="6"/>
  <c r="H46" i="6"/>
  <c r="D46" i="6"/>
  <c r="I45" i="6"/>
  <c r="H45" i="6"/>
  <c r="D45" i="6"/>
  <c r="I44" i="6"/>
  <c r="H44" i="6"/>
  <c r="D44" i="6"/>
  <c r="I43" i="6"/>
  <c r="H43" i="6"/>
  <c r="D43" i="6"/>
  <c r="I42" i="6"/>
  <c r="H42" i="6"/>
  <c r="D42" i="6"/>
  <c r="I41" i="6"/>
  <c r="H41" i="6"/>
  <c r="D41" i="6"/>
  <c r="I40" i="6"/>
  <c r="H40" i="6"/>
  <c r="D40" i="6"/>
  <c r="I39" i="6"/>
  <c r="H39" i="6"/>
  <c r="D39" i="6"/>
  <c r="I38" i="6"/>
  <c r="H38" i="6"/>
  <c r="D38" i="6"/>
  <c r="I37" i="6"/>
  <c r="H37" i="6"/>
  <c r="D37" i="6"/>
  <c r="I36" i="6"/>
  <c r="H36" i="6"/>
  <c r="D36" i="6"/>
  <c r="I35" i="6"/>
  <c r="H35" i="6"/>
  <c r="D35" i="6"/>
  <c r="I34" i="6"/>
  <c r="H34" i="6"/>
  <c r="D34" i="6"/>
  <c r="I33" i="6"/>
  <c r="H33" i="6"/>
  <c r="D33" i="6"/>
  <c r="I32" i="6"/>
  <c r="H32" i="6"/>
  <c r="D32" i="6"/>
  <c r="I31" i="6"/>
  <c r="H31" i="6"/>
  <c r="D31" i="6"/>
  <c r="I30" i="6"/>
  <c r="H30" i="6"/>
  <c r="D30" i="6"/>
  <c r="I29" i="6"/>
  <c r="H29" i="6"/>
  <c r="D29" i="6"/>
  <c r="I28" i="6"/>
  <c r="H28" i="6"/>
  <c r="D28" i="6"/>
  <c r="I27" i="6"/>
  <c r="H27" i="6"/>
  <c r="D27" i="6"/>
  <c r="I26" i="6"/>
  <c r="H26" i="6"/>
  <c r="D26" i="6"/>
  <c r="I25" i="6"/>
  <c r="H25" i="6"/>
  <c r="D25" i="6"/>
  <c r="I24" i="6"/>
  <c r="H24" i="6"/>
  <c r="D24" i="6"/>
  <c r="I23" i="6"/>
  <c r="H23" i="6"/>
  <c r="D23" i="6"/>
  <c r="I22" i="6"/>
  <c r="H22" i="6"/>
  <c r="D22" i="6"/>
  <c r="I21" i="6"/>
  <c r="H21" i="6"/>
  <c r="D21" i="6"/>
  <c r="I20" i="6"/>
  <c r="H20" i="6"/>
  <c r="D20" i="6"/>
  <c r="I19" i="6"/>
  <c r="H19" i="6"/>
  <c r="D19" i="6"/>
  <c r="I18" i="6"/>
  <c r="H18" i="6"/>
  <c r="D18" i="6"/>
  <c r="I17" i="6"/>
  <c r="H17" i="6"/>
  <c r="D17" i="6"/>
  <c r="I16" i="6"/>
  <c r="H16" i="6"/>
  <c r="D16" i="6"/>
  <c r="I15" i="6"/>
  <c r="H15" i="6"/>
  <c r="D15" i="6"/>
  <c r="I14" i="6"/>
  <c r="H14" i="6"/>
  <c r="D14" i="6"/>
  <c r="I13" i="6"/>
  <c r="H13" i="6"/>
  <c r="D13" i="6"/>
  <c r="I12" i="6"/>
  <c r="H12" i="6"/>
  <c r="D12" i="6"/>
  <c r="I11" i="6"/>
  <c r="H11" i="6"/>
  <c r="D11" i="6"/>
  <c r="I10" i="6"/>
  <c r="H10" i="6"/>
  <c r="D10" i="6"/>
  <c r="I9" i="6"/>
  <c r="H9" i="6"/>
  <c r="D9" i="6"/>
  <c r="I8" i="6"/>
  <c r="H8" i="6"/>
  <c r="D8" i="6"/>
  <c r="I7" i="6"/>
  <c r="H7" i="6"/>
  <c r="D7" i="6"/>
  <c r="I6" i="6"/>
  <c r="H6" i="6"/>
  <c r="D6" i="6"/>
  <c r="I5" i="6"/>
  <c r="H5" i="6"/>
  <c r="D5" i="6"/>
  <c r="I4" i="6"/>
  <c r="H4" i="6"/>
  <c r="D4" i="6"/>
  <c r="I3" i="6"/>
  <c r="H3" i="6"/>
  <c r="D3" i="6"/>
  <c r="I2" i="6"/>
  <c r="H2" i="6"/>
  <c r="D2" i="6"/>
  <c r="I187" i="5"/>
  <c r="H187" i="5"/>
  <c r="D187" i="5"/>
  <c r="I186" i="5"/>
  <c r="H186" i="5"/>
  <c r="D186" i="5"/>
  <c r="I185" i="5"/>
  <c r="H185" i="5"/>
  <c r="D185" i="5"/>
  <c r="I184" i="5"/>
  <c r="H184" i="5"/>
  <c r="D184" i="5"/>
  <c r="I183" i="5"/>
  <c r="H183" i="5"/>
  <c r="D183" i="5"/>
  <c r="I182" i="5"/>
  <c r="H182" i="5"/>
  <c r="D182" i="5"/>
  <c r="I181" i="5"/>
  <c r="H181" i="5"/>
  <c r="D181" i="5"/>
  <c r="I180" i="5"/>
  <c r="H180" i="5"/>
  <c r="D180" i="5"/>
  <c r="I179" i="5"/>
  <c r="H179" i="5"/>
  <c r="D179" i="5"/>
  <c r="I178" i="5"/>
  <c r="H178" i="5"/>
  <c r="D178" i="5"/>
  <c r="I177" i="5"/>
  <c r="H177" i="5"/>
  <c r="D177" i="5"/>
  <c r="I176" i="5"/>
  <c r="H176" i="5"/>
  <c r="D176" i="5"/>
  <c r="I175" i="5"/>
  <c r="H175" i="5"/>
  <c r="D175" i="5"/>
  <c r="I174" i="5"/>
  <c r="H174" i="5"/>
  <c r="D174" i="5"/>
  <c r="I173" i="5"/>
  <c r="H173" i="5"/>
  <c r="D173" i="5"/>
  <c r="I172" i="5"/>
  <c r="H172" i="5"/>
  <c r="D172" i="5"/>
  <c r="I171" i="5"/>
  <c r="H171" i="5"/>
  <c r="D171" i="5"/>
  <c r="I170" i="5"/>
  <c r="H170" i="5"/>
  <c r="D170" i="5"/>
  <c r="I169" i="5"/>
  <c r="H169" i="5"/>
  <c r="D169" i="5"/>
  <c r="I168" i="5"/>
  <c r="H168" i="5"/>
  <c r="D168" i="5"/>
  <c r="I167" i="5"/>
  <c r="H167" i="5"/>
  <c r="D167" i="5"/>
  <c r="I166" i="5"/>
  <c r="H166" i="5"/>
  <c r="D166" i="5"/>
  <c r="I165" i="5"/>
  <c r="H165" i="5"/>
  <c r="D165" i="5"/>
  <c r="I164" i="5"/>
  <c r="H164" i="5"/>
  <c r="D164" i="5"/>
  <c r="I163" i="5"/>
  <c r="H163" i="5"/>
  <c r="D163" i="5"/>
  <c r="I162" i="5"/>
  <c r="H162" i="5"/>
  <c r="D162" i="5"/>
  <c r="I161" i="5"/>
  <c r="H161" i="5"/>
  <c r="D161" i="5"/>
  <c r="I160" i="5"/>
  <c r="H160" i="5"/>
  <c r="D160" i="5"/>
  <c r="I159" i="5"/>
  <c r="H159" i="5"/>
  <c r="D159" i="5"/>
  <c r="I158" i="5"/>
  <c r="H158" i="5"/>
  <c r="D158" i="5"/>
  <c r="I157" i="5"/>
  <c r="H157" i="5"/>
  <c r="D157" i="5"/>
  <c r="I156" i="5"/>
  <c r="H156" i="5"/>
  <c r="D156" i="5"/>
  <c r="I155" i="5"/>
  <c r="H155" i="5"/>
  <c r="D155" i="5"/>
  <c r="I154" i="5"/>
  <c r="H154" i="5"/>
  <c r="D154" i="5"/>
  <c r="I153" i="5"/>
  <c r="H153" i="5"/>
  <c r="D153" i="5"/>
  <c r="I152" i="5"/>
  <c r="H152" i="5"/>
  <c r="D152" i="5"/>
  <c r="I151" i="5"/>
  <c r="H151" i="5"/>
  <c r="D151" i="5"/>
  <c r="I150" i="5"/>
  <c r="H150" i="5"/>
  <c r="D150" i="5"/>
  <c r="I149" i="5"/>
  <c r="H149" i="5"/>
  <c r="D149" i="5"/>
  <c r="I148" i="5"/>
  <c r="H148" i="5"/>
  <c r="D148" i="5"/>
  <c r="I147" i="5"/>
  <c r="H147" i="5"/>
  <c r="D147" i="5"/>
  <c r="I146" i="5"/>
  <c r="H146" i="5"/>
  <c r="D146" i="5"/>
  <c r="I145" i="5"/>
  <c r="H145" i="5"/>
  <c r="D145" i="5"/>
  <c r="I144" i="5"/>
  <c r="H144" i="5"/>
  <c r="D144" i="5"/>
  <c r="I143" i="5"/>
  <c r="H143" i="5"/>
  <c r="D143" i="5"/>
  <c r="I142" i="5"/>
  <c r="H142" i="5"/>
  <c r="D142" i="5"/>
  <c r="I141" i="5"/>
  <c r="H141" i="5"/>
  <c r="D141" i="5"/>
  <c r="I140" i="5"/>
  <c r="H140" i="5"/>
  <c r="D140" i="5"/>
  <c r="I139" i="5"/>
  <c r="H139" i="5"/>
  <c r="D139" i="5"/>
  <c r="I138" i="5"/>
  <c r="H138" i="5"/>
  <c r="D138" i="5"/>
  <c r="I137" i="5"/>
  <c r="H137" i="5"/>
  <c r="D137" i="5"/>
  <c r="I136" i="5"/>
  <c r="H136" i="5"/>
  <c r="D136" i="5"/>
  <c r="I135" i="5"/>
  <c r="H135" i="5"/>
  <c r="D135" i="5"/>
  <c r="I134" i="5"/>
  <c r="H134" i="5"/>
  <c r="D134" i="5"/>
  <c r="I133" i="5"/>
  <c r="H133" i="5"/>
  <c r="D133" i="5"/>
  <c r="I132" i="5"/>
  <c r="H132" i="5"/>
  <c r="D132" i="5"/>
  <c r="I131" i="5"/>
  <c r="H131" i="5"/>
  <c r="D131" i="5"/>
  <c r="I130" i="5"/>
  <c r="H130" i="5"/>
  <c r="D130" i="5"/>
  <c r="I129" i="5"/>
  <c r="H129" i="5"/>
  <c r="D129" i="5"/>
  <c r="I128" i="5"/>
  <c r="H128" i="5"/>
  <c r="D128" i="5"/>
  <c r="I127" i="5"/>
  <c r="H127" i="5"/>
  <c r="D127" i="5"/>
  <c r="I126" i="5"/>
  <c r="H126" i="5"/>
  <c r="D126" i="5"/>
  <c r="I125" i="5"/>
  <c r="H125" i="5"/>
  <c r="D125" i="5"/>
  <c r="I124" i="5"/>
  <c r="H124" i="5"/>
  <c r="D124" i="5"/>
  <c r="I123" i="5"/>
  <c r="H123" i="5"/>
  <c r="D123" i="5"/>
  <c r="I122" i="5"/>
  <c r="H122" i="5"/>
  <c r="D122" i="5"/>
  <c r="I121" i="5"/>
  <c r="H121" i="5"/>
  <c r="D121" i="5"/>
  <c r="I120" i="5"/>
  <c r="H120" i="5"/>
  <c r="D120" i="5"/>
  <c r="I119" i="5"/>
  <c r="H119" i="5"/>
  <c r="D119" i="5"/>
  <c r="I118" i="5"/>
  <c r="H118" i="5"/>
  <c r="D118" i="5"/>
  <c r="I117" i="5"/>
  <c r="H117" i="5"/>
  <c r="D117" i="5"/>
  <c r="I116" i="5"/>
  <c r="H116" i="5"/>
  <c r="D116" i="5"/>
  <c r="I115" i="5"/>
  <c r="H115" i="5"/>
  <c r="D115" i="5"/>
  <c r="I114" i="5"/>
  <c r="H114" i="5"/>
  <c r="D114" i="5"/>
  <c r="I113" i="5"/>
  <c r="H113" i="5"/>
  <c r="D113" i="5"/>
  <c r="I112" i="5"/>
  <c r="H112" i="5"/>
  <c r="D112" i="5"/>
  <c r="I111" i="5"/>
  <c r="H111" i="5"/>
  <c r="D111" i="5"/>
  <c r="I110" i="5"/>
  <c r="H110" i="5"/>
  <c r="D110" i="5"/>
  <c r="I109" i="5"/>
  <c r="H109" i="5"/>
  <c r="D109" i="5"/>
  <c r="I108" i="5"/>
  <c r="H108" i="5"/>
  <c r="D108" i="5"/>
  <c r="I107" i="5"/>
  <c r="H107" i="5"/>
  <c r="D107" i="5"/>
  <c r="I106" i="5"/>
  <c r="H106" i="5"/>
  <c r="D106" i="5"/>
  <c r="I105" i="5"/>
  <c r="H105" i="5"/>
  <c r="D105" i="5"/>
  <c r="I104" i="5"/>
  <c r="H104" i="5"/>
  <c r="D104" i="5"/>
  <c r="I103" i="5"/>
  <c r="H103" i="5"/>
  <c r="D103" i="5"/>
  <c r="I102" i="5"/>
  <c r="H102" i="5"/>
  <c r="D102" i="5"/>
  <c r="I101" i="5"/>
  <c r="H101" i="5"/>
  <c r="D101" i="5"/>
  <c r="I100" i="5"/>
  <c r="H100" i="5"/>
  <c r="D100" i="5"/>
  <c r="I99" i="5"/>
  <c r="H99" i="5"/>
  <c r="D99" i="5"/>
  <c r="I98" i="5"/>
  <c r="H98" i="5"/>
  <c r="D98" i="5"/>
  <c r="I97" i="5"/>
  <c r="H97" i="5"/>
  <c r="D97" i="5"/>
  <c r="I96" i="5"/>
  <c r="H96" i="5"/>
  <c r="D96" i="5"/>
  <c r="I95" i="5"/>
  <c r="H95" i="5"/>
  <c r="D95" i="5"/>
  <c r="I94" i="5"/>
  <c r="H94" i="5"/>
  <c r="D94" i="5"/>
  <c r="I93" i="5"/>
  <c r="H93" i="5"/>
  <c r="D93" i="5"/>
  <c r="I92" i="5"/>
  <c r="H92" i="5"/>
  <c r="D92" i="5"/>
  <c r="I91" i="5"/>
  <c r="H91" i="5"/>
  <c r="D91" i="5"/>
  <c r="I90" i="5"/>
  <c r="H90" i="5"/>
  <c r="D90" i="5"/>
  <c r="I89" i="5"/>
  <c r="H89" i="5"/>
  <c r="D89" i="5"/>
  <c r="I88" i="5"/>
  <c r="H88" i="5"/>
  <c r="D88" i="5"/>
  <c r="I87" i="5"/>
  <c r="H87" i="5"/>
  <c r="D87" i="5"/>
  <c r="I86" i="5"/>
  <c r="H86" i="5"/>
  <c r="D86" i="5"/>
  <c r="I85" i="5"/>
  <c r="H85" i="5"/>
  <c r="D85" i="5"/>
  <c r="I84" i="5"/>
  <c r="H84" i="5"/>
  <c r="D84" i="5"/>
  <c r="I83" i="5"/>
  <c r="H83" i="5"/>
  <c r="D83" i="5"/>
  <c r="I82" i="5"/>
  <c r="H82" i="5"/>
  <c r="D82" i="5"/>
  <c r="I81" i="5"/>
  <c r="H81" i="5"/>
  <c r="D81" i="5"/>
  <c r="I80" i="5"/>
  <c r="H80" i="5"/>
  <c r="D80" i="5"/>
  <c r="I79" i="5"/>
  <c r="H79" i="5"/>
  <c r="D79" i="5"/>
  <c r="I78" i="5"/>
  <c r="H78" i="5"/>
  <c r="D78" i="5"/>
  <c r="I77" i="5"/>
  <c r="H77" i="5"/>
  <c r="D77" i="5"/>
  <c r="I76" i="5"/>
  <c r="H76" i="5"/>
  <c r="D76" i="5"/>
  <c r="I75" i="5"/>
  <c r="H75" i="5"/>
  <c r="D75" i="5"/>
  <c r="I74" i="5"/>
  <c r="H74" i="5"/>
  <c r="D74" i="5"/>
  <c r="I73" i="5"/>
  <c r="H73" i="5"/>
  <c r="D73" i="5"/>
  <c r="I72" i="5"/>
  <c r="H72" i="5"/>
  <c r="D72" i="5"/>
  <c r="I71" i="5"/>
  <c r="H71" i="5"/>
  <c r="D71" i="5"/>
  <c r="I70" i="5"/>
  <c r="H70" i="5"/>
  <c r="D70" i="5"/>
  <c r="I69" i="5"/>
  <c r="H69" i="5"/>
  <c r="D69" i="5"/>
  <c r="I68" i="5"/>
  <c r="H68" i="5"/>
  <c r="D68" i="5"/>
  <c r="I67" i="5"/>
  <c r="H67" i="5"/>
  <c r="D67" i="5"/>
  <c r="I66" i="5"/>
  <c r="H66" i="5"/>
  <c r="D66" i="5"/>
  <c r="I65" i="5"/>
  <c r="H65" i="5"/>
  <c r="D65" i="5"/>
  <c r="I64" i="5"/>
  <c r="H64" i="5"/>
  <c r="D64" i="5"/>
  <c r="I63" i="5"/>
  <c r="H63" i="5"/>
  <c r="D63" i="5"/>
  <c r="I62" i="5"/>
  <c r="H62" i="5"/>
  <c r="D62" i="5"/>
  <c r="I61" i="5"/>
  <c r="H61" i="5"/>
  <c r="D61" i="5"/>
  <c r="I60" i="5"/>
  <c r="H60" i="5"/>
  <c r="D60" i="5"/>
  <c r="I59" i="5"/>
  <c r="H59" i="5"/>
  <c r="D59" i="5"/>
  <c r="I58" i="5"/>
  <c r="H58" i="5"/>
  <c r="D58" i="5"/>
  <c r="I57" i="5"/>
  <c r="H57" i="5"/>
  <c r="D57" i="5"/>
  <c r="I56" i="5"/>
  <c r="H56" i="5"/>
  <c r="D56" i="5"/>
  <c r="I55" i="5"/>
  <c r="H55" i="5"/>
  <c r="D55" i="5"/>
  <c r="I54" i="5"/>
  <c r="H54" i="5"/>
  <c r="D54" i="5"/>
  <c r="I53" i="5"/>
  <c r="H53" i="5"/>
  <c r="D53" i="5"/>
  <c r="I52" i="5"/>
  <c r="H52" i="5"/>
  <c r="D52" i="5"/>
  <c r="I51" i="5"/>
  <c r="H51" i="5"/>
  <c r="D51" i="5"/>
  <c r="I50" i="5"/>
  <c r="H50" i="5"/>
  <c r="D50" i="5"/>
  <c r="I49" i="5"/>
  <c r="H49" i="5"/>
  <c r="D49" i="5"/>
  <c r="I48" i="5"/>
  <c r="H48" i="5"/>
  <c r="D48" i="5"/>
  <c r="I47" i="5"/>
  <c r="H47" i="5"/>
  <c r="D47" i="5"/>
  <c r="I46" i="5"/>
  <c r="H46" i="5"/>
  <c r="D46" i="5"/>
  <c r="I45" i="5"/>
  <c r="H45" i="5"/>
  <c r="D45" i="5"/>
  <c r="I44" i="5"/>
  <c r="H44" i="5"/>
  <c r="D44" i="5"/>
  <c r="I43" i="5"/>
  <c r="H43" i="5"/>
  <c r="D43" i="5"/>
  <c r="I42" i="5"/>
  <c r="H42" i="5"/>
  <c r="D42" i="5"/>
  <c r="I41" i="5"/>
  <c r="H41" i="5"/>
  <c r="D41" i="5"/>
  <c r="I40" i="5"/>
  <c r="H40" i="5"/>
  <c r="D40" i="5"/>
  <c r="I39" i="5"/>
  <c r="H39" i="5"/>
  <c r="D39" i="5"/>
  <c r="I38" i="5"/>
  <c r="H38" i="5"/>
  <c r="D38" i="5"/>
  <c r="I37" i="5"/>
  <c r="H37" i="5"/>
  <c r="D37" i="5"/>
  <c r="I36" i="5"/>
  <c r="H36" i="5"/>
  <c r="D36" i="5"/>
  <c r="I35" i="5"/>
  <c r="H35" i="5"/>
  <c r="D35" i="5"/>
  <c r="I34" i="5"/>
  <c r="H34" i="5"/>
  <c r="D34" i="5"/>
  <c r="I33" i="5"/>
  <c r="H33" i="5"/>
  <c r="D33" i="5"/>
  <c r="I32" i="5"/>
  <c r="H32" i="5"/>
  <c r="D32" i="5"/>
  <c r="I31" i="5"/>
  <c r="H31" i="5"/>
  <c r="D31" i="5"/>
  <c r="I30" i="5"/>
  <c r="H30" i="5"/>
  <c r="D30" i="5"/>
  <c r="I29" i="5"/>
  <c r="H29" i="5"/>
  <c r="D29" i="5"/>
  <c r="I28" i="5"/>
  <c r="H28" i="5"/>
  <c r="D28" i="5"/>
  <c r="I27" i="5"/>
  <c r="H27" i="5"/>
  <c r="D27" i="5"/>
  <c r="I26" i="5"/>
  <c r="H26" i="5"/>
  <c r="D26" i="5"/>
  <c r="I25" i="5"/>
  <c r="H25" i="5"/>
  <c r="D25" i="5"/>
  <c r="I24" i="5"/>
  <c r="H24" i="5"/>
  <c r="D24" i="5"/>
  <c r="I23" i="5"/>
  <c r="H23" i="5"/>
  <c r="D23" i="5"/>
  <c r="I22" i="5"/>
  <c r="H22" i="5"/>
  <c r="D22" i="5"/>
  <c r="I21" i="5"/>
  <c r="H21" i="5"/>
  <c r="D21" i="5"/>
  <c r="I20" i="5"/>
  <c r="H20" i="5"/>
  <c r="D20" i="5"/>
  <c r="I19" i="5"/>
  <c r="H19" i="5"/>
  <c r="D19" i="5"/>
  <c r="I18" i="5"/>
  <c r="H18" i="5"/>
  <c r="D18" i="5"/>
  <c r="I17" i="5"/>
  <c r="H17" i="5"/>
  <c r="D17" i="5"/>
  <c r="I16" i="5"/>
  <c r="H16" i="5"/>
  <c r="D16" i="5"/>
  <c r="I15" i="5"/>
  <c r="H15" i="5"/>
  <c r="D15" i="5"/>
  <c r="I14" i="5"/>
  <c r="H14" i="5"/>
  <c r="D14" i="5"/>
  <c r="I13" i="5"/>
  <c r="H13" i="5"/>
  <c r="D13" i="5"/>
  <c r="I12" i="5"/>
  <c r="H12" i="5"/>
  <c r="D12" i="5"/>
  <c r="I11" i="5"/>
  <c r="H11" i="5"/>
  <c r="D11" i="5"/>
  <c r="I10" i="5"/>
  <c r="H10" i="5"/>
  <c r="D10" i="5"/>
  <c r="I9" i="5"/>
  <c r="H9" i="5"/>
  <c r="D9" i="5"/>
  <c r="I8" i="5"/>
  <c r="H8" i="5"/>
  <c r="D8" i="5"/>
  <c r="I7" i="5"/>
  <c r="H7" i="5"/>
  <c r="D7" i="5"/>
  <c r="I6" i="5"/>
  <c r="H6" i="5"/>
  <c r="D6" i="5"/>
  <c r="I5" i="5"/>
  <c r="H5" i="5"/>
  <c r="D5" i="5"/>
  <c r="I4" i="5"/>
  <c r="H4" i="5"/>
  <c r="D4" i="5"/>
  <c r="I3" i="5"/>
  <c r="H3" i="5"/>
  <c r="D3" i="5"/>
  <c r="I2" i="5"/>
  <c r="H2" i="5"/>
  <c r="D2" i="5"/>
  <c r="I187" i="4"/>
  <c r="H187" i="4"/>
  <c r="D187" i="4"/>
  <c r="I186" i="4"/>
  <c r="H186" i="4"/>
  <c r="D186" i="4"/>
  <c r="I185" i="4"/>
  <c r="H185" i="4"/>
  <c r="D185" i="4"/>
  <c r="I184" i="4"/>
  <c r="H184" i="4"/>
  <c r="D184" i="4"/>
  <c r="I183" i="4"/>
  <c r="H183" i="4"/>
  <c r="D183" i="4"/>
  <c r="I182" i="4"/>
  <c r="H182" i="4"/>
  <c r="D182" i="4"/>
  <c r="I181" i="4"/>
  <c r="H181" i="4"/>
  <c r="D181" i="4"/>
  <c r="I180" i="4"/>
  <c r="H180" i="4"/>
  <c r="D180" i="4"/>
  <c r="I179" i="4"/>
  <c r="H179" i="4"/>
  <c r="D179" i="4"/>
  <c r="I178" i="4"/>
  <c r="H178" i="4"/>
  <c r="D178" i="4"/>
  <c r="I177" i="4"/>
  <c r="H177" i="4"/>
  <c r="D177" i="4"/>
  <c r="I176" i="4"/>
  <c r="H176" i="4"/>
  <c r="D176" i="4"/>
  <c r="I175" i="4"/>
  <c r="H175" i="4"/>
  <c r="D175" i="4"/>
  <c r="I174" i="4"/>
  <c r="H174" i="4"/>
  <c r="D174" i="4"/>
  <c r="I173" i="4"/>
  <c r="H173" i="4"/>
  <c r="D173" i="4"/>
  <c r="I172" i="4"/>
  <c r="H172" i="4"/>
  <c r="D172" i="4"/>
  <c r="I171" i="4"/>
  <c r="H171" i="4"/>
  <c r="D171" i="4"/>
  <c r="I170" i="4"/>
  <c r="H170" i="4"/>
  <c r="D170" i="4"/>
  <c r="I169" i="4"/>
  <c r="H169" i="4"/>
  <c r="D169" i="4"/>
  <c r="I168" i="4"/>
  <c r="H168" i="4"/>
  <c r="D168" i="4"/>
  <c r="I167" i="4"/>
  <c r="H167" i="4"/>
  <c r="D167" i="4"/>
  <c r="I166" i="4"/>
  <c r="H166" i="4"/>
  <c r="D166" i="4"/>
  <c r="I165" i="4"/>
  <c r="H165" i="4"/>
  <c r="D165" i="4"/>
  <c r="I164" i="4"/>
  <c r="H164" i="4"/>
  <c r="D164" i="4"/>
  <c r="I163" i="4"/>
  <c r="H163" i="4"/>
  <c r="D163" i="4"/>
  <c r="I162" i="4"/>
  <c r="H162" i="4"/>
  <c r="D162" i="4"/>
  <c r="I161" i="4"/>
  <c r="H161" i="4"/>
  <c r="D161" i="4"/>
  <c r="I160" i="4"/>
  <c r="H160" i="4"/>
  <c r="D160" i="4"/>
  <c r="I159" i="4"/>
  <c r="H159" i="4"/>
  <c r="D159" i="4"/>
  <c r="I158" i="4"/>
  <c r="H158" i="4"/>
  <c r="D158" i="4"/>
  <c r="I157" i="4"/>
  <c r="H157" i="4"/>
  <c r="D157" i="4"/>
  <c r="I156" i="4"/>
  <c r="H156" i="4"/>
  <c r="D156" i="4"/>
  <c r="I155" i="4"/>
  <c r="H155" i="4"/>
  <c r="D155" i="4"/>
  <c r="I154" i="4"/>
  <c r="H154" i="4"/>
  <c r="D154" i="4"/>
  <c r="I153" i="4"/>
  <c r="H153" i="4"/>
  <c r="D153" i="4"/>
  <c r="I152" i="4"/>
  <c r="H152" i="4"/>
  <c r="D152" i="4"/>
  <c r="I151" i="4"/>
  <c r="H151" i="4"/>
  <c r="D151" i="4"/>
  <c r="I150" i="4"/>
  <c r="H150" i="4"/>
  <c r="D150" i="4"/>
  <c r="I149" i="4"/>
  <c r="H149" i="4"/>
  <c r="D149" i="4"/>
  <c r="I148" i="4"/>
  <c r="H148" i="4"/>
  <c r="D148" i="4"/>
  <c r="I147" i="4"/>
  <c r="H147" i="4"/>
  <c r="D147" i="4"/>
  <c r="I146" i="4"/>
  <c r="H146" i="4"/>
  <c r="D146" i="4"/>
  <c r="I145" i="4"/>
  <c r="H145" i="4"/>
  <c r="D145" i="4"/>
  <c r="I144" i="4"/>
  <c r="H144" i="4"/>
  <c r="D144" i="4"/>
  <c r="I143" i="4"/>
  <c r="H143" i="4"/>
  <c r="D143" i="4"/>
  <c r="I142" i="4"/>
  <c r="H142" i="4"/>
  <c r="D142" i="4"/>
  <c r="I141" i="4"/>
  <c r="H141" i="4"/>
  <c r="D141" i="4"/>
  <c r="I140" i="4"/>
  <c r="H140" i="4"/>
  <c r="D140" i="4"/>
  <c r="I139" i="4"/>
  <c r="H139" i="4"/>
  <c r="D139" i="4"/>
  <c r="I138" i="4"/>
  <c r="H138" i="4"/>
  <c r="D138" i="4"/>
  <c r="I137" i="4"/>
  <c r="H137" i="4"/>
  <c r="D137" i="4"/>
  <c r="I136" i="4"/>
  <c r="H136" i="4"/>
  <c r="D136" i="4"/>
  <c r="I135" i="4"/>
  <c r="H135" i="4"/>
  <c r="D135" i="4"/>
  <c r="I134" i="4"/>
  <c r="H134" i="4"/>
  <c r="D134" i="4"/>
  <c r="I133" i="4"/>
  <c r="H133" i="4"/>
  <c r="D133" i="4"/>
  <c r="I132" i="4"/>
  <c r="H132" i="4"/>
  <c r="D132" i="4"/>
  <c r="I131" i="4"/>
  <c r="H131" i="4"/>
  <c r="D131" i="4"/>
  <c r="I130" i="4"/>
  <c r="H130" i="4"/>
  <c r="D130" i="4"/>
  <c r="I129" i="4"/>
  <c r="H129" i="4"/>
  <c r="D129" i="4"/>
  <c r="I128" i="4"/>
  <c r="H128" i="4"/>
  <c r="D128" i="4"/>
  <c r="I127" i="4"/>
  <c r="H127" i="4"/>
  <c r="D127" i="4"/>
  <c r="I126" i="4"/>
  <c r="H126" i="4"/>
  <c r="D126" i="4"/>
  <c r="I125" i="4"/>
  <c r="H125" i="4"/>
  <c r="D125" i="4"/>
  <c r="I124" i="4"/>
  <c r="H124" i="4"/>
  <c r="D124" i="4"/>
  <c r="I123" i="4"/>
  <c r="H123" i="4"/>
  <c r="D123" i="4"/>
  <c r="I122" i="4"/>
  <c r="H122" i="4"/>
  <c r="D122" i="4"/>
  <c r="I121" i="4"/>
  <c r="H121" i="4"/>
  <c r="D121" i="4"/>
  <c r="I120" i="4"/>
  <c r="H120" i="4"/>
  <c r="D120" i="4"/>
  <c r="I119" i="4"/>
  <c r="H119" i="4"/>
  <c r="D119" i="4"/>
  <c r="I118" i="4"/>
  <c r="H118" i="4"/>
  <c r="D118" i="4"/>
  <c r="I117" i="4"/>
  <c r="H117" i="4"/>
  <c r="D117" i="4"/>
  <c r="I116" i="4"/>
  <c r="H116" i="4"/>
  <c r="D116" i="4"/>
  <c r="I115" i="4"/>
  <c r="H115" i="4"/>
  <c r="D115" i="4"/>
  <c r="I114" i="4"/>
  <c r="H114" i="4"/>
  <c r="D114" i="4"/>
  <c r="I113" i="4"/>
  <c r="H113" i="4"/>
  <c r="D113" i="4"/>
  <c r="I112" i="4"/>
  <c r="H112" i="4"/>
  <c r="D112" i="4"/>
  <c r="I111" i="4"/>
  <c r="H111" i="4"/>
  <c r="D111" i="4"/>
  <c r="I110" i="4"/>
  <c r="H110" i="4"/>
  <c r="D110" i="4"/>
  <c r="I109" i="4"/>
  <c r="H109" i="4"/>
  <c r="D109" i="4"/>
  <c r="I108" i="4"/>
  <c r="H108" i="4"/>
  <c r="D108" i="4"/>
  <c r="I107" i="4"/>
  <c r="H107" i="4"/>
  <c r="D107" i="4"/>
  <c r="I106" i="4"/>
  <c r="H106" i="4"/>
  <c r="D106" i="4"/>
  <c r="I105" i="4"/>
  <c r="H105" i="4"/>
  <c r="D105" i="4"/>
  <c r="I104" i="4"/>
  <c r="H104" i="4"/>
  <c r="D104" i="4"/>
  <c r="I103" i="4"/>
  <c r="H103" i="4"/>
  <c r="D103" i="4"/>
  <c r="I102" i="4"/>
  <c r="H102" i="4"/>
  <c r="D102" i="4"/>
  <c r="I101" i="4"/>
  <c r="H101" i="4"/>
  <c r="D101" i="4"/>
  <c r="I100" i="4"/>
  <c r="H100" i="4"/>
  <c r="D100" i="4"/>
  <c r="I99" i="4"/>
  <c r="H99" i="4"/>
  <c r="D99" i="4"/>
  <c r="I98" i="4"/>
  <c r="H98" i="4"/>
  <c r="D98" i="4"/>
  <c r="I97" i="4"/>
  <c r="H97" i="4"/>
  <c r="D97" i="4"/>
  <c r="I96" i="4"/>
  <c r="H96" i="4"/>
  <c r="D96" i="4"/>
  <c r="I95" i="4"/>
  <c r="H95" i="4"/>
  <c r="D95" i="4"/>
  <c r="I94" i="4"/>
  <c r="H94" i="4"/>
  <c r="D94" i="4"/>
  <c r="I93" i="4"/>
  <c r="H93" i="4"/>
  <c r="D93" i="4"/>
  <c r="I92" i="4"/>
  <c r="H92" i="4"/>
  <c r="D92" i="4"/>
  <c r="I91" i="4"/>
  <c r="H91" i="4"/>
  <c r="D91" i="4"/>
  <c r="I90" i="4"/>
  <c r="H90" i="4"/>
  <c r="D90" i="4"/>
  <c r="I89" i="4"/>
  <c r="H89" i="4"/>
  <c r="D89" i="4"/>
  <c r="I88" i="4"/>
  <c r="H88" i="4"/>
  <c r="D88" i="4"/>
  <c r="I87" i="4"/>
  <c r="H87" i="4"/>
  <c r="D87" i="4"/>
  <c r="I86" i="4"/>
  <c r="H86" i="4"/>
  <c r="D86" i="4"/>
  <c r="I85" i="4"/>
  <c r="H85" i="4"/>
  <c r="D85" i="4"/>
  <c r="I84" i="4"/>
  <c r="H84" i="4"/>
  <c r="D84" i="4"/>
  <c r="I83" i="4"/>
  <c r="H83" i="4"/>
  <c r="D83" i="4"/>
  <c r="I82" i="4"/>
  <c r="H82" i="4"/>
  <c r="D82" i="4"/>
  <c r="I81" i="4"/>
  <c r="H81" i="4"/>
  <c r="D81" i="4"/>
  <c r="I80" i="4"/>
  <c r="H80" i="4"/>
  <c r="D80" i="4"/>
  <c r="I79" i="4"/>
  <c r="H79" i="4"/>
  <c r="D79" i="4"/>
  <c r="I78" i="4"/>
  <c r="H78" i="4"/>
  <c r="D78" i="4"/>
  <c r="I77" i="4"/>
  <c r="H77" i="4"/>
  <c r="D77" i="4"/>
  <c r="I76" i="4"/>
  <c r="H76" i="4"/>
  <c r="D76" i="4"/>
  <c r="I75" i="4"/>
  <c r="H75" i="4"/>
  <c r="D75" i="4"/>
  <c r="I74" i="4"/>
  <c r="H74" i="4"/>
  <c r="D74" i="4"/>
  <c r="I73" i="4"/>
  <c r="H73" i="4"/>
  <c r="D73" i="4"/>
  <c r="I72" i="4"/>
  <c r="H72" i="4"/>
  <c r="D72" i="4"/>
  <c r="I71" i="4"/>
  <c r="H71" i="4"/>
  <c r="D71" i="4"/>
  <c r="I70" i="4"/>
  <c r="H70" i="4"/>
  <c r="D70" i="4"/>
  <c r="I69" i="4"/>
  <c r="H69" i="4"/>
  <c r="D69" i="4"/>
  <c r="I68" i="4"/>
  <c r="H68" i="4"/>
  <c r="D68" i="4"/>
  <c r="I67" i="4"/>
  <c r="H67" i="4"/>
  <c r="D67" i="4"/>
  <c r="I66" i="4"/>
  <c r="H66" i="4"/>
  <c r="D66" i="4"/>
  <c r="I65" i="4"/>
  <c r="H65" i="4"/>
  <c r="D65" i="4"/>
  <c r="I64" i="4"/>
  <c r="H64" i="4"/>
  <c r="D64" i="4"/>
  <c r="I63" i="4"/>
  <c r="H63" i="4"/>
  <c r="D63" i="4"/>
  <c r="I62" i="4"/>
  <c r="H62" i="4"/>
  <c r="D62" i="4"/>
  <c r="I61" i="4"/>
  <c r="H61" i="4"/>
  <c r="D61" i="4"/>
  <c r="I60" i="4"/>
  <c r="H60" i="4"/>
  <c r="D60" i="4"/>
  <c r="I59" i="4"/>
  <c r="H59" i="4"/>
  <c r="D59" i="4"/>
  <c r="I58" i="4"/>
  <c r="H58" i="4"/>
  <c r="D58" i="4"/>
  <c r="I57" i="4"/>
  <c r="H57" i="4"/>
  <c r="D57" i="4"/>
  <c r="I56" i="4"/>
  <c r="H56" i="4"/>
  <c r="D56" i="4"/>
  <c r="I55" i="4"/>
  <c r="H55" i="4"/>
  <c r="D55" i="4"/>
  <c r="I54" i="4"/>
  <c r="H54" i="4"/>
  <c r="D54" i="4"/>
  <c r="I53" i="4"/>
  <c r="H53" i="4"/>
  <c r="D53" i="4"/>
  <c r="I52" i="4"/>
  <c r="H52" i="4"/>
  <c r="D52" i="4"/>
  <c r="I51" i="4"/>
  <c r="H51" i="4"/>
  <c r="D51" i="4"/>
  <c r="I50" i="4"/>
  <c r="H50" i="4"/>
  <c r="D50" i="4"/>
  <c r="I49" i="4"/>
  <c r="H49" i="4"/>
  <c r="D49" i="4"/>
  <c r="I48" i="4"/>
  <c r="H48" i="4"/>
  <c r="D48" i="4"/>
  <c r="I47" i="4"/>
  <c r="H47" i="4"/>
  <c r="D47" i="4"/>
  <c r="I46" i="4"/>
  <c r="H46" i="4"/>
  <c r="D46" i="4"/>
  <c r="I45" i="4"/>
  <c r="H45" i="4"/>
  <c r="D45" i="4"/>
  <c r="I44" i="4"/>
  <c r="H44" i="4"/>
  <c r="D44" i="4"/>
  <c r="I43" i="4"/>
  <c r="H43" i="4"/>
  <c r="D43" i="4"/>
  <c r="I42" i="4"/>
  <c r="H42" i="4"/>
  <c r="D42" i="4"/>
  <c r="I41" i="4"/>
  <c r="H41" i="4"/>
  <c r="D41" i="4"/>
  <c r="I40" i="4"/>
  <c r="H40" i="4"/>
  <c r="D40" i="4"/>
  <c r="I39" i="4"/>
  <c r="H39" i="4"/>
  <c r="D39" i="4"/>
  <c r="I38" i="4"/>
  <c r="H38" i="4"/>
  <c r="D38" i="4"/>
  <c r="I37" i="4"/>
  <c r="H37" i="4"/>
  <c r="D37" i="4"/>
  <c r="I36" i="4"/>
  <c r="H36" i="4"/>
  <c r="D36" i="4"/>
  <c r="I35" i="4"/>
  <c r="H35" i="4"/>
  <c r="D35" i="4"/>
  <c r="I34" i="4"/>
  <c r="H34" i="4"/>
  <c r="D34" i="4"/>
  <c r="I33" i="4"/>
  <c r="H33" i="4"/>
  <c r="D33" i="4"/>
  <c r="I32" i="4"/>
  <c r="H32" i="4"/>
  <c r="D32" i="4"/>
  <c r="I31" i="4"/>
  <c r="H31" i="4"/>
  <c r="D31" i="4"/>
  <c r="I30" i="4"/>
  <c r="H30" i="4"/>
  <c r="D30" i="4"/>
  <c r="I29" i="4"/>
  <c r="H29" i="4"/>
  <c r="D29" i="4"/>
  <c r="I28" i="4"/>
  <c r="H28" i="4"/>
  <c r="D28" i="4"/>
  <c r="I27" i="4"/>
  <c r="H27" i="4"/>
  <c r="D27" i="4"/>
  <c r="I26" i="4"/>
  <c r="H26" i="4"/>
  <c r="D26" i="4"/>
  <c r="I25" i="4"/>
  <c r="H25" i="4"/>
  <c r="D25" i="4"/>
  <c r="I24" i="4"/>
  <c r="H24" i="4"/>
  <c r="D24" i="4"/>
  <c r="I23" i="4"/>
  <c r="H23" i="4"/>
  <c r="D23" i="4"/>
  <c r="I22" i="4"/>
  <c r="H22" i="4"/>
  <c r="D22" i="4"/>
  <c r="I21" i="4"/>
  <c r="H21" i="4"/>
  <c r="D21" i="4"/>
  <c r="I20" i="4"/>
  <c r="H20" i="4"/>
  <c r="D20" i="4"/>
  <c r="I19" i="4"/>
  <c r="H19" i="4"/>
  <c r="D19" i="4"/>
  <c r="I18" i="4"/>
  <c r="H18" i="4"/>
  <c r="D18" i="4"/>
  <c r="I17" i="4"/>
  <c r="H17" i="4"/>
  <c r="D17" i="4"/>
  <c r="I16" i="4"/>
  <c r="H16" i="4"/>
  <c r="D16" i="4"/>
  <c r="I15" i="4"/>
  <c r="H15" i="4"/>
  <c r="D15" i="4"/>
  <c r="I14" i="4"/>
  <c r="H14" i="4"/>
  <c r="D14" i="4"/>
  <c r="I13" i="4"/>
  <c r="H13" i="4"/>
  <c r="D13" i="4"/>
  <c r="I12" i="4"/>
  <c r="H12" i="4"/>
  <c r="D12" i="4"/>
  <c r="I11" i="4"/>
  <c r="H11" i="4"/>
  <c r="D11" i="4"/>
  <c r="I10" i="4"/>
  <c r="H10" i="4"/>
  <c r="D10" i="4"/>
  <c r="I9" i="4"/>
  <c r="H9" i="4"/>
  <c r="D9" i="4"/>
  <c r="I8" i="4"/>
  <c r="H8" i="4"/>
  <c r="D8" i="4"/>
  <c r="I7" i="4"/>
  <c r="H7" i="4"/>
  <c r="D7" i="4"/>
  <c r="I6" i="4"/>
  <c r="H6" i="4"/>
  <c r="D6" i="4"/>
  <c r="I5" i="4"/>
  <c r="H5" i="4"/>
  <c r="D5" i="4"/>
  <c r="I4" i="4"/>
  <c r="H4" i="4"/>
  <c r="D4" i="4"/>
  <c r="I3" i="4"/>
  <c r="H3" i="4"/>
  <c r="D3" i="4"/>
  <c r="I2" i="4"/>
  <c r="H2" i="4"/>
  <c r="D2" i="4"/>
  <c r="I189" i="3"/>
  <c r="H189" i="3"/>
  <c r="D189" i="3"/>
  <c r="I188" i="3"/>
  <c r="H188" i="3"/>
  <c r="D188" i="3"/>
  <c r="I187" i="3"/>
  <c r="H187" i="3"/>
  <c r="D187" i="3"/>
  <c r="I186" i="3"/>
  <c r="H186" i="3"/>
  <c r="D186" i="3"/>
  <c r="I185" i="3"/>
  <c r="H185" i="3"/>
  <c r="D185" i="3"/>
  <c r="I184" i="3"/>
  <c r="H184" i="3"/>
  <c r="D184" i="3"/>
  <c r="I183" i="3"/>
  <c r="H183" i="3"/>
  <c r="D183" i="3"/>
  <c r="I182" i="3"/>
  <c r="H182" i="3"/>
  <c r="D182" i="3"/>
  <c r="I181" i="3"/>
  <c r="H181" i="3"/>
  <c r="D181" i="3"/>
  <c r="I180" i="3"/>
  <c r="H180" i="3"/>
  <c r="D180" i="3"/>
  <c r="I179" i="3"/>
  <c r="H179" i="3"/>
  <c r="D179" i="3"/>
  <c r="I178" i="3"/>
  <c r="H178" i="3"/>
  <c r="D178" i="3"/>
  <c r="I177" i="3"/>
  <c r="H177" i="3"/>
  <c r="D177" i="3"/>
  <c r="I176" i="3"/>
  <c r="H176" i="3"/>
  <c r="D176" i="3"/>
  <c r="I175" i="3"/>
  <c r="H175" i="3"/>
  <c r="D175" i="3"/>
  <c r="I174" i="3"/>
  <c r="H174" i="3"/>
  <c r="D174" i="3"/>
  <c r="I173" i="3"/>
  <c r="H173" i="3"/>
  <c r="D173" i="3"/>
  <c r="I172" i="3"/>
  <c r="H172" i="3"/>
  <c r="D172" i="3"/>
  <c r="I171" i="3"/>
  <c r="H171" i="3"/>
  <c r="D171" i="3"/>
  <c r="I170" i="3"/>
  <c r="H170" i="3"/>
  <c r="D170" i="3"/>
  <c r="I169" i="3"/>
  <c r="H169" i="3"/>
  <c r="D169" i="3"/>
  <c r="I168" i="3"/>
  <c r="H168" i="3"/>
  <c r="D168" i="3"/>
  <c r="I167" i="3"/>
  <c r="H167" i="3"/>
  <c r="D167" i="3"/>
  <c r="I166" i="3"/>
  <c r="H166" i="3"/>
  <c r="D166" i="3"/>
  <c r="I165" i="3"/>
  <c r="H165" i="3"/>
  <c r="D165" i="3"/>
  <c r="I164" i="3"/>
  <c r="H164" i="3"/>
  <c r="D164" i="3"/>
  <c r="I163" i="3"/>
  <c r="H163" i="3"/>
  <c r="D163" i="3"/>
  <c r="I162" i="3"/>
  <c r="H162" i="3"/>
  <c r="D162" i="3"/>
  <c r="I161" i="3"/>
  <c r="H161" i="3"/>
  <c r="D161" i="3"/>
  <c r="I160" i="3"/>
  <c r="H160" i="3"/>
  <c r="D160" i="3"/>
  <c r="I159" i="3"/>
  <c r="H159" i="3"/>
  <c r="D159" i="3"/>
  <c r="I158" i="3"/>
  <c r="H158" i="3"/>
  <c r="D158" i="3"/>
  <c r="I157" i="3"/>
  <c r="H157" i="3"/>
  <c r="D157" i="3"/>
  <c r="I156" i="3"/>
  <c r="H156" i="3"/>
  <c r="D156" i="3"/>
  <c r="I155" i="3"/>
  <c r="H155" i="3"/>
  <c r="D155" i="3"/>
  <c r="I154" i="3"/>
  <c r="H154" i="3"/>
  <c r="D154" i="3"/>
  <c r="I153" i="3"/>
  <c r="H153" i="3"/>
  <c r="D153" i="3"/>
  <c r="I152" i="3"/>
  <c r="H152" i="3"/>
  <c r="D152" i="3"/>
  <c r="I151" i="3"/>
  <c r="H151" i="3"/>
  <c r="D151" i="3"/>
  <c r="I150" i="3"/>
  <c r="H150" i="3"/>
  <c r="D150" i="3"/>
  <c r="I149" i="3"/>
  <c r="H149" i="3"/>
  <c r="D149" i="3"/>
  <c r="I148" i="3"/>
  <c r="H148" i="3"/>
  <c r="D148" i="3"/>
  <c r="I147" i="3"/>
  <c r="H147" i="3"/>
  <c r="D147" i="3"/>
  <c r="I146" i="3"/>
  <c r="H146" i="3"/>
  <c r="D146" i="3"/>
  <c r="I145" i="3"/>
  <c r="H145" i="3"/>
  <c r="D145" i="3"/>
  <c r="I144" i="3"/>
  <c r="H144" i="3"/>
  <c r="D144" i="3"/>
  <c r="I143" i="3"/>
  <c r="H143" i="3"/>
  <c r="D143" i="3"/>
  <c r="I142" i="3"/>
  <c r="H142" i="3"/>
  <c r="D142" i="3"/>
  <c r="I141" i="3"/>
  <c r="H141" i="3"/>
  <c r="D141" i="3"/>
  <c r="I140" i="3"/>
  <c r="H140" i="3"/>
  <c r="D140" i="3"/>
  <c r="I139" i="3"/>
  <c r="H139" i="3"/>
  <c r="D139" i="3"/>
  <c r="I138" i="3"/>
  <c r="H138" i="3"/>
  <c r="D138" i="3"/>
  <c r="I137" i="3"/>
  <c r="H137" i="3"/>
  <c r="D137" i="3"/>
  <c r="I136" i="3"/>
  <c r="H136" i="3"/>
  <c r="D136" i="3"/>
  <c r="I135" i="3"/>
  <c r="H135" i="3"/>
  <c r="D135" i="3"/>
  <c r="I134" i="3"/>
  <c r="H134" i="3"/>
  <c r="D134" i="3"/>
  <c r="I133" i="3"/>
  <c r="H133" i="3"/>
  <c r="D133" i="3"/>
  <c r="I132" i="3"/>
  <c r="H132" i="3"/>
  <c r="D132" i="3"/>
  <c r="I131" i="3"/>
  <c r="H131" i="3"/>
  <c r="D131" i="3"/>
  <c r="I130" i="3"/>
  <c r="H130" i="3"/>
  <c r="D130" i="3"/>
  <c r="I129" i="3"/>
  <c r="H129" i="3"/>
  <c r="D129" i="3"/>
  <c r="I128" i="3"/>
  <c r="H128" i="3"/>
  <c r="D128" i="3"/>
  <c r="I127" i="3"/>
  <c r="H127" i="3"/>
  <c r="D127" i="3"/>
  <c r="I126" i="3"/>
  <c r="H126" i="3"/>
  <c r="D126" i="3"/>
  <c r="I125" i="3"/>
  <c r="H125" i="3"/>
  <c r="D125" i="3"/>
  <c r="I124" i="3"/>
  <c r="H124" i="3"/>
  <c r="D124" i="3"/>
  <c r="I123" i="3"/>
  <c r="H123" i="3"/>
  <c r="D123" i="3"/>
  <c r="I122" i="3"/>
  <c r="H122" i="3"/>
  <c r="D122" i="3"/>
  <c r="I121" i="3"/>
  <c r="H121" i="3"/>
  <c r="D121" i="3"/>
  <c r="I120" i="3"/>
  <c r="H120" i="3"/>
  <c r="D120" i="3"/>
  <c r="I119" i="3"/>
  <c r="H119" i="3"/>
  <c r="D119" i="3"/>
  <c r="I118" i="3"/>
  <c r="H118" i="3"/>
  <c r="D118" i="3"/>
  <c r="I117" i="3"/>
  <c r="H117" i="3"/>
  <c r="D117" i="3"/>
  <c r="I116" i="3"/>
  <c r="H116" i="3"/>
  <c r="D116" i="3"/>
  <c r="I115" i="3"/>
  <c r="H115" i="3"/>
  <c r="D115" i="3"/>
  <c r="I114" i="3"/>
  <c r="H114" i="3"/>
  <c r="D114" i="3"/>
  <c r="I113" i="3"/>
  <c r="H113" i="3"/>
  <c r="D113" i="3"/>
  <c r="I112" i="3"/>
  <c r="H112" i="3"/>
  <c r="D112" i="3"/>
  <c r="I111" i="3"/>
  <c r="H111" i="3"/>
  <c r="D111" i="3"/>
  <c r="I110" i="3"/>
  <c r="H110" i="3"/>
  <c r="D110" i="3"/>
  <c r="I109" i="3"/>
  <c r="H109" i="3"/>
  <c r="D109" i="3"/>
  <c r="I108" i="3"/>
  <c r="H108" i="3"/>
  <c r="D108" i="3"/>
  <c r="I107" i="3"/>
  <c r="H107" i="3"/>
  <c r="D107" i="3"/>
  <c r="I106" i="3"/>
  <c r="H106" i="3"/>
  <c r="D106" i="3"/>
  <c r="I105" i="3"/>
  <c r="H105" i="3"/>
  <c r="D105" i="3"/>
  <c r="I104" i="3"/>
  <c r="H104" i="3"/>
  <c r="D104" i="3"/>
  <c r="I103" i="3"/>
  <c r="H103" i="3"/>
  <c r="D103" i="3"/>
  <c r="I102" i="3"/>
  <c r="H102" i="3"/>
  <c r="D102" i="3"/>
  <c r="I101" i="3"/>
  <c r="H101" i="3"/>
  <c r="D101" i="3"/>
  <c r="I100" i="3"/>
  <c r="H100" i="3"/>
  <c r="D100" i="3"/>
  <c r="I99" i="3"/>
  <c r="H99" i="3"/>
  <c r="D99" i="3"/>
  <c r="I98" i="3"/>
  <c r="H98" i="3"/>
  <c r="D98" i="3"/>
  <c r="I97" i="3"/>
  <c r="H97" i="3"/>
  <c r="D97" i="3"/>
  <c r="I96" i="3"/>
  <c r="H96" i="3"/>
  <c r="D96" i="3"/>
  <c r="I95" i="3"/>
  <c r="H95" i="3"/>
  <c r="D95" i="3"/>
  <c r="I94" i="3"/>
  <c r="H94" i="3"/>
  <c r="D94" i="3"/>
  <c r="I93" i="3"/>
  <c r="H93" i="3"/>
  <c r="D93" i="3"/>
  <c r="I92" i="3"/>
  <c r="H92" i="3"/>
  <c r="D92" i="3"/>
  <c r="I91" i="3"/>
  <c r="H91" i="3"/>
  <c r="D91" i="3"/>
  <c r="I90" i="3"/>
  <c r="H90" i="3"/>
  <c r="D90" i="3"/>
  <c r="I89" i="3"/>
  <c r="H89" i="3"/>
  <c r="D89" i="3"/>
  <c r="I88" i="3"/>
  <c r="H88" i="3"/>
  <c r="D88" i="3"/>
  <c r="I87" i="3"/>
  <c r="H87" i="3"/>
  <c r="D87" i="3"/>
  <c r="I86" i="3"/>
  <c r="H86" i="3"/>
  <c r="D86" i="3"/>
  <c r="I85" i="3"/>
  <c r="H85" i="3"/>
  <c r="D85" i="3"/>
  <c r="I84" i="3"/>
  <c r="H84" i="3"/>
  <c r="D84" i="3"/>
  <c r="I83" i="3"/>
  <c r="H83" i="3"/>
  <c r="D83" i="3"/>
  <c r="I82" i="3"/>
  <c r="H82" i="3"/>
  <c r="D82" i="3"/>
  <c r="I81" i="3"/>
  <c r="H81" i="3"/>
  <c r="D81" i="3"/>
  <c r="I80" i="3"/>
  <c r="H80" i="3"/>
  <c r="D80" i="3"/>
  <c r="I79" i="3"/>
  <c r="H79" i="3"/>
  <c r="D79" i="3"/>
  <c r="I78" i="3"/>
  <c r="H78" i="3"/>
  <c r="D78" i="3"/>
  <c r="I77" i="3"/>
  <c r="H77" i="3"/>
  <c r="D77" i="3"/>
  <c r="I76" i="3"/>
  <c r="H76" i="3"/>
  <c r="D76" i="3"/>
  <c r="I75" i="3"/>
  <c r="H75" i="3"/>
  <c r="D75" i="3"/>
  <c r="I74" i="3"/>
  <c r="H74" i="3"/>
  <c r="D74" i="3"/>
  <c r="I73" i="3"/>
  <c r="H73" i="3"/>
  <c r="D73" i="3"/>
  <c r="I72" i="3"/>
  <c r="H72" i="3"/>
  <c r="D72" i="3"/>
  <c r="I71" i="3"/>
  <c r="H71" i="3"/>
  <c r="D71" i="3"/>
  <c r="I70" i="3"/>
  <c r="H70" i="3"/>
  <c r="D70" i="3"/>
  <c r="I69" i="3"/>
  <c r="H69" i="3"/>
  <c r="D69" i="3"/>
  <c r="I68" i="3"/>
  <c r="H68" i="3"/>
  <c r="D68" i="3"/>
  <c r="I67" i="3"/>
  <c r="H67" i="3"/>
  <c r="D67" i="3"/>
  <c r="I66" i="3"/>
  <c r="H66" i="3"/>
  <c r="D66" i="3"/>
  <c r="I65" i="3"/>
  <c r="H65" i="3"/>
  <c r="D65" i="3"/>
  <c r="I64" i="3"/>
  <c r="H64" i="3"/>
  <c r="D64" i="3"/>
  <c r="I63" i="3"/>
  <c r="H63" i="3"/>
  <c r="D63" i="3"/>
  <c r="I62" i="3"/>
  <c r="H62" i="3"/>
  <c r="D62" i="3"/>
  <c r="I61" i="3"/>
  <c r="H61" i="3"/>
  <c r="D61" i="3"/>
  <c r="I60" i="3"/>
  <c r="H60" i="3"/>
  <c r="D60" i="3"/>
  <c r="I59" i="3"/>
  <c r="H59" i="3"/>
  <c r="D59" i="3"/>
  <c r="I58" i="3"/>
  <c r="H58" i="3"/>
  <c r="D58" i="3"/>
  <c r="I57" i="3"/>
  <c r="H57" i="3"/>
  <c r="D57" i="3"/>
  <c r="I56" i="3"/>
  <c r="H56" i="3"/>
  <c r="D56" i="3"/>
  <c r="I55" i="3"/>
  <c r="H55" i="3"/>
  <c r="D55" i="3"/>
  <c r="I54" i="3"/>
  <c r="H54" i="3"/>
  <c r="D54" i="3"/>
  <c r="I53" i="3"/>
  <c r="H53" i="3"/>
  <c r="D53" i="3"/>
  <c r="I52" i="3"/>
  <c r="H52" i="3"/>
  <c r="D52" i="3"/>
  <c r="I51" i="3"/>
  <c r="H51" i="3"/>
  <c r="D51" i="3"/>
  <c r="I50" i="3"/>
  <c r="H50" i="3"/>
  <c r="D50" i="3"/>
  <c r="I49" i="3"/>
  <c r="H49" i="3"/>
  <c r="D49" i="3"/>
  <c r="I48" i="3"/>
  <c r="H48" i="3"/>
  <c r="D48" i="3"/>
  <c r="I47" i="3"/>
  <c r="H47" i="3"/>
  <c r="D47" i="3"/>
  <c r="I46" i="3"/>
  <c r="H46" i="3"/>
  <c r="D46" i="3"/>
  <c r="I45" i="3"/>
  <c r="H45" i="3"/>
  <c r="D45" i="3"/>
  <c r="I44" i="3"/>
  <c r="H44" i="3"/>
  <c r="D44" i="3"/>
  <c r="I43" i="3"/>
  <c r="H43" i="3"/>
  <c r="D43" i="3"/>
  <c r="I42" i="3"/>
  <c r="H42" i="3"/>
  <c r="D42" i="3"/>
  <c r="I41" i="3"/>
  <c r="H41" i="3"/>
  <c r="D41" i="3"/>
  <c r="I40" i="3"/>
  <c r="H40" i="3"/>
  <c r="D40" i="3"/>
  <c r="I39" i="3"/>
  <c r="H39" i="3"/>
  <c r="D39" i="3"/>
  <c r="I38" i="3"/>
  <c r="H38" i="3"/>
  <c r="D38" i="3"/>
  <c r="I37" i="3"/>
  <c r="H37" i="3"/>
  <c r="D37" i="3"/>
  <c r="I36" i="3"/>
  <c r="H36" i="3"/>
  <c r="D36" i="3"/>
  <c r="I35" i="3"/>
  <c r="H35" i="3"/>
  <c r="D35" i="3"/>
  <c r="I34" i="3"/>
  <c r="H34" i="3"/>
  <c r="D34" i="3"/>
  <c r="I33" i="3"/>
  <c r="H33" i="3"/>
  <c r="D33" i="3"/>
  <c r="I32" i="3"/>
  <c r="H32" i="3"/>
  <c r="D32" i="3"/>
  <c r="I31" i="3"/>
  <c r="H31" i="3"/>
  <c r="D31" i="3"/>
  <c r="I30" i="3"/>
  <c r="H30" i="3"/>
  <c r="D30" i="3"/>
  <c r="I29" i="3"/>
  <c r="H29" i="3"/>
  <c r="D29" i="3"/>
  <c r="I28" i="3"/>
  <c r="H28" i="3"/>
  <c r="D28" i="3"/>
  <c r="I27" i="3"/>
  <c r="H27" i="3"/>
  <c r="D27" i="3"/>
  <c r="I26" i="3"/>
  <c r="H26" i="3"/>
  <c r="D26" i="3"/>
  <c r="I25" i="3"/>
  <c r="H25" i="3"/>
  <c r="D25" i="3"/>
  <c r="I24" i="3"/>
  <c r="H24" i="3"/>
  <c r="D24" i="3"/>
  <c r="I23" i="3"/>
  <c r="H23" i="3"/>
  <c r="D23" i="3"/>
  <c r="I22" i="3"/>
  <c r="H22" i="3"/>
  <c r="D22" i="3"/>
  <c r="I21" i="3"/>
  <c r="H21" i="3"/>
  <c r="D21" i="3"/>
  <c r="I20" i="3"/>
  <c r="H20" i="3"/>
  <c r="D20" i="3"/>
  <c r="I19" i="3"/>
  <c r="H19" i="3"/>
  <c r="D19" i="3"/>
  <c r="I18" i="3"/>
  <c r="H18" i="3"/>
  <c r="D18" i="3"/>
  <c r="I17" i="3"/>
  <c r="H17" i="3"/>
  <c r="D17" i="3"/>
  <c r="I16" i="3"/>
  <c r="H16" i="3"/>
  <c r="D16" i="3"/>
  <c r="I15" i="3"/>
  <c r="H15" i="3"/>
  <c r="D15" i="3"/>
  <c r="I14" i="3"/>
  <c r="H14" i="3"/>
  <c r="D14" i="3"/>
  <c r="I13" i="3"/>
  <c r="H13" i="3"/>
  <c r="D13" i="3"/>
  <c r="I12" i="3"/>
  <c r="H12" i="3"/>
  <c r="D12" i="3"/>
  <c r="I11" i="3"/>
  <c r="H11" i="3"/>
  <c r="D11" i="3"/>
  <c r="I10" i="3"/>
  <c r="H10" i="3"/>
  <c r="D10" i="3"/>
  <c r="I9" i="3"/>
  <c r="H9" i="3"/>
  <c r="D9" i="3"/>
  <c r="I8" i="3"/>
  <c r="H8" i="3"/>
  <c r="D8" i="3"/>
  <c r="I7" i="3"/>
  <c r="H7" i="3"/>
  <c r="D7" i="3"/>
  <c r="I6" i="3"/>
  <c r="H6" i="3"/>
  <c r="D6" i="3"/>
  <c r="I5" i="3"/>
  <c r="H5" i="3"/>
  <c r="D5" i="3"/>
  <c r="I4" i="3"/>
  <c r="H4" i="3"/>
  <c r="D4" i="3"/>
  <c r="I3" i="3"/>
  <c r="H3" i="3"/>
  <c r="D3" i="3"/>
  <c r="I2" i="3"/>
  <c r="H2" i="3"/>
  <c r="D2" i="3"/>
  <c r="B35" i="2"/>
  <c r="B34" i="2"/>
  <c r="B9" i="2"/>
  <c r="B8" i="2"/>
  <c r="B7" i="2"/>
  <c r="B2" i="2"/>
  <c r="H1037" i="1"/>
  <c r="F1037" i="1"/>
  <c r="AI1036" i="1"/>
  <c r="B26" i="2" s="1"/>
  <c r="AG1036" i="1"/>
  <c r="Z1036" i="1"/>
  <c r="X1036" i="1"/>
  <c r="Q1036" i="1"/>
  <c r="O1036" i="1"/>
  <c r="R1036" i="1" s="1"/>
  <c r="H1036" i="1"/>
  <c r="F1036" i="1"/>
  <c r="I1036" i="1" s="1"/>
  <c r="AI1035" i="1"/>
  <c r="AG1035" i="1"/>
  <c r="AJ1035" i="1" s="1"/>
  <c r="Z1035" i="1"/>
  <c r="X1035" i="1"/>
  <c r="H1035" i="1"/>
  <c r="F1035" i="1"/>
  <c r="I1035" i="1" s="1"/>
  <c r="AI1034" i="1"/>
  <c r="AG1034" i="1"/>
  <c r="Z1034" i="1"/>
  <c r="X1034" i="1"/>
  <c r="AA1034" i="1" s="1"/>
  <c r="Q1034" i="1"/>
  <c r="O1034" i="1"/>
  <c r="H1034" i="1"/>
  <c r="F1034" i="1"/>
  <c r="I1034" i="1" s="1"/>
  <c r="AI1033" i="1"/>
  <c r="AG1033" i="1"/>
  <c r="Z1033" i="1"/>
  <c r="X1033" i="1"/>
  <c r="AA1033" i="1" s="1"/>
  <c r="Q1033" i="1"/>
  <c r="O1033" i="1"/>
  <c r="H1033" i="1"/>
  <c r="F1033" i="1"/>
  <c r="I1033" i="1" s="1"/>
  <c r="AI1032" i="1"/>
  <c r="AG1032" i="1"/>
  <c r="Z1032" i="1"/>
  <c r="X1032" i="1"/>
  <c r="AA1032" i="1" s="1"/>
  <c r="Q1032" i="1"/>
  <c r="O1032" i="1"/>
  <c r="H1032" i="1"/>
  <c r="F1032" i="1"/>
  <c r="I1032" i="1" s="1"/>
  <c r="AI1031" i="1"/>
  <c r="AG1031" i="1"/>
  <c r="AJ1031" i="1" s="1"/>
  <c r="Z1031" i="1"/>
  <c r="X1031" i="1"/>
  <c r="AA1031" i="1" s="1"/>
  <c r="H1031" i="1"/>
  <c r="F1031" i="1"/>
  <c r="AI1030" i="1"/>
  <c r="AG1030" i="1"/>
  <c r="AJ1030" i="1" s="1"/>
  <c r="Z1030" i="1"/>
  <c r="B39" i="2" s="1"/>
  <c r="X1030" i="1"/>
  <c r="Q1030" i="1"/>
  <c r="O1030" i="1"/>
  <c r="R1030" i="1" s="1"/>
  <c r="H1030" i="1"/>
  <c r="F1030" i="1"/>
  <c r="AI1029" i="1"/>
  <c r="AG1029" i="1"/>
  <c r="AJ1029" i="1" s="1"/>
  <c r="Z1029" i="1"/>
  <c r="X1029" i="1"/>
  <c r="Q1029" i="1"/>
  <c r="O1029" i="1"/>
  <c r="R1029" i="1" s="1"/>
  <c r="H1029" i="1"/>
  <c r="F1029" i="1"/>
  <c r="AI1028" i="1"/>
  <c r="AG1028" i="1"/>
  <c r="AJ1028" i="1" s="1"/>
  <c r="Z1028" i="1"/>
  <c r="X1028" i="1"/>
  <c r="Q1028" i="1"/>
  <c r="O1028" i="1"/>
  <c r="H1028" i="1"/>
  <c r="F1028" i="1"/>
  <c r="AI1027" i="1"/>
  <c r="AG1027" i="1"/>
  <c r="AJ1027" i="1" s="1"/>
  <c r="Z1027" i="1"/>
  <c r="X1027" i="1"/>
  <c r="AA1027" i="1" s="1"/>
  <c r="Q1027" i="1"/>
  <c r="O1027" i="1"/>
  <c r="R1027" i="1" s="1"/>
  <c r="H1027" i="1"/>
  <c r="F1027" i="1"/>
  <c r="Z1026" i="1"/>
  <c r="X1026" i="1"/>
  <c r="AA1026" i="1" s="1"/>
  <c r="H1026" i="1"/>
  <c r="F1026" i="1"/>
  <c r="AI1025" i="1"/>
  <c r="AG1025" i="1"/>
  <c r="AJ1025" i="1" s="1"/>
  <c r="Z1025" i="1"/>
  <c r="X1025" i="1"/>
  <c r="Q1025" i="1"/>
  <c r="O1025" i="1"/>
  <c r="R1025" i="1" s="1"/>
  <c r="H1025" i="1"/>
  <c r="F1025" i="1"/>
  <c r="AI1024" i="1"/>
  <c r="AG1024" i="1"/>
  <c r="AJ1024" i="1" s="1"/>
  <c r="Z1024" i="1"/>
  <c r="X1024" i="1"/>
  <c r="Q1024" i="1"/>
  <c r="O1024" i="1"/>
  <c r="R1024" i="1" s="1"/>
  <c r="H1024" i="1"/>
  <c r="F1024" i="1"/>
  <c r="I1024" i="1" s="1"/>
  <c r="AI1023" i="1"/>
  <c r="AG1023" i="1"/>
  <c r="AJ1023" i="1" s="1"/>
  <c r="Z1023" i="1"/>
  <c r="X1023" i="1"/>
  <c r="Q1023" i="1"/>
  <c r="O1023" i="1"/>
  <c r="R1023" i="1" s="1"/>
  <c r="H1023" i="1"/>
  <c r="F1023" i="1"/>
  <c r="I1023" i="1" s="1"/>
  <c r="AI1022" i="1"/>
  <c r="AG1022" i="1"/>
  <c r="AJ1022" i="1" s="1"/>
  <c r="Z1022" i="1"/>
  <c r="X1022" i="1"/>
  <c r="Q1022" i="1"/>
  <c r="O1022" i="1"/>
  <c r="R1022" i="1" s="1"/>
  <c r="H1022" i="1"/>
  <c r="F1022" i="1"/>
  <c r="I1022" i="1" s="1"/>
  <c r="AI1021" i="1"/>
  <c r="AG1021" i="1"/>
  <c r="Z1021" i="1"/>
  <c r="X1021" i="1"/>
  <c r="Q1021" i="1"/>
  <c r="O1021" i="1"/>
  <c r="R1021" i="1" s="1"/>
  <c r="H1021" i="1"/>
  <c r="F1021" i="1"/>
  <c r="I1021" i="1" s="1"/>
  <c r="AI1020" i="1"/>
  <c r="AG1020" i="1"/>
  <c r="AJ1020" i="1" s="1"/>
  <c r="Z1020" i="1"/>
  <c r="X1020" i="1"/>
  <c r="Q1020" i="1"/>
  <c r="O1020" i="1"/>
  <c r="R1020" i="1" s="1"/>
  <c r="H1020" i="1"/>
  <c r="F1020" i="1"/>
  <c r="AI1019" i="1"/>
  <c r="AG1019" i="1"/>
  <c r="Z1019" i="1"/>
  <c r="X1019" i="1"/>
  <c r="Q1019" i="1"/>
  <c r="O1019" i="1"/>
  <c r="R1019" i="1" s="1"/>
  <c r="H1019" i="1"/>
  <c r="F1019" i="1"/>
  <c r="AI1018" i="1"/>
  <c r="AG1018" i="1"/>
  <c r="AJ1018" i="1" s="1"/>
  <c r="Z1018" i="1"/>
  <c r="X1018" i="1"/>
  <c r="Q1018" i="1"/>
  <c r="O1018" i="1"/>
  <c r="R1018" i="1" s="1"/>
  <c r="H1018" i="1"/>
  <c r="F1018" i="1"/>
  <c r="AI1017" i="1"/>
  <c r="AG1017" i="1"/>
  <c r="AJ1017" i="1" s="1"/>
  <c r="Z1017" i="1"/>
  <c r="X1017" i="1"/>
  <c r="Q1017" i="1"/>
  <c r="O1017" i="1"/>
  <c r="R1017" i="1" s="1"/>
  <c r="H1017" i="1"/>
  <c r="F1017" i="1"/>
  <c r="I1017" i="1" s="1"/>
  <c r="AI1016" i="1"/>
  <c r="AG1016" i="1"/>
  <c r="AJ1016" i="1" s="1"/>
  <c r="Z1016" i="1"/>
  <c r="X1016" i="1"/>
  <c r="Q1016" i="1"/>
  <c r="O1016" i="1"/>
  <c r="R1016" i="1" s="1"/>
  <c r="H1016" i="1"/>
  <c r="F1016" i="1"/>
  <c r="I1016" i="1" s="1"/>
  <c r="AI1015" i="1"/>
  <c r="AG1015" i="1"/>
  <c r="AJ1015" i="1" s="1"/>
  <c r="Z1015" i="1"/>
  <c r="X1015" i="1"/>
  <c r="Q1015" i="1"/>
  <c r="O1015" i="1"/>
  <c r="R1015" i="1" s="1"/>
  <c r="H1015" i="1"/>
  <c r="F1015" i="1"/>
  <c r="AI1014" i="1"/>
  <c r="AG1014" i="1"/>
  <c r="AJ1014" i="1" s="1"/>
  <c r="Z1014" i="1"/>
  <c r="X1014" i="1"/>
  <c r="Q1014" i="1"/>
  <c r="O1014" i="1"/>
  <c r="R1014" i="1" s="1"/>
  <c r="H1014" i="1"/>
  <c r="F1014" i="1"/>
  <c r="AI1013" i="1"/>
  <c r="AG1013" i="1"/>
  <c r="Z1013" i="1"/>
  <c r="X1013" i="1"/>
  <c r="Q1013" i="1"/>
  <c r="B137" i="2" s="1"/>
  <c r="O1013" i="1"/>
  <c r="R1013" i="1" s="1"/>
  <c r="H1013" i="1"/>
  <c r="F1013" i="1"/>
  <c r="I1013" i="1" s="1"/>
  <c r="AI1012" i="1"/>
  <c r="AG1012" i="1"/>
  <c r="AJ1012" i="1" s="1"/>
  <c r="Z1012" i="1"/>
  <c r="X1012" i="1"/>
  <c r="Q1012" i="1"/>
  <c r="O1012" i="1"/>
  <c r="R1012" i="1" s="1"/>
  <c r="H1012" i="1"/>
  <c r="F1012" i="1"/>
  <c r="AI1011" i="1"/>
  <c r="AG1011" i="1"/>
  <c r="Z1011" i="1"/>
  <c r="X1011" i="1"/>
  <c r="Q1011" i="1"/>
  <c r="O1011" i="1"/>
  <c r="R1011" i="1" s="1"/>
  <c r="H1011" i="1"/>
  <c r="F1011" i="1"/>
  <c r="AI1010" i="1"/>
  <c r="AG1010" i="1"/>
  <c r="AJ1010" i="1" s="1"/>
  <c r="Z1010" i="1"/>
  <c r="X1010" i="1"/>
  <c r="Q1010" i="1"/>
  <c r="O1010" i="1"/>
  <c r="H1010" i="1"/>
  <c r="F1010" i="1"/>
  <c r="AI1009" i="1"/>
  <c r="AG1009" i="1"/>
  <c r="Z1009" i="1"/>
  <c r="X1009" i="1"/>
  <c r="Q1009" i="1"/>
  <c r="O1009" i="1"/>
  <c r="I1009" i="1"/>
  <c r="H1009" i="1"/>
  <c r="G1009" i="1"/>
  <c r="AJ1008" i="1"/>
  <c r="AI1008" i="1"/>
  <c r="B24" i="2" s="1"/>
  <c r="AH1008" i="1"/>
  <c r="Z1008" i="1"/>
  <c r="B3" i="2" s="1"/>
  <c r="X1008" i="1"/>
  <c r="AA1008" i="1" s="1"/>
  <c r="C3" i="2" s="1"/>
  <c r="D3" i="2" s="1"/>
  <c r="Q1008" i="1"/>
  <c r="O1008" i="1"/>
  <c r="R1008" i="1" s="1"/>
  <c r="H1008" i="1"/>
  <c r="F1008" i="1"/>
  <c r="AI1007" i="1"/>
  <c r="AG1007" i="1"/>
  <c r="AJ1007" i="1" s="1"/>
  <c r="Z1007" i="1"/>
  <c r="X1007" i="1"/>
  <c r="AA1007" i="1" s="1"/>
  <c r="Q1007" i="1"/>
  <c r="O1007" i="1"/>
  <c r="H1007" i="1"/>
  <c r="F1007" i="1"/>
  <c r="AI1006" i="1"/>
  <c r="AG1006" i="1"/>
  <c r="Z1006" i="1"/>
  <c r="X1006" i="1"/>
  <c r="AA1006" i="1" s="1"/>
  <c r="Q1006" i="1"/>
  <c r="O1006" i="1"/>
  <c r="R1006" i="1" s="1"/>
  <c r="H1006" i="1"/>
  <c r="F1006" i="1"/>
  <c r="AJ1005" i="1"/>
  <c r="AI1005" i="1"/>
  <c r="AH1005" i="1"/>
  <c r="Z1005" i="1"/>
  <c r="X1005" i="1"/>
  <c r="Q1005" i="1"/>
  <c r="O1005" i="1"/>
  <c r="R1005" i="1" s="1"/>
  <c r="H1005" i="1"/>
  <c r="F1005" i="1"/>
  <c r="AI1004" i="1"/>
  <c r="AG1004" i="1"/>
  <c r="AJ1004" i="1" s="1"/>
  <c r="Z1004" i="1"/>
  <c r="X1004" i="1"/>
  <c r="Q1004" i="1"/>
  <c r="B48" i="2" s="1"/>
  <c r="O1004" i="1"/>
  <c r="R1004" i="1" s="1"/>
  <c r="C48" i="2" s="1"/>
  <c r="H1004" i="1"/>
  <c r="F1004" i="1"/>
  <c r="I1004" i="1" s="1"/>
  <c r="AI1003" i="1"/>
  <c r="AG1003" i="1"/>
  <c r="Z1003" i="1"/>
  <c r="X1003" i="1"/>
  <c r="Q1003" i="1"/>
  <c r="B122" i="2" s="1"/>
  <c r="O1003" i="1"/>
  <c r="R1003" i="1" s="1"/>
  <c r="H1003" i="1"/>
  <c r="B12" i="2" s="1"/>
  <c r="F1003" i="1"/>
  <c r="I1003" i="1" s="1"/>
  <c r="AI1002" i="1"/>
  <c r="B22" i="2" s="1"/>
  <c r="AG1002" i="1"/>
  <c r="AJ1002" i="1" s="1"/>
  <c r="Z1002" i="1"/>
  <c r="X1002" i="1"/>
  <c r="Q1002" i="1"/>
  <c r="O1002" i="1"/>
  <c r="R1002" i="1" s="1"/>
  <c r="H1002" i="1"/>
  <c r="B42" i="2" s="1"/>
  <c r="F1002" i="1"/>
  <c r="AI1001" i="1"/>
  <c r="AG1001" i="1"/>
  <c r="Z1001" i="1"/>
  <c r="X1001" i="1"/>
  <c r="Q1001" i="1"/>
  <c r="O1001" i="1"/>
  <c r="R1001" i="1" s="1"/>
  <c r="H1001" i="1"/>
  <c r="F1001" i="1"/>
  <c r="AI1000" i="1"/>
  <c r="AG1000" i="1"/>
  <c r="AJ1000" i="1" s="1"/>
  <c r="Z1000" i="1"/>
  <c r="X1000" i="1"/>
  <c r="Q1000" i="1"/>
  <c r="B15" i="2" s="1"/>
  <c r="O1000" i="1"/>
  <c r="R1000" i="1" s="1"/>
  <c r="C15" i="2" s="1"/>
  <c r="D15" i="2" s="1"/>
  <c r="H1000" i="1"/>
  <c r="F1000" i="1"/>
  <c r="AI999" i="1"/>
  <c r="AG999" i="1"/>
  <c r="Z999" i="1"/>
  <c r="X999" i="1"/>
  <c r="Q999" i="1"/>
  <c r="O999" i="1"/>
  <c r="R999" i="1" s="1"/>
  <c r="H999" i="1"/>
  <c r="F999" i="1"/>
  <c r="I999" i="1" s="1"/>
  <c r="AI998" i="1"/>
  <c r="AG998" i="1"/>
  <c r="AJ998" i="1" s="1"/>
  <c r="Z998" i="1"/>
  <c r="X998" i="1"/>
  <c r="Q998" i="1"/>
  <c r="O998" i="1"/>
  <c r="R998" i="1" s="1"/>
  <c r="H998" i="1"/>
  <c r="F998" i="1"/>
  <c r="I998" i="1" s="1"/>
  <c r="AI997" i="1"/>
  <c r="AG997" i="1"/>
  <c r="Z997" i="1"/>
  <c r="X997" i="1"/>
  <c r="Q997" i="1"/>
  <c r="O997" i="1"/>
  <c r="R997" i="1" s="1"/>
  <c r="H997" i="1"/>
  <c r="B16" i="2" s="1"/>
  <c r="F997" i="1"/>
  <c r="AI996" i="1"/>
  <c r="AG996" i="1"/>
  <c r="AJ996" i="1" s="1"/>
  <c r="Z996" i="1"/>
  <c r="X996" i="1"/>
  <c r="Q996" i="1"/>
  <c r="O996" i="1"/>
  <c r="R996" i="1" s="1"/>
  <c r="H996" i="1"/>
  <c r="F996" i="1"/>
  <c r="AI995" i="1"/>
  <c r="AG995" i="1"/>
  <c r="Z995" i="1"/>
  <c r="X995" i="1"/>
  <c r="Q995" i="1"/>
  <c r="O995" i="1"/>
  <c r="R995" i="1" s="1"/>
  <c r="H995" i="1"/>
  <c r="F995" i="1"/>
  <c r="AI994" i="1"/>
  <c r="AG994" i="1"/>
  <c r="AJ994" i="1" s="1"/>
  <c r="Z994" i="1"/>
  <c r="X994" i="1"/>
  <c r="Q994" i="1"/>
  <c r="O994" i="1"/>
  <c r="R994" i="1" s="1"/>
  <c r="H994" i="1"/>
  <c r="F994" i="1"/>
  <c r="AI993" i="1"/>
  <c r="AG993" i="1"/>
  <c r="Z993" i="1"/>
  <c r="X993" i="1"/>
  <c r="Q993" i="1"/>
  <c r="O993" i="1"/>
  <c r="R993" i="1" s="1"/>
  <c r="H993" i="1"/>
  <c r="F993" i="1"/>
  <c r="AI992" i="1"/>
  <c r="B28" i="2" s="1"/>
  <c r="AG992" i="1"/>
  <c r="AJ992" i="1" s="1"/>
  <c r="Z992" i="1"/>
  <c r="X992" i="1"/>
  <c r="Q992" i="1"/>
  <c r="O992" i="1"/>
  <c r="R992" i="1" s="1"/>
  <c r="H992" i="1"/>
  <c r="F992" i="1"/>
  <c r="I992" i="1" s="1"/>
  <c r="AI991" i="1"/>
  <c r="AG991" i="1"/>
  <c r="Z991" i="1"/>
  <c r="X991" i="1"/>
  <c r="Q991" i="1"/>
  <c r="O991" i="1"/>
  <c r="R991" i="1" s="1"/>
  <c r="AI990" i="1"/>
  <c r="AG990" i="1"/>
  <c r="AJ990" i="1" s="1"/>
  <c r="Z990" i="1"/>
  <c r="X990" i="1"/>
  <c r="AA990" i="1" s="1"/>
  <c r="H990" i="1"/>
  <c r="F990" i="1"/>
  <c r="AI989" i="1"/>
  <c r="AG989" i="1"/>
  <c r="AJ989" i="1" s="1"/>
  <c r="Z989" i="1"/>
  <c r="B104" i="2" s="1"/>
  <c r="X989" i="1"/>
  <c r="AA989" i="1" s="1"/>
  <c r="Q989" i="1"/>
  <c r="O989" i="1"/>
  <c r="H989" i="1"/>
  <c r="F989" i="1"/>
  <c r="AI988" i="1"/>
  <c r="AG988" i="1"/>
  <c r="AJ988" i="1" s="1"/>
  <c r="Z988" i="1"/>
  <c r="X988" i="1"/>
  <c r="Q988" i="1"/>
  <c r="O988" i="1"/>
  <c r="R988" i="1" s="1"/>
  <c r="H988" i="1"/>
  <c r="F988" i="1"/>
  <c r="AI987" i="1"/>
  <c r="AG987" i="1"/>
  <c r="AJ987" i="1" s="1"/>
  <c r="Z987" i="1"/>
  <c r="X987" i="1"/>
  <c r="AA987" i="1" s="1"/>
  <c r="Q987" i="1"/>
  <c r="O987" i="1"/>
  <c r="H987" i="1"/>
  <c r="F987" i="1"/>
  <c r="AI986" i="1"/>
  <c r="B37" i="2" s="1"/>
  <c r="AG986" i="1"/>
  <c r="AJ986" i="1" s="1"/>
  <c r="C37" i="2" s="1"/>
  <c r="Z986" i="1"/>
  <c r="X986" i="1"/>
  <c r="Q986" i="1"/>
  <c r="O986" i="1"/>
  <c r="R986" i="1" s="1"/>
  <c r="H986" i="1"/>
  <c r="F986" i="1"/>
  <c r="AI985" i="1"/>
  <c r="B38" i="2" s="1"/>
  <c r="AG985" i="1"/>
  <c r="AJ985" i="1" s="1"/>
  <c r="C38" i="2" s="1"/>
  <c r="Z985" i="1"/>
  <c r="X985" i="1"/>
  <c r="Q985" i="1"/>
  <c r="O985" i="1"/>
  <c r="H985" i="1"/>
  <c r="F985" i="1"/>
  <c r="AI984" i="1"/>
  <c r="AG984" i="1"/>
  <c r="AJ984" i="1" s="1"/>
  <c r="Z984" i="1"/>
  <c r="X984" i="1"/>
  <c r="Q984" i="1"/>
  <c r="O984" i="1"/>
  <c r="R984" i="1" s="1"/>
  <c r="H984" i="1"/>
  <c r="F984" i="1"/>
  <c r="AI983" i="1"/>
  <c r="AG983" i="1"/>
  <c r="AJ983" i="1" s="1"/>
  <c r="Z983" i="1"/>
  <c r="X983" i="1"/>
  <c r="AA983" i="1" s="1"/>
  <c r="Q983" i="1"/>
  <c r="O983" i="1"/>
  <c r="H983" i="1"/>
  <c r="F983" i="1"/>
  <c r="AI982" i="1"/>
  <c r="AG982" i="1"/>
  <c r="AJ982" i="1" s="1"/>
  <c r="Z982" i="1"/>
  <c r="X982" i="1"/>
  <c r="Q982" i="1"/>
  <c r="O982" i="1"/>
  <c r="R982" i="1" s="1"/>
  <c r="H982" i="1"/>
  <c r="F982" i="1"/>
  <c r="AI981" i="1"/>
  <c r="AG981" i="1"/>
  <c r="AJ981" i="1" s="1"/>
  <c r="Z981" i="1"/>
  <c r="X981" i="1"/>
  <c r="Q981" i="1"/>
  <c r="O981" i="1"/>
  <c r="H981" i="1"/>
  <c r="F981" i="1"/>
  <c r="AI980" i="1"/>
  <c r="AG980" i="1"/>
  <c r="AJ980" i="1" s="1"/>
  <c r="Z980" i="1"/>
  <c r="X980" i="1"/>
  <c r="Q980" i="1"/>
  <c r="O980" i="1"/>
  <c r="R980" i="1" s="1"/>
  <c r="H980" i="1"/>
  <c r="F980" i="1"/>
  <c r="AI979" i="1"/>
  <c r="AG979" i="1"/>
  <c r="AJ979" i="1" s="1"/>
  <c r="Z979" i="1"/>
  <c r="B11" i="2" s="1"/>
  <c r="X979" i="1"/>
  <c r="Q979" i="1"/>
  <c r="O979" i="1"/>
  <c r="R979" i="1" s="1"/>
  <c r="H979" i="1"/>
  <c r="F979" i="1"/>
  <c r="G979" i="1" s="1"/>
  <c r="AI978" i="1"/>
  <c r="AG978" i="1"/>
  <c r="Z978" i="1"/>
  <c r="X978" i="1"/>
  <c r="Q978" i="1"/>
  <c r="O978" i="1"/>
  <c r="P978" i="1" s="1"/>
  <c r="H978" i="1"/>
  <c r="F978" i="1"/>
  <c r="AI977" i="1"/>
  <c r="AG977" i="1"/>
  <c r="Z977" i="1"/>
  <c r="X977" i="1"/>
  <c r="Q977" i="1"/>
  <c r="O977" i="1"/>
  <c r="P977" i="1" s="1"/>
  <c r="H977" i="1"/>
  <c r="F977" i="1"/>
  <c r="G977" i="1" s="1"/>
  <c r="AI976" i="1"/>
  <c r="B185" i="2" s="1"/>
  <c r="AG976" i="1"/>
  <c r="Z976" i="1"/>
  <c r="X976" i="1"/>
  <c r="Q976" i="1"/>
  <c r="O976" i="1"/>
  <c r="P976" i="1" s="1"/>
  <c r="H976" i="1"/>
  <c r="F976" i="1"/>
  <c r="AI975" i="1"/>
  <c r="B58" i="2" s="1"/>
  <c r="AG975" i="1"/>
  <c r="Z975" i="1"/>
  <c r="X975" i="1"/>
  <c r="Q975" i="1"/>
  <c r="O975" i="1"/>
  <c r="P975" i="1" s="1"/>
  <c r="AI974" i="1"/>
  <c r="AG974" i="1"/>
  <c r="AH974" i="1" s="1"/>
  <c r="Z974" i="1"/>
  <c r="X974" i="1"/>
  <c r="Q974" i="1"/>
  <c r="O974" i="1"/>
  <c r="H974" i="1"/>
  <c r="F974" i="1"/>
  <c r="G974" i="1" s="1"/>
  <c r="AI973" i="1"/>
  <c r="B74" i="2" s="1"/>
  <c r="AG973" i="1"/>
  <c r="Z973" i="1"/>
  <c r="X973" i="1"/>
  <c r="Q973" i="1"/>
  <c r="O973" i="1"/>
  <c r="H973" i="1"/>
  <c r="F973" i="1"/>
  <c r="G973" i="1" s="1"/>
  <c r="AI972" i="1"/>
  <c r="AG972" i="1"/>
  <c r="AH972" i="1" s="1"/>
  <c r="Z972" i="1"/>
  <c r="X972" i="1"/>
  <c r="Q972" i="1"/>
  <c r="O972" i="1"/>
  <c r="H972" i="1"/>
  <c r="F972" i="1"/>
  <c r="G972" i="1" s="1"/>
  <c r="AI971" i="1"/>
  <c r="AG971" i="1"/>
  <c r="Z971" i="1"/>
  <c r="X971" i="1"/>
  <c r="Q971" i="1"/>
  <c r="O971" i="1"/>
  <c r="H971" i="1"/>
  <c r="F971" i="1"/>
  <c r="AI970" i="1"/>
  <c r="AG970" i="1"/>
  <c r="AH970" i="1" s="1"/>
  <c r="Z970" i="1"/>
  <c r="X970" i="1"/>
  <c r="Q970" i="1"/>
  <c r="O970" i="1"/>
  <c r="H970" i="1"/>
  <c r="F970" i="1"/>
  <c r="AI969" i="1"/>
  <c r="AG969" i="1"/>
  <c r="Z969" i="1"/>
  <c r="X969" i="1"/>
  <c r="Q969" i="1"/>
  <c r="O969" i="1"/>
  <c r="H969" i="1"/>
  <c r="F969" i="1"/>
  <c r="AI968" i="1"/>
  <c r="AG968" i="1"/>
  <c r="AH968" i="1" s="1"/>
  <c r="Z968" i="1"/>
  <c r="X968" i="1"/>
  <c r="Q968" i="1"/>
  <c r="O968" i="1"/>
  <c r="H968" i="1"/>
  <c r="F968" i="1"/>
  <c r="AI967" i="1"/>
  <c r="AG967" i="1"/>
  <c r="Z967" i="1"/>
  <c r="X967" i="1"/>
  <c r="R967" i="1"/>
  <c r="Q967" i="1"/>
  <c r="P967" i="1"/>
  <c r="I967" i="1"/>
  <c r="H967" i="1"/>
  <c r="G967" i="1"/>
  <c r="AI966" i="1"/>
  <c r="AG966" i="1"/>
  <c r="AJ966" i="1" s="1"/>
  <c r="Z966" i="1"/>
  <c r="B57" i="2" s="1"/>
  <c r="X966" i="1"/>
  <c r="Q966" i="1"/>
  <c r="O966" i="1"/>
  <c r="H966" i="1"/>
  <c r="F966" i="1"/>
  <c r="AI965" i="1"/>
  <c r="AG965" i="1"/>
  <c r="AJ965" i="1" s="1"/>
  <c r="Z965" i="1"/>
  <c r="X965" i="1"/>
  <c r="AA965" i="1" s="1"/>
  <c r="Q965" i="1"/>
  <c r="O965" i="1"/>
  <c r="R965" i="1" s="1"/>
  <c r="H965" i="1"/>
  <c r="F965" i="1"/>
  <c r="AI964" i="1"/>
  <c r="AG964" i="1"/>
  <c r="AJ964" i="1" s="1"/>
  <c r="Z964" i="1"/>
  <c r="X964" i="1"/>
  <c r="Q964" i="1"/>
  <c r="O964" i="1"/>
  <c r="H964" i="1"/>
  <c r="F964" i="1"/>
  <c r="AI963" i="1"/>
  <c r="AG963" i="1"/>
  <c r="AJ963" i="1" s="1"/>
  <c r="Z963" i="1"/>
  <c r="X963" i="1"/>
  <c r="AA963" i="1" s="1"/>
  <c r="Q963" i="1"/>
  <c r="O963" i="1"/>
  <c r="H963" i="1"/>
  <c r="F963" i="1"/>
  <c r="AI962" i="1"/>
  <c r="AG962" i="1"/>
  <c r="AJ962" i="1" s="1"/>
  <c r="Z962" i="1"/>
  <c r="X962" i="1"/>
  <c r="AA962" i="1" s="1"/>
  <c r="Q962" i="1"/>
  <c r="O962" i="1"/>
  <c r="H962" i="1"/>
  <c r="F962" i="1"/>
  <c r="AI961" i="1"/>
  <c r="AG961" i="1"/>
  <c r="AJ961" i="1" s="1"/>
  <c r="Z961" i="1"/>
  <c r="X961" i="1"/>
  <c r="Q961" i="1"/>
  <c r="O961" i="1"/>
  <c r="H961" i="1"/>
  <c r="F961" i="1"/>
  <c r="AI960" i="1"/>
  <c r="AG960" i="1"/>
  <c r="AJ960" i="1" s="1"/>
  <c r="Z960" i="1"/>
  <c r="X960" i="1"/>
  <c r="AA960" i="1" s="1"/>
  <c r="Q960" i="1"/>
  <c r="O960" i="1"/>
  <c r="H960" i="1"/>
  <c r="F960" i="1"/>
  <c r="AI959" i="1"/>
  <c r="AG959" i="1"/>
  <c r="AJ959" i="1" s="1"/>
  <c r="Z959" i="1"/>
  <c r="X959" i="1"/>
  <c r="Q959" i="1"/>
  <c r="O959" i="1"/>
  <c r="R959" i="1" s="1"/>
  <c r="H959" i="1"/>
  <c r="F959" i="1"/>
  <c r="AI958" i="1"/>
  <c r="AG958" i="1"/>
  <c r="AJ958" i="1" s="1"/>
  <c r="Z958" i="1"/>
  <c r="X958" i="1"/>
  <c r="AA958" i="1" s="1"/>
  <c r="Q958" i="1"/>
  <c r="O958" i="1"/>
  <c r="H958" i="1"/>
  <c r="F958" i="1"/>
  <c r="AI957" i="1"/>
  <c r="AG957" i="1"/>
  <c r="AJ957" i="1" s="1"/>
  <c r="Z957" i="1"/>
  <c r="X957" i="1"/>
  <c r="AA957" i="1" s="1"/>
  <c r="Q957" i="1"/>
  <c r="O957" i="1"/>
  <c r="H957" i="1"/>
  <c r="F957" i="1"/>
  <c r="AI956" i="1"/>
  <c r="AG956" i="1"/>
  <c r="AJ956" i="1" s="1"/>
  <c r="Z956" i="1"/>
  <c r="X956" i="1"/>
  <c r="Q956" i="1"/>
  <c r="O956" i="1"/>
  <c r="H956" i="1"/>
  <c r="F956" i="1"/>
  <c r="AI955" i="1"/>
  <c r="AG955" i="1"/>
  <c r="AJ955" i="1" s="1"/>
  <c r="Z955" i="1"/>
  <c r="X955" i="1"/>
  <c r="Q955" i="1"/>
  <c r="O955" i="1"/>
  <c r="H955" i="1"/>
  <c r="F955" i="1"/>
  <c r="Z954" i="1"/>
  <c r="X954" i="1"/>
  <c r="AA954" i="1" s="1"/>
  <c r="Q954" i="1"/>
  <c r="O954" i="1"/>
  <c r="H954" i="1"/>
  <c r="F954" i="1"/>
  <c r="AI953" i="1"/>
  <c r="AG953" i="1"/>
  <c r="Z953" i="1"/>
  <c r="X953" i="1"/>
  <c r="AA953" i="1" s="1"/>
  <c r="Q953" i="1"/>
  <c r="O953" i="1"/>
  <c r="H953" i="1"/>
  <c r="F953" i="1"/>
  <c r="I953" i="1" s="1"/>
  <c r="AI952" i="1"/>
  <c r="B123" i="2" s="1"/>
  <c r="AG952" i="1"/>
  <c r="Z952" i="1"/>
  <c r="B25" i="2" s="1"/>
  <c r="X952" i="1"/>
  <c r="AA952" i="1" s="1"/>
  <c r="Q952" i="1"/>
  <c r="O952" i="1"/>
  <c r="R952" i="1" s="1"/>
  <c r="H952" i="1"/>
  <c r="F952" i="1"/>
  <c r="AI951" i="1"/>
  <c r="AG951" i="1"/>
  <c r="Z951" i="1"/>
  <c r="X951" i="1"/>
  <c r="AA951" i="1" s="1"/>
  <c r="Q951" i="1"/>
  <c r="O951" i="1"/>
  <c r="R951" i="1" s="1"/>
  <c r="H951" i="1"/>
  <c r="F951" i="1"/>
  <c r="I951" i="1" s="1"/>
  <c r="AI950" i="1"/>
  <c r="AG950" i="1"/>
  <c r="Z950" i="1"/>
  <c r="X950" i="1"/>
  <c r="AA950" i="1" s="1"/>
  <c r="R950" i="1"/>
  <c r="Q950" i="1"/>
  <c r="P950" i="1"/>
  <c r="H950" i="1"/>
  <c r="F950" i="1"/>
  <c r="AI949" i="1"/>
  <c r="AG949" i="1"/>
  <c r="AJ949" i="1" s="1"/>
  <c r="Z949" i="1"/>
  <c r="X949" i="1"/>
  <c r="Q949" i="1"/>
  <c r="O949" i="1"/>
  <c r="R949" i="1" s="1"/>
  <c r="H949" i="1"/>
  <c r="F949" i="1"/>
  <c r="AI948" i="1"/>
  <c r="AG948" i="1"/>
  <c r="AJ948" i="1" s="1"/>
  <c r="Z948" i="1"/>
  <c r="X948" i="1"/>
  <c r="Q948" i="1"/>
  <c r="O948" i="1"/>
  <c r="R948" i="1" s="1"/>
  <c r="H948" i="1"/>
  <c r="F948" i="1"/>
  <c r="AI947" i="1"/>
  <c r="AG947" i="1"/>
  <c r="AJ947" i="1" s="1"/>
  <c r="Z947" i="1"/>
  <c r="X947" i="1"/>
  <c r="AA947" i="1" s="1"/>
  <c r="Q947" i="1"/>
  <c r="O947" i="1"/>
  <c r="H947" i="1"/>
  <c r="F947" i="1"/>
  <c r="AI946" i="1"/>
  <c r="AG946" i="1"/>
  <c r="AJ946" i="1" s="1"/>
  <c r="Z946" i="1"/>
  <c r="X946" i="1"/>
  <c r="AA946" i="1" s="1"/>
  <c r="H946" i="1"/>
  <c r="F946" i="1"/>
  <c r="I946" i="1" s="1"/>
  <c r="AI945" i="1"/>
  <c r="AG945" i="1"/>
  <c r="Z945" i="1"/>
  <c r="X945" i="1"/>
  <c r="AA945" i="1" s="1"/>
  <c r="Q945" i="1"/>
  <c r="O945" i="1"/>
  <c r="H945" i="1"/>
  <c r="F945" i="1"/>
  <c r="I945" i="1" s="1"/>
  <c r="AI944" i="1"/>
  <c r="AG944" i="1"/>
  <c r="Z944" i="1"/>
  <c r="X944" i="1"/>
  <c r="AA944" i="1" s="1"/>
  <c r="Q944" i="1"/>
  <c r="O944" i="1"/>
  <c r="H944" i="1"/>
  <c r="F944" i="1"/>
  <c r="I944" i="1" s="1"/>
  <c r="Q943" i="1"/>
  <c r="O943" i="1"/>
  <c r="H943" i="1"/>
  <c r="F943" i="1"/>
  <c r="I943" i="1" s="1"/>
  <c r="AI942" i="1"/>
  <c r="AG942" i="1"/>
  <c r="AJ942" i="1" s="1"/>
  <c r="Z942" i="1"/>
  <c r="X942" i="1"/>
  <c r="Q942" i="1"/>
  <c r="O942" i="1"/>
  <c r="H942" i="1"/>
  <c r="B23" i="2" s="1"/>
  <c r="F942" i="1"/>
  <c r="I942" i="1" s="1"/>
  <c r="Z941" i="1"/>
  <c r="X941" i="1"/>
  <c r="Q941" i="1"/>
  <c r="O941" i="1"/>
  <c r="R941" i="1" s="1"/>
  <c r="H941" i="1"/>
  <c r="F941" i="1"/>
  <c r="AI940" i="1"/>
  <c r="AG940" i="1"/>
  <c r="AJ940" i="1" s="1"/>
  <c r="Z940" i="1"/>
  <c r="X940" i="1"/>
  <c r="Q940" i="1"/>
  <c r="O940" i="1"/>
  <c r="R940" i="1" s="1"/>
  <c r="H940" i="1"/>
  <c r="F940" i="1"/>
  <c r="AI939" i="1"/>
  <c r="AG939" i="1"/>
  <c r="AJ939" i="1" s="1"/>
  <c r="Z939" i="1"/>
  <c r="X939" i="1"/>
  <c r="AA939" i="1" s="1"/>
  <c r="Q939" i="1"/>
  <c r="O939" i="1"/>
  <c r="R939" i="1" s="1"/>
  <c r="H939" i="1"/>
  <c r="F939" i="1"/>
  <c r="AI938" i="1"/>
  <c r="AG938" i="1"/>
  <c r="AJ938" i="1" s="1"/>
  <c r="Z938" i="1"/>
  <c r="X938" i="1"/>
  <c r="AA938" i="1" s="1"/>
  <c r="Q938" i="1"/>
  <c r="O938" i="1"/>
  <c r="R938" i="1" s="1"/>
  <c r="H938" i="1"/>
  <c r="F938" i="1"/>
  <c r="AI937" i="1"/>
  <c r="AG937" i="1"/>
  <c r="AJ937" i="1" s="1"/>
  <c r="AA937" i="1"/>
  <c r="Z937" i="1"/>
  <c r="Y937" i="1"/>
  <c r="Q937" i="1"/>
  <c r="O937" i="1"/>
  <c r="H937" i="1"/>
  <c r="F937" i="1"/>
  <c r="AI936" i="1"/>
  <c r="AG936" i="1"/>
  <c r="AH936" i="1" s="1"/>
  <c r="Z936" i="1"/>
  <c r="X936" i="1"/>
  <c r="Q936" i="1"/>
  <c r="O936" i="1"/>
  <c r="H936" i="1"/>
  <c r="F936" i="1"/>
  <c r="Z935" i="1"/>
  <c r="X935" i="1"/>
  <c r="AA935" i="1" s="1"/>
  <c r="Q935" i="1"/>
  <c r="O935" i="1"/>
  <c r="H935" i="1"/>
  <c r="B54" i="2" s="1"/>
  <c r="F935" i="1"/>
  <c r="G935" i="1" s="1"/>
  <c r="AI934" i="1"/>
  <c r="AG934" i="1"/>
  <c r="Z934" i="1"/>
  <c r="X934" i="1"/>
  <c r="Q934" i="1"/>
  <c r="O934" i="1"/>
  <c r="H934" i="1"/>
  <c r="F934" i="1"/>
  <c r="AI933" i="1"/>
  <c r="AG933" i="1"/>
  <c r="Z933" i="1"/>
  <c r="X933" i="1"/>
  <c r="Q933" i="1"/>
  <c r="O933" i="1"/>
  <c r="H933" i="1"/>
  <c r="F933" i="1"/>
  <c r="G933" i="1" s="1"/>
  <c r="AI932" i="1"/>
  <c r="AG932" i="1"/>
  <c r="Z932" i="1"/>
  <c r="X932" i="1"/>
  <c r="Q932" i="1"/>
  <c r="O932" i="1"/>
  <c r="H932" i="1"/>
  <c r="F932" i="1"/>
  <c r="AI931" i="1"/>
  <c r="AG931" i="1"/>
  <c r="Z931" i="1"/>
  <c r="X931" i="1"/>
  <c r="Q931" i="1"/>
  <c r="O931" i="1"/>
  <c r="H931" i="1"/>
  <c r="B169" i="2" s="1"/>
  <c r="F931" i="1"/>
  <c r="AI930" i="1"/>
  <c r="AG930" i="1"/>
  <c r="AH930" i="1" s="1"/>
  <c r="Z930" i="1"/>
  <c r="X930" i="1"/>
  <c r="Q930" i="1"/>
  <c r="O930" i="1"/>
  <c r="H930" i="1"/>
  <c r="F930" i="1"/>
  <c r="AI929" i="1"/>
  <c r="AG929" i="1"/>
  <c r="Z929" i="1"/>
  <c r="X929" i="1"/>
  <c r="Q929" i="1"/>
  <c r="O929" i="1"/>
  <c r="H929" i="1"/>
  <c r="B20" i="2" s="1"/>
  <c r="F929" i="1"/>
  <c r="AI928" i="1"/>
  <c r="AG928" i="1"/>
  <c r="AH928" i="1" s="1"/>
  <c r="Z928" i="1"/>
  <c r="X928" i="1"/>
  <c r="Q928" i="1"/>
  <c r="O928" i="1"/>
  <c r="H928" i="1"/>
  <c r="F928" i="1"/>
  <c r="AI927" i="1"/>
  <c r="B10" i="2" s="1"/>
  <c r="AG927" i="1"/>
  <c r="Z927" i="1"/>
  <c r="X927" i="1"/>
  <c r="Q927" i="1"/>
  <c r="O927" i="1"/>
  <c r="H927" i="1"/>
  <c r="F927" i="1"/>
  <c r="G927" i="1" s="1"/>
  <c r="AI926" i="1"/>
  <c r="AG926" i="1"/>
  <c r="Z926" i="1"/>
  <c r="X926" i="1"/>
  <c r="Q926" i="1"/>
  <c r="O926" i="1"/>
  <c r="H926" i="1"/>
  <c r="F926" i="1"/>
  <c r="AI925" i="1"/>
  <c r="AG925" i="1"/>
  <c r="Z925" i="1"/>
  <c r="X925" i="1"/>
  <c r="Q925" i="1"/>
  <c r="O925" i="1"/>
  <c r="H925" i="1"/>
  <c r="F925" i="1"/>
  <c r="AI924" i="1"/>
  <c r="AG924" i="1"/>
  <c r="Z924" i="1"/>
  <c r="X924" i="1"/>
  <c r="Q924" i="1"/>
  <c r="O924" i="1"/>
  <c r="P924" i="1" s="1"/>
  <c r="H924" i="1"/>
  <c r="F924" i="1"/>
  <c r="G924" i="1" s="1"/>
  <c r="AI923" i="1"/>
  <c r="AG923" i="1"/>
  <c r="Z923" i="1"/>
  <c r="X923" i="1"/>
  <c r="Q923" i="1"/>
  <c r="O923" i="1"/>
  <c r="H923" i="1"/>
  <c r="F923" i="1"/>
  <c r="G923" i="1" s="1"/>
  <c r="AI922" i="1"/>
  <c r="AG922" i="1"/>
  <c r="Z922" i="1"/>
  <c r="X922" i="1"/>
  <c r="Q922" i="1"/>
  <c r="O922" i="1"/>
  <c r="H922" i="1"/>
  <c r="F922" i="1"/>
  <c r="AI921" i="1"/>
  <c r="AG921" i="1"/>
  <c r="Z921" i="1"/>
  <c r="X921" i="1"/>
  <c r="Q921" i="1"/>
  <c r="O921" i="1"/>
  <c r="H921" i="1"/>
  <c r="F921" i="1"/>
  <c r="G921" i="1" s="1"/>
  <c r="AI920" i="1"/>
  <c r="AG920" i="1"/>
  <c r="Z920" i="1"/>
  <c r="X920" i="1"/>
  <c r="Q920" i="1"/>
  <c r="O920" i="1"/>
  <c r="H920" i="1"/>
  <c r="F920" i="1"/>
  <c r="AI919" i="1"/>
  <c r="AG919" i="1"/>
  <c r="Z919" i="1"/>
  <c r="X919" i="1"/>
  <c r="Q919" i="1"/>
  <c r="B181" i="2" s="1"/>
  <c r="O919" i="1"/>
  <c r="H919" i="1"/>
  <c r="F919" i="1"/>
  <c r="G919" i="1" s="1"/>
  <c r="AI918" i="1"/>
  <c r="AG918" i="1"/>
  <c r="Z918" i="1"/>
  <c r="X918" i="1"/>
  <c r="Q918" i="1"/>
  <c r="O918" i="1"/>
  <c r="H918" i="1"/>
  <c r="F918" i="1"/>
  <c r="AJ917" i="1"/>
  <c r="AI917" i="1"/>
  <c r="AH917" i="1"/>
  <c r="Z917" i="1"/>
  <c r="X917" i="1"/>
  <c r="Q917" i="1"/>
  <c r="O917" i="1"/>
  <c r="H917" i="1"/>
  <c r="F917" i="1"/>
  <c r="G917" i="1" s="1"/>
  <c r="AI916" i="1"/>
  <c r="AG916" i="1"/>
  <c r="Z916" i="1"/>
  <c r="X916" i="1"/>
  <c r="Q916" i="1"/>
  <c r="O916" i="1"/>
  <c r="H916" i="1"/>
  <c r="F916" i="1"/>
  <c r="G916" i="1" s="1"/>
  <c r="AI915" i="1"/>
  <c r="AG915" i="1"/>
  <c r="Z915" i="1"/>
  <c r="X915" i="1"/>
  <c r="Q915" i="1"/>
  <c r="B81" i="2" s="1"/>
  <c r="O915" i="1"/>
  <c r="H915" i="1"/>
  <c r="F915" i="1"/>
  <c r="G915" i="1" s="1"/>
  <c r="AI914" i="1"/>
  <c r="AG914" i="1"/>
  <c r="Z914" i="1"/>
  <c r="X914" i="1"/>
  <c r="Q914" i="1"/>
  <c r="O914" i="1"/>
  <c r="H914" i="1"/>
  <c r="F914" i="1"/>
  <c r="G914" i="1" s="1"/>
  <c r="AI913" i="1"/>
  <c r="AG913" i="1"/>
  <c r="Z913" i="1"/>
  <c r="X913" i="1"/>
  <c r="Q913" i="1"/>
  <c r="O913" i="1"/>
  <c r="H913" i="1"/>
  <c r="F913" i="1"/>
  <c r="G913" i="1" s="1"/>
  <c r="AI912" i="1"/>
  <c r="AG912" i="1"/>
  <c r="Z912" i="1"/>
  <c r="X912" i="1"/>
  <c r="Q912" i="1"/>
  <c r="O912" i="1"/>
  <c r="H912" i="1"/>
  <c r="F912" i="1"/>
  <c r="G912" i="1" s="1"/>
  <c r="AI911" i="1"/>
  <c r="AG911" i="1"/>
  <c r="AJ911" i="1" s="1"/>
  <c r="Z911" i="1"/>
  <c r="X911" i="1"/>
  <c r="Q911" i="1"/>
  <c r="O911" i="1"/>
  <c r="R911" i="1" s="1"/>
  <c r="H911" i="1"/>
  <c r="F911" i="1"/>
  <c r="AI910" i="1"/>
  <c r="AG910" i="1"/>
  <c r="AJ910" i="1" s="1"/>
  <c r="Z910" i="1"/>
  <c r="X910" i="1"/>
  <c r="Q910" i="1"/>
  <c r="O910" i="1"/>
  <c r="AI909" i="1"/>
  <c r="AG909" i="1"/>
  <c r="AJ909" i="1" s="1"/>
  <c r="Z909" i="1"/>
  <c r="X909" i="1"/>
  <c r="AA909" i="1" s="1"/>
  <c r="Q909" i="1"/>
  <c r="O909" i="1"/>
  <c r="H909" i="1"/>
  <c r="F909" i="1"/>
  <c r="AI908" i="1"/>
  <c r="AG908" i="1"/>
  <c r="AJ908" i="1" s="1"/>
  <c r="AA908" i="1"/>
  <c r="Z908" i="1"/>
  <c r="Y908" i="1"/>
  <c r="Q908" i="1"/>
  <c r="O908" i="1"/>
  <c r="H908" i="1"/>
  <c r="F908" i="1"/>
  <c r="I908" i="1" s="1"/>
  <c r="Z907" i="1"/>
  <c r="X907" i="1"/>
  <c r="AA907" i="1" s="1"/>
  <c r="Q907" i="1"/>
  <c r="O907" i="1"/>
  <c r="R907" i="1" s="1"/>
  <c r="H907" i="1"/>
  <c r="F907" i="1"/>
  <c r="AI906" i="1"/>
  <c r="AG906" i="1"/>
  <c r="AJ906" i="1" s="1"/>
  <c r="Z906" i="1"/>
  <c r="X906" i="1"/>
  <c r="Q906" i="1"/>
  <c r="O906" i="1"/>
  <c r="R906" i="1" s="1"/>
  <c r="H906" i="1"/>
  <c r="F906" i="1"/>
  <c r="AI905" i="1"/>
  <c r="AG905" i="1"/>
  <c r="AJ905" i="1" s="1"/>
  <c r="Z905" i="1"/>
  <c r="X905" i="1"/>
  <c r="AA905" i="1" s="1"/>
  <c r="Q905" i="1"/>
  <c r="O905" i="1"/>
  <c r="R905" i="1" s="1"/>
  <c r="H905" i="1"/>
  <c r="F905" i="1"/>
  <c r="AI904" i="1"/>
  <c r="AG904" i="1"/>
  <c r="AJ904" i="1" s="1"/>
  <c r="Z904" i="1"/>
  <c r="X904" i="1"/>
  <c r="Q904" i="1"/>
  <c r="O904" i="1"/>
  <c r="R904" i="1" s="1"/>
  <c r="H904" i="1"/>
  <c r="F904" i="1"/>
  <c r="AI903" i="1"/>
  <c r="AG903" i="1"/>
  <c r="AJ903" i="1" s="1"/>
  <c r="Z903" i="1"/>
  <c r="X903" i="1"/>
  <c r="Q903" i="1"/>
  <c r="O903" i="1"/>
  <c r="R903" i="1" s="1"/>
  <c r="H903" i="1"/>
  <c r="F903" i="1"/>
  <c r="AI902" i="1"/>
  <c r="AG902" i="1"/>
  <c r="AJ902" i="1" s="1"/>
  <c r="Z902" i="1"/>
  <c r="X902" i="1"/>
  <c r="AA902" i="1" s="1"/>
  <c r="Q902" i="1"/>
  <c r="O902" i="1"/>
  <c r="H902" i="1"/>
  <c r="F902" i="1"/>
  <c r="AI901" i="1"/>
  <c r="AG901" i="1"/>
  <c r="AJ901" i="1" s="1"/>
  <c r="Z901" i="1"/>
  <c r="X901" i="1"/>
  <c r="Q901" i="1"/>
  <c r="O901" i="1"/>
  <c r="R901" i="1" s="1"/>
  <c r="H901" i="1"/>
  <c r="F901" i="1"/>
  <c r="AI900" i="1"/>
  <c r="AG900" i="1"/>
  <c r="AJ900" i="1" s="1"/>
  <c r="Z900" i="1"/>
  <c r="X900" i="1"/>
  <c r="AA900" i="1" s="1"/>
  <c r="Q900" i="1"/>
  <c r="O900" i="1"/>
  <c r="H900" i="1"/>
  <c r="F900" i="1"/>
  <c r="AI899" i="1"/>
  <c r="AG899" i="1"/>
  <c r="AJ899" i="1" s="1"/>
  <c r="Z899" i="1"/>
  <c r="X899" i="1"/>
  <c r="AA899" i="1" s="1"/>
  <c r="Q899" i="1"/>
  <c r="O899" i="1"/>
  <c r="R899" i="1" s="1"/>
  <c r="H899" i="1"/>
  <c r="F899" i="1"/>
  <c r="AI898" i="1"/>
  <c r="AG898" i="1"/>
  <c r="AJ898" i="1" s="1"/>
  <c r="Z898" i="1"/>
  <c r="X898" i="1"/>
  <c r="Q898" i="1"/>
  <c r="O898" i="1"/>
  <c r="R898" i="1" s="1"/>
  <c r="H898" i="1"/>
  <c r="F898" i="1"/>
  <c r="AI897" i="1"/>
  <c r="AG897" i="1"/>
  <c r="AJ897" i="1" s="1"/>
  <c r="Z897" i="1"/>
  <c r="X897" i="1"/>
  <c r="Q897" i="1"/>
  <c r="O897" i="1"/>
  <c r="R897" i="1" s="1"/>
  <c r="H897" i="1"/>
  <c r="F897" i="1"/>
  <c r="AI896" i="1"/>
  <c r="AG896" i="1"/>
  <c r="AJ896" i="1" s="1"/>
  <c r="Z896" i="1"/>
  <c r="X896" i="1"/>
  <c r="AA896" i="1" s="1"/>
  <c r="Q896" i="1"/>
  <c r="O896" i="1"/>
  <c r="H896" i="1"/>
  <c r="F896" i="1"/>
  <c r="AI895" i="1"/>
  <c r="AG895" i="1"/>
  <c r="AJ895" i="1" s="1"/>
  <c r="Z895" i="1"/>
  <c r="X895" i="1"/>
  <c r="AA895" i="1" s="1"/>
  <c r="Q895" i="1"/>
  <c r="O895" i="1"/>
  <c r="R895" i="1" s="1"/>
  <c r="H895" i="1"/>
  <c r="F895" i="1"/>
  <c r="AI894" i="1"/>
  <c r="AG894" i="1"/>
  <c r="AJ894" i="1" s="1"/>
  <c r="Z894" i="1"/>
  <c r="X894" i="1"/>
  <c r="Q894" i="1"/>
  <c r="O894" i="1"/>
  <c r="R894" i="1" s="1"/>
  <c r="H894" i="1"/>
  <c r="F894" i="1"/>
  <c r="AI893" i="1"/>
  <c r="AG893" i="1"/>
  <c r="AJ893" i="1" s="1"/>
  <c r="Z893" i="1"/>
  <c r="X893" i="1"/>
  <c r="Q893" i="1"/>
  <c r="O893" i="1"/>
  <c r="R893" i="1" s="1"/>
  <c r="H893" i="1"/>
  <c r="F893" i="1"/>
  <c r="AI892" i="1"/>
  <c r="AG892" i="1"/>
  <c r="AJ892" i="1" s="1"/>
  <c r="Z892" i="1"/>
  <c r="X892" i="1"/>
  <c r="AA892" i="1" s="1"/>
  <c r="Q892" i="1"/>
  <c r="O892" i="1"/>
  <c r="H892" i="1"/>
  <c r="F892" i="1"/>
  <c r="Z891" i="1"/>
  <c r="X891" i="1"/>
  <c r="AA891" i="1" s="1"/>
  <c r="Q891" i="1"/>
  <c r="O891" i="1"/>
  <c r="R891" i="1" s="1"/>
  <c r="H891" i="1"/>
  <c r="F891" i="1"/>
  <c r="I891" i="1" s="1"/>
  <c r="AI890" i="1"/>
  <c r="AG890" i="1"/>
  <c r="Z890" i="1"/>
  <c r="X890" i="1"/>
  <c r="AA890" i="1" s="1"/>
  <c r="Q890" i="1"/>
  <c r="O890" i="1"/>
  <c r="H890" i="1"/>
  <c r="F890" i="1"/>
  <c r="I890" i="1" s="1"/>
  <c r="AI889" i="1"/>
  <c r="AG889" i="1"/>
  <c r="Z889" i="1"/>
  <c r="X889" i="1"/>
  <c r="AA889" i="1" s="1"/>
  <c r="Q889" i="1"/>
  <c r="O889" i="1"/>
  <c r="H889" i="1"/>
  <c r="F889" i="1"/>
  <c r="I889" i="1" s="1"/>
  <c r="AI888" i="1"/>
  <c r="AG888" i="1"/>
  <c r="Q888" i="1"/>
  <c r="O888" i="1"/>
  <c r="R888" i="1" s="1"/>
  <c r="H888" i="1"/>
  <c r="F888" i="1"/>
  <c r="I888" i="1" s="1"/>
  <c r="AI887" i="1"/>
  <c r="AG887" i="1"/>
  <c r="AJ887" i="1" s="1"/>
  <c r="Q887" i="1"/>
  <c r="O887" i="1"/>
  <c r="H887" i="1"/>
  <c r="F887" i="1"/>
  <c r="I887" i="1" s="1"/>
  <c r="AI886" i="1"/>
  <c r="AG886" i="1"/>
  <c r="Z886" i="1"/>
  <c r="X886" i="1"/>
  <c r="AA886" i="1" s="1"/>
  <c r="Q886" i="1"/>
  <c r="O886" i="1"/>
  <c r="H886" i="1"/>
  <c r="F886" i="1"/>
  <c r="I886" i="1" s="1"/>
  <c r="AI885" i="1"/>
  <c r="AG885" i="1"/>
  <c r="AJ885" i="1" s="1"/>
  <c r="Z885" i="1"/>
  <c r="B18" i="2" s="1"/>
  <c r="X885" i="1"/>
  <c r="Q885" i="1"/>
  <c r="O885" i="1"/>
  <c r="P885" i="1" s="1"/>
  <c r="AJ884" i="1"/>
  <c r="AI884" i="1"/>
  <c r="AH884" i="1"/>
  <c r="Z884" i="1"/>
  <c r="X884" i="1"/>
  <c r="Q884" i="1"/>
  <c r="O884" i="1"/>
  <c r="R884" i="1" s="1"/>
  <c r="H884" i="1"/>
  <c r="F884" i="1"/>
  <c r="G884" i="1" s="1"/>
  <c r="AI883" i="1"/>
  <c r="AG883" i="1"/>
  <c r="AH883" i="1" s="1"/>
  <c r="Z883" i="1"/>
  <c r="X883" i="1"/>
  <c r="Y883" i="1" s="1"/>
  <c r="Q883" i="1"/>
  <c r="O883" i="1"/>
  <c r="H883" i="1"/>
  <c r="F883" i="1"/>
  <c r="G883" i="1" s="1"/>
  <c r="AI882" i="1"/>
  <c r="AG882" i="1"/>
  <c r="AJ882" i="1" s="1"/>
  <c r="Z882" i="1"/>
  <c r="X882" i="1"/>
  <c r="Q882" i="1"/>
  <c r="O882" i="1"/>
  <c r="R882" i="1" s="1"/>
  <c r="H882" i="1"/>
  <c r="F882" i="1"/>
  <c r="AI881" i="1"/>
  <c r="AG881" i="1"/>
  <c r="Z881" i="1"/>
  <c r="B32" i="2" s="1"/>
  <c r="X881" i="1"/>
  <c r="AA881" i="1" s="1"/>
  <c r="Q881" i="1"/>
  <c r="O881" i="1"/>
  <c r="R881" i="1" s="1"/>
  <c r="H881" i="1"/>
  <c r="F881" i="1"/>
  <c r="Z880" i="1"/>
  <c r="X880" i="1"/>
  <c r="Q880" i="1"/>
  <c r="O880" i="1"/>
  <c r="R880" i="1" s="1"/>
  <c r="H880" i="1"/>
  <c r="F880" i="1"/>
  <c r="AI879" i="1"/>
  <c r="AG879" i="1"/>
  <c r="AJ879" i="1" s="1"/>
  <c r="Z879" i="1"/>
  <c r="X879" i="1"/>
  <c r="Q879" i="1"/>
  <c r="O879" i="1"/>
  <c r="R879" i="1" s="1"/>
  <c r="H879" i="1"/>
  <c r="F879" i="1"/>
  <c r="I879" i="1" s="1"/>
  <c r="AI878" i="1"/>
  <c r="AG878" i="1"/>
  <c r="AJ878" i="1" s="1"/>
  <c r="Z878" i="1"/>
  <c r="X878" i="1"/>
  <c r="Q878" i="1"/>
  <c r="O878" i="1"/>
  <c r="H878" i="1"/>
  <c r="B27" i="2" s="1"/>
  <c r="F878" i="1"/>
  <c r="I878" i="1" s="1"/>
  <c r="AI877" i="1"/>
  <c r="AG877" i="1"/>
  <c r="AJ877" i="1" s="1"/>
  <c r="Z877" i="1"/>
  <c r="X877" i="1"/>
  <c r="Q877" i="1"/>
  <c r="O877" i="1"/>
  <c r="P877" i="1" s="1"/>
  <c r="H877" i="1"/>
  <c r="F877" i="1"/>
  <c r="AI876" i="1"/>
  <c r="AG876" i="1"/>
  <c r="AJ876" i="1" s="1"/>
  <c r="Z876" i="1"/>
  <c r="X876" i="1"/>
  <c r="AA876" i="1" s="1"/>
  <c r="Q876" i="1"/>
  <c r="O876" i="1"/>
  <c r="R876" i="1" s="1"/>
  <c r="H876" i="1"/>
  <c r="F876" i="1"/>
  <c r="Z875" i="1"/>
  <c r="X875" i="1"/>
  <c r="AA875" i="1" s="1"/>
  <c r="Q875" i="1"/>
  <c r="O875" i="1"/>
  <c r="R875" i="1" s="1"/>
  <c r="H875" i="1"/>
  <c r="F875" i="1"/>
  <c r="AI874" i="1"/>
  <c r="AG874" i="1"/>
  <c r="Z874" i="1"/>
  <c r="X874" i="1"/>
  <c r="AA874" i="1" s="1"/>
  <c r="Q874" i="1"/>
  <c r="O874" i="1"/>
  <c r="H874" i="1"/>
  <c r="B172" i="2" s="1"/>
  <c r="F874" i="1"/>
  <c r="I874" i="1" s="1"/>
  <c r="AI873" i="1"/>
  <c r="AG873" i="1"/>
  <c r="Z873" i="1"/>
  <c r="X873" i="1"/>
  <c r="AA873" i="1" s="1"/>
  <c r="Q873" i="1"/>
  <c r="O873" i="1"/>
  <c r="R873" i="1" s="1"/>
  <c r="H873" i="1"/>
  <c r="F873" i="1"/>
  <c r="AI872" i="1"/>
  <c r="AG872" i="1"/>
  <c r="Z872" i="1"/>
  <c r="X872" i="1"/>
  <c r="AA872" i="1" s="1"/>
  <c r="Q872" i="1"/>
  <c r="O872" i="1"/>
  <c r="H872" i="1"/>
  <c r="F872" i="1"/>
  <c r="AI871" i="1"/>
  <c r="AG871" i="1"/>
  <c r="Z871" i="1"/>
  <c r="X871" i="1"/>
  <c r="AA871" i="1" s="1"/>
  <c r="Q871" i="1"/>
  <c r="O871" i="1"/>
  <c r="H871" i="1"/>
  <c r="F871" i="1"/>
  <c r="AI870" i="1"/>
  <c r="AG870" i="1"/>
  <c r="Z870" i="1"/>
  <c r="X870" i="1"/>
  <c r="AA870" i="1" s="1"/>
  <c r="Q870" i="1"/>
  <c r="O870" i="1"/>
  <c r="R870" i="1" s="1"/>
  <c r="H870" i="1"/>
  <c r="F870" i="1"/>
  <c r="AI869" i="1"/>
  <c r="AG869" i="1"/>
  <c r="Z869" i="1"/>
  <c r="X869" i="1"/>
  <c r="AA869" i="1" s="1"/>
  <c r="Q869" i="1"/>
  <c r="O869" i="1"/>
  <c r="H869" i="1"/>
  <c r="B180" i="2" s="1"/>
  <c r="F869" i="1"/>
  <c r="I869" i="1" s="1"/>
  <c r="AI868" i="1"/>
  <c r="AG868" i="1"/>
  <c r="Z868" i="1"/>
  <c r="X868" i="1"/>
  <c r="AA868" i="1" s="1"/>
  <c r="Q868" i="1"/>
  <c r="O868" i="1"/>
  <c r="H868" i="1"/>
  <c r="F868" i="1"/>
  <c r="AI867" i="1"/>
  <c r="AG867" i="1"/>
  <c r="Z867" i="1"/>
  <c r="X867" i="1"/>
  <c r="AA867" i="1" s="1"/>
  <c r="H867" i="1"/>
  <c r="F867" i="1"/>
  <c r="I867" i="1" s="1"/>
  <c r="AI866" i="1"/>
  <c r="AG866" i="1"/>
  <c r="AJ866" i="1" s="1"/>
  <c r="Z866" i="1"/>
  <c r="X866" i="1"/>
  <c r="Q866" i="1"/>
  <c r="O866" i="1"/>
  <c r="R866" i="1" s="1"/>
  <c r="H866" i="1"/>
  <c r="F866" i="1"/>
  <c r="AI865" i="1"/>
  <c r="AG865" i="1"/>
  <c r="Z865" i="1"/>
  <c r="X865" i="1"/>
  <c r="Q865" i="1"/>
  <c r="O865" i="1"/>
  <c r="R865" i="1" s="1"/>
  <c r="H865" i="1"/>
  <c r="F865" i="1"/>
  <c r="I865" i="1" s="1"/>
  <c r="AI864" i="1"/>
  <c r="AG864" i="1"/>
  <c r="Z864" i="1"/>
  <c r="X864" i="1"/>
  <c r="Q864" i="1"/>
  <c r="O864" i="1"/>
  <c r="R864" i="1" s="1"/>
  <c r="H864" i="1"/>
  <c r="F864" i="1"/>
  <c r="AI863" i="1"/>
  <c r="AG863" i="1"/>
  <c r="Z863" i="1"/>
  <c r="X863" i="1"/>
  <c r="Q863" i="1"/>
  <c r="O863" i="1"/>
  <c r="R863" i="1" s="1"/>
  <c r="H863" i="1"/>
  <c r="F863" i="1"/>
  <c r="I863" i="1" s="1"/>
  <c r="AI862" i="1"/>
  <c r="AG862" i="1"/>
  <c r="Z862" i="1"/>
  <c r="X862" i="1"/>
  <c r="Q862" i="1"/>
  <c r="O862" i="1"/>
  <c r="R862" i="1" s="1"/>
  <c r="AI861" i="1"/>
  <c r="AG861" i="1"/>
  <c r="AJ861" i="1" s="1"/>
  <c r="Z861" i="1"/>
  <c r="X861" i="1"/>
  <c r="Q861" i="1"/>
  <c r="O861" i="1"/>
  <c r="H861" i="1"/>
  <c r="F861" i="1"/>
  <c r="I861" i="1" s="1"/>
  <c r="AI860" i="1"/>
  <c r="AG860" i="1"/>
  <c r="Z860" i="1"/>
  <c r="X860" i="1"/>
  <c r="Q860" i="1"/>
  <c r="O860" i="1"/>
  <c r="H860" i="1"/>
  <c r="F860" i="1"/>
  <c r="I860" i="1" s="1"/>
  <c r="AI859" i="1"/>
  <c r="AG859" i="1"/>
  <c r="AJ859" i="1" s="1"/>
  <c r="Z859" i="1"/>
  <c r="X859" i="1"/>
  <c r="Q859" i="1"/>
  <c r="O859" i="1"/>
  <c r="H859" i="1"/>
  <c r="F859" i="1"/>
  <c r="I859" i="1" s="1"/>
  <c r="AI858" i="1"/>
  <c r="AG858" i="1"/>
  <c r="Z858" i="1"/>
  <c r="X858" i="1"/>
  <c r="Q858" i="1"/>
  <c r="O858" i="1"/>
  <c r="H858" i="1"/>
  <c r="F858" i="1"/>
  <c r="I858" i="1" s="1"/>
  <c r="AI857" i="1"/>
  <c r="AG857" i="1"/>
  <c r="AJ857" i="1" s="1"/>
  <c r="Q857" i="1"/>
  <c r="O857" i="1"/>
  <c r="H857" i="1"/>
  <c r="F857" i="1"/>
  <c r="AI856" i="1"/>
  <c r="AG856" i="1"/>
  <c r="AJ856" i="1" s="1"/>
  <c r="Z856" i="1"/>
  <c r="X856" i="1"/>
  <c r="Q856" i="1"/>
  <c r="O856" i="1"/>
  <c r="R856" i="1" s="1"/>
  <c r="H856" i="1"/>
  <c r="F856" i="1"/>
  <c r="AI855" i="1"/>
  <c r="AG855" i="1"/>
  <c r="AJ855" i="1" s="1"/>
  <c r="Z855" i="1"/>
  <c r="X855" i="1"/>
  <c r="AA855" i="1" s="1"/>
  <c r="Q855" i="1"/>
  <c r="O855" i="1"/>
  <c r="H855" i="1"/>
  <c r="F855" i="1"/>
  <c r="AI854" i="1"/>
  <c r="AG854" i="1"/>
  <c r="AJ854" i="1" s="1"/>
  <c r="Z854" i="1"/>
  <c r="X854" i="1"/>
  <c r="Q854" i="1"/>
  <c r="O854" i="1"/>
  <c r="H854" i="1"/>
  <c r="F854" i="1"/>
  <c r="AI853" i="1"/>
  <c r="AG853" i="1"/>
  <c r="Z853" i="1"/>
  <c r="X853" i="1"/>
  <c r="Q853" i="1"/>
  <c r="O853" i="1"/>
  <c r="P853" i="1" s="1"/>
  <c r="H853" i="1"/>
  <c r="F853" i="1"/>
  <c r="AI852" i="1"/>
  <c r="AG852" i="1"/>
  <c r="Z852" i="1"/>
  <c r="X852" i="1"/>
  <c r="Q852" i="1"/>
  <c r="O852" i="1"/>
  <c r="H852" i="1"/>
  <c r="F852" i="1"/>
  <c r="AI851" i="1"/>
  <c r="AG851" i="1"/>
  <c r="Z851" i="1"/>
  <c r="X851" i="1"/>
  <c r="Y851" i="1" s="1"/>
  <c r="Q851" i="1"/>
  <c r="O851" i="1"/>
  <c r="H851" i="1"/>
  <c r="F851" i="1"/>
  <c r="AI850" i="1"/>
  <c r="AG850" i="1"/>
  <c r="Z850" i="1"/>
  <c r="X850" i="1"/>
  <c r="Q850" i="1"/>
  <c r="O850" i="1"/>
  <c r="H850" i="1"/>
  <c r="F850" i="1"/>
  <c r="AI849" i="1"/>
  <c r="AG849" i="1"/>
  <c r="Z849" i="1"/>
  <c r="X849" i="1"/>
  <c r="Y849" i="1" s="1"/>
  <c r="Q849" i="1"/>
  <c r="B71" i="2" s="1"/>
  <c r="O849" i="1"/>
  <c r="P849" i="1" s="1"/>
  <c r="I849" i="1"/>
  <c r="H849" i="1"/>
  <c r="G849" i="1"/>
  <c r="AI848" i="1"/>
  <c r="AG848" i="1"/>
  <c r="AJ848" i="1" s="1"/>
  <c r="Z848" i="1"/>
  <c r="X848" i="1"/>
  <c r="Q848" i="1"/>
  <c r="O848" i="1"/>
  <c r="R848" i="1" s="1"/>
  <c r="H848" i="1"/>
  <c r="F848" i="1"/>
  <c r="I848" i="1" s="1"/>
  <c r="AI847" i="1"/>
  <c r="AG847" i="1"/>
  <c r="Z847" i="1"/>
  <c r="X847" i="1"/>
  <c r="Q847" i="1"/>
  <c r="O847" i="1"/>
  <c r="R847" i="1" s="1"/>
  <c r="H847" i="1"/>
  <c r="F847" i="1"/>
  <c r="I847" i="1" s="1"/>
  <c r="AI846" i="1"/>
  <c r="AG846" i="1"/>
  <c r="AJ846" i="1" s="1"/>
  <c r="Z846" i="1"/>
  <c r="X846" i="1"/>
  <c r="Q846" i="1"/>
  <c r="O846" i="1"/>
  <c r="R846" i="1" s="1"/>
  <c r="H846" i="1"/>
  <c r="F846" i="1"/>
  <c r="AI845" i="1"/>
  <c r="AG845" i="1"/>
  <c r="AJ845" i="1" s="1"/>
  <c r="Z845" i="1"/>
  <c r="X845" i="1"/>
  <c r="Q845" i="1"/>
  <c r="O845" i="1"/>
  <c r="R845" i="1" s="1"/>
  <c r="H845" i="1"/>
  <c r="F845" i="1"/>
  <c r="I845" i="1" s="1"/>
  <c r="AI844" i="1"/>
  <c r="AG844" i="1"/>
  <c r="AJ844" i="1" s="1"/>
  <c r="Z844" i="1"/>
  <c r="X844" i="1"/>
  <c r="Q844" i="1"/>
  <c r="O844" i="1"/>
  <c r="R844" i="1" s="1"/>
  <c r="H844" i="1"/>
  <c r="F844" i="1"/>
  <c r="I844" i="1" s="1"/>
  <c r="AI843" i="1"/>
  <c r="AG843" i="1"/>
  <c r="AJ843" i="1" s="1"/>
  <c r="Z843" i="1"/>
  <c r="X843" i="1"/>
  <c r="Q843" i="1"/>
  <c r="O843" i="1"/>
  <c r="R843" i="1" s="1"/>
  <c r="H843" i="1"/>
  <c r="F843" i="1"/>
  <c r="AI842" i="1"/>
  <c r="AG842" i="1"/>
  <c r="AJ842" i="1" s="1"/>
  <c r="Z842" i="1"/>
  <c r="X842" i="1"/>
  <c r="Q842" i="1"/>
  <c r="O842" i="1"/>
  <c r="R842" i="1" s="1"/>
  <c r="H842" i="1"/>
  <c r="F842" i="1"/>
  <c r="I842" i="1" s="1"/>
  <c r="AI841" i="1"/>
  <c r="AG841" i="1"/>
  <c r="Z841" i="1"/>
  <c r="X841" i="1"/>
  <c r="Q841" i="1"/>
  <c r="B165" i="2" s="1"/>
  <c r="O841" i="1"/>
  <c r="R841" i="1" s="1"/>
  <c r="H841" i="1"/>
  <c r="F841" i="1"/>
  <c r="AI840" i="1"/>
  <c r="AG840" i="1"/>
  <c r="AJ840" i="1" s="1"/>
  <c r="Z840" i="1"/>
  <c r="X840" i="1"/>
  <c r="O840" i="1"/>
  <c r="H840" i="1"/>
  <c r="F840" i="1"/>
  <c r="AI839" i="1"/>
  <c r="AG839" i="1"/>
  <c r="Z839" i="1"/>
  <c r="X839" i="1"/>
  <c r="O839" i="1"/>
  <c r="H839" i="1"/>
  <c r="F839" i="1"/>
  <c r="AI838" i="1"/>
  <c r="AG838" i="1"/>
  <c r="Z838" i="1"/>
  <c r="X838" i="1"/>
  <c r="O838" i="1"/>
  <c r="R838" i="1" s="1"/>
  <c r="H838" i="1"/>
  <c r="F838" i="1"/>
  <c r="I838" i="1" s="1"/>
  <c r="AI837" i="1"/>
  <c r="AG837" i="1"/>
  <c r="AJ837" i="1" s="1"/>
  <c r="Z837" i="1"/>
  <c r="X837" i="1"/>
  <c r="O837" i="1"/>
  <c r="R837" i="1" s="1"/>
  <c r="H837" i="1"/>
  <c r="F837" i="1"/>
  <c r="AI836" i="1"/>
  <c r="AG836" i="1"/>
  <c r="Z836" i="1"/>
  <c r="X836" i="1"/>
  <c r="O836" i="1"/>
  <c r="H836" i="1"/>
  <c r="F836" i="1"/>
  <c r="AI835" i="1"/>
  <c r="AG835" i="1"/>
  <c r="Z835" i="1"/>
  <c r="X835" i="1"/>
  <c r="O835" i="1"/>
  <c r="H835" i="1"/>
  <c r="F835" i="1"/>
  <c r="AI834" i="1"/>
  <c r="AG834" i="1"/>
  <c r="Z834" i="1"/>
  <c r="X834" i="1"/>
  <c r="Y834" i="1" s="1"/>
  <c r="O834" i="1"/>
  <c r="H834" i="1"/>
  <c r="F834" i="1"/>
  <c r="AJ833" i="1"/>
  <c r="AI833" i="1"/>
  <c r="AH833" i="1"/>
  <c r="Z833" i="1"/>
  <c r="X833" i="1"/>
  <c r="O833" i="1"/>
  <c r="H833" i="1"/>
  <c r="F833" i="1"/>
  <c r="AI832" i="1"/>
  <c r="AG832" i="1"/>
  <c r="Z832" i="1"/>
  <c r="X832" i="1"/>
  <c r="O832" i="1"/>
  <c r="H832" i="1"/>
  <c r="F832" i="1"/>
  <c r="AI831" i="1"/>
  <c r="AG831" i="1"/>
  <c r="Z831" i="1"/>
  <c r="X831" i="1"/>
  <c r="O831" i="1"/>
  <c r="R831" i="1" s="1"/>
  <c r="H831" i="1"/>
  <c r="F831" i="1"/>
  <c r="AJ830" i="1"/>
  <c r="AI830" i="1"/>
  <c r="AH830" i="1"/>
  <c r="Z830" i="1"/>
  <c r="X830" i="1"/>
  <c r="O830" i="1"/>
  <c r="P830" i="1" s="1"/>
  <c r="H830" i="1"/>
  <c r="F830" i="1"/>
  <c r="AI829" i="1"/>
  <c r="AG829" i="1"/>
  <c r="Z829" i="1"/>
  <c r="X829" i="1"/>
  <c r="O829" i="1"/>
  <c r="R829" i="1" s="1"/>
  <c r="H829" i="1"/>
  <c r="F829" i="1"/>
  <c r="AI828" i="1"/>
  <c r="AG828" i="1"/>
  <c r="AH828" i="1" s="1"/>
  <c r="Z828" i="1"/>
  <c r="X828" i="1"/>
  <c r="Y828" i="1" s="1"/>
  <c r="O828" i="1"/>
  <c r="H828" i="1"/>
  <c r="F828" i="1"/>
  <c r="I828" i="1" s="1"/>
  <c r="Z827" i="1"/>
  <c r="X827" i="1"/>
  <c r="O827" i="1"/>
  <c r="H827" i="1"/>
  <c r="F827" i="1"/>
  <c r="AI826" i="1"/>
  <c r="AG826" i="1"/>
  <c r="AH826" i="1" s="1"/>
  <c r="Z826" i="1"/>
  <c r="X826" i="1"/>
  <c r="O826" i="1"/>
  <c r="H826" i="1"/>
  <c r="F826" i="1"/>
  <c r="AI825" i="1"/>
  <c r="AG825" i="1"/>
  <c r="Z825" i="1"/>
  <c r="X825" i="1"/>
  <c r="O825" i="1"/>
  <c r="H825" i="1"/>
  <c r="F825" i="1"/>
  <c r="G825" i="1" s="1"/>
  <c r="AI824" i="1"/>
  <c r="AG824" i="1"/>
  <c r="Z824" i="1"/>
  <c r="X824" i="1"/>
  <c r="O824" i="1"/>
  <c r="R824" i="1" s="1"/>
  <c r="H824" i="1"/>
  <c r="F824" i="1"/>
  <c r="AI823" i="1"/>
  <c r="AG823" i="1"/>
  <c r="AJ823" i="1" s="1"/>
  <c r="Z823" i="1"/>
  <c r="X823" i="1"/>
  <c r="O823" i="1"/>
  <c r="H823" i="1"/>
  <c r="F823" i="1"/>
  <c r="G823" i="1" s="1"/>
  <c r="AI822" i="1"/>
  <c r="AG822" i="1"/>
  <c r="Z822" i="1"/>
  <c r="X822" i="1"/>
  <c r="O822" i="1"/>
  <c r="P822" i="1" s="1"/>
  <c r="H822" i="1"/>
  <c r="F822" i="1"/>
  <c r="AI821" i="1"/>
  <c r="AG821" i="1"/>
  <c r="Z821" i="1"/>
  <c r="X821" i="1"/>
  <c r="O821" i="1"/>
  <c r="H821" i="1"/>
  <c r="F821" i="1"/>
  <c r="AI820" i="1"/>
  <c r="AG820" i="1"/>
  <c r="Z820" i="1"/>
  <c r="X820" i="1"/>
  <c r="AA820" i="1" s="1"/>
  <c r="O820" i="1"/>
  <c r="R820" i="1" s="1"/>
  <c r="H820" i="1"/>
  <c r="F820" i="1"/>
  <c r="AI819" i="1"/>
  <c r="AG819" i="1"/>
  <c r="AJ819" i="1" s="1"/>
  <c r="Z819" i="1"/>
  <c r="X819" i="1"/>
  <c r="AA819" i="1" s="1"/>
  <c r="O819" i="1"/>
  <c r="H819" i="1"/>
  <c r="F819" i="1"/>
  <c r="AI818" i="1"/>
  <c r="AG818" i="1"/>
  <c r="Z818" i="1"/>
  <c r="X818" i="1"/>
  <c r="Y818" i="1" s="1"/>
  <c r="O818" i="1"/>
  <c r="H818" i="1"/>
  <c r="F818" i="1"/>
  <c r="AI817" i="1"/>
  <c r="AG817" i="1"/>
  <c r="AA817" i="1"/>
  <c r="Z817" i="1"/>
  <c r="Y817" i="1"/>
  <c r="O817" i="1"/>
  <c r="H817" i="1"/>
  <c r="F817" i="1"/>
  <c r="AJ816" i="1"/>
  <c r="AI816" i="1"/>
  <c r="AH816" i="1"/>
  <c r="Z816" i="1"/>
  <c r="X816" i="1"/>
  <c r="Q816" i="1"/>
  <c r="O816" i="1"/>
  <c r="H816" i="1"/>
  <c r="F816" i="1"/>
  <c r="G816" i="1" s="1"/>
  <c r="AI815" i="1"/>
  <c r="AG815" i="1"/>
  <c r="Z815" i="1"/>
  <c r="X815" i="1"/>
  <c r="Y815" i="1" s="1"/>
  <c r="Q815" i="1"/>
  <c r="O815" i="1"/>
  <c r="H815" i="1"/>
  <c r="F815" i="1"/>
  <c r="G815" i="1" s="1"/>
  <c r="AI814" i="1"/>
  <c r="AG814" i="1"/>
  <c r="Z814" i="1"/>
  <c r="X814" i="1"/>
  <c r="H814" i="1"/>
  <c r="F814" i="1"/>
  <c r="G814" i="1" s="1"/>
  <c r="AI813" i="1"/>
  <c r="AG813" i="1"/>
  <c r="AH813" i="1" s="1"/>
  <c r="Z813" i="1"/>
  <c r="X813" i="1"/>
  <c r="Q813" i="1"/>
  <c r="O813" i="1"/>
  <c r="H813" i="1"/>
  <c r="F813" i="1"/>
  <c r="AI812" i="1"/>
  <c r="AG812" i="1"/>
  <c r="AH812" i="1" s="1"/>
  <c r="Z812" i="1"/>
  <c r="X812" i="1"/>
  <c r="Q812" i="1"/>
  <c r="O812" i="1"/>
  <c r="H812" i="1"/>
  <c r="F812" i="1"/>
  <c r="AI811" i="1"/>
  <c r="AG811" i="1"/>
  <c r="AJ811" i="1" s="1"/>
  <c r="Z811" i="1"/>
  <c r="X811" i="1"/>
  <c r="Q811" i="1"/>
  <c r="O811" i="1"/>
  <c r="H811" i="1"/>
  <c r="F811" i="1"/>
  <c r="AI810" i="1"/>
  <c r="AG810" i="1"/>
  <c r="Z810" i="1"/>
  <c r="X810" i="1"/>
  <c r="Q810" i="1"/>
  <c r="O810" i="1"/>
  <c r="H810" i="1"/>
  <c r="F810" i="1"/>
  <c r="AI809" i="1"/>
  <c r="AG809" i="1"/>
  <c r="AH809" i="1" s="1"/>
  <c r="Z809" i="1"/>
  <c r="X809" i="1"/>
  <c r="Q809" i="1"/>
  <c r="O809" i="1"/>
  <c r="H809" i="1"/>
  <c r="F809" i="1"/>
  <c r="AI808" i="1"/>
  <c r="AG808" i="1"/>
  <c r="Z808" i="1"/>
  <c r="X808" i="1"/>
  <c r="Q808" i="1"/>
  <c r="O808" i="1"/>
  <c r="H808" i="1"/>
  <c r="F808" i="1"/>
  <c r="AI807" i="1"/>
  <c r="AG807" i="1"/>
  <c r="AH807" i="1" s="1"/>
  <c r="Z807" i="1"/>
  <c r="X807" i="1"/>
  <c r="Q807" i="1"/>
  <c r="O807" i="1"/>
  <c r="H807" i="1"/>
  <c r="F807" i="1"/>
  <c r="AI806" i="1"/>
  <c r="AG806" i="1"/>
  <c r="Z806" i="1"/>
  <c r="X806" i="1"/>
  <c r="Y806" i="1" s="1"/>
  <c r="Q806" i="1"/>
  <c r="O806" i="1"/>
  <c r="H806" i="1"/>
  <c r="F806" i="1"/>
  <c r="AI805" i="1"/>
  <c r="AG805" i="1"/>
  <c r="AH805" i="1" s="1"/>
  <c r="Z805" i="1"/>
  <c r="X805" i="1"/>
  <c r="Q805" i="1"/>
  <c r="O805" i="1"/>
  <c r="H805" i="1"/>
  <c r="F805" i="1"/>
  <c r="AI804" i="1"/>
  <c r="AG804" i="1"/>
  <c r="Q804" i="1"/>
  <c r="O804" i="1"/>
  <c r="H804" i="1"/>
  <c r="F804" i="1"/>
  <c r="AI803" i="1"/>
  <c r="AG803" i="1"/>
  <c r="Z803" i="1"/>
  <c r="X803" i="1"/>
  <c r="Y803" i="1" s="1"/>
  <c r="Q803" i="1"/>
  <c r="O803" i="1"/>
  <c r="H803" i="1"/>
  <c r="F803" i="1"/>
  <c r="AI802" i="1"/>
  <c r="AG802" i="1"/>
  <c r="Z802" i="1"/>
  <c r="X802" i="1"/>
  <c r="Q802" i="1"/>
  <c r="O802" i="1"/>
  <c r="H802" i="1"/>
  <c r="F802" i="1"/>
  <c r="AI801" i="1"/>
  <c r="AG801" i="1"/>
  <c r="Z801" i="1"/>
  <c r="X801" i="1"/>
  <c r="Y801" i="1" s="1"/>
  <c r="Q801" i="1"/>
  <c r="O801" i="1"/>
  <c r="H801" i="1"/>
  <c r="F801" i="1"/>
  <c r="AJ800" i="1"/>
  <c r="AI800" i="1"/>
  <c r="AH800" i="1"/>
  <c r="Z800" i="1"/>
  <c r="X800" i="1"/>
  <c r="AA800" i="1" s="1"/>
  <c r="Q800" i="1"/>
  <c r="O800" i="1"/>
  <c r="R800" i="1" s="1"/>
  <c r="H800" i="1"/>
  <c r="F800" i="1"/>
  <c r="I800" i="1" s="1"/>
  <c r="AI799" i="1"/>
  <c r="AG799" i="1"/>
  <c r="AJ799" i="1" s="1"/>
  <c r="Z799" i="1"/>
  <c r="X799" i="1"/>
  <c r="AA799" i="1" s="1"/>
  <c r="Q799" i="1"/>
  <c r="O799" i="1"/>
  <c r="R799" i="1" s="1"/>
  <c r="H799" i="1"/>
  <c r="F799" i="1"/>
  <c r="I799" i="1" s="1"/>
  <c r="AI798" i="1"/>
  <c r="AG798" i="1"/>
  <c r="Z798" i="1"/>
  <c r="X798" i="1"/>
  <c r="AA798" i="1" s="1"/>
  <c r="Q798" i="1"/>
  <c r="O798" i="1"/>
  <c r="H798" i="1"/>
  <c r="F798" i="1"/>
  <c r="AI797" i="1"/>
  <c r="AG797" i="1"/>
  <c r="AJ797" i="1" s="1"/>
  <c r="Z797" i="1"/>
  <c r="X797" i="1"/>
  <c r="AA797" i="1" s="1"/>
  <c r="Q797" i="1"/>
  <c r="O797" i="1"/>
  <c r="H797" i="1"/>
  <c r="F797" i="1"/>
  <c r="I797" i="1" s="1"/>
  <c r="Z796" i="1"/>
  <c r="X796" i="1"/>
  <c r="AA796" i="1" s="1"/>
  <c r="Q796" i="1"/>
  <c r="O796" i="1"/>
  <c r="R796" i="1" s="1"/>
  <c r="H796" i="1"/>
  <c r="F796" i="1"/>
  <c r="I796" i="1" s="1"/>
  <c r="Z795" i="1"/>
  <c r="X795" i="1"/>
  <c r="AA795" i="1" s="1"/>
  <c r="Q795" i="1"/>
  <c r="O795" i="1"/>
  <c r="R795" i="1" s="1"/>
  <c r="H795" i="1"/>
  <c r="F795" i="1"/>
  <c r="I795" i="1" s="1"/>
  <c r="AI794" i="1"/>
  <c r="AG794" i="1"/>
  <c r="AJ794" i="1" s="1"/>
  <c r="Z794" i="1"/>
  <c r="X794" i="1"/>
  <c r="Q794" i="1"/>
  <c r="O794" i="1"/>
  <c r="H794" i="1"/>
  <c r="F794" i="1"/>
  <c r="I794" i="1" s="1"/>
  <c r="AI793" i="1"/>
  <c r="AG793" i="1"/>
  <c r="AJ793" i="1" s="1"/>
  <c r="Z793" i="1"/>
  <c r="X793" i="1"/>
  <c r="Q793" i="1"/>
  <c r="O793" i="1"/>
  <c r="R793" i="1" s="1"/>
  <c r="H793" i="1"/>
  <c r="F793" i="1"/>
  <c r="I793" i="1" s="1"/>
  <c r="Z792" i="1"/>
  <c r="X792" i="1"/>
  <c r="Q792" i="1"/>
  <c r="O792" i="1"/>
  <c r="R792" i="1" s="1"/>
  <c r="H792" i="1"/>
  <c r="F792" i="1"/>
  <c r="I792" i="1" s="1"/>
  <c r="AI791" i="1"/>
  <c r="AG791" i="1"/>
  <c r="AJ791" i="1" s="1"/>
  <c r="Z791" i="1"/>
  <c r="X791" i="1"/>
  <c r="AA791" i="1" s="1"/>
  <c r="Q791" i="1"/>
  <c r="O791" i="1"/>
  <c r="R791" i="1" s="1"/>
  <c r="H791" i="1"/>
  <c r="F791" i="1"/>
  <c r="AI790" i="1"/>
  <c r="AG790" i="1"/>
  <c r="Z790" i="1"/>
  <c r="X790" i="1"/>
  <c r="AA790" i="1" s="1"/>
  <c r="Q790" i="1"/>
  <c r="O790" i="1"/>
  <c r="R790" i="1" s="1"/>
  <c r="AI789" i="1"/>
  <c r="AG789" i="1"/>
  <c r="AJ789" i="1" s="1"/>
  <c r="Z789" i="1"/>
  <c r="X789" i="1"/>
  <c r="Q789" i="1"/>
  <c r="O789" i="1"/>
  <c r="R789" i="1" s="1"/>
  <c r="H789" i="1"/>
  <c r="F789" i="1"/>
  <c r="I789" i="1" s="1"/>
  <c r="AI788" i="1"/>
  <c r="AG788" i="1"/>
  <c r="AJ788" i="1" s="1"/>
  <c r="Z788" i="1"/>
  <c r="X788" i="1"/>
  <c r="Q788" i="1"/>
  <c r="O788" i="1"/>
  <c r="R788" i="1" s="1"/>
  <c r="H788" i="1"/>
  <c r="F788" i="1"/>
  <c r="I788" i="1" s="1"/>
  <c r="AI787" i="1"/>
  <c r="AG787" i="1"/>
  <c r="AJ787" i="1" s="1"/>
  <c r="Z787" i="1"/>
  <c r="X787" i="1"/>
  <c r="Q787" i="1"/>
  <c r="O787" i="1"/>
  <c r="R787" i="1" s="1"/>
  <c r="H787" i="1"/>
  <c r="F787" i="1"/>
  <c r="AI786" i="1"/>
  <c r="AG786" i="1"/>
  <c r="AJ786" i="1" s="1"/>
  <c r="Z786" i="1"/>
  <c r="X786" i="1"/>
  <c r="AA786" i="1" s="1"/>
  <c r="Q786" i="1"/>
  <c r="O786" i="1"/>
  <c r="H786" i="1"/>
  <c r="F786" i="1"/>
  <c r="AI785" i="1"/>
  <c r="AG785" i="1"/>
  <c r="AJ785" i="1" s="1"/>
  <c r="Z785" i="1"/>
  <c r="X785" i="1"/>
  <c r="AA785" i="1" s="1"/>
  <c r="Q785" i="1"/>
  <c r="O785" i="1"/>
  <c r="R785" i="1" s="1"/>
  <c r="H785" i="1"/>
  <c r="F785" i="1"/>
  <c r="AI784" i="1"/>
  <c r="AG784" i="1"/>
  <c r="AJ784" i="1" s="1"/>
  <c r="Z784" i="1"/>
  <c r="X784" i="1"/>
  <c r="Q784" i="1"/>
  <c r="O784" i="1"/>
  <c r="H784" i="1"/>
  <c r="F784" i="1"/>
  <c r="AI783" i="1"/>
  <c r="AG783" i="1"/>
  <c r="AJ783" i="1" s="1"/>
  <c r="Z783" i="1"/>
  <c r="X783" i="1"/>
  <c r="Q783" i="1"/>
  <c r="O783" i="1"/>
  <c r="H783" i="1"/>
  <c r="F783" i="1"/>
  <c r="AI782" i="1"/>
  <c r="AG782" i="1"/>
  <c r="AJ782" i="1" s="1"/>
  <c r="Z782" i="1"/>
  <c r="X782" i="1"/>
  <c r="Q782" i="1"/>
  <c r="O782" i="1"/>
  <c r="H782" i="1"/>
  <c r="F782" i="1"/>
  <c r="AI781" i="1"/>
  <c r="AG781" i="1"/>
  <c r="AJ781" i="1" s="1"/>
  <c r="Z781" i="1"/>
  <c r="X781" i="1"/>
  <c r="AA781" i="1" s="1"/>
  <c r="Q781" i="1"/>
  <c r="O781" i="1"/>
  <c r="H781" i="1"/>
  <c r="F781" i="1"/>
  <c r="AI780" i="1"/>
  <c r="AG780" i="1"/>
  <c r="AJ780" i="1" s="1"/>
  <c r="Z780" i="1"/>
  <c r="X780" i="1"/>
  <c r="AA780" i="1" s="1"/>
  <c r="Q780" i="1"/>
  <c r="O780" i="1"/>
  <c r="H780" i="1"/>
  <c r="F780" i="1"/>
  <c r="AI779" i="1"/>
  <c r="AG779" i="1"/>
  <c r="AJ779" i="1" s="1"/>
  <c r="Z779" i="1"/>
  <c r="X779" i="1"/>
  <c r="Q779" i="1"/>
  <c r="O779" i="1"/>
  <c r="R779" i="1" s="1"/>
  <c r="H779" i="1"/>
  <c r="F779" i="1"/>
  <c r="AI778" i="1"/>
  <c r="AG778" i="1"/>
  <c r="AJ778" i="1" s="1"/>
  <c r="Z778" i="1"/>
  <c r="Y778" i="1"/>
  <c r="X778" i="1"/>
  <c r="AA778" i="1" s="1"/>
  <c r="Q778" i="1"/>
  <c r="O778" i="1"/>
  <c r="H778" i="1"/>
  <c r="F778" i="1"/>
  <c r="AI777" i="1"/>
  <c r="AG777" i="1"/>
  <c r="AJ777" i="1" s="1"/>
  <c r="Z777" i="1"/>
  <c r="X777" i="1"/>
  <c r="AA777" i="1" s="1"/>
  <c r="Q777" i="1"/>
  <c r="O777" i="1"/>
  <c r="H777" i="1"/>
  <c r="F777" i="1"/>
  <c r="AI776" i="1"/>
  <c r="AG776" i="1"/>
  <c r="AJ776" i="1" s="1"/>
  <c r="Z776" i="1"/>
  <c r="X776" i="1"/>
  <c r="AA776" i="1" s="1"/>
  <c r="H776" i="1"/>
  <c r="F776" i="1"/>
  <c r="AI775" i="1"/>
  <c r="AG775" i="1"/>
  <c r="Z775" i="1"/>
  <c r="X775" i="1"/>
  <c r="AA775" i="1" s="1"/>
  <c r="Q775" i="1"/>
  <c r="O775" i="1"/>
  <c r="R775" i="1" s="1"/>
  <c r="H775" i="1"/>
  <c r="F775" i="1"/>
  <c r="I775" i="1" s="1"/>
  <c r="AI774" i="1"/>
  <c r="AG774" i="1"/>
  <c r="Z774" i="1"/>
  <c r="X774" i="1"/>
  <c r="AA774" i="1" s="1"/>
  <c r="Q774" i="1"/>
  <c r="O774" i="1"/>
  <c r="H774" i="1"/>
  <c r="F774" i="1"/>
  <c r="AI773" i="1"/>
  <c r="AG773" i="1"/>
  <c r="Z773" i="1"/>
  <c r="X773" i="1"/>
  <c r="AA773" i="1" s="1"/>
  <c r="Q773" i="1"/>
  <c r="O773" i="1"/>
  <c r="H773" i="1"/>
  <c r="F773" i="1"/>
  <c r="AI772" i="1"/>
  <c r="AG772" i="1"/>
  <c r="Z772" i="1"/>
  <c r="X772" i="1"/>
  <c r="AA772" i="1" s="1"/>
  <c r="Q772" i="1"/>
  <c r="O772" i="1"/>
  <c r="R772" i="1" s="1"/>
  <c r="H772" i="1"/>
  <c r="F772" i="1"/>
  <c r="Z771" i="1"/>
  <c r="X771" i="1"/>
  <c r="Q771" i="1"/>
  <c r="O771" i="1"/>
  <c r="R771" i="1" s="1"/>
  <c r="I771" i="1"/>
  <c r="H771" i="1"/>
  <c r="G771" i="1"/>
  <c r="AI770" i="1"/>
  <c r="AG770" i="1"/>
  <c r="Z770" i="1"/>
  <c r="X770" i="1"/>
  <c r="Q770" i="1"/>
  <c r="O770" i="1"/>
  <c r="P770" i="1" s="1"/>
  <c r="H770" i="1"/>
  <c r="F770" i="1"/>
  <c r="G770" i="1" s="1"/>
  <c r="AI769" i="1"/>
  <c r="AG769" i="1"/>
  <c r="Z769" i="1"/>
  <c r="X769" i="1"/>
  <c r="Q769" i="1"/>
  <c r="O769" i="1"/>
  <c r="P769" i="1" s="1"/>
  <c r="H769" i="1"/>
  <c r="F769" i="1"/>
  <c r="G769" i="1" s="1"/>
  <c r="AI768" i="1"/>
  <c r="AG768" i="1"/>
  <c r="Z768" i="1"/>
  <c r="X768" i="1"/>
  <c r="Q768" i="1"/>
  <c r="O768" i="1"/>
  <c r="P768" i="1" s="1"/>
  <c r="H768" i="1"/>
  <c r="F768" i="1"/>
  <c r="AI767" i="1"/>
  <c r="AG767" i="1"/>
  <c r="Z767" i="1"/>
  <c r="X767" i="1"/>
  <c r="Q767" i="1"/>
  <c r="O767" i="1"/>
  <c r="P767" i="1" s="1"/>
  <c r="H767" i="1"/>
  <c r="F767" i="1"/>
  <c r="G767" i="1" s="1"/>
  <c r="AI766" i="1"/>
  <c r="AG766" i="1"/>
  <c r="Z766" i="1"/>
  <c r="X766" i="1"/>
  <c r="Q766" i="1"/>
  <c r="O766" i="1"/>
  <c r="P766" i="1" s="1"/>
  <c r="H766" i="1"/>
  <c r="F766" i="1"/>
  <c r="G766" i="1" s="1"/>
  <c r="AI765" i="1"/>
  <c r="AG765" i="1"/>
  <c r="Z765" i="1"/>
  <c r="X765" i="1"/>
  <c r="Q765" i="1"/>
  <c r="O765" i="1"/>
  <c r="H765" i="1"/>
  <c r="F765" i="1"/>
  <c r="G765" i="1" s="1"/>
  <c r="AJ764" i="1"/>
  <c r="AI764" i="1"/>
  <c r="AH764" i="1"/>
  <c r="Z764" i="1"/>
  <c r="X764" i="1"/>
  <c r="Q764" i="1"/>
  <c r="O764" i="1"/>
  <c r="H764" i="1"/>
  <c r="F764" i="1"/>
  <c r="AI763" i="1"/>
  <c r="AG763" i="1"/>
  <c r="Z763" i="1"/>
  <c r="X763" i="1"/>
  <c r="Q763" i="1"/>
  <c r="O763" i="1"/>
  <c r="H763" i="1"/>
  <c r="F763" i="1"/>
  <c r="AI762" i="1"/>
  <c r="AG762" i="1"/>
  <c r="Z762" i="1"/>
  <c r="X762" i="1"/>
  <c r="Q762" i="1"/>
  <c r="O762" i="1"/>
  <c r="H762" i="1"/>
  <c r="F762" i="1"/>
  <c r="G762" i="1" s="1"/>
  <c r="AI761" i="1"/>
  <c r="AG761" i="1"/>
  <c r="Z761" i="1"/>
  <c r="X761" i="1"/>
  <c r="Q761" i="1"/>
  <c r="O761" i="1"/>
  <c r="P761" i="1" s="1"/>
  <c r="H761" i="1"/>
  <c r="F761" i="1"/>
  <c r="AI760" i="1"/>
  <c r="AG760" i="1"/>
  <c r="Z760" i="1"/>
  <c r="X760" i="1"/>
  <c r="Q760" i="1"/>
  <c r="O760" i="1"/>
  <c r="H760" i="1"/>
  <c r="F760" i="1"/>
  <c r="G760" i="1" s="1"/>
  <c r="AI759" i="1"/>
  <c r="AG759" i="1"/>
  <c r="Z759" i="1"/>
  <c r="X759" i="1"/>
  <c r="Q759" i="1"/>
  <c r="O759" i="1"/>
  <c r="P759" i="1" s="1"/>
  <c r="H759" i="1"/>
  <c r="F759" i="1"/>
  <c r="AI758" i="1"/>
  <c r="AG758" i="1"/>
  <c r="Z758" i="1"/>
  <c r="X758" i="1"/>
  <c r="Q758" i="1"/>
  <c r="O758" i="1"/>
  <c r="H758" i="1"/>
  <c r="F758" i="1"/>
  <c r="AI757" i="1"/>
  <c r="AG757" i="1"/>
  <c r="Q757" i="1"/>
  <c r="O757" i="1"/>
  <c r="H757" i="1"/>
  <c r="F757" i="1"/>
  <c r="G757" i="1" s="1"/>
  <c r="AI756" i="1"/>
  <c r="AG756" i="1"/>
  <c r="Z756" i="1"/>
  <c r="X756" i="1"/>
  <c r="Q756" i="1"/>
  <c r="O756" i="1"/>
  <c r="H756" i="1"/>
  <c r="F756" i="1"/>
  <c r="AI755" i="1"/>
  <c r="AG755" i="1"/>
  <c r="AH755" i="1" s="1"/>
  <c r="Z755" i="1"/>
  <c r="X755" i="1"/>
  <c r="Q755" i="1"/>
  <c r="O755" i="1"/>
  <c r="H755" i="1"/>
  <c r="F755" i="1"/>
  <c r="G755" i="1" s="1"/>
  <c r="AI754" i="1"/>
  <c r="AG754" i="1"/>
  <c r="Z754" i="1"/>
  <c r="X754" i="1"/>
  <c r="Q754" i="1"/>
  <c r="O754" i="1"/>
  <c r="H754" i="1"/>
  <c r="F754" i="1"/>
  <c r="AI753" i="1"/>
  <c r="AG753" i="1"/>
  <c r="AH753" i="1" s="1"/>
  <c r="Z753" i="1"/>
  <c r="X753" i="1"/>
  <c r="Q753" i="1"/>
  <c r="O753" i="1"/>
  <c r="H753" i="1"/>
  <c r="B79" i="2" s="1"/>
  <c r="F753" i="1"/>
  <c r="G753" i="1" s="1"/>
  <c r="AI752" i="1"/>
  <c r="AG752" i="1"/>
  <c r="AA752" i="1"/>
  <c r="Z752" i="1"/>
  <c r="Y752" i="1"/>
  <c r="Q752" i="1"/>
  <c r="O752" i="1"/>
  <c r="H752" i="1"/>
  <c r="F752" i="1"/>
  <c r="AI751" i="1"/>
  <c r="AG751" i="1"/>
  <c r="AH751" i="1" s="1"/>
  <c r="Z751" i="1"/>
  <c r="X751" i="1"/>
  <c r="Y751" i="1" s="1"/>
  <c r="Q751" i="1"/>
  <c r="O751" i="1"/>
  <c r="H751" i="1"/>
  <c r="F751" i="1"/>
  <c r="Q750" i="1"/>
  <c r="O750" i="1"/>
  <c r="R750" i="1" s="1"/>
  <c r="H750" i="1"/>
  <c r="B175" i="2" s="1"/>
  <c r="F750" i="1"/>
  <c r="I750" i="1" s="1"/>
  <c r="AI749" i="1"/>
  <c r="AG749" i="1"/>
  <c r="AJ749" i="1" s="1"/>
  <c r="Z749" i="1"/>
  <c r="X749" i="1"/>
  <c r="AA749" i="1" s="1"/>
  <c r="Q749" i="1"/>
  <c r="O749" i="1"/>
  <c r="H749" i="1"/>
  <c r="F749" i="1"/>
  <c r="I749" i="1" s="1"/>
  <c r="AI748" i="1"/>
  <c r="AG748" i="1"/>
  <c r="Z748" i="1"/>
  <c r="X748" i="1"/>
  <c r="Q748" i="1"/>
  <c r="O748" i="1"/>
  <c r="R748" i="1" s="1"/>
  <c r="H748" i="1"/>
  <c r="F748" i="1"/>
  <c r="I748" i="1" s="1"/>
  <c r="AI747" i="1"/>
  <c r="AG747" i="1"/>
  <c r="AJ747" i="1" s="1"/>
  <c r="Z747" i="1"/>
  <c r="X747" i="1"/>
  <c r="Q747" i="1"/>
  <c r="O747" i="1"/>
  <c r="R747" i="1" s="1"/>
  <c r="H747" i="1"/>
  <c r="F747" i="1"/>
  <c r="I747" i="1" s="1"/>
  <c r="AI746" i="1"/>
  <c r="AG746" i="1"/>
  <c r="Z746" i="1"/>
  <c r="X746" i="1"/>
  <c r="Q746" i="1"/>
  <c r="O746" i="1"/>
  <c r="H746" i="1"/>
  <c r="F746" i="1"/>
  <c r="I746" i="1" s="1"/>
  <c r="AI745" i="1"/>
  <c r="AG745" i="1"/>
  <c r="AJ745" i="1" s="1"/>
  <c r="Z745" i="1"/>
  <c r="X745" i="1"/>
  <c r="AA745" i="1" s="1"/>
  <c r="Q745" i="1"/>
  <c r="O745" i="1"/>
  <c r="H745" i="1"/>
  <c r="F745" i="1"/>
  <c r="AI744" i="1"/>
  <c r="AG744" i="1"/>
  <c r="Z744" i="1"/>
  <c r="X744" i="1"/>
  <c r="AA744" i="1" s="1"/>
  <c r="Q744" i="1"/>
  <c r="O744" i="1"/>
  <c r="R744" i="1" s="1"/>
  <c r="H744" i="1"/>
  <c r="F744" i="1"/>
  <c r="I744" i="1" s="1"/>
  <c r="AI743" i="1"/>
  <c r="AG743" i="1"/>
  <c r="Z743" i="1"/>
  <c r="X743" i="1"/>
  <c r="Y743" i="1" s="1"/>
  <c r="Q743" i="1"/>
  <c r="O743" i="1"/>
  <c r="H743" i="1"/>
  <c r="F743" i="1"/>
  <c r="G743" i="1" s="1"/>
  <c r="AI742" i="1"/>
  <c r="AG742" i="1"/>
  <c r="Z742" i="1"/>
  <c r="X742" i="1"/>
  <c r="Q742" i="1"/>
  <c r="O742" i="1"/>
  <c r="P742" i="1" s="1"/>
  <c r="H742" i="1"/>
  <c r="F742" i="1"/>
  <c r="G742" i="1" s="1"/>
  <c r="AI741" i="1"/>
  <c r="AG741" i="1"/>
  <c r="Z741" i="1"/>
  <c r="X741" i="1"/>
  <c r="Y741" i="1" s="1"/>
  <c r="Q741" i="1"/>
  <c r="O741" i="1"/>
  <c r="H741" i="1"/>
  <c r="F741" i="1"/>
  <c r="I741" i="1" s="1"/>
  <c r="AI740" i="1"/>
  <c r="AG740" i="1"/>
  <c r="Z740" i="1"/>
  <c r="X740" i="1"/>
  <c r="Q740" i="1"/>
  <c r="O740" i="1"/>
  <c r="H740" i="1"/>
  <c r="F740" i="1"/>
  <c r="G740" i="1" s="1"/>
  <c r="Z739" i="1"/>
  <c r="X739" i="1"/>
  <c r="Q739" i="1"/>
  <c r="O739" i="1"/>
  <c r="H739" i="1"/>
  <c r="F739" i="1"/>
  <c r="AI738" i="1"/>
  <c r="AG738" i="1"/>
  <c r="Z738" i="1"/>
  <c r="X738" i="1"/>
  <c r="Y738" i="1" s="1"/>
  <c r="Q738" i="1"/>
  <c r="B5" i="2" s="1"/>
  <c r="O738" i="1"/>
  <c r="H738" i="1"/>
  <c r="F738" i="1"/>
  <c r="AI737" i="1"/>
  <c r="AG737" i="1"/>
  <c r="AH737" i="1" s="1"/>
  <c r="Z737" i="1"/>
  <c r="X737" i="1"/>
  <c r="Q737" i="1"/>
  <c r="O737" i="1"/>
  <c r="H737" i="1"/>
  <c r="F737" i="1"/>
  <c r="AI736" i="1"/>
  <c r="AG736" i="1"/>
  <c r="Z736" i="1"/>
  <c r="X736" i="1"/>
  <c r="Q736" i="1"/>
  <c r="O736" i="1"/>
  <c r="H736" i="1"/>
  <c r="F736" i="1"/>
  <c r="AI735" i="1"/>
  <c r="AG735" i="1"/>
  <c r="AH735" i="1" s="1"/>
  <c r="Z735" i="1"/>
  <c r="X735" i="1"/>
  <c r="Q735" i="1"/>
  <c r="O735" i="1"/>
  <c r="H735" i="1"/>
  <c r="F735" i="1"/>
  <c r="AI734" i="1"/>
  <c r="AG734" i="1"/>
  <c r="Z734" i="1"/>
  <c r="X734" i="1"/>
  <c r="Y734" i="1" s="1"/>
  <c r="Q734" i="1"/>
  <c r="O734" i="1"/>
  <c r="H734" i="1"/>
  <c r="F734" i="1"/>
  <c r="AI733" i="1"/>
  <c r="AG733" i="1"/>
  <c r="AH733" i="1" s="1"/>
  <c r="Z733" i="1"/>
  <c r="X733" i="1"/>
  <c r="Q733" i="1"/>
  <c r="O733" i="1"/>
  <c r="H733" i="1"/>
  <c r="F733" i="1"/>
  <c r="I733" i="1" s="1"/>
  <c r="AI732" i="1"/>
  <c r="AG732" i="1"/>
  <c r="AH732" i="1" s="1"/>
  <c r="Z732" i="1"/>
  <c r="X732" i="1"/>
  <c r="Q732" i="1"/>
  <c r="O732" i="1"/>
  <c r="P732" i="1" s="1"/>
  <c r="H732" i="1"/>
  <c r="F732" i="1"/>
  <c r="G732" i="1" s="1"/>
  <c r="AI731" i="1"/>
  <c r="AG731" i="1"/>
  <c r="AH731" i="1" s="1"/>
  <c r="Z731" i="1"/>
  <c r="X731" i="1"/>
  <c r="Y731" i="1" s="1"/>
  <c r="Q731" i="1"/>
  <c r="O731" i="1"/>
  <c r="P731" i="1" s="1"/>
  <c r="H731" i="1"/>
  <c r="F731" i="1"/>
  <c r="I731" i="1" s="1"/>
  <c r="AI730" i="1"/>
  <c r="AG730" i="1"/>
  <c r="Z730" i="1"/>
  <c r="X730" i="1"/>
  <c r="Q730" i="1"/>
  <c r="O730" i="1"/>
  <c r="H730" i="1"/>
  <c r="F730" i="1"/>
  <c r="I730" i="1" s="1"/>
  <c r="AI729" i="1"/>
  <c r="AG729" i="1"/>
  <c r="AJ729" i="1" s="1"/>
  <c r="Z729" i="1"/>
  <c r="X729" i="1"/>
  <c r="AA729" i="1" s="1"/>
  <c r="Q729" i="1"/>
  <c r="O729" i="1"/>
  <c r="H729" i="1"/>
  <c r="F729" i="1"/>
  <c r="AI728" i="1"/>
  <c r="AG728" i="1"/>
  <c r="AJ728" i="1" s="1"/>
  <c r="Z728" i="1"/>
  <c r="X728" i="1"/>
  <c r="AA728" i="1" s="1"/>
  <c r="Q728" i="1"/>
  <c r="O728" i="1"/>
  <c r="H728" i="1"/>
  <c r="F728" i="1"/>
  <c r="I728" i="1" s="1"/>
  <c r="AI727" i="1"/>
  <c r="AG727" i="1"/>
  <c r="AJ727" i="1" s="1"/>
  <c r="Z727" i="1"/>
  <c r="X727" i="1"/>
  <c r="AA727" i="1" s="1"/>
  <c r="Q727" i="1"/>
  <c r="O727" i="1"/>
  <c r="H727" i="1"/>
  <c r="F727" i="1"/>
  <c r="AI726" i="1"/>
  <c r="AG726" i="1"/>
  <c r="AJ726" i="1" s="1"/>
  <c r="Z726" i="1"/>
  <c r="X726" i="1"/>
  <c r="Q726" i="1"/>
  <c r="O726" i="1"/>
  <c r="H726" i="1"/>
  <c r="F726" i="1"/>
  <c r="I726" i="1" s="1"/>
  <c r="AI725" i="1"/>
  <c r="AG725" i="1"/>
  <c r="AJ725" i="1" s="1"/>
  <c r="Z725" i="1"/>
  <c r="X725" i="1"/>
  <c r="Y725" i="1" s="1"/>
  <c r="Q725" i="1"/>
  <c r="O725" i="1"/>
  <c r="P725" i="1" s="1"/>
  <c r="H725" i="1"/>
  <c r="F725" i="1"/>
  <c r="AI724" i="1"/>
  <c r="AG724" i="1"/>
  <c r="AJ724" i="1" s="1"/>
  <c r="Z724" i="1"/>
  <c r="X724" i="1"/>
  <c r="Y724" i="1" s="1"/>
  <c r="Q724" i="1"/>
  <c r="O724" i="1"/>
  <c r="H724" i="1"/>
  <c r="F724" i="1"/>
  <c r="G724" i="1" s="1"/>
  <c r="AI723" i="1"/>
  <c r="AG723" i="1"/>
  <c r="AH723" i="1" s="1"/>
  <c r="Z723" i="1"/>
  <c r="X723" i="1"/>
  <c r="Y723" i="1" s="1"/>
  <c r="H723" i="1"/>
  <c r="F723" i="1"/>
  <c r="AI722" i="1"/>
  <c r="AG722" i="1"/>
  <c r="AH722" i="1" s="1"/>
  <c r="Z722" i="1"/>
  <c r="X722" i="1"/>
  <c r="Y722" i="1" s="1"/>
  <c r="Q722" i="1"/>
  <c r="O722" i="1"/>
  <c r="P722" i="1" s="1"/>
  <c r="H722" i="1"/>
  <c r="F722" i="1"/>
  <c r="AI721" i="1"/>
  <c r="AG721" i="1"/>
  <c r="AH721" i="1" s="1"/>
  <c r="Z721" i="1"/>
  <c r="X721" i="1"/>
  <c r="Y721" i="1" s="1"/>
  <c r="Q721" i="1"/>
  <c r="O721" i="1"/>
  <c r="P721" i="1" s="1"/>
  <c r="H721" i="1"/>
  <c r="F721" i="1"/>
  <c r="G721" i="1" s="1"/>
  <c r="AI720" i="1"/>
  <c r="AG720" i="1"/>
  <c r="AH720" i="1" s="1"/>
  <c r="Z720" i="1"/>
  <c r="X720" i="1"/>
  <c r="Y720" i="1" s="1"/>
  <c r="Q720" i="1"/>
  <c r="O720" i="1"/>
  <c r="P720" i="1" s="1"/>
  <c r="H720" i="1"/>
  <c r="F720" i="1"/>
  <c r="AI719" i="1"/>
  <c r="AG719" i="1"/>
  <c r="AH719" i="1" s="1"/>
  <c r="Z719" i="1"/>
  <c r="X719" i="1"/>
  <c r="Y719" i="1" s="1"/>
  <c r="Q719" i="1"/>
  <c r="O719" i="1"/>
  <c r="P719" i="1" s="1"/>
  <c r="H719" i="1"/>
  <c r="F719" i="1"/>
  <c r="I719" i="1" s="1"/>
  <c r="AI718" i="1"/>
  <c r="AG718" i="1"/>
  <c r="AJ718" i="1" s="1"/>
  <c r="Z718" i="1"/>
  <c r="X718" i="1"/>
  <c r="Q718" i="1"/>
  <c r="O718" i="1"/>
  <c r="H718" i="1"/>
  <c r="F718" i="1"/>
  <c r="I718" i="1" s="1"/>
  <c r="AI717" i="1"/>
  <c r="AG717" i="1"/>
  <c r="AJ717" i="1" s="1"/>
  <c r="Z717" i="1"/>
  <c r="X717" i="1"/>
  <c r="AA717" i="1" s="1"/>
  <c r="Q717" i="1"/>
  <c r="O717" i="1"/>
  <c r="H717" i="1"/>
  <c r="F717" i="1"/>
  <c r="I717" i="1" s="1"/>
  <c r="AI716" i="1"/>
  <c r="AG716" i="1"/>
  <c r="AJ716" i="1" s="1"/>
  <c r="Z716" i="1"/>
  <c r="X716" i="1"/>
  <c r="AA716" i="1" s="1"/>
  <c r="Q716" i="1"/>
  <c r="O716" i="1"/>
  <c r="H716" i="1"/>
  <c r="F716" i="1"/>
  <c r="I716" i="1" s="1"/>
  <c r="AI715" i="1"/>
  <c r="AG715" i="1"/>
  <c r="AJ715" i="1" s="1"/>
  <c r="Z715" i="1"/>
  <c r="X715" i="1"/>
  <c r="Q715" i="1"/>
  <c r="O715" i="1"/>
  <c r="H715" i="1"/>
  <c r="F715" i="1"/>
  <c r="I715" i="1" s="1"/>
  <c r="AI714" i="1"/>
  <c r="AG714" i="1"/>
  <c r="AJ714" i="1" s="1"/>
  <c r="Z714" i="1"/>
  <c r="X714" i="1"/>
  <c r="Q714" i="1"/>
  <c r="O714" i="1"/>
  <c r="H714" i="1"/>
  <c r="F714" i="1"/>
  <c r="AI713" i="1"/>
  <c r="AG713" i="1"/>
  <c r="Z713" i="1"/>
  <c r="X713" i="1"/>
  <c r="Q713" i="1"/>
  <c r="O713" i="1"/>
  <c r="P713" i="1" s="1"/>
  <c r="H713" i="1"/>
  <c r="F713" i="1"/>
  <c r="Z712" i="1"/>
  <c r="X712" i="1"/>
  <c r="Q712" i="1"/>
  <c r="O712" i="1"/>
  <c r="H712" i="1"/>
  <c r="F712" i="1"/>
  <c r="AI711" i="1"/>
  <c r="AG711" i="1"/>
  <c r="Z711" i="1"/>
  <c r="X711" i="1"/>
  <c r="Q711" i="1"/>
  <c r="O711" i="1"/>
  <c r="H711" i="1"/>
  <c r="F711" i="1"/>
  <c r="G711" i="1" s="1"/>
  <c r="AI710" i="1"/>
  <c r="AG710" i="1"/>
  <c r="AH710" i="1" s="1"/>
  <c r="Z710" i="1"/>
  <c r="X710" i="1"/>
  <c r="Q710" i="1"/>
  <c r="O710" i="1"/>
  <c r="H710" i="1"/>
  <c r="F710" i="1"/>
  <c r="AI709" i="1"/>
  <c r="AG709" i="1"/>
  <c r="Z709" i="1"/>
  <c r="X709" i="1"/>
  <c r="Q709" i="1"/>
  <c r="O709" i="1"/>
  <c r="H709" i="1"/>
  <c r="F709" i="1"/>
  <c r="G709" i="1" s="1"/>
  <c r="AI708" i="1"/>
  <c r="AG708" i="1"/>
  <c r="AH708" i="1" s="1"/>
  <c r="Z708" i="1"/>
  <c r="X708" i="1"/>
  <c r="Q708" i="1"/>
  <c r="O708" i="1"/>
  <c r="H708" i="1"/>
  <c r="F708" i="1"/>
  <c r="G708" i="1" s="1"/>
  <c r="AI707" i="1"/>
  <c r="AG707" i="1"/>
  <c r="Z707" i="1"/>
  <c r="X707" i="1"/>
  <c r="Q707" i="1"/>
  <c r="O707" i="1"/>
  <c r="P707" i="1" s="1"/>
  <c r="H707" i="1"/>
  <c r="F707" i="1"/>
  <c r="G707" i="1" s="1"/>
  <c r="AI706" i="1"/>
  <c r="AG706" i="1"/>
  <c r="Z706" i="1"/>
  <c r="X706" i="1"/>
  <c r="Y706" i="1" s="1"/>
  <c r="Q706" i="1"/>
  <c r="O706" i="1"/>
  <c r="P706" i="1" s="1"/>
  <c r="H706" i="1"/>
  <c r="F706" i="1"/>
  <c r="AI705" i="1"/>
  <c r="AG705" i="1"/>
  <c r="Z705" i="1"/>
  <c r="X705" i="1"/>
  <c r="Y705" i="1" s="1"/>
  <c r="Q705" i="1"/>
  <c r="O705" i="1"/>
  <c r="P705" i="1" s="1"/>
  <c r="H705" i="1"/>
  <c r="F705" i="1"/>
  <c r="I705" i="1" s="1"/>
  <c r="AI704" i="1"/>
  <c r="AG704" i="1"/>
  <c r="AJ704" i="1" s="1"/>
  <c r="Z704" i="1"/>
  <c r="X704" i="1"/>
  <c r="Q704" i="1"/>
  <c r="O704" i="1"/>
  <c r="H704" i="1"/>
  <c r="F704" i="1"/>
  <c r="AI703" i="1"/>
  <c r="AG703" i="1"/>
  <c r="Z703" i="1"/>
  <c r="X703" i="1"/>
  <c r="AA703" i="1" s="1"/>
  <c r="Q703" i="1"/>
  <c r="O703" i="1"/>
  <c r="R703" i="1" s="1"/>
  <c r="H703" i="1"/>
  <c r="F703" i="1"/>
  <c r="AI702" i="1"/>
  <c r="AG702" i="1"/>
  <c r="AJ702" i="1" s="1"/>
  <c r="Z702" i="1"/>
  <c r="X702" i="1"/>
  <c r="Q702" i="1"/>
  <c r="O702" i="1"/>
  <c r="R702" i="1" s="1"/>
  <c r="H702" i="1"/>
  <c r="F702" i="1"/>
  <c r="AI701" i="1"/>
  <c r="AG701" i="1"/>
  <c r="Z701" i="1"/>
  <c r="X701" i="1"/>
  <c r="AA701" i="1" s="1"/>
  <c r="Q701" i="1"/>
  <c r="O701" i="1"/>
  <c r="R701" i="1" s="1"/>
  <c r="H701" i="1"/>
  <c r="F701" i="1"/>
  <c r="AI700" i="1"/>
  <c r="AG700" i="1"/>
  <c r="Z700" i="1"/>
  <c r="X700" i="1"/>
  <c r="AA700" i="1" s="1"/>
  <c r="Q700" i="1"/>
  <c r="O700" i="1"/>
  <c r="H700" i="1"/>
  <c r="F700" i="1"/>
  <c r="AI699" i="1"/>
  <c r="AG699" i="1"/>
  <c r="AJ699" i="1" s="1"/>
  <c r="Z699" i="1"/>
  <c r="X699" i="1"/>
  <c r="AA699" i="1" s="1"/>
  <c r="Q699" i="1"/>
  <c r="O699" i="1"/>
  <c r="H699" i="1"/>
  <c r="F699" i="1"/>
  <c r="AI698" i="1"/>
  <c r="B108" i="2" s="1"/>
  <c r="AG698" i="1"/>
  <c r="AJ698" i="1" s="1"/>
  <c r="Z698" i="1"/>
  <c r="X698" i="1"/>
  <c r="AA698" i="1" s="1"/>
  <c r="Q698" i="1"/>
  <c r="O698" i="1"/>
  <c r="R698" i="1" s="1"/>
  <c r="H698" i="1"/>
  <c r="F698" i="1"/>
  <c r="AI697" i="1"/>
  <c r="AG697" i="1"/>
  <c r="AJ697" i="1" s="1"/>
  <c r="Z697" i="1"/>
  <c r="X697" i="1"/>
  <c r="AA697" i="1" s="1"/>
  <c r="Q697" i="1"/>
  <c r="O697" i="1"/>
  <c r="R697" i="1" s="1"/>
  <c r="H697" i="1"/>
  <c r="F697" i="1"/>
  <c r="I697" i="1" s="1"/>
  <c r="AI696" i="1"/>
  <c r="AG696" i="1"/>
  <c r="AJ696" i="1" s="1"/>
  <c r="Z696" i="1"/>
  <c r="X696" i="1"/>
  <c r="H696" i="1"/>
  <c r="F696" i="1"/>
  <c r="AI695" i="1"/>
  <c r="AG695" i="1"/>
  <c r="Z695" i="1"/>
  <c r="X695" i="1"/>
  <c r="Q695" i="1"/>
  <c r="O695" i="1"/>
  <c r="H695" i="1"/>
  <c r="F695" i="1"/>
  <c r="AI694" i="1"/>
  <c r="AG694" i="1"/>
  <c r="Z694" i="1"/>
  <c r="X694" i="1"/>
  <c r="AA694" i="1" s="1"/>
  <c r="Q694" i="1"/>
  <c r="O694" i="1"/>
  <c r="H694" i="1"/>
  <c r="F694" i="1"/>
  <c r="AI693" i="1"/>
  <c r="AG693" i="1"/>
  <c r="Z693" i="1"/>
  <c r="X693" i="1"/>
  <c r="Q693" i="1"/>
  <c r="O693" i="1"/>
  <c r="R693" i="1" s="1"/>
  <c r="H693" i="1"/>
  <c r="F693" i="1"/>
  <c r="AI692" i="1"/>
  <c r="AG692" i="1"/>
  <c r="Z692" i="1"/>
  <c r="X692" i="1"/>
  <c r="AA692" i="1" s="1"/>
  <c r="Q692" i="1"/>
  <c r="O692" i="1"/>
  <c r="H692" i="1"/>
  <c r="F692" i="1"/>
  <c r="I692" i="1" s="1"/>
  <c r="AI691" i="1"/>
  <c r="AG691" i="1"/>
  <c r="Z691" i="1"/>
  <c r="X691" i="1"/>
  <c r="AA691" i="1" s="1"/>
  <c r="Q691" i="1"/>
  <c r="O691" i="1"/>
  <c r="R691" i="1" s="1"/>
  <c r="H691" i="1"/>
  <c r="F691" i="1"/>
  <c r="AI690" i="1"/>
  <c r="AG690" i="1"/>
  <c r="Z690" i="1"/>
  <c r="X690" i="1"/>
  <c r="Q690" i="1"/>
  <c r="O690" i="1"/>
  <c r="H690" i="1"/>
  <c r="F690" i="1"/>
  <c r="I690" i="1" s="1"/>
  <c r="AI689" i="1"/>
  <c r="AG689" i="1"/>
  <c r="Z689" i="1"/>
  <c r="X689" i="1"/>
  <c r="Q689" i="1"/>
  <c r="O689" i="1"/>
  <c r="P689" i="1" s="1"/>
  <c r="H689" i="1"/>
  <c r="F689" i="1"/>
  <c r="AI688" i="1"/>
  <c r="AG688" i="1"/>
  <c r="AH688" i="1" s="1"/>
  <c r="Z688" i="1"/>
  <c r="X688" i="1"/>
  <c r="Y688" i="1" s="1"/>
  <c r="Q688" i="1"/>
  <c r="O688" i="1"/>
  <c r="P688" i="1" s="1"/>
  <c r="H688" i="1"/>
  <c r="F688" i="1"/>
  <c r="AI687" i="1"/>
  <c r="AG687" i="1"/>
  <c r="Z687" i="1"/>
  <c r="X687" i="1"/>
  <c r="Q687" i="1"/>
  <c r="O687" i="1"/>
  <c r="P687" i="1" s="1"/>
  <c r="H687" i="1"/>
  <c r="F687" i="1"/>
  <c r="AI686" i="1"/>
  <c r="AG686" i="1"/>
  <c r="AH686" i="1" s="1"/>
  <c r="Z686" i="1"/>
  <c r="X686" i="1"/>
  <c r="Y686" i="1" s="1"/>
  <c r="Q686" i="1"/>
  <c r="O686" i="1"/>
  <c r="P686" i="1" s="1"/>
  <c r="H686" i="1"/>
  <c r="F686" i="1"/>
  <c r="AI685" i="1"/>
  <c r="AG685" i="1"/>
  <c r="Z685" i="1"/>
  <c r="X685" i="1"/>
  <c r="Q685" i="1"/>
  <c r="O685" i="1"/>
  <c r="P685" i="1" s="1"/>
  <c r="H685" i="1"/>
  <c r="F685" i="1"/>
  <c r="AI684" i="1"/>
  <c r="AG684" i="1"/>
  <c r="AH684" i="1" s="1"/>
  <c r="Z684" i="1"/>
  <c r="X684" i="1"/>
  <c r="Q684" i="1"/>
  <c r="O684" i="1"/>
  <c r="P684" i="1" s="1"/>
  <c r="H684" i="1"/>
  <c r="F684" i="1"/>
  <c r="AI683" i="1"/>
  <c r="AG683" i="1"/>
  <c r="Z683" i="1"/>
  <c r="X683" i="1"/>
  <c r="Y683" i="1" s="1"/>
  <c r="Q683" i="1"/>
  <c r="O683" i="1"/>
  <c r="P683" i="1" s="1"/>
  <c r="H683" i="1"/>
  <c r="F683" i="1"/>
  <c r="AI682" i="1"/>
  <c r="AG682" i="1"/>
  <c r="AH682" i="1" s="1"/>
  <c r="Z682" i="1"/>
  <c r="X682" i="1"/>
  <c r="Q682" i="1"/>
  <c r="O682" i="1"/>
  <c r="P682" i="1" s="1"/>
  <c r="H682" i="1"/>
  <c r="F682" i="1"/>
  <c r="AI681" i="1"/>
  <c r="AG681" i="1"/>
  <c r="Z681" i="1"/>
  <c r="X681" i="1"/>
  <c r="Q681" i="1"/>
  <c r="O681" i="1"/>
  <c r="P681" i="1" s="1"/>
  <c r="H681" i="1"/>
  <c r="F681" i="1"/>
  <c r="AI680" i="1"/>
  <c r="AG680" i="1"/>
  <c r="AH680" i="1" s="1"/>
  <c r="Z680" i="1"/>
  <c r="X680" i="1"/>
  <c r="Y680" i="1" s="1"/>
  <c r="Q680" i="1"/>
  <c r="O680" i="1"/>
  <c r="P680" i="1" s="1"/>
  <c r="H680" i="1"/>
  <c r="F680" i="1"/>
  <c r="AI679" i="1"/>
  <c r="B65" i="2" s="1"/>
  <c r="AG679" i="1"/>
  <c r="Z679" i="1"/>
  <c r="X679" i="1"/>
  <c r="Q679" i="1"/>
  <c r="O679" i="1"/>
  <c r="P679" i="1" s="1"/>
  <c r="H679" i="1"/>
  <c r="F679" i="1"/>
  <c r="I679" i="1" s="1"/>
  <c r="AI678" i="1"/>
  <c r="AG678" i="1"/>
  <c r="AH678" i="1" s="1"/>
  <c r="Z678" i="1"/>
  <c r="X678" i="1"/>
  <c r="Y678" i="1" s="1"/>
  <c r="Q678" i="1"/>
  <c r="O678" i="1"/>
  <c r="H678" i="1"/>
  <c r="F678" i="1"/>
  <c r="AI677" i="1"/>
  <c r="B49" i="2" s="1"/>
  <c r="AG677" i="1"/>
  <c r="AH677" i="1" s="1"/>
  <c r="Z677" i="1"/>
  <c r="X677" i="1"/>
  <c r="Y677" i="1" s="1"/>
  <c r="Q677" i="1"/>
  <c r="O677" i="1"/>
  <c r="H677" i="1"/>
  <c r="F677" i="1"/>
  <c r="AI676" i="1"/>
  <c r="AG676" i="1"/>
  <c r="Z676" i="1"/>
  <c r="X676" i="1"/>
  <c r="Y676" i="1" s="1"/>
  <c r="Q676" i="1"/>
  <c r="O676" i="1"/>
  <c r="P676" i="1" s="1"/>
  <c r="H676" i="1"/>
  <c r="F676" i="1"/>
  <c r="AI675" i="1"/>
  <c r="AG675" i="1"/>
  <c r="Q675" i="1"/>
  <c r="O675" i="1"/>
  <c r="P675" i="1" s="1"/>
  <c r="H675" i="1"/>
  <c r="F675" i="1"/>
  <c r="G675" i="1" s="1"/>
  <c r="AI674" i="1"/>
  <c r="AG674" i="1"/>
  <c r="Z674" i="1"/>
  <c r="X674" i="1"/>
  <c r="Y674" i="1" s="1"/>
  <c r="Q674" i="1"/>
  <c r="O674" i="1"/>
  <c r="P674" i="1" s="1"/>
  <c r="H674" i="1"/>
  <c r="F674" i="1"/>
  <c r="AI673" i="1"/>
  <c r="AG673" i="1"/>
  <c r="Z673" i="1"/>
  <c r="X673" i="1"/>
  <c r="Y673" i="1" s="1"/>
  <c r="Q673" i="1"/>
  <c r="O673" i="1"/>
  <c r="P673" i="1" s="1"/>
  <c r="AI672" i="1"/>
  <c r="AG672" i="1"/>
  <c r="Z672" i="1"/>
  <c r="X672" i="1"/>
  <c r="Q672" i="1"/>
  <c r="O672" i="1"/>
  <c r="H672" i="1"/>
  <c r="F672" i="1"/>
  <c r="G672" i="1" s="1"/>
  <c r="AI671" i="1"/>
  <c r="AG671" i="1"/>
  <c r="AH671" i="1" s="1"/>
  <c r="Z671" i="1"/>
  <c r="X671" i="1"/>
  <c r="Q671" i="1"/>
  <c r="O671" i="1"/>
  <c r="H671" i="1"/>
  <c r="F671" i="1"/>
  <c r="AI670" i="1"/>
  <c r="AG670" i="1"/>
  <c r="AH670" i="1" s="1"/>
  <c r="Z670" i="1"/>
  <c r="X670" i="1"/>
  <c r="Q670" i="1"/>
  <c r="O670" i="1"/>
  <c r="P670" i="1" s="1"/>
  <c r="H670" i="1"/>
  <c r="F670" i="1"/>
  <c r="G670" i="1" s="1"/>
  <c r="AI669" i="1"/>
  <c r="AG669" i="1"/>
  <c r="Z669" i="1"/>
  <c r="X669" i="1"/>
  <c r="Q669" i="1"/>
  <c r="O669" i="1"/>
  <c r="P669" i="1" s="1"/>
  <c r="H669" i="1"/>
  <c r="F669" i="1"/>
  <c r="G669" i="1" s="1"/>
  <c r="AI668" i="1"/>
  <c r="B4" i="2" s="1"/>
  <c r="AG668" i="1"/>
  <c r="Z668" i="1"/>
  <c r="X668" i="1"/>
  <c r="Q668" i="1"/>
  <c r="O668" i="1"/>
  <c r="H668" i="1"/>
  <c r="F668" i="1"/>
  <c r="G668" i="1" s="1"/>
  <c r="AI667" i="1"/>
  <c r="AG667" i="1"/>
  <c r="AH667" i="1" s="1"/>
  <c r="Z667" i="1"/>
  <c r="X667" i="1"/>
  <c r="Q667" i="1"/>
  <c r="O667" i="1"/>
  <c r="H667" i="1"/>
  <c r="F667" i="1"/>
  <c r="G667" i="1" s="1"/>
  <c r="AI666" i="1"/>
  <c r="AG666" i="1"/>
  <c r="AH666" i="1" s="1"/>
  <c r="Z666" i="1"/>
  <c r="X666" i="1"/>
  <c r="Q666" i="1"/>
  <c r="O666" i="1"/>
  <c r="P666" i="1" s="1"/>
  <c r="H666" i="1"/>
  <c r="F666" i="1"/>
  <c r="G666" i="1" s="1"/>
  <c r="AI665" i="1"/>
  <c r="AG665" i="1"/>
  <c r="Z665" i="1"/>
  <c r="X665" i="1"/>
  <c r="Q665" i="1"/>
  <c r="O665" i="1"/>
  <c r="P665" i="1" s="1"/>
  <c r="H665" i="1"/>
  <c r="F665" i="1"/>
  <c r="G665" i="1" s="1"/>
  <c r="AI664" i="1"/>
  <c r="AG664" i="1"/>
  <c r="Z664" i="1"/>
  <c r="X664" i="1"/>
  <c r="Q664" i="1"/>
  <c r="O664" i="1"/>
  <c r="H664" i="1"/>
  <c r="F664" i="1"/>
  <c r="G664" i="1" s="1"/>
  <c r="AI663" i="1"/>
  <c r="AG663" i="1"/>
  <c r="AH663" i="1" s="1"/>
  <c r="Z663" i="1"/>
  <c r="X663" i="1"/>
  <c r="Q663" i="1"/>
  <c r="O663" i="1"/>
  <c r="H663" i="1"/>
  <c r="F663" i="1"/>
  <c r="AI662" i="1"/>
  <c r="AG662" i="1"/>
  <c r="AH662" i="1" s="1"/>
  <c r="Z662" i="1"/>
  <c r="X662" i="1"/>
  <c r="Q662" i="1"/>
  <c r="O662" i="1"/>
  <c r="R662" i="1" s="1"/>
  <c r="H662" i="1"/>
  <c r="F662" i="1"/>
  <c r="G662" i="1" s="1"/>
  <c r="AI661" i="1"/>
  <c r="AG661" i="1"/>
  <c r="Z661" i="1"/>
  <c r="X661" i="1"/>
  <c r="Q661" i="1"/>
  <c r="O661" i="1"/>
  <c r="P661" i="1" s="1"/>
  <c r="H661" i="1"/>
  <c r="F661" i="1"/>
  <c r="G661" i="1" s="1"/>
  <c r="AI660" i="1"/>
  <c r="AG660" i="1"/>
  <c r="Z660" i="1"/>
  <c r="X660" i="1"/>
  <c r="Q660" i="1"/>
  <c r="O660" i="1"/>
  <c r="H660" i="1"/>
  <c r="F660" i="1"/>
  <c r="G660" i="1" s="1"/>
  <c r="AI659" i="1"/>
  <c r="AG659" i="1"/>
  <c r="Z659" i="1"/>
  <c r="X659" i="1"/>
  <c r="Q659" i="1"/>
  <c r="O659" i="1"/>
  <c r="P659" i="1" s="1"/>
  <c r="H659" i="1"/>
  <c r="F659" i="1"/>
  <c r="G659" i="1" s="1"/>
  <c r="AI658" i="1"/>
  <c r="AG658" i="1"/>
  <c r="Z658" i="1"/>
  <c r="X658" i="1"/>
  <c r="R658" i="1"/>
  <c r="Q658" i="1"/>
  <c r="O658" i="1"/>
  <c r="P658" i="1" s="1"/>
  <c r="H658" i="1"/>
  <c r="F658" i="1"/>
  <c r="G658" i="1" s="1"/>
  <c r="AI657" i="1"/>
  <c r="AG657" i="1"/>
  <c r="Z657" i="1"/>
  <c r="X657" i="1"/>
  <c r="AA657" i="1" s="1"/>
  <c r="Q657" i="1"/>
  <c r="O657" i="1"/>
  <c r="R657" i="1" s="1"/>
  <c r="H657" i="1"/>
  <c r="F657" i="1"/>
  <c r="I657" i="1" s="1"/>
  <c r="AI656" i="1"/>
  <c r="AG656" i="1"/>
  <c r="AJ656" i="1" s="1"/>
  <c r="Z656" i="1"/>
  <c r="X656" i="1"/>
  <c r="AA656" i="1" s="1"/>
  <c r="Q656" i="1"/>
  <c r="O656" i="1"/>
  <c r="R656" i="1" s="1"/>
  <c r="H656" i="1"/>
  <c r="F656" i="1"/>
  <c r="I656" i="1" s="1"/>
  <c r="AI655" i="1"/>
  <c r="AG655" i="1"/>
  <c r="Z655" i="1"/>
  <c r="X655" i="1"/>
  <c r="AA655" i="1" s="1"/>
  <c r="Q655" i="1"/>
  <c r="O655" i="1"/>
  <c r="H655" i="1"/>
  <c r="F655" i="1"/>
  <c r="I655" i="1" s="1"/>
  <c r="AI654" i="1"/>
  <c r="AG654" i="1"/>
  <c r="AJ654" i="1" s="1"/>
  <c r="Z654" i="1"/>
  <c r="X654" i="1"/>
  <c r="AA654" i="1" s="1"/>
  <c r="Q654" i="1"/>
  <c r="O654" i="1"/>
  <c r="R654" i="1" s="1"/>
  <c r="H654" i="1"/>
  <c r="F654" i="1"/>
  <c r="I654" i="1" s="1"/>
  <c r="AI653" i="1"/>
  <c r="AG653" i="1"/>
  <c r="Z653" i="1"/>
  <c r="X653" i="1"/>
  <c r="AA653" i="1" s="1"/>
  <c r="H653" i="1"/>
  <c r="F653" i="1"/>
  <c r="I653" i="1" s="1"/>
  <c r="AI652" i="1"/>
  <c r="AG652" i="1"/>
  <c r="AJ652" i="1" s="1"/>
  <c r="Z652" i="1"/>
  <c r="X652" i="1"/>
  <c r="AA652" i="1" s="1"/>
  <c r="Q652" i="1"/>
  <c r="O652" i="1"/>
  <c r="R652" i="1" s="1"/>
  <c r="H652" i="1"/>
  <c r="F652" i="1"/>
  <c r="I652" i="1" s="1"/>
  <c r="AI651" i="1"/>
  <c r="AG651" i="1"/>
  <c r="AJ651" i="1" s="1"/>
  <c r="Z651" i="1"/>
  <c r="X651" i="1"/>
  <c r="Q651" i="1"/>
  <c r="O651" i="1"/>
  <c r="R651" i="1" s="1"/>
  <c r="AI650" i="1"/>
  <c r="AG650" i="1"/>
  <c r="Z650" i="1"/>
  <c r="X650" i="1"/>
  <c r="AA650" i="1" s="1"/>
  <c r="Q650" i="1"/>
  <c r="O650" i="1"/>
  <c r="R650" i="1" s="1"/>
  <c r="H650" i="1"/>
  <c r="F650" i="1"/>
  <c r="I650" i="1" s="1"/>
  <c r="AI649" i="1"/>
  <c r="AG649" i="1"/>
  <c r="Z649" i="1"/>
  <c r="X649" i="1"/>
  <c r="AA649" i="1" s="1"/>
  <c r="Q649" i="1"/>
  <c r="O649" i="1"/>
  <c r="H649" i="1"/>
  <c r="F649" i="1"/>
  <c r="AI648" i="1"/>
  <c r="AG648" i="1"/>
  <c r="Z648" i="1"/>
  <c r="X648" i="1"/>
  <c r="Q648" i="1"/>
  <c r="O648" i="1"/>
  <c r="R648" i="1" s="1"/>
  <c r="H648" i="1"/>
  <c r="F648" i="1"/>
  <c r="I648" i="1" s="1"/>
  <c r="AI647" i="1"/>
  <c r="AG647" i="1"/>
  <c r="Q647" i="1"/>
  <c r="O647" i="1"/>
  <c r="R647" i="1" s="1"/>
  <c r="H647" i="1"/>
  <c r="F647" i="1"/>
  <c r="AI646" i="1"/>
  <c r="AG646" i="1"/>
  <c r="Z646" i="1"/>
  <c r="X646" i="1"/>
  <c r="Q646" i="1"/>
  <c r="O646" i="1"/>
  <c r="R646" i="1" s="1"/>
  <c r="H646" i="1"/>
  <c r="F646" i="1"/>
  <c r="AI645" i="1"/>
  <c r="AG645" i="1"/>
  <c r="Z645" i="1"/>
  <c r="X645" i="1"/>
  <c r="Q645" i="1"/>
  <c r="O645" i="1"/>
  <c r="H645" i="1"/>
  <c r="F645" i="1"/>
  <c r="AI644" i="1"/>
  <c r="AG644" i="1"/>
  <c r="Z644" i="1"/>
  <c r="X644" i="1"/>
  <c r="H644" i="1"/>
  <c r="F644" i="1"/>
  <c r="AI643" i="1"/>
  <c r="AG643" i="1"/>
  <c r="AJ643" i="1" s="1"/>
  <c r="Z643" i="1"/>
  <c r="X643" i="1"/>
  <c r="AA643" i="1" s="1"/>
  <c r="Q643" i="1"/>
  <c r="O643" i="1"/>
  <c r="AI642" i="1"/>
  <c r="AG642" i="1"/>
  <c r="AJ642" i="1" s="1"/>
  <c r="Z642" i="1"/>
  <c r="X642" i="1"/>
  <c r="Q642" i="1"/>
  <c r="O642" i="1"/>
  <c r="R642" i="1" s="1"/>
  <c r="H642" i="1"/>
  <c r="F642" i="1"/>
  <c r="AI641" i="1"/>
  <c r="AG641" i="1"/>
  <c r="AJ641" i="1" s="1"/>
  <c r="Z641" i="1"/>
  <c r="X641" i="1"/>
  <c r="AA641" i="1" s="1"/>
  <c r="Q641" i="1"/>
  <c r="O641" i="1"/>
  <c r="H641" i="1"/>
  <c r="F641" i="1"/>
  <c r="AI640" i="1"/>
  <c r="AG640" i="1"/>
  <c r="AJ640" i="1" s="1"/>
  <c r="Z640" i="1"/>
  <c r="X640" i="1"/>
  <c r="Q640" i="1"/>
  <c r="O640" i="1"/>
  <c r="H640" i="1"/>
  <c r="F640" i="1"/>
  <c r="AI639" i="1"/>
  <c r="AG639" i="1"/>
  <c r="Z639" i="1"/>
  <c r="X639" i="1"/>
  <c r="AA639" i="1" s="1"/>
  <c r="Q639" i="1"/>
  <c r="O639" i="1"/>
  <c r="H639" i="1"/>
  <c r="F639" i="1"/>
  <c r="Z638" i="1"/>
  <c r="X638" i="1"/>
  <c r="AA638" i="1" s="1"/>
  <c r="Q638" i="1"/>
  <c r="O638" i="1"/>
  <c r="R638" i="1" s="1"/>
  <c r="H638" i="1"/>
  <c r="F638" i="1"/>
  <c r="AI637" i="1"/>
  <c r="AG637" i="1"/>
  <c r="Z637" i="1"/>
  <c r="X637" i="1"/>
  <c r="AA637" i="1" s="1"/>
  <c r="Q637" i="1"/>
  <c r="O637" i="1"/>
  <c r="R637" i="1" s="1"/>
  <c r="H637" i="1"/>
  <c r="F637" i="1"/>
  <c r="I637" i="1" s="1"/>
  <c r="AI636" i="1"/>
  <c r="AG636" i="1"/>
  <c r="Z636" i="1"/>
  <c r="X636" i="1"/>
  <c r="AA636" i="1" s="1"/>
  <c r="Q636" i="1"/>
  <c r="O636" i="1"/>
  <c r="R636" i="1" s="1"/>
  <c r="H636" i="1"/>
  <c r="F636" i="1"/>
  <c r="AI635" i="1"/>
  <c r="AG635" i="1"/>
  <c r="Z635" i="1"/>
  <c r="X635" i="1"/>
  <c r="AA635" i="1" s="1"/>
  <c r="Q635" i="1"/>
  <c r="O635" i="1"/>
  <c r="P635" i="1" s="1"/>
  <c r="H635" i="1"/>
  <c r="F635" i="1"/>
  <c r="AI634" i="1"/>
  <c r="AG634" i="1"/>
  <c r="AH634" i="1" s="1"/>
  <c r="Z634" i="1"/>
  <c r="X634" i="1"/>
  <c r="Q634" i="1"/>
  <c r="O634" i="1"/>
  <c r="P634" i="1" s="1"/>
  <c r="H634" i="1"/>
  <c r="F634" i="1"/>
  <c r="AI633" i="1"/>
  <c r="AG633" i="1"/>
  <c r="Z633" i="1"/>
  <c r="X633" i="1"/>
  <c r="Q633" i="1"/>
  <c r="O633" i="1"/>
  <c r="P633" i="1" s="1"/>
  <c r="H633" i="1"/>
  <c r="F633" i="1"/>
  <c r="AI632" i="1"/>
  <c r="AG632" i="1"/>
  <c r="Z632" i="1"/>
  <c r="X632" i="1"/>
  <c r="Y632" i="1" s="1"/>
  <c r="Q632" i="1"/>
  <c r="O632" i="1"/>
  <c r="P632" i="1" s="1"/>
  <c r="H632" i="1"/>
  <c r="F632" i="1"/>
  <c r="AI631" i="1"/>
  <c r="AG631" i="1"/>
  <c r="Z631" i="1"/>
  <c r="X631" i="1"/>
  <c r="Q631" i="1"/>
  <c r="O631" i="1"/>
  <c r="P631" i="1" s="1"/>
  <c r="H631" i="1"/>
  <c r="F631" i="1"/>
  <c r="AI630" i="1"/>
  <c r="AG630" i="1"/>
  <c r="AH630" i="1" s="1"/>
  <c r="Z630" i="1"/>
  <c r="X630" i="1"/>
  <c r="Y630" i="1" s="1"/>
  <c r="Q630" i="1"/>
  <c r="O630" i="1"/>
  <c r="P630" i="1" s="1"/>
  <c r="H630" i="1"/>
  <c r="F630" i="1"/>
  <c r="AI629" i="1"/>
  <c r="AG629" i="1"/>
  <c r="Z629" i="1"/>
  <c r="X629" i="1"/>
  <c r="Q629" i="1"/>
  <c r="O629" i="1"/>
  <c r="P629" i="1" s="1"/>
  <c r="H629" i="1"/>
  <c r="F629" i="1"/>
  <c r="AI628" i="1"/>
  <c r="AG628" i="1"/>
  <c r="AH628" i="1" s="1"/>
  <c r="Z628" i="1"/>
  <c r="X628" i="1"/>
  <c r="Y628" i="1" s="1"/>
  <c r="Q628" i="1"/>
  <c r="O628" i="1"/>
  <c r="P628" i="1" s="1"/>
  <c r="H628" i="1"/>
  <c r="F628" i="1"/>
  <c r="AI627" i="1"/>
  <c r="AG627" i="1"/>
  <c r="Z627" i="1"/>
  <c r="X627" i="1"/>
  <c r="Q627" i="1"/>
  <c r="O627" i="1"/>
  <c r="P627" i="1" s="1"/>
  <c r="H627" i="1"/>
  <c r="F627" i="1"/>
  <c r="AI626" i="1"/>
  <c r="AG626" i="1"/>
  <c r="AH626" i="1" s="1"/>
  <c r="Z626" i="1"/>
  <c r="X626" i="1"/>
  <c r="Q626" i="1"/>
  <c r="O626" i="1"/>
  <c r="P626" i="1" s="1"/>
  <c r="H626" i="1"/>
  <c r="F626" i="1"/>
  <c r="AI625" i="1"/>
  <c r="AG625" i="1"/>
  <c r="Z625" i="1"/>
  <c r="X625" i="1"/>
  <c r="Q625" i="1"/>
  <c r="O625" i="1"/>
  <c r="P625" i="1" s="1"/>
  <c r="I625" i="1"/>
  <c r="H625" i="1"/>
  <c r="B164" i="2" s="1"/>
  <c r="G625" i="1"/>
  <c r="AI624" i="1"/>
  <c r="AG624" i="1"/>
  <c r="Z624" i="1"/>
  <c r="X624" i="1"/>
  <c r="Y624" i="1" s="1"/>
  <c r="Q624" i="1"/>
  <c r="O624" i="1"/>
  <c r="P624" i="1" s="1"/>
  <c r="H624" i="1"/>
  <c r="F624" i="1"/>
  <c r="AI623" i="1"/>
  <c r="AG623" i="1"/>
  <c r="Z623" i="1"/>
  <c r="X623" i="1"/>
  <c r="Y623" i="1" s="1"/>
  <c r="Q623" i="1"/>
  <c r="O623" i="1"/>
  <c r="P623" i="1" s="1"/>
  <c r="H623" i="1"/>
  <c r="F623" i="1"/>
  <c r="AI622" i="1"/>
  <c r="AG622" i="1"/>
  <c r="Z622" i="1"/>
  <c r="X622" i="1"/>
  <c r="Y622" i="1" s="1"/>
  <c r="Q622" i="1"/>
  <c r="O622" i="1"/>
  <c r="P622" i="1" s="1"/>
  <c r="H622" i="1"/>
  <c r="F622" i="1"/>
  <c r="AI621" i="1"/>
  <c r="AG621" i="1"/>
  <c r="Z621" i="1"/>
  <c r="X621" i="1"/>
  <c r="Q621" i="1"/>
  <c r="O621" i="1"/>
  <c r="H621" i="1"/>
  <c r="B80" i="2" s="1"/>
  <c r="F621" i="1"/>
  <c r="AI620" i="1"/>
  <c r="AG620" i="1"/>
  <c r="Z620" i="1"/>
  <c r="X620" i="1"/>
  <c r="Y620" i="1" s="1"/>
  <c r="Q620" i="1"/>
  <c r="O620" i="1"/>
  <c r="P620" i="1" s="1"/>
  <c r="H620" i="1"/>
  <c r="F620" i="1"/>
  <c r="AI619" i="1"/>
  <c r="AG619" i="1"/>
  <c r="Z619" i="1"/>
  <c r="X619" i="1"/>
  <c r="Y619" i="1" s="1"/>
  <c r="Q619" i="1"/>
  <c r="O619" i="1"/>
  <c r="P619" i="1" s="1"/>
  <c r="H619" i="1"/>
  <c r="F619" i="1"/>
  <c r="AI618" i="1"/>
  <c r="AG618" i="1"/>
  <c r="Z618" i="1"/>
  <c r="X618" i="1"/>
  <c r="Y618" i="1" s="1"/>
  <c r="Q618" i="1"/>
  <c r="O618" i="1"/>
  <c r="P618" i="1" s="1"/>
  <c r="H618" i="1"/>
  <c r="F618" i="1"/>
  <c r="AI617" i="1"/>
  <c r="AG617" i="1"/>
  <c r="Z617" i="1"/>
  <c r="X617" i="1"/>
  <c r="Q617" i="1"/>
  <c r="O617" i="1"/>
  <c r="P617" i="1" s="1"/>
  <c r="H617" i="1"/>
  <c r="F617" i="1"/>
  <c r="AI616" i="1"/>
  <c r="AG616" i="1"/>
  <c r="Z616" i="1"/>
  <c r="X616" i="1"/>
  <c r="AA616" i="1" s="1"/>
  <c r="Q616" i="1"/>
  <c r="O616" i="1"/>
  <c r="H616" i="1"/>
  <c r="F616" i="1"/>
  <c r="AI615" i="1"/>
  <c r="AG615" i="1"/>
  <c r="Z615" i="1"/>
  <c r="X615" i="1"/>
  <c r="Q615" i="1"/>
  <c r="O615" i="1"/>
  <c r="H615" i="1"/>
  <c r="F615" i="1"/>
  <c r="AI614" i="1"/>
  <c r="AG614" i="1"/>
  <c r="Z614" i="1"/>
  <c r="X614" i="1"/>
  <c r="Q614" i="1"/>
  <c r="O614" i="1"/>
  <c r="H614" i="1"/>
  <c r="F614" i="1"/>
  <c r="AI613" i="1"/>
  <c r="AG613" i="1"/>
  <c r="Z613" i="1"/>
  <c r="X613" i="1"/>
  <c r="Q613" i="1"/>
  <c r="O613" i="1"/>
  <c r="H613" i="1"/>
  <c r="F613" i="1"/>
  <c r="AI612" i="1"/>
  <c r="AG612" i="1"/>
  <c r="Z612" i="1"/>
  <c r="X612" i="1"/>
  <c r="Q612" i="1"/>
  <c r="O612" i="1"/>
  <c r="H612" i="1"/>
  <c r="F612" i="1"/>
  <c r="AI611" i="1"/>
  <c r="AG611" i="1"/>
  <c r="Z611" i="1"/>
  <c r="X611" i="1"/>
  <c r="Q611" i="1"/>
  <c r="O611" i="1"/>
  <c r="H611" i="1"/>
  <c r="F611" i="1"/>
  <c r="Z610" i="1"/>
  <c r="X610" i="1"/>
  <c r="Q610" i="1"/>
  <c r="O610" i="1"/>
  <c r="H610" i="1"/>
  <c r="F610" i="1"/>
  <c r="AI609" i="1"/>
  <c r="AG609" i="1"/>
  <c r="Z609" i="1"/>
  <c r="X609" i="1"/>
  <c r="Q609" i="1"/>
  <c r="O609" i="1"/>
  <c r="R609" i="1" s="1"/>
  <c r="H609" i="1"/>
  <c r="F609" i="1"/>
  <c r="I609" i="1" s="1"/>
  <c r="AI608" i="1"/>
  <c r="AG608" i="1"/>
  <c r="AJ608" i="1" s="1"/>
  <c r="Z608" i="1"/>
  <c r="X608" i="1"/>
  <c r="Q608" i="1"/>
  <c r="O608" i="1"/>
  <c r="H608" i="1"/>
  <c r="F608" i="1"/>
  <c r="I608" i="1" s="1"/>
  <c r="AI607" i="1"/>
  <c r="AG607" i="1"/>
  <c r="AJ607" i="1" s="1"/>
  <c r="Q607" i="1"/>
  <c r="O607" i="1"/>
  <c r="R607" i="1" s="1"/>
  <c r="H607" i="1"/>
  <c r="F607" i="1"/>
  <c r="AI606" i="1"/>
  <c r="AG606" i="1"/>
  <c r="AJ606" i="1" s="1"/>
  <c r="Z606" i="1"/>
  <c r="X606" i="1"/>
  <c r="AA606" i="1" s="1"/>
  <c r="Q606" i="1"/>
  <c r="O606" i="1"/>
  <c r="R606" i="1" s="1"/>
  <c r="H606" i="1"/>
  <c r="F606" i="1"/>
  <c r="AI605" i="1"/>
  <c r="AG605" i="1"/>
  <c r="AJ605" i="1" s="1"/>
  <c r="Z605" i="1"/>
  <c r="X605" i="1"/>
  <c r="AA605" i="1" s="1"/>
  <c r="Q605" i="1"/>
  <c r="O605" i="1"/>
  <c r="R605" i="1" s="1"/>
  <c r="H605" i="1"/>
  <c r="F605" i="1"/>
  <c r="AI604" i="1"/>
  <c r="AG604" i="1"/>
  <c r="AJ604" i="1" s="1"/>
  <c r="Z604" i="1"/>
  <c r="X604" i="1"/>
  <c r="AA604" i="1" s="1"/>
  <c r="Q604" i="1"/>
  <c r="O604" i="1"/>
  <c r="H604" i="1"/>
  <c r="F604" i="1"/>
  <c r="AI603" i="1"/>
  <c r="AG603" i="1"/>
  <c r="AJ603" i="1" s="1"/>
  <c r="Z603" i="1"/>
  <c r="X603" i="1"/>
  <c r="AA603" i="1" s="1"/>
  <c r="Q603" i="1"/>
  <c r="O603" i="1"/>
  <c r="H603" i="1"/>
  <c r="B177" i="2" s="1"/>
  <c r="F603" i="1"/>
  <c r="AI602" i="1"/>
  <c r="AG602" i="1"/>
  <c r="AJ602" i="1" s="1"/>
  <c r="Z602" i="1"/>
  <c r="X602" i="1"/>
  <c r="AA602" i="1" s="1"/>
  <c r="Q602" i="1"/>
  <c r="O602" i="1"/>
  <c r="R602" i="1" s="1"/>
  <c r="H602" i="1"/>
  <c r="F602" i="1"/>
  <c r="AI601" i="1"/>
  <c r="AG601" i="1"/>
  <c r="AJ601" i="1" s="1"/>
  <c r="Z601" i="1"/>
  <c r="X601" i="1"/>
  <c r="AA601" i="1" s="1"/>
  <c r="Q601" i="1"/>
  <c r="O601" i="1"/>
  <c r="H601" i="1"/>
  <c r="F601" i="1"/>
  <c r="AI600" i="1"/>
  <c r="AG600" i="1"/>
  <c r="AJ600" i="1" s="1"/>
  <c r="Z600" i="1"/>
  <c r="X600" i="1"/>
  <c r="AA600" i="1" s="1"/>
  <c r="Q600" i="1"/>
  <c r="O600" i="1"/>
  <c r="H600" i="1"/>
  <c r="F600" i="1"/>
  <c r="AI599" i="1"/>
  <c r="AG599" i="1"/>
  <c r="AJ599" i="1" s="1"/>
  <c r="Z599" i="1"/>
  <c r="X599" i="1"/>
  <c r="AA599" i="1" s="1"/>
  <c r="Q599" i="1"/>
  <c r="O599" i="1"/>
  <c r="R599" i="1" s="1"/>
  <c r="H599" i="1"/>
  <c r="F599" i="1"/>
  <c r="AI598" i="1"/>
  <c r="AG598" i="1"/>
  <c r="AJ598" i="1" s="1"/>
  <c r="Z598" i="1"/>
  <c r="X598" i="1"/>
  <c r="AA598" i="1" s="1"/>
  <c r="H598" i="1"/>
  <c r="F598" i="1"/>
  <c r="I598" i="1" s="1"/>
  <c r="AI597" i="1"/>
  <c r="AG597" i="1"/>
  <c r="Z597" i="1"/>
  <c r="X597" i="1"/>
  <c r="AA597" i="1" s="1"/>
  <c r="Q597" i="1"/>
  <c r="O597" i="1"/>
  <c r="R597" i="1" s="1"/>
  <c r="H597" i="1"/>
  <c r="F597" i="1"/>
  <c r="I597" i="1" s="1"/>
  <c r="AI596" i="1"/>
  <c r="AG596" i="1"/>
  <c r="Z596" i="1"/>
  <c r="X596" i="1"/>
  <c r="AA596" i="1" s="1"/>
  <c r="Q596" i="1"/>
  <c r="O596" i="1"/>
  <c r="R596" i="1" s="1"/>
  <c r="H596" i="1"/>
  <c r="F596" i="1"/>
  <c r="AI595" i="1"/>
  <c r="AG595" i="1"/>
  <c r="Z595" i="1"/>
  <c r="X595" i="1"/>
  <c r="AA595" i="1" s="1"/>
  <c r="Q595" i="1"/>
  <c r="O595" i="1"/>
  <c r="R595" i="1" s="1"/>
  <c r="H595" i="1"/>
  <c r="F595" i="1"/>
  <c r="I595" i="1" s="1"/>
  <c r="AI594" i="1"/>
  <c r="AG594" i="1"/>
  <c r="Z594" i="1"/>
  <c r="X594" i="1"/>
  <c r="AA594" i="1" s="1"/>
  <c r="Q594" i="1"/>
  <c r="O594" i="1"/>
  <c r="R594" i="1" s="1"/>
  <c r="H594" i="1"/>
  <c r="F594" i="1"/>
  <c r="AI593" i="1"/>
  <c r="AG593" i="1"/>
  <c r="Z593" i="1"/>
  <c r="X593" i="1"/>
  <c r="AA593" i="1" s="1"/>
  <c r="Q593" i="1"/>
  <c r="O593" i="1"/>
  <c r="R593" i="1" s="1"/>
  <c r="H593" i="1"/>
  <c r="F593" i="1"/>
  <c r="Z592" i="1"/>
  <c r="X592" i="1"/>
  <c r="Q592" i="1"/>
  <c r="O592" i="1"/>
  <c r="R592" i="1" s="1"/>
  <c r="H592" i="1"/>
  <c r="F592" i="1"/>
  <c r="I592" i="1" s="1"/>
  <c r="AI591" i="1"/>
  <c r="AG591" i="1"/>
  <c r="Z591" i="1"/>
  <c r="X591" i="1"/>
  <c r="Q591" i="1"/>
  <c r="O591" i="1"/>
  <c r="R591" i="1" s="1"/>
  <c r="H591" i="1"/>
  <c r="F591" i="1"/>
  <c r="I591" i="1" s="1"/>
  <c r="AI590" i="1"/>
  <c r="AG590" i="1"/>
  <c r="AJ590" i="1" s="1"/>
  <c r="Z590" i="1"/>
  <c r="X590" i="1"/>
  <c r="Q590" i="1"/>
  <c r="O590" i="1"/>
  <c r="R590" i="1" s="1"/>
  <c r="H590" i="1"/>
  <c r="F590" i="1"/>
  <c r="AI589" i="1"/>
  <c r="AG589" i="1"/>
  <c r="AH589" i="1" s="1"/>
  <c r="Z589" i="1"/>
  <c r="X589" i="1"/>
  <c r="Q589" i="1"/>
  <c r="O589" i="1"/>
  <c r="H589" i="1"/>
  <c r="F589" i="1"/>
  <c r="AI588" i="1"/>
  <c r="AG588" i="1"/>
  <c r="AH588" i="1" s="1"/>
  <c r="Z588" i="1"/>
  <c r="X588" i="1"/>
  <c r="Y588" i="1" s="1"/>
  <c r="Q588" i="1"/>
  <c r="O588" i="1"/>
  <c r="H588" i="1"/>
  <c r="F588" i="1"/>
  <c r="AI587" i="1"/>
  <c r="AG587" i="1"/>
  <c r="AH587" i="1" s="1"/>
  <c r="Z587" i="1"/>
  <c r="X587" i="1"/>
  <c r="Q587" i="1"/>
  <c r="O587" i="1"/>
  <c r="H587" i="1"/>
  <c r="F587" i="1"/>
  <c r="AI586" i="1"/>
  <c r="AG586" i="1"/>
  <c r="AH586" i="1" s="1"/>
  <c r="Z586" i="1"/>
  <c r="X586" i="1"/>
  <c r="Y586" i="1" s="1"/>
  <c r="Q586" i="1"/>
  <c r="O586" i="1"/>
  <c r="H586" i="1"/>
  <c r="F586" i="1"/>
  <c r="AI585" i="1"/>
  <c r="AG585" i="1"/>
  <c r="AH585" i="1" s="1"/>
  <c r="Z585" i="1"/>
  <c r="X585" i="1"/>
  <c r="Q585" i="1"/>
  <c r="O585" i="1"/>
  <c r="H585" i="1"/>
  <c r="F585" i="1"/>
  <c r="I585" i="1" s="1"/>
  <c r="AI584" i="1"/>
  <c r="AG584" i="1"/>
  <c r="Z584" i="1"/>
  <c r="X584" i="1"/>
  <c r="Y584" i="1" s="1"/>
  <c r="Q584" i="1"/>
  <c r="O584" i="1"/>
  <c r="P584" i="1" s="1"/>
  <c r="H584" i="1"/>
  <c r="F584" i="1"/>
  <c r="G584" i="1" s="1"/>
  <c r="AI583" i="1"/>
  <c r="AG583" i="1"/>
  <c r="Z583" i="1"/>
  <c r="X583" i="1"/>
  <c r="Y583" i="1" s="1"/>
  <c r="Q583" i="1"/>
  <c r="O583" i="1"/>
  <c r="H583" i="1"/>
  <c r="F583" i="1"/>
  <c r="AI582" i="1"/>
  <c r="AG582" i="1"/>
  <c r="Z582" i="1"/>
  <c r="X582" i="1"/>
  <c r="Y582" i="1" s="1"/>
  <c r="Q582" i="1"/>
  <c r="O582" i="1"/>
  <c r="P582" i="1" s="1"/>
  <c r="H582" i="1"/>
  <c r="F582" i="1"/>
  <c r="G582" i="1" s="1"/>
  <c r="AI581" i="1"/>
  <c r="AG581" i="1"/>
  <c r="Z581" i="1"/>
  <c r="X581" i="1"/>
  <c r="Y581" i="1" s="1"/>
  <c r="Q581" i="1"/>
  <c r="O581" i="1"/>
  <c r="H581" i="1"/>
  <c r="F581" i="1"/>
  <c r="AI580" i="1"/>
  <c r="AG580" i="1"/>
  <c r="Z580" i="1"/>
  <c r="X580" i="1"/>
  <c r="Y580" i="1" s="1"/>
  <c r="Q580" i="1"/>
  <c r="O580" i="1"/>
  <c r="P580" i="1" s="1"/>
  <c r="H580" i="1"/>
  <c r="F580" i="1"/>
  <c r="AI579" i="1"/>
  <c r="AG579" i="1"/>
  <c r="Z579" i="1"/>
  <c r="X579" i="1"/>
  <c r="Y579" i="1" s="1"/>
  <c r="Q579" i="1"/>
  <c r="O579" i="1"/>
  <c r="H579" i="1"/>
  <c r="F579" i="1"/>
  <c r="AI578" i="1"/>
  <c r="AG578" i="1"/>
  <c r="Z578" i="1"/>
  <c r="X578" i="1"/>
  <c r="Y578" i="1" s="1"/>
  <c r="Q578" i="1"/>
  <c r="O578" i="1"/>
  <c r="P578" i="1" s="1"/>
  <c r="H578" i="1"/>
  <c r="F578" i="1"/>
  <c r="AI577" i="1"/>
  <c r="AG577" i="1"/>
  <c r="Z577" i="1"/>
  <c r="X577" i="1"/>
  <c r="Y577" i="1" s="1"/>
  <c r="Q577" i="1"/>
  <c r="O577" i="1"/>
  <c r="H577" i="1"/>
  <c r="F577" i="1"/>
  <c r="AI576" i="1"/>
  <c r="AG576" i="1"/>
  <c r="Z576" i="1"/>
  <c r="X576" i="1"/>
  <c r="Y576" i="1" s="1"/>
  <c r="Q576" i="1"/>
  <c r="O576" i="1"/>
  <c r="P576" i="1" s="1"/>
  <c r="H576" i="1"/>
  <c r="F576" i="1"/>
  <c r="AI575" i="1"/>
  <c r="AG575" i="1"/>
  <c r="Z575" i="1"/>
  <c r="X575" i="1"/>
  <c r="Y575" i="1" s="1"/>
  <c r="Q575" i="1"/>
  <c r="O575" i="1"/>
  <c r="H575" i="1"/>
  <c r="F575" i="1"/>
  <c r="AI574" i="1"/>
  <c r="AG574" i="1"/>
  <c r="Z574" i="1"/>
  <c r="X574" i="1"/>
  <c r="Y574" i="1" s="1"/>
  <c r="Q574" i="1"/>
  <c r="O574" i="1"/>
  <c r="P574" i="1" s="1"/>
  <c r="AI573" i="1"/>
  <c r="AG573" i="1"/>
  <c r="Z573" i="1"/>
  <c r="X573" i="1"/>
  <c r="Q573" i="1"/>
  <c r="O573" i="1"/>
  <c r="P573" i="1" s="1"/>
  <c r="H573" i="1"/>
  <c r="F573" i="1"/>
  <c r="AI572" i="1"/>
  <c r="AG572" i="1"/>
  <c r="AH572" i="1" s="1"/>
  <c r="Z572" i="1"/>
  <c r="X572" i="1"/>
  <c r="Q572" i="1"/>
  <c r="O572" i="1"/>
  <c r="R572" i="1" s="1"/>
  <c r="H572" i="1"/>
  <c r="F572" i="1"/>
  <c r="G572" i="1" s="1"/>
  <c r="AI571" i="1"/>
  <c r="AG571" i="1"/>
  <c r="Z571" i="1"/>
  <c r="X571" i="1"/>
  <c r="Q571" i="1"/>
  <c r="O571" i="1"/>
  <c r="P571" i="1" s="1"/>
  <c r="H571" i="1"/>
  <c r="F571" i="1"/>
  <c r="G571" i="1" s="1"/>
  <c r="Z570" i="1"/>
  <c r="X570" i="1"/>
  <c r="Q570" i="1"/>
  <c r="O570" i="1"/>
  <c r="P570" i="1" s="1"/>
  <c r="H570" i="1"/>
  <c r="F570" i="1"/>
  <c r="AI569" i="1"/>
  <c r="AG569" i="1"/>
  <c r="Z569" i="1"/>
  <c r="X569" i="1"/>
  <c r="Q569" i="1"/>
  <c r="O569" i="1"/>
  <c r="P569" i="1" s="1"/>
  <c r="H569" i="1"/>
  <c r="F569" i="1"/>
  <c r="G569" i="1" s="1"/>
  <c r="AI568" i="1"/>
  <c r="AG568" i="1"/>
  <c r="AH568" i="1" s="1"/>
  <c r="R568" i="1"/>
  <c r="Q568" i="1"/>
  <c r="P568" i="1"/>
  <c r="H568" i="1"/>
  <c r="F568" i="1"/>
  <c r="AI567" i="1"/>
  <c r="AG567" i="1"/>
  <c r="Z567" i="1"/>
  <c r="X567" i="1"/>
  <c r="AA567" i="1" s="1"/>
  <c r="Q567" i="1"/>
  <c r="O567" i="1"/>
  <c r="R567" i="1" s="1"/>
  <c r="H567" i="1"/>
  <c r="F567" i="1"/>
  <c r="AI566" i="1"/>
  <c r="AG566" i="1"/>
  <c r="Z566" i="1"/>
  <c r="X566" i="1"/>
  <c r="AA566" i="1" s="1"/>
  <c r="Q566" i="1"/>
  <c r="O566" i="1"/>
  <c r="R566" i="1" s="1"/>
  <c r="H566" i="1"/>
  <c r="F566" i="1"/>
  <c r="AI565" i="1"/>
  <c r="AG565" i="1"/>
  <c r="AJ565" i="1" s="1"/>
  <c r="Z565" i="1"/>
  <c r="X565" i="1"/>
  <c r="AA565" i="1" s="1"/>
  <c r="Q565" i="1"/>
  <c r="O565" i="1"/>
  <c r="P565" i="1" s="1"/>
  <c r="H565" i="1"/>
  <c r="F565" i="1"/>
  <c r="AI564" i="1"/>
  <c r="AG564" i="1"/>
  <c r="AH564" i="1" s="1"/>
  <c r="Z564" i="1"/>
  <c r="X564" i="1"/>
  <c r="Q564" i="1"/>
  <c r="O564" i="1"/>
  <c r="P564" i="1" s="1"/>
  <c r="H564" i="1"/>
  <c r="F564" i="1"/>
  <c r="AI563" i="1"/>
  <c r="AG563" i="1"/>
  <c r="Z563" i="1"/>
  <c r="X563" i="1"/>
  <c r="Q563" i="1"/>
  <c r="O563" i="1"/>
  <c r="P563" i="1" s="1"/>
  <c r="H563" i="1"/>
  <c r="F563" i="1"/>
  <c r="AI562" i="1"/>
  <c r="AG562" i="1"/>
  <c r="Z562" i="1"/>
  <c r="X562" i="1"/>
  <c r="Q562" i="1"/>
  <c r="O562" i="1"/>
  <c r="P562" i="1" s="1"/>
  <c r="H562" i="1"/>
  <c r="F562" i="1"/>
  <c r="G562" i="1" s="1"/>
  <c r="AI561" i="1"/>
  <c r="AG561" i="1"/>
  <c r="Z561" i="1"/>
  <c r="X561" i="1"/>
  <c r="Q561" i="1"/>
  <c r="O561" i="1"/>
  <c r="P561" i="1" s="1"/>
  <c r="H561" i="1"/>
  <c r="F561" i="1"/>
  <c r="AI560" i="1"/>
  <c r="AG560" i="1"/>
  <c r="H560" i="1"/>
  <c r="F560" i="1"/>
  <c r="AI559" i="1"/>
  <c r="AG559" i="1"/>
  <c r="AH559" i="1" s="1"/>
  <c r="Z559" i="1"/>
  <c r="X559" i="1"/>
  <c r="Y559" i="1" s="1"/>
  <c r="Q559" i="1"/>
  <c r="O559" i="1"/>
  <c r="P559" i="1" s="1"/>
  <c r="H559" i="1"/>
  <c r="B19" i="2" s="1"/>
  <c r="F559" i="1"/>
  <c r="AI558" i="1"/>
  <c r="AG558" i="1"/>
  <c r="AH558" i="1" s="1"/>
  <c r="Z558" i="1"/>
  <c r="X558" i="1"/>
  <c r="Q558" i="1"/>
  <c r="O558" i="1"/>
  <c r="P558" i="1" s="1"/>
  <c r="H558" i="1"/>
  <c r="F558" i="1"/>
  <c r="AI557" i="1"/>
  <c r="AG557" i="1"/>
  <c r="AH557" i="1" s="1"/>
  <c r="Z557" i="1"/>
  <c r="X557" i="1"/>
  <c r="Q557" i="1"/>
  <c r="O557" i="1"/>
  <c r="H557" i="1"/>
  <c r="F557" i="1"/>
  <c r="AI556" i="1"/>
  <c r="AG556" i="1"/>
  <c r="AH556" i="1" s="1"/>
  <c r="Z556" i="1"/>
  <c r="X556" i="1"/>
  <c r="Q556" i="1"/>
  <c r="O556" i="1"/>
  <c r="H556" i="1"/>
  <c r="F556" i="1"/>
  <c r="AI555" i="1"/>
  <c r="AG555" i="1"/>
  <c r="AH555" i="1" s="1"/>
  <c r="Z555" i="1"/>
  <c r="X555" i="1"/>
  <c r="Y555" i="1" s="1"/>
  <c r="Q555" i="1"/>
  <c r="O555" i="1"/>
  <c r="H555" i="1"/>
  <c r="F555" i="1"/>
  <c r="AI554" i="1"/>
  <c r="AG554" i="1"/>
  <c r="AH554" i="1" s="1"/>
  <c r="Z554" i="1"/>
  <c r="X554" i="1"/>
  <c r="Q554" i="1"/>
  <c r="O554" i="1"/>
  <c r="H554" i="1"/>
  <c r="F554" i="1"/>
  <c r="AI553" i="1"/>
  <c r="AG553" i="1"/>
  <c r="AH553" i="1" s="1"/>
  <c r="Z553" i="1"/>
  <c r="X553" i="1"/>
  <c r="R553" i="1"/>
  <c r="Q553" i="1"/>
  <c r="P553" i="1"/>
  <c r="H553" i="1"/>
  <c r="F553" i="1"/>
  <c r="I553" i="1" s="1"/>
  <c r="AI552" i="1"/>
  <c r="AG552" i="1"/>
  <c r="AJ552" i="1" s="1"/>
  <c r="Z552" i="1"/>
  <c r="X552" i="1"/>
  <c r="Q552" i="1"/>
  <c r="O552" i="1"/>
  <c r="H552" i="1"/>
  <c r="F552" i="1"/>
  <c r="AI551" i="1"/>
  <c r="AG551" i="1"/>
  <c r="AJ551" i="1" s="1"/>
  <c r="Z551" i="1"/>
  <c r="X551" i="1"/>
  <c r="Q551" i="1"/>
  <c r="O551" i="1"/>
  <c r="R551" i="1" s="1"/>
  <c r="H551" i="1"/>
  <c r="F551" i="1"/>
  <c r="AI550" i="1"/>
  <c r="AG550" i="1"/>
  <c r="AJ550" i="1" s="1"/>
  <c r="Z550" i="1"/>
  <c r="X550" i="1"/>
  <c r="Q550" i="1"/>
  <c r="O550" i="1"/>
  <c r="R550" i="1" s="1"/>
  <c r="H550" i="1"/>
  <c r="F550" i="1"/>
  <c r="I550" i="1" s="1"/>
  <c r="AI549" i="1"/>
  <c r="AG549" i="1"/>
  <c r="Z549" i="1"/>
  <c r="X549" i="1"/>
  <c r="Q549" i="1"/>
  <c r="O549" i="1"/>
  <c r="H549" i="1"/>
  <c r="F549" i="1"/>
  <c r="I549" i="1" s="1"/>
  <c r="AI548" i="1"/>
  <c r="AG548" i="1"/>
  <c r="AJ548" i="1" s="1"/>
  <c r="Z548" i="1"/>
  <c r="X548" i="1"/>
  <c r="Q548" i="1"/>
  <c r="O548" i="1"/>
  <c r="R548" i="1" s="1"/>
  <c r="H548" i="1"/>
  <c r="F548" i="1"/>
  <c r="I548" i="1" s="1"/>
  <c r="AI547" i="1"/>
  <c r="AG547" i="1"/>
  <c r="AJ547" i="1" s="1"/>
  <c r="Z547" i="1"/>
  <c r="X547" i="1"/>
  <c r="Q547" i="1"/>
  <c r="O547" i="1"/>
  <c r="H547" i="1"/>
  <c r="F547" i="1"/>
  <c r="AI546" i="1"/>
  <c r="AG546" i="1"/>
  <c r="AJ546" i="1" s="1"/>
  <c r="Z546" i="1"/>
  <c r="X546" i="1"/>
  <c r="Q546" i="1"/>
  <c r="O546" i="1"/>
  <c r="H546" i="1"/>
  <c r="F546" i="1"/>
  <c r="AI545" i="1"/>
  <c r="AG545" i="1"/>
  <c r="Z545" i="1"/>
  <c r="X545" i="1"/>
  <c r="Q545" i="1"/>
  <c r="O545" i="1"/>
  <c r="R545" i="1" s="1"/>
  <c r="H545" i="1"/>
  <c r="F545" i="1"/>
  <c r="AI544" i="1"/>
  <c r="AG544" i="1"/>
  <c r="AJ544" i="1" s="1"/>
  <c r="Z544" i="1"/>
  <c r="X544" i="1"/>
  <c r="Q544" i="1"/>
  <c r="O544" i="1"/>
  <c r="R544" i="1" s="1"/>
  <c r="H544" i="1"/>
  <c r="F544" i="1"/>
  <c r="I544" i="1" s="1"/>
  <c r="AI543" i="1"/>
  <c r="AG543" i="1"/>
  <c r="AJ543" i="1" s="1"/>
  <c r="Z543" i="1"/>
  <c r="X543" i="1"/>
  <c r="Q543" i="1"/>
  <c r="O543" i="1"/>
  <c r="R543" i="1" s="1"/>
  <c r="H543" i="1"/>
  <c r="F543" i="1"/>
  <c r="I543" i="1" s="1"/>
  <c r="Z542" i="1"/>
  <c r="X542" i="1"/>
  <c r="AA542" i="1" s="1"/>
  <c r="Q542" i="1"/>
  <c r="O542" i="1"/>
  <c r="R542" i="1" s="1"/>
  <c r="H542" i="1"/>
  <c r="F542" i="1"/>
  <c r="I542" i="1" s="1"/>
  <c r="AI541" i="1"/>
  <c r="B6" i="2" s="1"/>
  <c r="AG541" i="1"/>
  <c r="AJ541" i="1" s="1"/>
  <c r="Z541" i="1"/>
  <c r="X541" i="1"/>
  <c r="AA541" i="1" s="1"/>
  <c r="Q541" i="1"/>
  <c r="O541" i="1"/>
  <c r="R541" i="1" s="1"/>
  <c r="H541" i="1"/>
  <c r="F541" i="1"/>
  <c r="I541" i="1" s="1"/>
  <c r="AI540" i="1"/>
  <c r="AG540" i="1"/>
  <c r="AJ540" i="1" s="1"/>
  <c r="Z540" i="1"/>
  <c r="X540" i="1"/>
  <c r="AA540" i="1" s="1"/>
  <c r="Q540" i="1"/>
  <c r="O540" i="1"/>
  <c r="R540" i="1" s="1"/>
  <c r="H540" i="1"/>
  <c r="F540" i="1"/>
  <c r="I540" i="1" s="1"/>
  <c r="AI539" i="1"/>
  <c r="AG539" i="1"/>
  <c r="AJ539" i="1" s="1"/>
  <c r="Z539" i="1"/>
  <c r="X539" i="1"/>
  <c r="AA539" i="1" s="1"/>
  <c r="Q539" i="1"/>
  <c r="O539" i="1"/>
  <c r="R539" i="1" s="1"/>
  <c r="H539" i="1"/>
  <c r="F539" i="1"/>
  <c r="I539" i="1" s="1"/>
  <c r="AI538" i="1"/>
  <c r="AG538" i="1"/>
  <c r="AJ538" i="1" s="1"/>
  <c r="Z538" i="1"/>
  <c r="X538" i="1"/>
  <c r="AA538" i="1" s="1"/>
  <c r="Q538" i="1"/>
  <c r="O538" i="1"/>
  <c r="P538" i="1" s="1"/>
  <c r="H538" i="1"/>
  <c r="F538" i="1"/>
  <c r="G538" i="1" s="1"/>
  <c r="AI537" i="1"/>
  <c r="AG537" i="1"/>
  <c r="AH537" i="1" s="1"/>
  <c r="Z537" i="1"/>
  <c r="X537" i="1"/>
  <c r="Y537" i="1" s="1"/>
  <c r="Q537" i="1"/>
  <c r="B94" i="2" s="1"/>
  <c r="O537" i="1"/>
  <c r="P537" i="1" s="1"/>
  <c r="H537" i="1"/>
  <c r="F537" i="1"/>
  <c r="G537" i="1" s="1"/>
  <c r="AI536" i="1"/>
  <c r="AG536" i="1"/>
  <c r="AH536" i="1" s="1"/>
  <c r="Z536" i="1"/>
  <c r="X536" i="1"/>
  <c r="Y536" i="1" s="1"/>
  <c r="Q536" i="1"/>
  <c r="O536" i="1"/>
  <c r="P536" i="1" s="1"/>
  <c r="H536" i="1"/>
  <c r="F536" i="1"/>
  <c r="G536" i="1" s="1"/>
  <c r="AI535" i="1"/>
  <c r="AG535" i="1"/>
  <c r="AH535" i="1" s="1"/>
  <c r="Z535" i="1"/>
  <c r="X535" i="1"/>
  <c r="Y535" i="1" s="1"/>
  <c r="Q535" i="1"/>
  <c r="O535" i="1"/>
  <c r="P535" i="1" s="1"/>
  <c r="H535" i="1"/>
  <c r="F535" i="1"/>
  <c r="G535" i="1" s="1"/>
  <c r="AI534" i="1"/>
  <c r="AG534" i="1"/>
  <c r="AH534" i="1" s="1"/>
  <c r="Z534" i="1"/>
  <c r="X534" i="1"/>
  <c r="Y534" i="1" s="1"/>
  <c r="Q534" i="1"/>
  <c r="O534" i="1"/>
  <c r="P534" i="1" s="1"/>
  <c r="H534" i="1"/>
  <c r="F534" i="1"/>
  <c r="G534" i="1" s="1"/>
  <c r="AI533" i="1"/>
  <c r="AG533" i="1"/>
  <c r="AH533" i="1" s="1"/>
  <c r="Z533" i="1"/>
  <c r="X533" i="1"/>
  <c r="Y533" i="1" s="1"/>
  <c r="Q533" i="1"/>
  <c r="O533" i="1"/>
  <c r="P533" i="1" s="1"/>
  <c r="H533" i="1"/>
  <c r="F533" i="1"/>
  <c r="G533" i="1" s="1"/>
  <c r="AI532" i="1"/>
  <c r="AG532" i="1"/>
  <c r="AH532" i="1" s="1"/>
  <c r="Z532" i="1"/>
  <c r="X532" i="1"/>
  <c r="Y532" i="1" s="1"/>
  <c r="Q532" i="1"/>
  <c r="O532" i="1"/>
  <c r="P532" i="1" s="1"/>
  <c r="H532" i="1"/>
  <c r="F532" i="1"/>
  <c r="G532" i="1" s="1"/>
  <c r="AI531" i="1"/>
  <c r="AG531" i="1"/>
  <c r="AH531" i="1" s="1"/>
  <c r="Z531" i="1"/>
  <c r="X531" i="1"/>
  <c r="Y531" i="1" s="1"/>
  <c r="Q531" i="1"/>
  <c r="O531" i="1"/>
  <c r="P531" i="1" s="1"/>
  <c r="H531" i="1"/>
  <c r="F531" i="1"/>
  <c r="G531" i="1" s="1"/>
  <c r="AI530" i="1"/>
  <c r="AG530" i="1"/>
  <c r="AH530" i="1" s="1"/>
  <c r="Z530" i="1"/>
  <c r="X530" i="1"/>
  <c r="Y530" i="1" s="1"/>
  <c r="Q530" i="1"/>
  <c r="O530" i="1"/>
  <c r="P530" i="1" s="1"/>
  <c r="H530" i="1"/>
  <c r="F530" i="1"/>
  <c r="I530" i="1" s="1"/>
  <c r="AI529" i="1"/>
  <c r="AG529" i="1"/>
  <c r="AJ529" i="1" s="1"/>
  <c r="Z529" i="1"/>
  <c r="X529" i="1"/>
  <c r="AA529" i="1" s="1"/>
  <c r="Q529" i="1"/>
  <c r="O529" i="1"/>
  <c r="R529" i="1" s="1"/>
  <c r="H529" i="1"/>
  <c r="F529" i="1"/>
  <c r="I529" i="1" s="1"/>
  <c r="AI528" i="1"/>
  <c r="AG528" i="1"/>
  <c r="AJ528" i="1" s="1"/>
  <c r="Z528" i="1"/>
  <c r="X528" i="1"/>
  <c r="Q528" i="1"/>
  <c r="O528" i="1"/>
  <c r="H528" i="1"/>
  <c r="F528" i="1"/>
  <c r="I528" i="1" s="1"/>
  <c r="AI527" i="1"/>
  <c r="AG527" i="1"/>
  <c r="AJ527" i="1" s="1"/>
  <c r="Z527" i="1"/>
  <c r="X527" i="1"/>
  <c r="Q527" i="1"/>
  <c r="O527" i="1"/>
  <c r="H527" i="1"/>
  <c r="F527" i="1"/>
  <c r="I527" i="1" s="1"/>
  <c r="AI526" i="1"/>
  <c r="AG526" i="1"/>
  <c r="AJ526" i="1" s="1"/>
  <c r="Z526" i="1"/>
  <c r="X526" i="1"/>
  <c r="AA526" i="1" s="1"/>
  <c r="Q526" i="1"/>
  <c r="O526" i="1"/>
  <c r="H526" i="1"/>
  <c r="F526" i="1"/>
  <c r="I526" i="1" s="1"/>
  <c r="AI525" i="1"/>
  <c r="AG525" i="1"/>
  <c r="AJ525" i="1" s="1"/>
  <c r="Z525" i="1"/>
  <c r="X525" i="1"/>
  <c r="Q525" i="1"/>
  <c r="O525" i="1"/>
  <c r="H525" i="1"/>
  <c r="F525" i="1"/>
  <c r="I525" i="1" s="1"/>
  <c r="AI524" i="1"/>
  <c r="AG524" i="1"/>
  <c r="AJ524" i="1" s="1"/>
  <c r="Z524" i="1"/>
  <c r="X524" i="1"/>
  <c r="Q524" i="1"/>
  <c r="O524" i="1"/>
  <c r="H524" i="1"/>
  <c r="F524" i="1"/>
  <c r="I524" i="1" s="1"/>
  <c r="AI523" i="1"/>
  <c r="AG523" i="1"/>
  <c r="AJ523" i="1" s="1"/>
  <c r="Z523" i="1"/>
  <c r="X523" i="1"/>
  <c r="AA523" i="1" s="1"/>
  <c r="Q523" i="1"/>
  <c r="O523" i="1"/>
  <c r="H523" i="1"/>
  <c r="F523" i="1"/>
  <c r="I523" i="1" s="1"/>
  <c r="AI522" i="1"/>
  <c r="AG522" i="1"/>
  <c r="AJ522" i="1" s="1"/>
  <c r="Z522" i="1"/>
  <c r="X522" i="1"/>
  <c r="AA522" i="1" s="1"/>
  <c r="Q522" i="1"/>
  <c r="O522" i="1"/>
  <c r="H522" i="1"/>
  <c r="F522" i="1"/>
  <c r="I522" i="1" s="1"/>
  <c r="AI521" i="1"/>
  <c r="AG521" i="1"/>
  <c r="AJ521" i="1" s="1"/>
  <c r="Z521" i="1"/>
  <c r="X521" i="1"/>
  <c r="AA521" i="1" s="1"/>
  <c r="Q521" i="1"/>
  <c r="O521" i="1"/>
  <c r="H521" i="1"/>
  <c r="F521" i="1"/>
  <c r="I521" i="1" s="1"/>
  <c r="AI520" i="1"/>
  <c r="AG520" i="1"/>
  <c r="AJ520" i="1" s="1"/>
  <c r="Z520" i="1"/>
  <c r="X520" i="1"/>
  <c r="Q520" i="1"/>
  <c r="O520" i="1"/>
  <c r="H520" i="1"/>
  <c r="F520" i="1"/>
  <c r="I520" i="1" s="1"/>
  <c r="AI519" i="1"/>
  <c r="AG519" i="1"/>
  <c r="AJ519" i="1" s="1"/>
  <c r="Z519" i="1"/>
  <c r="X519" i="1"/>
  <c r="AA519" i="1" s="1"/>
  <c r="Q519" i="1"/>
  <c r="O519" i="1"/>
  <c r="H519" i="1"/>
  <c r="F519" i="1"/>
  <c r="I519" i="1" s="1"/>
  <c r="AI518" i="1"/>
  <c r="AG518" i="1"/>
  <c r="AJ518" i="1" s="1"/>
  <c r="Z518" i="1"/>
  <c r="X518" i="1"/>
  <c r="AA518" i="1" s="1"/>
  <c r="Q518" i="1"/>
  <c r="O518" i="1"/>
  <c r="H518" i="1"/>
  <c r="F518" i="1"/>
  <c r="I518" i="1" s="1"/>
  <c r="AI517" i="1"/>
  <c r="AG517" i="1"/>
  <c r="AJ517" i="1" s="1"/>
  <c r="Z517" i="1"/>
  <c r="X517" i="1"/>
  <c r="AA517" i="1" s="1"/>
  <c r="Q517" i="1"/>
  <c r="O517" i="1"/>
  <c r="H517" i="1"/>
  <c r="F517" i="1"/>
  <c r="I517" i="1" s="1"/>
  <c r="AI516" i="1"/>
  <c r="AG516" i="1"/>
  <c r="AJ516" i="1" s="1"/>
  <c r="Z516" i="1"/>
  <c r="X516" i="1"/>
  <c r="Q516" i="1"/>
  <c r="O516" i="1"/>
  <c r="H516" i="1"/>
  <c r="F516" i="1"/>
  <c r="I516" i="1" s="1"/>
  <c r="AI515" i="1"/>
  <c r="AG515" i="1"/>
  <c r="AJ515" i="1" s="1"/>
  <c r="Z515" i="1"/>
  <c r="X515" i="1"/>
  <c r="AA515" i="1" s="1"/>
  <c r="Q515" i="1"/>
  <c r="O515" i="1"/>
  <c r="H515" i="1"/>
  <c r="F515" i="1"/>
  <c r="I515" i="1" s="1"/>
  <c r="AI514" i="1"/>
  <c r="AG514" i="1"/>
  <c r="AJ514" i="1" s="1"/>
  <c r="Z514" i="1"/>
  <c r="X514" i="1"/>
  <c r="AA514" i="1" s="1"/>
  <c r="Q514" i="1"/>
  <c r="O514" i="1"/>
  <c r="H514" i="1"/>
  <c r="F514" i="1"/>
  <c r="I514" i="1" s="1"/>
  <c r="AI513" i="1"/>
  <c r="AG513" i="1"/>
  <c r="AJ513" i="1" s="1"/>
  <c r="Z513" i="1"/>
  <c r="X513" i="1"/>
  <c r="AA513" i="1" s="1"/>
  <c r="Q513" i="1"/>
  <c r="O513" i="1"/>
  <c r="H513" i="1"/>
  <c r="F513" i="1"/>
  <c r="I513" i="1" s="1"/>
  <c r="AI512" i="1"/>
  <c r="AG512" i="1"/>
  <c r="AJ512" i="1" s="1"/>
  <c r="Q512" i="1"/>
  <c r="O512" i="1"/>
  <c r="H512" i="1"/>
  <c r="F512" i="1"/>
  <c r="AI511" i="1"/>
  <c r="AG511" i="1"/>
  <c r="AJ511" i="1" s="1"/>
  <c r="Z511" i="1"/>
  <c r="X511" i="1"/>
  <c r="AA511" i="1" s="1"/>
  <c r="Q511" i="1"/>
  <c r="O511" i="1"/>
  <c r="AI510" i="1"/>
  <c r="AG510" i="1"/>
  <c r="Z510" i="1"/>
  <c r="X510" i="1"/>
  <c r="AA510" i="1" s="1"/>
  <c r="Q510" i="1"/>
  <c r="O510" i="1"/>
  <c r="R510" i="1" s="1"/>
  <c r="H510" i="1"/>
  <c r="F510" i="1"/>
  <c r="AI509" i="1"/>
  <c r="AG509" i="1"/>
  <c r="Z509" i="1"/>
  <c r="X509" i="1"/>
  <c r="AA509" i="1" s="1"/>
  <c r="Q509" i="1"/>
  <c r="O509" i="1"/>
  <c r="R509" i="1" s="1"/>
  <c r="H509" i="1"/>
  <c r="F509" i="1"/>
  <c r="I509" i="1" s="1"/>
  <c r="AI508" i="1"/>
  <c r="AG508" i="1"/>
  <c r="Z508" i="1"/>
  <c r="X508" i="1"/>
  <c r="AA508" i="1" s="1"/>
  <c r="Q508" i="1"/>
  <c r="O508" i="1"/>
  <c r="R508" i="1" s="1"/>
  <c r="AI507" i="1"/>
  <c r="AG507" i="1"/>
  <c r="Z507" i="1"/>
  <c r="X507" i="1"/>
  <c r="Q507" i="1"/>
  <c r="O507" i="1"/>
  <c r="R507" i="1" s="1"/>
  <c r="H507" i="1"/>
  <c r="F507" i="1"/>
  <c r="I507" i="1" s="1"/>
  <c r="AI506" i="1"/>
  <c r="AG506" i="1"/>
  <c r="AJ506" i="1" s="1"/>
  <c r="Z506" i="1"/>
  <c r="X506" i="1"/>
  <c r="Q506" i="1"/>
  <c r="O506" i="1"/>
  <c r="R506" i="1" s="1"/>
  <c r="H506" i="1"/>
  <c r="F506" i="1"/>
  <c r="I506" i="1" s="1"/>
  <c r="AI505" i="1"/>
  <c r="AG505" i="1"/>
  <c r="AJ505" i="1" s="1"/>
  <c r="Z505" i="1"/>
  <c r="X505" i="1"/>
  <c r="Q505" i="1"/>
  <c r="O505" i="1"/>
  <c r="R505" i="1" s="1"/>
  <c r="H505" i="1"/>
  <c r="F505" i="1"/>
  <c r="I505" i="1" s="1"/>
  <c r="AI504" i="1"/>
  <c r="AG504" i="1"/>
  <c r="AJ504" i="1" s="1"/>
  <c r="Z504" i="1"/>
  <c r="X504" i="1"/>
  <c r="Q504" i="1"/>
  <c r="O504" i="1"/>
  <c r="R504" i="1" s="1"/>
  <c r="H504" i="1"/>
  <c r="F504" i="1"/>
  <c r="I504" i="1" s="1"/>
  <c r="AI503" i="1"/>
  <c r="AG503" i="1"/>
  <c r="Z503" i="1"/>
  <c r="X503" i="1"/>
  <c r="Q503" i="1"/>
  <c r="O503" i="1"/>
  <c r="R503" i="1" s="1"/>
  <c r="H503" i="1"/>
  <c r="F503" i="1"/>
  <c r="I503" i="1" s="1"/>
  <c r="AI502" i="1"/>
  <c r="AG502" i="1"/>
  <c r="AJ502" i="1" s="1"/>
  <c r="Z502" i="1"/>
  <c r="X502" i="1"/>
  <c r="Q502" i="1"/>
  <c r="O502" i="1"/>
  <c r="R502" i="1" s="1"/>
  <c r="H502" i="1"/>
  <c r="F502" i="1"/>
  <c r="I502" i="1" s="1"/>
  <c r="AI501" i="1"/>
  <c r="AG501" i="1"/>
  <c r="AJ501" i="1" s="1"/>
  <c r="Q501" i="1"/>
  <c r="O501" i="1"/>
  <c r="H501" i="1"/>
  <c r="F501" i="1"/>
  <c r="I501" i="1" s="1"/>
  <c r="AI500" i="1"/>
  <c r="AG500" i="1"/>
  <c r="AJ500" i="1" s="1"/>
  <c r="Z500" i="1"/>
  <c r="X500" i="1"/>
  <c r="AA500" i="1" s="1"/>
  <c r="Q500" i="1"/>
  <c r="O500" i="1"/>
  <c r="H500" i="1"/>
  <c r="F500" i="1"/>
  <c r="AI499" i="1"/>
  <c r="AG499" i="1"/>
  <c r="Z499" i="1"/>
  <c r="X499" i="1"/>
  <c r="Q499" i="1"/>
  <c r="O499" i="1"/>
  <c r="H499" i="1"/>
  <c r="F499" i="1"/>
  <c r="AI498" i="1"/>
  <c r="AG498" i="1"/>
  <c r="Z498" i="1"/>
  <c r="X498" i="1"/>
  <c r="Q498" i="1"/>
  <c r="O498" i="1"/>
  <c r="H498" i="1"/>
  <c r="F498" i="1"/>
  <c r="AI497" i="1"/>
  <c r="AG497" i="1"/>
  <c r="Z497" i="1"/>
  <c r="X497" i="1"/>
  <c r="Q497" i="1"/>
  <c r="O497" i="1"/>
  <c r="H497" i="1"/>
  <c r="F497" i="1"/>
  <c r="AI496" i="1"/>
  <c r="AG496" i="1"/>
  <c r="Z496" i="1"/>
  <c r="X496" i="1"/>
  <c r="Q496" i="1"/>
  <c r="O496" i="1"/>
  <c r="H496" i="1"/>
  <c r="F496" i="1"/>
  <c r="AI495" i="1"/>
  <c r="AG495" i="1"/>
  <c r="Z495" i="1"/>
  <c r="X495" i="1"/>
  <c r="Q495" i="1"/>
  <c r="O495" i="1"/>
  <c r="R495" i="1" s="1"/>
  <c r="H495" i="1"/>
  <c r="F495" i="1"/>
  <c r="I495" i="1" s="1"/>
  <c r="AI494" i="1"/>
  <c r="AG494" i="1"/>
  <c r="AJ494" i="1" s="1"/>
  <c r="Z494" i="1"/>
  <c r="X494" i="1"/>
  <c r="AA494" i="1" s="1"/>
  <c r="O494" i="1"/>
  <c r="H494" i="1"/>
  <c r="F494" i="1"/>
  <c r="I494" i="1" s="1"/>
  <c r="AI493" i="1"/>
  <c r="AG493" i="1"/>
  <c r="Z493" i="1"/>
  <c r="X493" i="1"/>
  <c r="AA493" i="1" s="1"/>
  <c r="Q493" i="1"/>
  <c r="O493" i="1"/>
  <c r="R493" i="1" s="1"/>
  <c r="H493" i="1"/>
  <c r="F493" i="1"/>
  <c r="I493" i="1" s="1"/>
  <c r="AI492" i="1"/>
  <c r="AG492" i="1"/>
  <c r="Z492" i="1"/>
  <c r="X492" i="1"/>
  <c r="AA492" i="1" s="1"/>
  <c r="Q492" i="1"/>
  <c r="O492" i="1"/>
  <c r="H492" i="1"/>
  <c r="F492" i="1"/>
  <c r="I492" i="1" s="1"/>
  <c r="AI491" i="1"/>
  <c r="AG491" i="1"/>
  <c r="AJ491" i="1" s="1"/>
  <c r="Z491" i="1"/>
  <c r="X491" i="1"/>
  <c r="Q491" i="1"/>
  <c r="O491" i="1"/>
  <c r="H491" i="1"/>
  <c r="F491" i="1"/>
  <c r="G491" i="1" s="1"/>
  <c r="AI490" i="1"/>
  <c r="AG490" i="1"/>
  <c r="AH490" i="1" s="1"/>
  <c r="Z490" i="1"/>
  <c r="X490" i="1"/>
  <c r="Q490" i="1"/>
  <c r="O490" i="1"/>
  <c r="H490" i="1"/>
  <c r="F490" i="1"/>
  <c r="AI489" i="1"/>
  <c r="AG489" i="1"/>
  <c r="AH489" i="1" s="1"/>
  <c r="Z489" i="1"/>
  <c r="X489" i="1"/>
  <c r="Q489" i="1"/>
  <c r="O489" i="1"/>
  <c r="H489" i="1"/>
  <c r="F489" i="1"/>
  <c r="G489" i="1" s="1"/>
  <c r="AI488" i="1"/>
  <c r="AG488" i="1"/>
  <c r="AH488" i="1" s="1"/>
  <c r="Z488" i="1"/>
  <c r="X488" i="1"/>
  <c r="Q488" i="1"/>
  <c r="O488" i="1"/>
  <c r="H488" i="1"/>
  <c r="F488" i="1"/>
  <c r="G488" i="1" s="1"/>
  <c r="AI487" i="1"/>
  <c r="AG487" i="1"/>
  <c r="AH487" i="1" s="1"/>
  <c r="Z487" i="1"/>
  <c r="X487" i="1"/>
  <c r="Q487" i="1"/>
  <c r="O487" i="1"/>
  <c r="H487" i="1"/>
  <c r="F487" i="1"/>
  <c r="G487" i="1" s="1"/>
  <c r="AI486" i="1"/>
  <c r="AG486" i="1"/>
  <c r="AH486" i="1" s="1"/>
  <c r="Z486" i="1"/>
  <c r="X486" i="1"/>
  <c r="Q486" i="1"/>
  <c r="O486" i="1"/>
  <c r="H486" i="1"/>
  <c r="F486" i="1"/>
  <c r="AI485" i="1"/>
  <c r="AG485" i="1"/>
  <c r="AH485" i="1" s="1"/>
  <c r="Z485" i="1"/>
  <c r="X485" i="1"/>
  <c r="Q485" i="1"/>
  <c r="O485" i="1"/>
  <c r="H485" i="1"/>
  <c r="F485" i="1"/>
  <c r="G485" i="1" s="1"/>
  <c r="AI484" i="1"/>
  <c r="AG484" i="1"/>
  <c r="AH484" i="1" s="1"/>
  <c r="Z484" i="1"/>
  <c r="X484" i="1"/>
  <c r="Q484" i="1"/>
  <c r="O484" i="1"/>
  <c r="H484" i="1"/>
  <c r="F484" i="1"/>
  <c r="G484" i="1" s="1"/>
  <c r="AI483" i="1"/>
  <c r="AG483" i="1"/>
  <c r="AH483" i="1" s="1"/>
  <c r="Z483" i="1"/>
  <c r="X483" i="1"/>
  <c r="Q483" i="1"/>
  <c r="O483" i="1"/>
  <c r="H483" i="1"/>
  <c r="F483" i="1"/>
  <c r="G483" i="1" s="1"/>
  <c r="AI482" i="1"/>
  <c r="AG482" i="1"/>
  <c r="AH482" i="1" s="1"/>
  <c r="Z482" i="1"/>
  <c r="X482" i="1"/>
  <c r="Q482" i="1"/>
  <c r="O482" i="1"/>
  <c r="H482" i="1"/>
  <c r="F482" i="1"/>
  <c r="AI481" i="1"/>
  <c r="AG481" i="1"/>
  <c r="AH481" i="1" s="1"/>
  <c r="Z481" i="1"/>
  <c r="X481" i="1"/>
  <c r="Q481" i="1"/>
  <c r="O481" i="1"/>
  <c r="H481" i="1"/>
  <c r="F481" i="1"/>
  <c r="G481" i="1" s="1"/>
  <c r="AI480" i="1"/>
  <c r="AG480" i="1"/>
  <c r="AH480" i="1" s="1"/>
  <c r="Q480" i="1"/>
  <c r="O480" i="1"/>
  <c r="H480" i="1"/>
  <c r="F480" i="1"/>
  <c r="AI479" i="1"/>
  <c r="AG479" i="1"/>
  <c r="AH479" i="1" s="1"/>
  <c r="Z479" i="1"/>
  <c r="X479" i="1"/>
  <c r="Y479" i="1" s="1"/>
  <c r="Q479" i="1"/>
  <c r="O479" i="1"/>
  <c r="H479" i="1"/>
  <c r="F479" i="1"/>
  <c r="AI478" i="1"/>
  <c r="AG478" i="1"/>
  <c r="AH478" i="1" s="1"/>
  <c r="Z478" i="1"/>
  <c r="X478" i="1"/>
  <c r="Y478" i="1" s="1"/>
  <c r="Q478" i="1"/>
  <c r="O478" i="1"/>
  <c r="H478" i="1"/>
  <c r="F478" i="1"/>
  <c r="AI477" i="1"/>
  <c r="AG477" i="1"/>
  <c r="Z477" i="1"/>
  <c r="X477" i="1"/>
  <c r="Y477" i="1" s="1"/>
  <c r="Q477" i="1"/>
  <c r="O477" i="1"/>
  <c r="H477" i="1"/>
  <c r="F477" i="1"/>
  <c r="AI476" i="1"/>
  <c r="AG476" i="1"/>
  <c r="AH476" i="1" s="1"/>
  <c r="AA476" i="1"/>
  <c r="Z476" i="1"/>
  <c r="Y476" i="1"/>
  <c r="Q476" i="1"/>
  <c r="O476" i="1"/>
  <c r="H476" i="1"/>
  <c r="F476" i="1"/>
  <c r="AI475" i="1"/>
  <c r="AG475" i="1"/>
  <c r="Z475" i="1"/>
  <c r="X475" i="1"/>
  <c r="Q475" i="1"/>
  <c r="O475" i="1"/>
  <c r="H475" i="1"/>
  <c r="F475" i="1"/>
  <c r="AI474" i="1"/>
  <c r="AG474" i="1"/>
  <c r="AH474" i="1" s="1"/>
  <c r="Z474" i="1"/>
  <c r="X474" i="1"/>
  <c r="Y474" i="1" s="1"/>
  <c r="Q474" i="1"/>
  <c r="O474" i="1"/>
  <c r="H474" i="1"/>
  <c r="F474" i="1"/>
  <c r="AI473" i="1"/>
  <c r="AG473" i="1"/>
  <c r="Z473" i="1"/>
  <c r="X473" i="1"/>
  <c r="Q473" i="1"/>
  <c r="B82" i="2" s="1"/>
  <c r="O473" i="1"/>
  <c r="H473" i="1"/>
  <c r="F473" i="1"/>
  <c r="AI472" i="1"/>
  <c r="AG472" i="1"/>
  <c r="AH472" i="1" s="1"/>
  <c r="Z472" i="1"/>
  <c r="X472" i="1"/>
  <c r="Q472" i="1"/>
  <c r="O472" i="1"/>
  <c r="H472" i="1"/>
  <c r="F472" i="1"/>
  <c r="AI471" i="1"/>
  <c r="AG471" i="1"/>
  <c r="Z471" i="1"/>
  <c r="X471" i="1"/>
  <c r="Q471" i="1"/>
  <c r="O471" i="1"/>
  <c r="H471" i="1"/>
  <c r="F471" i="1"/>
  <c r="AI470" i="1"/>
  <c r="AG470" i="1"/>
  <c r="AH470" i="1" s="1"/>
  <c r="Z470" i="1"/>
  <c r="X470" i="1"/>
  <c r="Y470" i="1" s="1"/>
  <c r="Q470" i="1"/>
  <c r="O470" i="1"/>
  <c r="H470" i="1"/>
  <c r="F470" i="1"/>
  <c r="AI469" i="1"/>
  <c r="AG469" i="1"/>
  <c r="Z469" i="1"/>
  <c r="X469" i="1"/>
  <c r="Q469" i="1"/>
  <c r="O469" i="1"/>
  <c r="H469" i="1"/>
  <c r="F469" i="1"/>
  <c r="AI468" i="1"/>
  <c r="AG468" i="1"/>
  <c r="AH468" i="1" s="1"/>
  <c r="Z468" i="1"/>
  <c r="X468" i="1"/>
  <c r="Y468" i="1" s="1"/>
  <c r="Q468" i="1"/>
  <c r="O468" i="1"/>
  <c r="I468" i="1"/>
  <c r="H468" i="1"/>
  <c r="G468" i="1"/>
  <c r="AI467" i="1"/>
  <c r="AG467" i="1"/>
  <c r="AH467" i="1" s="1"/>
  <c r="Z467" i="1"/>
  <c r="X467" i="1"/>
  <c r="Y467" i="1" s="1"/>
  <c r="Q467" i="1"/>
  <c r="O467" i="1"/>
  <c r="P467" i="1" s="1"/>
  <c r="H467" i="1"/>
  <c r="F467" i="1"/>
  <c r="AI466" i="1"/>
  <c r="AG466" i="1"/>
  <c r="AH466" i="1" s="1"/>
  <c r="Z466" i="1"/>
  <c r="X466" i="1"/>
  <c r="Y466" i="1" s="1"/>
  <c r="Q466" i="1"/>
  <c r="O466" i="1"/>
  <c r="H466" i="1"/>
  <c r="F466" i="1"/>
  <c r="G466" i="1" s="1"/>
  <c r="AI465" i="1"/>
  <c r="AG465" i="1"/>
  <c r="AH465" i="1" s="1"/>
  <c r="Z465" i="1"/>
  <c r="X465" i="1"/>
  <c r="Y465" i="1" s="1"/>
  <c r="Q465" i="1"/>
  <c r="O465" i="1"/>
  <c r="P465" i="1" s="1"/>
  <c r="H465" i="1"/>
  <c r="F465" i="1"/>
  <c r="AI464" i="1"/>
  <c r="AG464" i="1"/>
  <c r="AH464" i="1" s="1"/>
  <c r="Z464" i="1"/>
  <c r="X464" i="1"/>
  <c r="Y464" i="1" s="1"/>
  <c r="H464" i="1"/>
  <c r="F464" i="1"/>
  <c r="AI463" i="1"/>
  <c r="AG463" i="1"/>
  <c r="AH463" i="1" s="1"/>
  <c r="Z463" i="1"/>
  <c r="X463" i="1"/>
  <c r="Y463" i="1" s="1"/>
  <c r="Q463" i="1"/>
  <c r="O463" i="1"/>
  <c r="P463" i="1" s="1"/>
  <c r="H463" i="1"/>
  <c r="F463" i="1"/>
  <c r="G463" i="1" s="1"/>
  <c r="AI462" i="1"/>
  <c r="AG462" i="1"/>
  <c r="Z462" i="1"/>
  <c r="X462" i="1"/>
  <c r="Y462" i="1" s="1"/>
  <c r="Q462" i="1"/>
  <c r="O462" i="1"/>
  <c r="P462" i="1" s="1"/>
  <c r="H462" i="1"/>
  <c r="F462" i="1"/>
  <c r="AI461" i="1"/>
  <c r="AG461" i="1"/>
  <c r="AH461" i="1" s="1"/>
  <c r="Z461" i="1"/>
  <c r="X461" i="1"/>
  <c r="Y461" i="1" s="1"/>
  <c r="Q461" i="1"/>
  <c r="O461" i="1"/>
  <c r="P461" i="1" s="1"/>
  <c r="H461" i="1"/>
  <c r="F461" i="1"/>
  <c r="G461" i="1" s="1"/>
  <c r="AI460" i="1"/>
  <c r="AG460" i="1"/>
  <c r="Z460" i="1"/>
  <c r="X460" i="1"/>
  <c r="Y460" i="1" s="1"/>
  <c r="Q460" i="1"/>
  <c r="O460" i="1"/>
  <c r="P460" i="1" s="1"/>
  <c r="H460" i="1"/>
  <c r="F460" i="1"/>
  <c r="AI459" i="1"/>
  <c r="AG459" i="1"/>
  <c r="AH459" i="1" s="1"/>
  <c r="Z459" i="1"/>
  <c r="X459" i="1"/>
  <c r="Y459" i="1" s="1"/>
  <c r="Q459" i="1"/>
  <c r="O459" i="1"/>
  <c r="P459" i="1" s="1"/>
  <c r="H459" i="1"/>
  <c r="F459" i="1"/>
  <c r="AI458" i="1"/>
  <c r="AG458" i="1"/>
  <c r="Z458" i="1"/>
  <c r="X458" i="1"/>
  <c r="Y458" i="1" s="1"/>
  <c r="Q458" i="1"/>
  <c r="O458" i="1"/>
  <c r="P458" i="1" s="1"/>
  <c r="H458" i="1"/>
  <c r="F458" i="1"/>
  <c r="AI457" i="1"/>
  <c r="AG457" i="1"/>
  <c r="AH457" i="1" s="1"/>
  <c r="Z457" i="1"/>
  <c r="X457" i="1"/>
  <c r="Y457" i="1" s="1"/>
  <c r="Q457" i="1"/>
  <c r="O457" i="1"/>
  <c r="P457" i="1" s="1"/>
  <c r="H457" i="1"/>
  <c r="F457" i="1"/>
  <c r="G457" i="1" s="1"/>
  <c r="AI456" i="1"/>
  <c r="AG456" i="1"/>
  <c r="Z456" i="1"/>
  <c r="X456" i="1"/>
  <c r="Y456" i="1" s="1"/>
  <c r="Q456" i="1"/>
  <c r="O456" i="1"/>
  <c r="P456" i="1" s="1"/>
  <c r="H456" i="1"/>
  <c r="F456" i="1"/>
  <c r="AI455" i="1"/>
  <c r="AG455" i="1"/>
  <c r="AH455" i="1" s="1"/>
  <c r="Z455" i="1"/>
  <c r="X455" i="1"/>
  <c r="Y455" i="1" s="1"/>
  <c r="Q455" i="1"/>
  <c r="O455" i="1"/>
  <c r="P455" i="1" s="1"/>
  <c r="H455" i="1"/>
  <c r="F455" i="1"/>
  <c r="G455" i="1" s="1"/>
  <c r="AI454" i="1"/>
  <c r="AG454" i="1"/>
  <c r="Z454" i="1"/>
  <c r="X454" i="1"/>
  <c r="Y454" i="1" s="1"/>
  <c r="Q454" i="1"/>
  <c r="O454" i="1"/>
  <c r="P454" i="1" s="1"/>
  <c r="H454" i="1"/>
  <c r="F454" i="1"/>
  <c r="AI453" i="1"/>
  <c r="AG453" i="1"/>
  <c r="AH453" i="1" s="1"/>
  <c r="Z453" i="1"/>
  <c r="X453" i="1"/>
  <c r="Y453" i="1" s="1"/>
  <c r="Q453" i="1"/>
  <c r="O453" i="1"/>
  <c r="P453" i="1" s="1"/>
  <c r="H453" i="1"/>
  <c r="F453" i="1"/>
  <c r="G453" i="1" s="1"/>
  <c r="AI452" i="1"/>
  <c r="AG452" i="1"/>
  <c r="Z452" i="1"/>
  <c r="X452" i="1"/>
  <c r="Y452" i="1" s="1"/>
  <c r="Q452" i="1"/>
  <c r="O452" i="1"/>
  <c r="P452" i="1" s="1"/>
  <c r="H452" i="1"/>
  <c r="F452" i="1"/>
  <c r="AI451" i="1"/>
  <c r="AG451" i="1"/>
  <c r="AH451" i="1" s="1"/>
  <c r="Z451" i="1"/>
  <c r="X451" i="1"/>
  <c r="Y451" i="1" s="1"/>
  <c r="Q451" i="1"/>
  <c r="O451" i="1"/>
  <c r="P451" i="1" s="1"/>
  <c r="H451" i="1"/>
  <c r="F451" i="1"/>
  <c r="AI450" i="1"/>
  <c r="AG450" i="1"/>
  <c r="Q450" i="1"/>
  <c r="O450" i="1"/>
  <c r="P450" i="1" s="1"/>
  <c r="H450" i="1"/>
  <c r="F450" i="1"/>
  <c r="G450" i="1" s="1"/>
  <c r="AI449" i="1"/>
  <c r="AG449" i="1"/>
  <c r="Z449" i="1"/>
  <c r="X449" i="1"/>
  <c r="Y449" i="1" s="1"/>
  <c r="Q449" i="1"/>
  <c r="O449" i="1"/>
  <c r="P449" i="1" s="1"/>
  <c r="H449" i="1"/>
  <c r="F449" i="1"/>
  <c r="G449" i="1" s="1"/>
  <c r="AI448" i="1"/>
  <c r="AG448" i="1"/>
  <c r="AH448" i="1" s="1"/>
  <c r="Z448" i="1"/>
  <c r="X448" i="1"/>
  <c r="Q448" i="1"/>
  <c r="O448" i="1"/>
  <c r="P448" i="1" s="1"/>
  <c r="H448" i="1"/>
  <c r="F448" i="1"/>
  <c r="G448" i="1" s="1"/>
  <c r="AI447" i="1"/>
  <c r="AG447" i="1"/>
  <c r="Z447" i="1"/>
  <c r="X447" i="1"/>
  <c r="Y447" i="1" s="1"/>
  <c r="Q447" i="1"/>
  <c r="O447" i="1"/>
  <c r="P447" i="1" s="1"/>
  <c r="H447" i="1"/>
  <c r="F447" i="1"/>
  <c r="G447" i="1" s="1"/>
  <c r="AI446" i="1"/>
  <c r="AG446" i="1"/>
  <c r="AH446" i="1" s="1"/>
  <c r="Z446" i="1"/>
  <c r="X446" i="1"/>
  <c r="Q446" i="1"/>
  <c r="O446" i="1"/>
  <c r="P446" i="1" s="1"/>
  <c r="H446" i="1"/>
  <c r="F446" i="1"/>
  <c r="G446" i="1" s="1"/>
  <c r="AI445" i="1"/>
  <c r="AG445" i="1"/>
  <c r="Z445" i="1"/>
  <c r="X445" i="1"/>
  <c r="Y445" i="1" s="1"/>
  <c r="Q445" i="1"/>
  <c r="O445" i="1"/>
  <c r="P445" i="1" s="1"/>
  <c r="H445" i="1"/>
  <c r="F445" i="1"/>
  <c r="G445" i="1" s="1"/>
  <c r="AJ444" i="1"/>
  <c r="AI444" i="1"/>
  <c r="AH444" i="1"/>
  <c r="Z444" i="1"/>
  <c r="X444" i="1"/>
  <c r="Q444" i="1"/>
  <c r="O444" i="1"/>
  <c r="H444" i="1"/>
  <c r="F444" i="1"/>
  <c r="G444" i="1" s="1"/>
  <c r="AI443" i="1"/>
  <c r="AG443" i="1"/>
  <c r="AH443" i="1" s="1"/>
  <c r="Z443" i="1"/>
  <c r="X443" i="1"/>
  <c r="Q443" i="1"/>
  <c r="O443" i="1"/>
  <c r="H443" i="1"/>
  <c r="F443" i="1"/>
  <c r="G443" i="1" s="1"/>
  <c r="AI442" i="1"/>
  <c r="AG442" i="1"/>
  <c r="AH442" i="1" s="1"/>
  <c r="Z442" i="1"/>
  <c r="X442" i="1"/>
  <c r="Q442" i="1"/>
  <c r="O442" i="1"/>
  <c r="AI441" i="1"/>
  <c r="AG441" i="1"/>
  <c r="AH441" i="1" s="1"/>
  <c r="Z441" i="1"/>
  <c r="X441" i="1"/>
  <c r="Y441" i="1" s="1"/>
  <c r="Q441" i="1"/>
  <c r="O441" i="1"/>
  <c r="H441" i="1"/>
  <c r="F441" i="1"/>
  <c r="AI440" i="1"/>
  <c r="AG440" i="1"/>
  <c r="AH440" i="1" s="1"/>
  <c r="Z440" i="1"/>
  <c r="X440" i="1"/>
  <c r="Y440" i="1" s="1"/>
  <c r="Q440" i="1"/>
  <c r="O440" i="1"/>
  <c r="H440" i="1"/>
  <c r="F440" i="1"/>
  <c r="AI439" i="1"/>
  <c r="AG439" i="1"/>
  <c r="AH439" i="1" s="1"/>
  <c r="Z439" i="1"/>
  <c r="X439" i="1"/>
  <c r="Y439" i="1" s="1"/>
  <c r="Q439" i="1"/>
  <c r="O439" i="1"/>
  <c r="H439" i="1"/>
  <c r="F439" i="1"/>
  <c r="AI438" i="1"/>
  <c r="AG438" i="1"/>
  <c r="AH438" i="1" s="1"/>
  <c r="Z438" i="1"/>
  <c r="X438" i="1"/>
  <c r="Y438" i="1" s="1"/>
  <c r="Q438" i="1"/>
  <c r="O438" i="1"/>
  <c r="H438" i="1"/>
  <c r="F438" i="1"/>
  <c r="AI437" i="1"/>
  <c r="AG437" i="1"/>
  <c r="AH437" i="1" s="1"/>
  <c r="AA437" i="1"/>
  <c r="Z437" i="1"/>
  <c r="Y437" i="1"/>
  <c r="Q437" i="1"/>
  <c r="O437" i="1"/>
  <c r="R437" i="1" s="1"/>
  <c r="H437" i="1"/>
  <c r="F437" i="1"/>
  <c r="I437" i="1" s="1"/>
  <c r="AI436" i="1"/>
  <c r="AG436" i="1"/>
  <c r="AJ436" i="1" s="1"/>
  <c r="Z436" i="1"/>
  <c r="X436" i="1"/>
  <c r="Q436" i="1"/>
  <c r="O436" i="1"/>
  <c r="R436" i="1" s="1"/>
  <c r="H436" i="1"/>
  <c r="F436" i="1"/>
  <c r="I436" i="1" s="1"/>
  <c r="AI435" i="1"/>
  <c r="AG435" i="1"/>
  <c r="AJ435" i="1" s="1"/>
  <c r="Z435" i="1"/>
  <c r="X435" i="1"/>
  <c r="Q435" i="1"/>
  <c r="O435" i="1"/>
  <c r="R435" i="1" s="1"/>
  <c r="H435" i="1"/>
  <c r="F435" i="1"/>
  <c r="I435" i="1" s="1"/>
  <c r="AI434" i="1"/>
  <c r="AG434" i="1"/>
  <c r="AJ434" i="1" s="1"/>
  <c r="Z434" i="1"/>
  <c r="X434" i="1"/>
  <c r="Q434" i="1"/>
  <c r="O434" i="1"/>
  <c r="R434" i="1" s="1"/>
  <c r="H434" i="1"/>
  <c r="F434" i="1"/>
  <c r="I434" i="1" s="1"/>
  <c r="AI433" i="1"/>
  <c r="AG433" i="1"/>
  <c r="AJ433" i="1" s="1"/>
  <c r="Z433" i="1"/>
  <c r="X433" i="1"/>
  <c r="Q433" i="1"/>
  <c r="O433" i="1"/>
  <c r="R433" i="1" s="1"/>
  <c r="H433" i="1"/>
  <c r="F433" i="1"/>
  <c r="I433" i="1" s="1"/>
  <c r="AI432" i="1"/>
  <c r="AG432" i="1"/>
  <c r="AJ432" i="1" s="1"/>
  <c r="Z432" i="1"/>
  <c r="X432" i="1"/>
  <c r="Q432" i="1"/>
  <c r="O432" i="1"/>
  <c r="R432" i="1" s="1"/>
  <c r="H432" i="1"/>
  <c r="F432" i="1"/>
  <c r="I432" i="1" s="1"/>
  <c r="AI431" i="1"/>
  <c r="AG431" i="1"/>
  <c r="AJ431" i="1" s="1"/>
  <c r="Z431" i="1"/>
  <c r="X431" i="1"/>
  <c r="Q431" i="1"/>
  <c r="O431" i="1"/>
  <c r="R431" i="1" s="1"/>
  <c r="H431" i="1"/>
  <c r="F431" i="1"/>
  <c r="I431" i="1" s="1"/>
  <c r="AI430" i="1"/>
  <c r="AG430" i="1"/>
  <c r="AJ430" i="1" s="1"/>
  <c r="Z430" i="1"/>
  <c r="X430" i="1"/>
  <c r="Q430" i="1"/>
  <c r="O430" i="1"/>
  <c r="R430" i="1" s="1"/>
  <c r="H430" i="1"/>
  <c r="F430" i="1"/>
  <c r="I430" i="1" s="1"/>
  <c r="AI429" i="1"/>
  <c r="AG429" i="1"/>
  <c r="AJ429" i="1" s="1"/>
  <c r="Z429" i="1"/>
  <c r="X429" i="1"/>
  <c r="Q429" i="1"/>
  <c r="O429" i="1"/>
  <c r="R429" i="1" s="1"/>
  <c r="H429" i="1"/>
  <c r="F429" i="1"/>
  <c r="I429" i="1" s="1"/>
  <c r="AI428" i="1"/>
  <c r="AG428" i="1"/>
  <c r="AJ428" i="1" s="1"/>
  <c r="Z428" i="1"/>
  <c r="X428" i="1"/>
  <c r="AA428" i="1" s="1"/>
  <c r="Q428" i="1"/>
  <c r="O428" i="1"/>
  <c r="R428" i="1" s="1"/>
  <c r="H428" i="1"/>
  <c r="F428" i="1"/>
  <c r="I428" i="1" s="1"/>
  <c r="AI427" i="1"/>
  <c r="AG427" i="1"/>
  <c r="AJ427" i="1" s="1"/>
  <c r="Z427" i="1"/>
  <c r="X427" i="1"/>
  <c r="Q427" i="1"/>
  <c r="O427" i="1"/>
  <c r="R427" i="1" s="1"/>
  <c r="H427" i="1"/>
  <c r="F427" i="1"/>
  <c r="I427" i="1" s="1"/>
  <c r="AI426" i="1"/>
  <c r="AG426" i="1"/>
  <c r="AJ426" i="1" s="1"/>
  <c r="Z426" i="1"/>
  <c r="X426" i="1"/>
  <c r="AA426" i="1" s="1"/>
  <c r="Q426" i="1"/>
  <c r="O426" i="1"/>
  <c r="R426" i="1" s="1"/>
  <c r="H426" i="1"/>
  <c r="F426" i="1"/>
  <c r="I426" i="1" s="1"/>
  <c r="AI425" i="1"/>
  <c r="AG425" i="1"/>
  <c r="AJ425" i="1" s="1"/>
  <c r="Z425" i="1"/>
  <c r="X425" i="1"/>
  <c r="Q425" i="1"/>
  <c r="O425" i="1"/>
  <c r="R425" i="1" s="1"/>
  <c r="H425" i="1"/>
  <c r="F425" i="1"/>
  <c r="I425" i="1" s="1"/>
  <c r="AI424" i="1"/>
  <c r="AG424" i="1"/>
  <c r="AJ424" i="1" s="1"/>
  <c r="Z424" i="1"/>
  <c r="X424" i="1"/>
  <c r="AA424" i="1" s="1"/>
  <c r="Q424" i="1"/>
  <c r="O424" i="1"/>
  <c r="R424" i="1" s="1"/>
  <c r="H424" i="1"/>
  <c r="F424" i="1"/>
  <c r="I424" i="1" s="1"/>
  <c r="AI423" i="1"/>
  <c r="AG423" i="1"/>
  <c r="AJ423" i="1" s="1"/>
  <c r="Z423" i="1"/>
  <c r="X423" i="1"/>
  <c r="Q423" i="1"/>
  <c r="O423" i="1"/>
  <c r="R423" i="1" s="1"/>
  <c r="H423" i="1"/>
  <c r="F423" i="1"/>
  <c r="I423" i="1" s="1"/>
  <c r="AI422" i="1"/>
  <c r="AG422" i="1"/>
  <c r="AJ422" i="1" s="1"/>
  <c r="Z422" i="1"/>
  <c r="X422" i="1"/>
  <c r="AA422" i="1" s="1"/>
  <c r="Q422" i="1"/>
  <c r="O422" i="1"/>
  <c r="R422" i="1" s="1"/>
  <c r="H422" i="1"/>
  <c r="F422" i="1"/>
  <c r="I422" i="1" s="1"/>
  <c r="Z421" i="1"/>
  <c r="X421" i="1"/>
  <c r="AA421" i="1" s="1"/>
  <c r="Q421" i="1"/>
  <c r="O421" i="1"/>
  <c r="H421" i="1"/>
  <c r="F421" i="1"/>
  <c r="I421" i="1" s="1"/>
  <c r="AI420" i="1"/>
  <c r="AG420" i="1"/>
  <c r="AJ420" i="1" s="1"/>
  <c r="Z420" i="1"/>
  <c r="X420" i="1"/>
  <c r="AA420" i="1" s="1"/>
  <c r="Q420" i="1"/>
  <c r="O420" i="1"/>
  <c r="R420" i="1" s="1"/>
  <c r="H420" i="1"/>
  <c r="F420" i="1"/>
  <c r="I420" i="1" s="1"/>
  <c r="AI419" i="1"/>
  <c r="AG419" i="1"/>
  <c r="AJ419" i="1" s="1"/>
  <c r="Z419" i="1"/>
  <c r="X419" i="1"/>
  <c r="AA419" i="1" s="1"/>
  <c r="Q419" i="1"/>
  <c r="O419" i="1"/>
  <c r="H419" i="1"/>
  <c r="F419" i="1"/>
  <c r="I419" i="1" s="1"/>
  <c r="AI418" i="1"/>
  <c r="AG418" i="1"/>
  <c r="AJ418" i="1" s="1"/>
  <c r="Z418" i="1"/>
  <c r="X418" i="1"/>
  <c r="AA418" i="1" s="1"/>
  <c r="Q418" i="1"/>
  <c r="O418" i="1"/>
  <c r="R418" i="1" s="1"/>
  <c r="H418" i="1"/>
  <c r="F418" i="1"/>
  <c r="I418" i="1" s="1"/>
  <c r="AI417" i="1"/>
  <c r="AG417" i="1"/>
  <c r="AJ417" i="1" s="1"/>
  <c r="Z417" i="1"/>
  <c r="X417" i="1"/>
  <c r="AA417" i="1" s="1"/>
  <c r="Q417" i="1"/>
  <c r="O417" i="1"/>
  <c r="H417" i="1"/>
  <c r="F417" i="1"/>
  <c r="I417" i="1" s="1"/>
  <c r="AI416" i="1"/>
  <c r="AG416" i="1"/>
  <c r="AJ416" i="1" s="1"/>
  <c r="Z416" i="1"/>
  <c r="X416" i="1"/>
  <c r="AA416" i="1" s="1"/>
  <c r="Q416" i="1"/>
  <c r="O416" i="1"/>
  <c r="R416" i="1" s="1"/>
  <c r="H416" i="1"/>
  <c r="F416" i="1"/>
  <c r="I416" i="1" s="1"/>
  <c r="AI415" i="1"/>
  <c r="AG415" i="1"/>
  <c r="AJ415" i="1" s="1"/>
  <c r="Z415" i="1"/>
  <c r="X415" i="1"/>
  <c r="AA415" i="1" s="1"/>
  <c r="Q415" i="1"/>
  <c r="O415" i="1"/>
  <c r="H415" i="1"/>
  <c r="F415" i="1"/>
  <c r="I415" i="1" s="1"/>
  <c r="AI414" i="1"/>
  <c r="AG414" i="1"/>
  <c r="AJ414" i="1" s="1"/>
  <c r="Z414" i="1"/>
  <c r="X414" i="1"/>
  <c r="AA414" i="1" s="1"/>
  <c r="Q414" i="1"/>
  <c r="O414" i="1"/>
  <c r="R414" i="1" s="1"/>
  <c r="H414" i="1"/>
  <c r="F414" i="1"/>
  <c r="I414" i="1" s="1"/>
  <c r="AI413" i="1"/>
  <c r="AG413" i="1"/>
  <c r="AJ413" i="1" s="1"/>
  <c r="Z413" i="1"/>
  <c r="X413" i="1"/>
  <c r="AA413" i="1" s="1"/>
  <c r="Q413" i="1"/>
  <c r="O413" i="1"/>
  <c r="H413" i="1"/>
  <c r="F413" i="1"/>
  <c r="I413" i="1" s="1"/>
  <c r="AI412" i="1"/>
  <c r="AG412" i="1"/>
  <c r="AJ412" i="1" s="1"/>
  <c r="Z412" i="1"/>
  <c r="X412" i="1"/>
  <c r="AA412" i="1" s="1"/>
  <c r="Q412" i="1"/>
  <c r="O412" i="1"/>
  <c r="R412" i="1" s="1"/>
  <c r="H412" i="1"/>
  <c r="F412" i="1"/>
  <c r="I412" i="1" s="1"/>
  <c r="AI411" i="1"/>
  <c r="AG411" i="1"/>
  <c r="AJ411" i="1" s="1"/>
  <c r="Z411" i="1"/>
  <c r="X411" i="1"/>
  <c r="AA411" i="1" s="1"/>
  <c r="Q411" i="1"/>
  <c r="O411" i="1"/>
  <c r="H411" i="1"/>
  <c r="F411" i="1"/>
  <c r="I411" i="1" s="1"/>
  <c r="AI410" i="1"/>
  <c r="AG410" i="1"/>
  <c r="AJ410" i="1" s="1"/>
  <c r="Z410" i="1"/>
  <c r="X410" i="1"/>
  <c r="AA410" i="1" s="1"/>
  <c r="Q410" i="1"/>
  <c r="O410" i="1"/>
  <c r="R410" i="1" s="1"/>
  <c r="H410" i="1"/>
  <c r="F410" i="1"/>
  <c r="I410" i="1" s="1"/>
  <c r="AI409" i="1"/>
  <c r="AG409" i="1"/>
  <c r="AJ409" i="1" s="1"/>
  <c r="Z409" i="1"/>
  <c r="X409" i="1"/>
  <c r="AA409" i="1" s="1"/>
  <c r="Q409" i="1"/>
  <c r="O409" i="1"/>
  <c r="H409" i="1"/>
  <c r="F409" i="1"/>
  <c r="I409" i="1" s="1"/>
  <c r="AI408" i="1"/>
  <c r="AG408" i="1"/>
  <c r="AJ408" i="1" s="1"/>
  <c r="Z408" i="1"/>
  <c r="X408" i="1"/>
  <c r="AA408" i="1" s="1"/>
  <c r="Q408" i="1"/>
  <c r="O408" i="1"/>
  <c r="R408" i="1" s="1"/>
  <c r="H408" i="1"/>
  <c r="F408" i="1"/>
  <c r="I408" i="1" s="1"/>
  <c r="AI407" i="1"/>
  <c r="AG407" i="1"/>
  <c r="AJ407" i="1" s="1"/>
  <c r="Z407" i="1"/>
  <c r="X407" i="1"/>
  <c r="AA407" i="1" s="1"/>
  <c r="Q407" i="1"/>
  <c r="O407" i="1"/>
  <c r="H407" i="1"/>
  <c r="F407" i="1"/>
  <c r="I407" i="1" s="1"/>
  <c r="AG406" i="1"/>
  <c r="Z406" i="1"/>
  <c r="X406" i="1"/>
  <c r="Y406" i="1" s="1"/>
  <c r="Q406" i="1"/>
  <c r="O406" i="1"/>
  <c r="H406" i="1"/>
  <c r="F406" i="1"/>
  <c r="AI405" i="1"/>
  <c r="AG405" i="1"/>
  <c r="AH405" i="1" s="1"/>
  <c r="Z405" i="1"/>
  <c r="X405" i="1"/>
  <c r="Y405" i="1" s="1"/>
  <c r="Q405" i="1"/>
  <c r="O405" i="1"/>
  <c r="H405" i="1"/>
  <c r="F405" i="1"/>
  <c r="AI404" i="1"/>
  <c r="AG404" i="1"/>
  <c r="Z404" i="1"/>
  <c r="X404" i="1"/>
  <c r="Y404" i="1" s="1"/>
  <c r="Q404" i="1"/>
  <c r="B128" i="2" s="1"/>
  <c r="O404" i="1"/>
  <c r="H404" i="1"/>
  <c r="F404" i="1"/>
  <c r="AI403" i="1"/>
  <c r="AG403" i="1"/>
  <c r="AH403" i="1" s="1"/>
  <c r="Z403" i="1"/>
  <c r="X403" i="1"/>
  <c r="Y403" i="1" s="1"/>
  <c r="Q403" i="1"/>
  <c r="O403" i="1"/>
  <c r="H403" i="1"/>
  <c r="F403" i="1"/>
  <c r="AI402" i="1"/>
  <c r="AG402" i="1"/>
  <c r="AH402" i="1" s="1"/>
  <c r="Z402" i="1"/>
  <c r="X402" i="1"/>
  <c r="Y402" i="1" s="1"/>
  <c r="Q402" i="1"/>
  <c r="O402" i="1"/>
  <c r="H402" i="1"/>
  <c r="F402" i="1"/>
  <c r="AI401" i="1"/>
  <c r="AG401" i="1"/>
  <c r="AH401" i="1" s="1"/>
  <c r="Z401" i="1"/>
  <c r="X401" i="1"/>
  <c r="Y401" i="1" s="1"/>
  <c r="Q401" i="1"/>
  <c r="B176" i="2" s="1"/>
  <c r="O401" i="1"/>
  <c r="H401" i="1"/>
  <c r="F401" i="1"/>
  <c r="AI400" i="1"/>
  <c r="AG400" i="1"/>
  <c r="Z400" i="1"/>
  <c r="X400" i="1"/>
  <c r="AA400" i="1" s="1"/>
  <c r="Q400" i="1"/>
  <c r="O400" i="1"/>
  <c r="R400" i="1" s="1"/>
  <c r="H400" i="1"/>
  <c r="F400" i="1"/>
  <c r="AI399" i="1"/>
  <c r="AG399" i="1"/>
  <c r="AJ399" i="1" s="1"/>
  <c r="Z399" i="1"/>
  <c r="X399" i="1"/>
  <c r="Q399" i="1"/>
  <c r="O399" i="1"/>
  <c r="H399" i="1"/>
  <c r="F399" i="1"/>
  <c r="AI398" i="1"/>
  <c r="AG398" i="1"/>
  <c r="AJ398" i="1" s="1"/>
  <c r="Z398" i="1"/>
  <c r="X398" i="1"/>
  <c r="Q398" i="1"/>
  <c r="O398" i="1"/>
  <c r="R398" i="1" s="1"/>
  <c r="AI397" i="1"/>
  <c r="AG397" i="1"/>
  <c r="Z397" i="1"/>
  <c r="X397" i="1"/>
  <c r="AA397" i="1" s="1"/>
  <c r="Q397" i="1"/>
  <c r="O397" i="1"/>
  <c r="H397" i="1"/>
  <c r="F397" i="1"/>
  <c r="AI396" i="1"/>
  <c r="AG396" i="1"/>
  <c r="Z396" i="1"/>
  <c r="X396" i="1"/>
  <c r="AA396" i="1" s="1"/>
  <c r="Q396" i="1"/>
  <c r="O396" i="1"/>
  <c r="H396" i="1"/>
  <c r="F396" i="1"/>
  <c r="I396" i="1" s="1"/>
  <c r="AI395" i="1"/>
  <c r="AG395" i="1"/>
  <c r="Z395" i="1"/>
  <c r="X395" i="1"/>
  <c r="AA395" i="1" s="1"/>
  <c r="Q395" i="1"/>
  <c r="O395" i="1"/>
  <c r="H395" i="1"/>
  <c r="F395" i="1"/>
  <c r="I395" i="1" s="1"/>
  <c r="AI394" i="1"/>
  <c r="AG394" i="1"/>
  <c r="Z394" i="1"/>
  <c r="X394" i="1"/>
  <c r="AA394" i="1" s="1"/>
  <c r="Q394" i="1"/>
  <c r="O394" i="1"/>
  <c r="H394" i="1"/>
  <c r="F394" i="1"/>
  <c r="I394" i="1" s="1"/>
  <c r="AI393" i="1"/>
  <c r="AG393" i="1"/>
  <c r="Z393" i="1"/>
  <c r="X393" i="1"/>
  <c r="AA393" i="1" s="1"/>
  <c r="Q393" i="1"/>
  <c r="O393" i="1"/>
  <c r="H393" i="1"/>
  <c r="F393" i="1"/>
  <c r="I393" i="1" s="1"/>
  <c r="AI392" i="1"/>
  <c r="AG392" i="1"/>
  <c r="Z392" i="1"/>
  <c r="X392" i="1"/>
  <c r="AA392" i="1" s="1"/>
  <c r="Q392" i="1"/>
  <c r="O392" i="1"/>
  <c r="H392" i="1"/>
  <c r="F392" i="1"/>
  <c r="I392" i="1" s="1"/>
  <c r="AI391" i="1"/>
  <c r="AG391" i="1"/>
  <c r="Z391" i="1"/>
  <c r="X391" i="1"/>
  <c r="AA391" i="1" s="1"/>
  <c r="Q391" i="1"/>
  <c r="O391" i="1"/>
  <c r="H391" i="1"/>
  <c r="F391" i="1"/>
  <c r="I391" i="1" s="1"/>
  <c r="AI390" i="1"/>
  <c r="AG390" i="1"/>
  <c r="Z390" i="1"/>
  <c r="X390" i="1"/>
  <c r="AA390" i="1" s="1"/>
  <c r="Q390" i="1"/>
  <c r="O390" i="1"/>
  <c r="R390" i="1" s="1"/>
  <c r="H390" i="1"/>
  <c r="F390" i="1"/>
  <c r="I390" i="1" s="1"/>
  <c r="AI389" i="1"/>
  <c r="AG389" i="1"/>
  <c r="Z389" i="1"/>
  <c r="X389" i="1"/>
  <c r="AA389" i="1" s="1"/>
  <c r="Q389" i="1"/>
  <c r="O389" i="1"/>
  <c r="R389" i="1" s="1"/>
  <c r="H389" i="1"/>
  <c r="F389" i="1"/>
  <c r="AI388" i="1"/>
  <c r="AG388" i="1"/>
  <c r="AJ388" i="1" s="1"/>
  <c r="Z388" i="1"/>
  <c r="X388" i="1"/>
  <c r="AA388" i="1" s="1"/>
  <c r="Q388" i="1"/>
  <c r="O388" i="1"/>
  <c r="R388" i="1" s="1"/>
  <c r="H388" i="1"/>
  <c r="F388" i="1"/>
  <c r="AI387" i="1"/>
  <c r="AG387" i="1"/>
  <c r="Z387" i="1"/>
  <c r="X387" i="1"/>
  <c r="AA387" i="1" s="1"/>
  <c r="Q387" i="1"/>
  <c r="O387" i="1"/>
  <c r="R387" i="1" s="1"/>
  <c r="AI386" i="1"/>
  <c r="AG386" i="1"/>
  <c r="Z386" i="1"/>
  <c r="X386" i="1"/>
  <c r="AA386" i="1" s="1"/>
  <c r="Q386" i="1"/>
  <c r="O386" i="1"/>
  <c r="R386" i="1" s="1"/>
  <c r="H386" i="1"/>
  <c r="F386" i="1"/>
  <c r="I386" i="1" s="1"/>
  <c r="AI385" i="1"/>
  <c r="AG385" i="1"/>
  <c r="AJ385" i="1" s="1"/>
  <c r="Z385" i="1"/>
  <c r="X385" i="1"/>
  <c r="Q385" i="1"/>
  <c r="O385" i="1"/>
  <c r="R385" i="1" s="1"/>
  <c r="H385" i="1"/>
  <c r="F385" i="1"/>
  <c r="I385" i="1" s="1"/>
  <c r="Z384" i="1"/>
  <c r="X384" i="1"/>
  <c r="Q384" i="1"/>
  <c r="O384" i="1"/>
  <c r="R384" i="1" s="1"/>
  <c r="H384" i="1"/>
  <c r="F384" i="1"/>
  <c r="I384" i="1" s="1"/>
  <c r="AI383" i="1"/>
  <c r="AG383" i="1"/>
  <c r="AJ383" i="1" s="1"/>
  <c r="Z383" i="1"/>
  <c r="X383" i="1"/>
  <c r="AA383" i="1" s="1"/>
  <c r="Q383" i="1"/>
  <c r="O383" i="1"/>
  <c r="P383" i="1" s="1"/>
  <c r="H383" i="1"/>
  <c r="F383" i="1"/>
  <c r="G383" i="1" s="1"/>
  <c r="AI382" i="1"/>
  <c r="AG382" i="1"/>
  <c r="AH382" i="1" s="1"/>
  <c r="Z382" i="1"/>
  <c r="X382" i="1"/>
  <c r="Y382" i="1" s="1"/>
  <c r="Q382" i="1"/>
  <c r="O382" i="1"/>
  <c r="P382" i="1" s="1"/>
  <c r="H382" i="1"/>
  <c r="F382" i="1"/>
  <c r="G382" i="1" s="1"/>
  <c r="AI381" i="1"/>
  <c r="AG381" i="1"/>
  <c r="Z381" i="1"/>
  <c r="X381" i="1"/>
  <c r="Q381" i="1"/>
  <c r="O381" i="1"/>
  <c r="P381" i="1" s="1"/>
  <c r="H381" i="1"/>
  <c r="F381" i="1"/>
  <c r="G381" i="1" s="1"/>
  <c r="AI380" i="1"/>
  <c r="AG380" i="1"/>
  <c r="AH380" i="1" s="1"/>
  <c r="Z380" i="1"/>
  <c r="X380" i="1"/>
  <c r="Y380" i="1" s="1"/>
  <c r="Q380" i="1"/>
  <c r="O380" i="1"/>
  <c r="P380" i="1" s="1"/>
  <c r="H380" i="1"/>
  <c r="F380" i="1"/>
  <c r="G380" i="1" s="1"/>
  <c r="AI379" i="1"/>
  <c r="AG379" i="1"/>
  <c r="Z379" i="1"/>
  <c r="X379" i="1"/>
  <c r="Q379" i="1"/>
  <c r="O379" i="1"/>
  <c r="P379" i="1" s="1"/>
  <c r="AI378" i="1"/>
  <c r="AG378" i="1"/>
  <c r="AH378" i="1" s="1"/>
  <c r="Z378" i="1"/>
  <c r="X378" i="1"/>
  <c r="Y378" i="1" s="1"/>
  <c r="Q378" i="1"/>
  <c r="O378" i="1"/>
  <c r="P378" i="1" s="1"/>
  <c r="H378" i="1"/>
  <c r="F378" i="1"/>
  <c r="G378" i="1" s="1"/>
  <c r="AI377" i="1"/>
  <c r="AG377" i="1"/>
  <c r="AH377" i="1" s="1"/>
  <c r="Z377" i="1"/>
  <c r="X377" i="1"/>
  <c r="Q377" i="1"/>
  <c r="O377" i="1"/>
  <c r="H377" i="1"/>
  <c r="F377" i="1"/>
  <c r="G377" i="1" s="1"/>
  <c r="AI376" i="1"/>
  <c r="AG376" i="1"/>
  <c r="AH376" i="1" s="1"/>
  <c r="Z376" i="1"/>
  <c r="X376" i="1"/>
  <c r="Y376" i="1" s="1"/>
  <c r="Q376" i="1"/>
  <c r="O376" i="1"/>
  <c r="P376" i="1" s="1"/>
  <c r="H376" i="1"/>
  <c r="F376" i="1"/>
  <c r="G376" i="1" s="1"/>
  <c r="AI375" i="1"/>
  <c r="B36" i="2" s="1"/>
  <c r="AG375" i="1"/>
  <c r="AH375" i="1" s="1"/>
  <c r="Z375" i="1"/>
  <c r="X375" i="1"/>
  <c r="Q375" i="1"/>
  <c r="O375" i="1"/>
  <c r="P375" i="1" s="1"/>
  <c r="H375" i="1"/>
  <c r="F375" i="1"/>
  <c r="G375" i="1" s="1"/>
  <c r="AI374" i="1"/>
  <c r="AG374" i="1"/>
  <c r="AH374" i="1" s="1"/>
  <c r="Z374" i="1"/>
  <c r="X374" i="1"/>
  <c r="Y374" i="1" s="1"/>
  <c r="Q374" i="1"/>
  <c r="O374" i="1"/>
  <c r="P374" i="1" s="1"/>
  <c r="H374" i="1"/>
  <c r="F374" i="1"/>
  <c r="G374" i="1" s="1"/>
  <c r="AI373" i="1"/>
  <c r="AG373" i="1"/>
  <c r="AH373" i="1" s="1"/>
  <c r="Z373" i="1"/>
  <c r="X373" i="1"/>
  <c r="AA373" i="1" s="1"/>
  <c r="Q373" i="1"/>
  <c r="O373" i="1"/>
  <c r="P373" i="1" s="1"/>
  <c r="H373" i="1"/>
  <c r="F373" i="1"/>
  <c r="G373" i="1" s="1"/>
  <c r="AI372" i="1"/>
  <c r="AG372" i="1"/>
  <c r="Z372" i="1"/>
  <c r="X372" i="1"/>
  <c r="Q372" i="1"/>
  <c r="O372" i="1"/>
  <c r="P372" i="1" s="1"/>
  <c r="H372" i="1"/>
  <c r="F372" i="1"/>
  <c r="G372" i="1" s="1"/>
  <c r="AI371" i="1"/>
  <c r="AG371" i="1"/>
  <c r="AH371" i="1" s="1"/>
  <c r="Z371" i="1"/>
  <c r="X371" i="1"/>
  <c r="Q371" i="1"/>
  <c r="O371" i="1"/>
  <c r="H371" i="1"/>
  <c r="F371" i="1"/>
  <c r="G371" i="1" s="1"/>
  <c r="AI370" i="1"/>
  <c r="AG370" i="1"/>
  <c r="AH370" i="1" s="1"/>
  <c r="Z370" i="1"/>
  <c r="X370" i="1"/>
  <c r="Q370" i="1"/>
  <c r="O370" i="1"/>
  <c r="P370" i="1" s="1"/>
  <c r="H370" i="1"/>
  <c r="F370" i="1"/>
  <c r="G370" i="1" s="1"/>
  <c r="AI369" i="1"/>
  <c r="B143" i="2" s="1"/>
  <c r="AG369" i="1"/>
  <c r="AH369" i="1" s="1"/>
  <c r="Z369" i="1"/>
  <c r="X369" i="1"/>
  <c r="Q369" i="1"/>
  <c r="O369" i="1"/>
  <c r="P369" i="1" s="1"/>
  <c r="H369" i="1"/>
  <c r="F369" i="1"/>
  <c r="G369" i="1" s="1"/>
  <c r="AI368" i="1"/>
  <c r="AG368" i="1"/>
  <c r="Z368" i="1"/>
  <c r="X368" i="1"/>
  <c r="Q368" i="1"/>
  <c r="O368" i="1"/>
  <c r="P368" i="1" s="1"/>
  <c r="H368" i="1"/>
  <c r="F368" i="1"/>
  <c r="G368" i="1" s="1"/>
  <c r="AI367" i="1"/>
  <c r="AG367" i="1"/>
  <c r="AH367" i="1" s="1"/>
  <c r="Z367" i="1"/>
  <c r="X367" i="1"/>
  <c r="Q367" i="1"/>
  <c r="O367" i="1"/>
  <c r="H367" i="1"/>
  <c r="F367" i="1"/>
  <c r="G367" i="1" s="1"/>
  <c r="AI366" i="1"/>
  <c r="AG366" i="1"/>
  <c r="AH366" i="1" s="1"/>
  <c r="Z366" i="1"/>
  <c r="X366" i="1"/>
  <c r="Q366" i="1"/>
  <c r="O366" i="1"/>
  <c r="P366" i="1" s="1"/>
  <c r="H366" i="1"/>
  <c r="F366" i="1"/>
  <c r="G366" i="1" s="1"/>
  <c r="AI365" i="1"/>
  <c r="AG365" i="1"/>
  <c r="AH365" i="1" s="1"/>
  <c r="Z365" i="1"/>
  <c r="X365" i="1"/>
  <c r="Q365" i="1"/>
  <c r="O365" i="1"/>
  <c r="P365" i="1" s="1"/>
  <c r="H365" i="1"/>
  <c r="F365" i="1"/>
  <c r="G365" i="1" s="1"/>
  <c r="AI364" i="1"/>
  <c r="AG364" i="1"/>
  <c r="Z364" i="1"/>
  <c r="X364" i="1"/>
  <c r="Q364" i="1"/>
  <c r="O364" i="1"/>
  <c r="P364" i="1" s="1"/>
  <c r="H364" i="1"/>
  <c r="F364" i="1"/>
  <c r="G364" i="1" s="1"/>
  <c r="AI363" i="1"/>
  <c r="AG363" i="1"/>
  <c r="AH363" i="1" s="1"/>
  <c r="Z363" i="1"/>
  <c r="X363" i="1"/>
  <c r="Q363" i="1"/>
  <c r="O363" i="1"/>
  <c r="H363" i="1"/>
  <c r="F363" i="1"/>
  <c r="G363" i="1" s="1"/>
  <c r="AI362" i="1"/>
  <c r="AG362" i="1"/>
  <c r="AH362" i="1" s="1"/>
  <c r="Z362" i="1"/>
  <c r="X362" i="1"/>
  <c r="Q362" i="1"/>
  <c r="O362" i="1"/>
  <c r="P362" i="1" s="1"/>
  <c r="H362" i="1"/>
  <c r="F362" i="1"/>
  <c r="G362" i="1" s="1"/>
  <c r="AI361" i="1"/>
  <c r="AG361" i="1"/>
  <c r="AH361" i="1" s="1"/>
  <c r="Z361" i="1"/>
  <c r="X361" i="1"/>
  <c r="Q361" i="1"/>
  <c r="O361" i="1"/>
  <c r="P361" i="1" s="1"/>
  <c r="H361" i="1"/>
  <c r="F361" i="1"/>
  <c r="G361" i="1" s="1"/>
  <c r="AI360" i="1"/>
  <c r="B118" i="2" s="1"/>
  <c r="AG360" i="1"/>
  <c r="Z360" i="1"/>
  <c r="X360" i="1"/>
  <c r="Q360" i="1"/>
  <c r="O360" i="1"/>
  <c r="P360" i="1" s="1"/>
  <c r="H360" i="1"/>
  <c r="F360" i="1"/>
  <c r="G360" i="1" s="1"/>
  <c r="AI359" i="1"/>
  <c r="AG359" i="1"/>
  <c r="AH359" i="1" s="1"/>
  <c r="Z359" i="1"/>
  <c r="X359" i="1"/>
  <c r="Q359" i="1"/>
  <c r="O359" i="1"/>
  <c r="H359" i="1"/>
  <c r="F359" i="1"/>
  <c r="G359" i="1" s="1"/>
  <c r="AI358" i="1"/>
  <c r="AG358" i="1"/>
  <c r="AH358" i="1" s="1"/>
  <c r="Z358" i="1"/>
  <c r="X358" i="1"/>
  <c r="Q358" i="1"/>
  <c r="O358" i="1"/>
  <c r="P358" i="1" s="1"/>
  <c r="H358" i="1"/>
  <c r="F358" i="1"/>
  <c r="G358" i="1" s="1"/>
  <c r="AI357" i="1"/>
  <c r="AG357" i="1"/>
  <c r="AH357" i="1" s="1"/>
  <c r="Z357" i="1"/>
  <c r="X357" i="1"/>
  <c r="Q357" i="1"/>
  <c r="O357" i="1"/>
  <c r="P357" i="1" s="1"/>
  <c r="H357" i="1"/>
  <c r="F357" i="1"/>
  <c r="G357" i="1" s="1"/>
  <c r="AI356" i="1"/>
  <c r="AG356" i="1"/>
  <c r="AA356" i="1"/>
  <c r="Z356" i="1"/>
  <c r="Y356" i="1"/>
  <c r="Q356" i="1"/>
  <c r="O356" i="1"/>
  <c r="P356" i="1" s="1"/>
  <c r="H356" i="1"/>
  <c r="F356" i="1"/>
  <c r="G356" i="1" s="1"/>
  <c r="AI355" i="1"/>
  <c r="AG355" i="1"/>
  <c r="AH355" i="1" s="1"/>
  <c r="Z355" i="1"/>
  <c r="X355" i="1"/>
  <c r="Y355" i="1" s="1"/>
  <c r="Q355" i="1"/>
  <c r="B153" i="2" s="1"/>
  <c r="O355" i="1"/>
  <c r="P355" i="1" s="1"/>
  <c r="H355" i="1"/>
  <c r="F355" i="1"/>
  <c r="G355" i="1" s="1"/>
  <c r="AI354" i="1"/>
  <c r="AG354" i="1"/>
  <c r="AH354" i="1" s="1"/>
  <c r="Z354" i="1"/>
  <c r="X354" i="1"/>
  <c r="Y354" i="1" s="1"/>
  <c r="Q354" i="1"/>
  <c r="O354" i="1"/>
  <c r="P354" i="1" s="1"/>
  <c r="H354" i="1"/>
  <c r="F354" i="1"/>
  <c r="G354" i="1" s="1"/>
  <c r="AI353" i="1"/>
  <c r="AG353" i="1"/>
  <c r="AH353" i="1" s="1"/>
  <c r="Z353" i="1"/>
  <c r="X353" i="1"/>
  <c r="Y353" i="1" s="1"/>
  <c r="Q353" i="1"/>
  <c r="O353" i="1"/>
  <c r="P353" i="1" s="1"/>
  <c r="H353" i="1"/>
  <c r="F353" i="1"/>
  <c r="G353" i="1" s="1"/>
  <c r="AI352" i="1"/>
  <c r="AG352" i="1"/>
  <c r="AH352" i="1" s="1"/>
  <c r="Z352" i="1"/>
  <c r="X352" i="1"/>
  <c r="Y352" i="1" s="1"/>
  <c r="Q352" i="1"/>
  <c r="O352" i="1"/>
  <c r="P352" i="1" s="1"/>
  <c r="H352" i="1"/>
  <c r="F352" i="1"/>
  <c r="G352" i="1" s="1"/>
  <c r="AI351" i="1"/>
  <c r="AG351" i="1"/>
  <c r="AJ351" i="1" s="1"/>
  <c r="Z351" i="1"/>
  <c r="X351" i="1"/>
  <c r="AA351" i="1" s="1"/>
  <c r="Q351" i="1"/>
  <c r="O351" i="1"/>
  <c r="H351" i="1"/>
  <c r="F351" i="1"/>
  <c r="I351" i="1" s="1"/>
  <c r="AI350" i="1"/>
  <c r="AG350" i="1"/>
  <c r="AJ350" i="1" s="1"/>
  <c r="Z350" i="1"/>
  <c r="X350" i="1"/>
  <c r="AA350" i="1" s="1"/>
  <c r="Q350" i="1"/>
  <c r="O350" i="1"/>
  <c r="R350" i="1" s="1"/>
  <c r="H350" i="1"/>
  <c r="F350" i="1"/>
  <c r="I350" i="1" s="1"/>
  <c r="AI349" i="1"/>
  <c r="AG349" i="1"/>
  <c r="AJ349" i="1" s="1"/>
  <c r="Z349" i="1"/>
  <c r="X349" i="1"/>
  <c r="AA349" i="1" s="1"/>
  <c r="Q349" i="1"/>
  <c r="O349" i="1"/>
  <c r="H349" i="1"/>
  <c r="F349" i="1"/>
  <c r="AI348" i="1"/>
  <c r="AG348" i="1"/>
  <c r="AJ348" i="1" s="1"/>
  <c r="Z348" i="1"/>
  <c r="X348" i="1"/>
  <c r="AA348" i="1" s="1"/>
  <c r="Q348" i="1"/>
  <c r="O348" i="1"/>
  <c r="R348" i="1" s="1"/>
  <c r="AI347" i="1"/>
  <c r="AG347" i="1"/>
  <c r="AJ347" i="1" s="1"/>
  <c r="Z347" i="1"/>
  <c r="X347" i="1"/>
  <c r="AA347" i="1" s="1"/>
  <c r="Q347" i="1"/>
  <c r="O347" i="1"/>
  <c r="R347" i="1" s="1"/>
  <c r="H347" i="1"/>
  <c r="F347" i="1"/>
  <c r="AI346" i="1"/>
  <c r="AG346" i="1"/>
  <c r="Z346" i="1"/>
  <c r="X346" i="1"/>
  <c r="AA346" i="1" s="1"/>
  <c r="Q346" i="1"/>
  <c r="O346" i="1"/>
  <c r="R346" i="1" s="1"/>
  <c r="Z345" i="1"/>
  <c r="X345" i="1"/>
  <c r="AA345" i="1" s="1"/>
  <c r="Q345" i="1"/>
  <c r="O345" i="1"/>
  <c r="H345" i="1"/>
  <c r="F345" i="1"/>
  <c r="I345" i="1" s="1"/>
  <c r="AJ344" i="1"/>
  <c r="AI344" i="1"/>
  <c r="AH344" i="1"/>
  <c r="Z344" i="1"/>
  <c r="X344" i="1"/>
  <c r="Q344" i="1"/>
  <c r="O344" i="1"/>
  <c r="P344" i="1" s="1"/>
  <c r="H344" i="1"/>
  <c r="F344" i="1"/>
  <c r="G344" i="1" s="1"/>
  <c r="AI343" i="1"/>
  <c r="AG343" i="1"/>
  <c r="AH343" i="1" s="1"/>
  <c r="AA343" i="1"/>
  <c r="Z343" i="1"/>
  <c r="Y343" i="1"/>
  <c r="Q343" i="1"/>
  <c r="O343" i="1"/>
  <c r="H343" i="1"/>
  <c r="F343" i="1"/>
  <c r="AI342" i="1"/>
  <c r="AG342" i="1"/>
  <c r="AH342" i="1" s="1"/>
  <c r="Z342" i="1"/>
  <c r="X342" i="1"/>
  <c r="Y342" i="1" s="1"/>
  <c r="Q342" i="1"/>
  <c r="O342" i="1"/>
  <c r="P342" i="1" s="1"/>
  <c r="I342" i="1"/>
  <c r="H342" i="1"/>
  <c r="G342" i="1"/>
  <c r="AI341" i="1"/>
  <c r="AG341" i="1"/>
  <c r="AH341" i="1" s="1"/>
  <c r="Z341" i="1"/>
  <c r="X341" i="1"/>
  <c r="Q341" i="1"/>
  <c r="O341" i="1"/>
  <c r="P341" i="1" s="1"/>
  <c r="H341" i="1"/>
  <c r="F341" i="1"/>
  <c r="G341" i="1" s="1"/>
  <c r="AI340" i="1"/>
  <c r="AG340" i="1"/>
  <c r="AH340" i="1" s="1"/>
  <c r="Z340" i="1"/>
  <c r="X340" i="1"/>
  <c r="Y340" i="1" s="1"/>
  <c r="Q340" i="1"/>
  <c r="O340" i="1"/>
  <c r="P340" i="1" s="1"/>
  <c r="H340" i="1"/>
  <c r="F340" i="1"/>
  <c r="G340" i="1" s="1"/>
  <c r="AI339" i="1"/>
  <c r="AG339" i="1"/>
  <c r="AH339" i="1" s="1"/>
  <c r="Z339" i="1"/>
  <c r="X339" i="1"/>
  <c r="Y339" i="1" s="1"/>
  <c r="Q339" i="1"/>
  <c r="O339" i="1"/>
  <c r="P339" i="1" s="1"/>
  <c r="H339" i="1"/>
  <c r="F339" i="1"/>
  <c r="G339" i="1" s="1"/>
  <c r="AI338" i="1"/>
  <c r="AG338" i="1"/>
  <c r="AH338" i="1" s="1"/>
  <c r="Z338" i="1"/>
  <c r="X338" i="1"/>
  <c r="Y338" i="1" s="1"/>
  <c r="Q338" i="1"/>
  <c r="O338" i="1"/>
  <c r="P338" i="1" s="1"/>
  <c r="H338" i="1"/>
  <c r="F338" i="1"/>
  <c r="G338" i="1" s="1"/>
  <c r="AI337" i="1"/>
  <c r="AG337" i="1"/>
  <c r="AH337" i="1" s="1"/>
  <c r="Z337" i="1"/>
  <c r="X337" i="1"/>
  <c r="AA337" i="1" s="1"/>
  <c r="Q337" i="1"/>
  <c r="O337" i="1"/>
  <c r="R337" i="1" s="1"/>
  <c r="H337" i="1"/>
  <c r="F337" i="1"/>
  <c r="I337" i="1" s="1"/>
  <c r="AI336" i="1"/>
  <c r="AG336" i="1"/>
  <c r="AJ336" i="1" s="1"/>
  <c r="Z336" i="1"/>
  <c r="X336" i="1"/>
  <c r="AA336" i="1" s="1"/>
  <c r="Q336" i="1"/>
  <c r="O336" i="1"/>
  <c r="H336" i="1"/>
  <c r="F336" i="1"/>
  <c r="I336" i="1" s="1"/>
  <c r="AI335" i="1"/>
  <c r="AG335" i="1"/>
  <c r="AJ335" i="1" s="1"/>
  <c r="Z335" i="1"/>
  <c r="X335" i="1"/>
  <c r="AA335" i="1" s="1"/>
  <c r="Q335" i="1"/>
  <c r="O335" i="1"/>
  <c r="R335" i="1" s="1"/>
  <c r="H335" i="1"/>
  <c r="F335" i="1"/>
  <c r="I335" i="1" s="1"/>
  <c r="AI334" i="1"/>
  <c r="AG334" i="1"/>
  <c r="AJ334" i="1" s="1"/>
  <c r="AA334" i="1"/>
  <c r="Z334" i="1"/>
  <c r="Y334" i="1"/>
  <c r="AI333" i="1"/>
  <c r="AG333" i="1"/>
  <c r="Z333" i="1"/>
  <c r="X333" i="1"/>
  <c r="Y333" i="1" s="1"/>
  <c r="Q333" i="1"/>
  <c r="O333" i="1"/>
  <c r="P333" i="1" s="1"/>
  <c r="H333" i="1"/>
  <c r="F333" i="1"/>
  <c r="G333" i="1" s="1"/>
  <c r="AI332" i="1"/>
  <c r="AG332" i="1"/>
  <c r="Z332" i="1"/>
  <c r="X332" i="1"/>
  <c r="AA332" i="1" s="1"/>
  <c r="Q332" i="1"/>
  <c r="O332" i="1"/>
  <c r="P332" i="1" s="1"/>
  <c r="H332" i="1"/>
  <c r="F332" i="1"/>
  <c r="G332" i="1" s="1"/>
  <c r="AI331" i="1"/>
  <c r="AG331" i="1"/>
  <c r="AH331" i="1" s="1"/>
  <c r="Z331" i="1"/>
  <c r="X331" i="1"/>
  <c r="Q331" i="1"/>
  <c r="O331" i="1"/>
  <c r="H331" i="1"/>
  <c r="F331" i="1"/>
  <c r="G331" i="1" s="1"/>
  <c r="AI330" i="1"/>
  <c r="AG330" i="1"/>
  <c r="AH330" i="1" s="1"/>
  <c r="AA330" i="1"/>
  <c r="Z330" i="1"/>
  <c r="Y330" i="1"/>
  <c r="Q330" i="1"/>
  <c r="B89" i="2" s="1"/>
  <c r="O330" i="1"/>
  <c r="AI329" i="1"/>
  <c r="AG329" i="1"/>
  <c r="AH329" i="1" s="1"/>
  <c r="Z329" i="1"/>
  <c r="X329" i="1"/>
  <c r="Y329" i="1" s="1"/>
  <c r="Q329" i="1"/>
  <c r="O329" i="1"/>
  <c r="P329" i="1" s="1"/>
  <c r="H329" i="1"/>
  <c r="F329" i="1"/>
  <c r="AI328" i="1"/>
  <c r="AG328" i="1"/>
  <c r="AH328" i="1" s="1"/>
  <c r="Z328" i="1"/>
  <c r="X328" i="1"/>
  <c r="Y328" i="1" s="1"/>
  <c r="Q328" i="1"/>
  <c r="O328" i="1"/>
  <c r="P328" i="1" s="1"/>
  <c r="H328" i="1"/>
  <c r="F328" i="1"/>
  <c r="AI327" i="1"/>
  <c r="AG327" i="1"/>
  <c r="AH327" i="1" s="1"/>
  <c r="Z327" i="1"/>
  <c r="X327" i="1"/>
  <c r="Y327" i="1" s="1"/>
  <c r="Q327" i="1"/>
  <c r="O327" i="1"/>
  <c r="P327" i="1" s="1"/>
  <c r="H327" i="1"/>
  <c r="F327" i="1"/>
  <c r="AI326" i="1"/>
  <c r="AG326" i="1"/>
  <c r="AH326" i="1" s="1"/>
  <c r="Z326" i="1"/>
  <c r="X326" i="1"/>
  <c r="Y326" i="1" s="1"/>
  <c r="Q326" i="1"/>
  <c r="O326" i="1"/>
  <c r="P326" i="1" s="1"/>
  <c r="H326" i="1"/>
  <c r="F326" i="1"/>
  <c r="AI325" i="1"/>
  <c r="AG325" i="1"/>
  <c r="AH325" i="1" s="1"/>
  <c r="AA325" i="1"/>
  <c r="Z325" i="1"/>
  <c r="Y325" i="1"/>
  <c r="Q325" i="1"/>
  <c r="O325" i="1"/>
  <c r="R325" i="1" s="1"/>
  <c r="H325" i="1"/>
  <c r="F325" i="1"/>
  <c r="I325" i="1" s="1"/>
  <c r="AI324" i="1"/>
  <c r="AG324" i="1"/>
  <c r="AJ324" i="1" s="1"/>
  <c r="Z324" i="1"/>
  <c r="X324" i="1"/>
  <c r="Q324" i="1"/>
  <c r="O324" i="1"/>
  <c r="R324" i="1" s="1"/>
  <c r="H324" i="1"/>
  <c r="F324" i="1"/>
  <c r="I324" i="1" s="1"/>
  <c r="AI323" i="1"/>
  <c r="AG323" i="1"/>
  <c r="Z323" i="1"/>
  <c r="X323" i="1"/>
  <c r="AA323" i="1" s="1"/>
  <c r="Q323" i="1"/>
  <c r="O323" i="1"/>
  <c r="R323" i="1" s="1"/>
  <c r="H323" i="1"/>
  <c r="F323" i="1"/>
  <c r="I323" i="1" s="1"/>
  <c r="AI322" i="1"/>
  <c r="AG322" i="1"/>
  <c r="Z322" i="1"/>
  <c r="X322" i="1"/>
  <c r="AA322" i="1" s="1"/>
  <c r="Q322" i="1"/>
  <c r="O322" i="1"/>
  <c r="R322" i="1" s="1"/>
  <c r="H322" i="1"/>
  <c r="F322" i="1"/>
  <c r="I322" i="1" s="1"/>
  <c r="AI321" i="1"/>
  <c r="AG321" i="1"/>
  <c r="Z321" i="1"/>
  <c r="X321" i="1"/>
  <c r="AA321" i="1" s="1"/>
  <c r="Q321" i="1"/>
  <c r="O321" i="1"/>
  <c r="R321" i="1" s="1"/>
  <c r="H321" i="1"/>
  <c r="F321" i="1"/>
  <c r="I321" i="1" s="1"/>
  <c r="AI320" i="1"/>
  <c r="AG320" i="1"/>
  <c r="AJ320" i="1" s="1"/>
  <c r="Z320" i="1"/>
  <c r="X320" i="1"/>
  <c r="AA320" i="1" s="1"/>
  <c r="Q320" i="1"/>
  <c r="B56" i="2" s="1"/>
  <c r="O320" i="1"/>
  <c r="R320" i="1" s="1"/>
  <c r="H320" i="1"/>
  <c r="F320" i="1"/>
  <c r="I320" i="1" s="1"/>
  <c r="AI319" i="1"/>
  <c r="AG319" i="1"/>
  <c r="Z319" i="1"/>
  <c r="X319" i="1"/>
  <c r="AA319" i="1" s="1"/>
  <c r="Q319" i="1"/>
  <c r="O319" i="1"/>
  <c r="R319" i="1" s="1"/>
  <c r="H319" i="1"/>
  <c r="F319" i="1"/>
  <c r="I319" i="1" s="1"/>
  <c r="AI318" i="1"/>
  <c r="AG318" i="1"/>
  <c r="AJ318" i="1" s="1"/>
  <c r="Z318" i="1"/>
  <c r="X318" i="1"/>
  <c r="AA318" i="1" s="1"/>
  <c r="Q318" i="1"/>
  <c r="O318" i="1"/>
  <c r="R318" i="1" s="1"/>
  <c r="H318" i="1"/>
  <c r="F318" i="1"/>
  <c r="I318" i="1" s="1"/>
  <c r="AI317" i="1"/>
  <c r="AG317" i="1"/>
  <c r="AJ317" i="1" s="1"/>
  <c r="Z317" i="1"/>
  <c r="X317" i="1"/>
  <c r="AA317" i="1" s="1"/>
  <c r="Q317" i="1"/>
  <c r="O317" i="1"/>
  <c r="R317" i="1" s="1"/>
  <c r="H317" i="1"/>
  <c r="F317" i="1"/>
  <c r="I317" i="1" s="1"/>
  <c r="AI316" i="1"/>
  <c r="AG316" i="1"/>
  <c r="AJ316" i="1" s="1"/>
  <c r="Z316" i="1"/>
  <c r="X316" i="1"/>
  <c r="AA316" i="1" s="1"/>
  <c r="Q316" i="1"/>
  <c r="O316" i="1"/>
  <c r="R316" i="1" s="1"/>
  <c r="H316" i="1"/>
  <c r="F316" i="1"/>
  <c r="I316" i="1" s="1"/>
  <c r="C178" i="2" s="1"/>
  <c r="AI315" i="1"/>
  <c r="AG315" i="1"/>
  <c r="AJ315" i="1" s="1"/>
  <c r="Z315" i="1"/>
  <c r="X315" i="1"/>
  <c r="AA315" i="1" s="1"/>
  <c r="Q315" i="1"/>
  <c r="O315" i="1"/>
  <c r="R315" i="1" s="1"/>
  <c r="H315" i="1"/>
  <c r="F315" i="1"/>
  <c r="I315" i="1" s="1"/>
  <c r="AI314" i="1"/>
  <c r="AG314" i="1"/>
  <c r="AJ314" i="1" s="1"/>
  <c r="Z314" i="1"/>
  <c r="X314" i="1"/>
  <c r="AA314" i="1" s="1"/>
  <c r="Q314" i="1"/>
  <c r="O314" i="1"/>
  <c r="R314" i="1" s="1"/>
  <c r="H314" i="1"/>
  <c r="F314" i="1"/>
  <c r="I314" i="1" s="1"/>
  <c r="AI313" i="1"/>
  <c r="AG313" i="1"/>
  <c r="AJ313" i="1" s="1"/>
  <c r="Z313" i="1"/>
  <c r="X313" i="1"/>
  <c r="AA313" i="1" s="1"/>
  <c r="Q313" i="1"/>
  <c r="O313" i="1"/>
  <c r="R313" i="1" s="1"/>
  <c r="H313" i="1"/>
  <c r="F313" i="1"/>
  <c r="I313" i="1" s="1"/>
  <c r="AI312" i="1"/>
  <c r="AG312" i="1"/>
  <c r="AJ312" i="1" s="1"/>
  <c r="AA312" i="1"/>
  <c r="Z312" i="1"/>
  <c r="Y312" i="1"/>
  <c r="Q312" i="1"/>
  <c r="O312" i="1"/>
  <c r="P312" i="1" s="1"/>
  <c r="H312" i="1"/>
  <c r="F312" i="1"/>
  <c r="AI311" i="1"/>
  <c r="AG311" i="1"/>
  <c r="AH311" i="1" s="1"/>
  <c r="Z311" i="1"/>
  <c r="X311" i="1"/>
  <c r="Y311" i="1" s="1"/>
  <c r="Q311" i="1"/>
  <c r="O311" i="1"/>
  <c r="P311" i="1" s="1"/>
  <c r="H311" i="1"/>
  <c r="F311" i="1"/>
  <c r="AI310" i="1"/>
  <c r="AG310" i="1"/>
  <c r="AH310" i="1" s="1"/>
  <c r="Z310" i="1"/>
  <c r="X310" i="1"/>
  <c r="Y310" i="1" s="1"/>
  <c r="Q310" i="1"/>
  <c r="O310" i="1"/>
  <c r="I310" i="1"/>
  <c r="H310" i="1"/>
  <c r="G310" i="1"/>
  <c r="AI309" i="1"/>
  <c r="AG309" i="1"/>
  <c r="AH309" i="1" s="1"/>
  <c r="Z309" i="1"/>
  <c r="X309" i="1"/>
  <c r="AA309" i="1" s="1"/>
  <c r="Q309" i="1"/>
  <c r="O309" i="1"/>
  <c r="R309" i="1" s="1"/>
  <c r="H309" i="1"/>
  <c r="F309" i="1"/>
  <c r="AI308" i="1"/>
  <c r="AG308" i="1"/>
  <c r="AJ308" i="1" s="1"/>
  <c r="Z308" i="1"/>
  <c r="X308" i="1"/>
  <c r="Q308" i="1"/>
  <c r="O308" i="1"/>
  <c r="R308" i="1" s="1"/>
  <c r="H308" i="1"/>
  <c r="F308" i="1"/>
  <c r="I308" i="1" s="1"/>
  <c r="AI307" i="1"/>
  <c r="AG307" i="1"/>
  <c r="AJ307" i="1" s="1"/>
  <c r="Z307" i="1"/>
  <c r="X307" i="1"/>
  <c r="Q307" i="1"/>
  <c r="O307" i="1"/>
  <c r="R307" i="1" s="1"/>
  <c r="H307" i="1"/>
  <c r="F307" i="1"/>
  <c r="I307" i="1" s="1"/>
  <c r="AI306" i="1"/>
  <c r="AG306" i="1"/>
  <c r="AJ306" i="1" s="1"/>
  <c r="Z306" i="1"/>
  <c r="X306" i="1"/>
  <c r="Q306" i="1"/>
  <c r="O306" i="1"/>
  <c r="R306" i="1" s="1"/>
  <c r="H306" i="1"/>
  <c r="F306" i="1"/>
  <c r="I306" i="1" s="1"/>
  <c r="AI305" i="1"/>
  <c r="AG305" i="1"/>
  <c r="Z305" i="1"/>
  <c r="X305" i="1"/>
  <c r="Q305" i="1"/>
  <c r="O305" i="1"/>
  <c r="R305" i="1" s="1"/>
  <c r="I305" i="1"/>
  <c r="H305" i="1"/>
  <c r="G305" i="1"/>
  <c r="AI304" i="1"/>
  <c r="AG304" i="1"/>
  <c r="AJ304" i="1" s="1"/>
  <c r="Z304" i="1"/>
  <c r="X304" i="1"/>
  <c r="AA304" i="1" s="1"/>
  <c r="Q304" i="1"/>
  <c r="O304" i="1"/>
  <c r="R304" i="1" s="1"/>
  <c r="H304" i="1"/>
  <c r="F304" i="1"/>
  <c r="I304" i="1" s="1"/>
  <c r="AI303" i="1"/>
  <c r="AG303" i="1"/>
  <c r="AJ303" i="1" s="1"/>
  <c r="Z303" i="1"/>
  <c r="X303" i="1"/>
  <c r="AA303" i="1" s="1"/>
  <c r="Q303" i="1"/>
  <c r="O303" i="1"/>
  <c r="R303" i="1" s="1"/>
  <c r="H303" i="1"/>
  <c r="F303" i="1"/>
  <c r="I303" i="1" s="1"/>
  <c r="AI302" i="1"/>
  <c r="AG302" i="1"/>
  <c r="AJ302" i="1" s="1"/>
  <c r="Z302" i="1"/>
  <c r="X302" i="1"/>
  <c r="AA302" i="1" s="1"/>
  <c r="H302" i="1"/>
  <c r="F302" i="1"/>
  <c r="I302" i="1" s="1"/>
  <c r="AI301" i="1"/>
  <c r="AG301" i="1"/>
  <c r="AJ301" i="1" s="1"/>
  <c r="Z301" i="1"/>
  <c r="X301" i="1"/>
  <c r="AA301" i="1" s="1"/>
  <c r="Q301" i="1"/>
  <c r="O301" i="1"/>
  <c r="R301" i="1" s="1"/>
  <c r="H301" i="1"/>
  <c r="F301" i="1"/>
  <c r="I301" i="1" s="1"/>
  <c r="AI300" i="1"/>
  <c r="AG300" i="1"/>
  <c r="AJ300" i="1" s="1"/>
  <c r="Z300" i="1"/>
  <c r="X300" i="1"/>
  <c r="AA300" i="1" s="1"/>
  <c r="Q300" i="1"/>
  <c r="O300" i="1"/>
  <c r="R300" i="1" s="1"/>
  <c r="H300" i="1"/>
  <c r="F300" i="1"/>
  <c r="I300" i="1" s="1"/>
  <c r="AI299" i="1"/>
  <c r="AG299" i="1"/>
  <c r="AJ299" i="1" s="1"/>
  <c r="Z299" i="1"/>
  <c r="X299" i="1"/>
  <c r="AA299" i="1" s="1"/>
  <c r="Q299" i="1"/>
  <c r="O299" i="1"/>
  <c r="R299" i="1" s="1"/>
  <c r="H299" i="1"/>
  <c r="F299" i="1"/>
  <c r="I299" i="1" s="1"/>
  <c r="AI298" i="1"/>
  <c r="AG298" i="1"/>
  <c r="AJ298" i="1" s="1"/>
  <c r="Z298" i="1"/>
  <c r="X298" i="1"/>
  <c r="AA298" i="1" s="1"/>
  <c r="Q298" i="1"/>
  <c r="O298" i="1"/>
  <c r="R298" i="1" s="1"/>
  <c r="H298" i="1"/>
  <c r="F298" i="1"/>
  <c r="I298" i="1" s="1"/>
  <c r="AI297" i="1"/>
  <c r="AG297" i="1"/>
  <c r="AJ297" i="1" s="1"/>
  <c r="Z297" i="1"/>
  <c r="X297" i="1"/>
  <c r="AA297" i="1" s="1"/>
  <c r="Q297" i="1"/>
  <c r="O297" i="1"/>
  <c r="R297" i="1" s="1"/>
  <c r="H297" i="1"/>
  <c r="F297" i="1"/>
  <c r="I297" i="1" s="1"/>
  <c r="AI296" i="1"/>
  <c r="AG296" i="1"/>
  <c r="AJ296" i="1" s="1"/>
  <c r="Z296" i="1"/>
  <c r="X296" i="1"/>
  <c r="AA296" i="1" s="1"/>
  <c r="Q296" i="1"/>
  <c r="O296" i="1"/>
  <c r="R296" i="1" s="1"/>
  <c r="H296" i="1"/>
  <c r="F296" i="1"/>
  <c r="I296" i="1" s="1"/>
  <c r="AI295" i="1"/>
  <c r="AG295" i="1"/>
  <c r="AJ295" i="1" s="1"/>
  <c r="Z295" i="1"/>
  <c r="X295" i="1"/>
  <c r="AA295" i="1" s="1"/>
  <c r="Q295" i="1"/>
  <c r="O295" i="1"/>
  <c r="R295" i="1" s="1"/>
  <c r="H295" i="1"/>
  <c r="F295" i="1"/>
  <c r="I295" i="1" s="1"/>
  <c r="AI294" i="1"/>
  <c r="AG294" i="1"/>
  <c r="AJ294" i="1" s="1"/>
  <c r="Q294" i="1"/>
  <c r="O294" i="1"/>
  <c r="R294" i="1" s="1"/>
  <c r="H294" i="1"/>
  <c r="F294" i="1"/>
  <c r="I294" i="1" s="1"/>
  <c r="AI293" i="1"/>
  <c r="AG293" i="1"/>
  <c r="AJ293" i="1" s="1"/>
  <c r="Z293" i="1"/>
  <c r="X293" i="1"/>
  <c r="AA293" i="1" s="1"/>
  <c r="Q293" i="1"/>
  <c r="O293" i="1"/>
  <c r="R293" i="1" s="1"/>
  <c r="H293" i="1"/>
  <c r="F293" i="1"/>
  <c r="I293" i="1" s="1"/>
  <c r="AI292" i="1"/>
  <c r="AG292" i="1"/>
  <c r="AJ292" i="1" s="1"/>
  <c r="Z292" i="1"/>
  <c r="X292" i="1"/>
  <c r="AA292" i="1" s="1"/>
  <c r="Q292" i="1"/>
  <c r="O292" i="1"/>
  <c r="R292" i="1" s="1"/>
  <c r="H292" i="1"/>
  <c r="F292" i="1"/>
  <c r="I292" i="1" s="1"/>
  <c r="AI291" i="1"/>
  <c r="AG291" i="1"/>
  <c r="AJ291" i="1" s="1"/>
  <c r="Z291" i="1"/>
  <c r="X291" i="1"/>
  <c r="AA291" i="1" s="1"/>
  <c r="Q291" i="1"/>
  <c r="O291" i="1"/>
  <c r="R291" i="1" s="1"/>
  <c r="H291" i="1"/>
  <c r="F291" i="1"/>
  <c r="I291" i="1" s="1"/>
  <c r="AI290" i="1"/>
  <c r="AG290" i="1"/>
  <c r="AJ290" i="1" s="1"/>
  <c r="Z290" i="1"/>
  <c r="X290" i="1"/>
  <c r="AA290" i="1" s="1"/>
  <c r="Q290" i="1"/>
  <c r="O290" i="1"/>
  <c r="R290" i="1" s="1"/>
  <c r="H290" i="1"/>
  <c r="F290" i="1"/>
  <c r="I290" i="1" s="1"/>
  <c r="AI289" i="1"/>
  <c r="AG289" i="1"/>
  <c r="AJ289" i="1" s="1"/>
  <c r="Z289" i="1"/>
  <c r="X289" i="1"/>
  <c r="AA289" i="1" s="1"/>
  <c r="Q289" i="1"/>
  <c r="O289" i="1"/>
  <c r="R289" i="1" s="1"/>
  <c r="H289" i="1"/>
  <c r="F289" i="1"/>
  <c r="I289" i="1" s="1"/>
  <c r="AI288" i="1"/>
  <c r="AG288" i="1"/>
  <c r="AJ288" i="1" s="1"/>
  <c r="Z288" i="1"/>
  <c r="X288" i="1"/>
  <c r="AA288" i="1" s="1"/>
  <c r="Q288" i="1"/>
  <c r="O288" i="1"/>
  <c r="R288" i="1" s="1"/>
  <c r="H288" i="1"/>
  <c r="F288" i="1"/>
  <c r="I288" i="1" s="1"/>
  <c r="AI287" i="1"/>
  <c r="AG287" i="1"/>
  <c r="AJ287" i="1" s="1"/>
  <c r="Z287" i="1"/>
  <c r="X287" i="1"/>
  <c r="AA287" i="1" s="1"/>
  <c r="Q287" i="1"/>
  <c r="O287" i="1"/>
  <c r="R287" i="1" s="1"/>
  <c r="H287" i="1"/>
  <c r="F287" i="1"/>
  <c r="I287" i="1" s="1"/>
  <c r="AI286" i="1"/>
  <c r="AG286" i="1"/>
  <c r="AJ286" i="1" s="1"/>
  <c r="Z286" i="1"/>
  <c r="X286" i="1"/>
  <c r="AA286" i="1" s="1"/>
  <c r="Q286" i="1"/>
  <c r="O286" i="1"/>
  <c r="R286" i="1" s="1"/>
  <c r="H286" i="1"/>
  <c r="F286" i="1"/>
  <c r="I286" i="1" s="1"/>
  <c r="AI285" i="1"/>
  <c r="AG285" i="1"/>
  <c r="AJ285" i="1" s="1"/>
  <c r="Z285" i="1"/>
  <c r="X285" i="1"/>
  <c r="AA285" i="1" s="1"/>
  <c r="Q285" i="1"/>
  <c r="O285" i="1"/>
  <c r="R285" i="1" s="1"/>
  <c r="AI284" i="1"/>
  <c r="AG284" i="1"/>
  <c r="AJ284" i="1" s="1"/>
  <c r="Z284" i="1"/>
  <c r="X284" i="1"/>
  <c r="AA284" i="1" s="1"/>
  <c r="Q284" i="1"/>
  <c r="O284" i="1"/>
  <c r="R284" i="1" s="1"/>
  <c r="H284" i="1"/>
  <c r="F284" i="1"/>
  <c r="I284" i="1" s="1"/>
  <c r="AI283" i="1"/>
  <c r="AG283" i="1"/>
  <c r="AJ283" i="1" s="1"/>
  <c r="Z283" i="1"/>
  <c r="X283" i="1"/>
  <c r="AA283" i="1" s="1"/>
  <c r="Q283" i="1"/>
  <c r="O283" i="1"/>
  <c r="R283" i="1" s="1"/>
  <c r="H283" i="1"/>
  <c r="F283" i="1"/>
  <c r="I283" i="1" s="1"/>
  <c r="AI282" i="1"/>
  <c r="AG282" i="1"/>
  <c r="AJ282" i="1" s="1"/>
  <c r="Z282" i="1"/>
  <c r="X282" i="1"/>
  <c r="AA282" i="1" s="1"/>
  <c r="Q282" i="1"/>
  <c r="O282" i="1"/>
  <c r="R282" i="1" s="1"/>
  <c r="H282" i="1"/>
  <c r="F282" i="1"/>
  <c r="I282" i="1" s="1"/>
  <c r="AI281" i="1"/>
  <c r="AG281" i="1"/>
  <c r="AJ281" i="1" s="1"/>
  <c r="Z281" i="1"/>
  <c r="X281" i="1"/>
  <c r="AA281" i="1" s="1"/>
  <c r="Q281" i="1"/>
  <c r="O281" i="1"/>
  <c r="R281" i="1" s="1"/>
  <c r="H281" i="1"/>
  <c r="F281" i="1"/>
  <c r="I281" i="1" s="1"/>
  <c r="AI280" i="1"/>
  <c r="AG280" i="1"/>
  <c r="AJ280" i="1" s="1"/>
  <c r="Z280" i="1"/>
  <c r="X280" i="1"/>
  <c r="AA280" i="1" s="1"/>
  <c r="Q280" i="1"/>
  <c r="O280" i="1"/>
  <c r="R280" i="1" s="1"/>
  <c r="H280" i="1"/>
  <c r="F280" i="1"/>
  <c r="I280" i="1" s="1"/>
  <c r="AI279" i="1"/>
  <c r="AG279" i="1"/>
  <c r="AJ279" i="1" s="1"/>
  <c r="Z279" i="1"/>
  <c r="X279" i="1"/>
  <c r="AA279" i="1" s="1"/>
  <c r="Q279" i="1"/>
  <c r="O279" i="1"/>
  <c r="R279" i="1" s="1"/>
  <c r="H279" i="1"/>
  <c r="F279" i="1"/>
  <c r="I279" i="1" s="1"/>
  <c r="AI278" i="1"/>
  <c r="AG278" i="1"/>
  <c r="AJ278" i="1" s="1"/>
  <c r="Z278" i="1"/>
  <c r="X278" i="1"/>
  <c r="AA278" i="1" s="1"/>
  <c r="Q278" i="1"/>
  <c r="O278" i="1"/>
  <c r="R278" i="1" s="1"/>
  <c r="H278" i="1"/>
  <c r="F278" i="1"/>
  <c r="I278" i="1" s="1"/>
  <c r="AI277" i="1"/>
  <c r="AG277" i="1"/>
  <c r="AJ277" i="1" s="1"/>
  <c r="Z277" i="1"/>
  <c r="X277" i="1"/>
  <c r="AA277" i="1" s="1"/>
  <c r="Q277" i="1"/>
  <c r="O277" i="1"/>
  <c r="R277" i="1" s="1"/>
  <c r="H277" i="1"/>
  <c r="F277" i="1"/>
  <c r="I277" i="1" s="1"/>
  <c r="AI276" i="1"/>
  <c r="AG276" i="1"/>
  <c r="AJ276" i="1" s="1"/>
  <c r="Z276" i="1"/>
  <c r="X276" i="1"/>
  <c r="AA276" i="1" s="1"/>
  <c r="Q276" i="1"/>
  <c r="O276" i="1"/>
  <c r="R276" i="1" s="1"/>
  <c r="H276" i="1"/>
  <c r="F276" i="1"/>
  <c r="I276" i="1" s="1"/>
  <c r="AI275" i="1"/>
  <c r="AG275" i="1"/>
  <c r="AJ275" i="1" s="1"/>
  <c r="Z275" i="1"/>
  <c r="X275" i="1"/>
  <c r="AA275" i="1" s="1"/>
  <c r="Q275" i="1"/>
  <c r="O275" i="1"/>
  <c r="R275" i="1" s="1"/>
  <c r="F275" i="1"/>
  <c r="AI274" i="1"/>
  <c r="AG274" i="1"/>
  <c r="Z274" i="1"/>
  <c r="X274" i="1"/>
  <c r="AA274" i="1" s="1"/>
  <c r="Q274" i="1"/>
  <c r="O274" i="1"/>
  <c r="H274" i="1"/>
  <c r="F274" i="1"/>
  <c r="I274" i="1" s="1"/>
  <c r="AI273" i="1"/>
  <c r="AG273" i="1"/>
  <c r="AJ273" i="1" s="1"/>
  <c r="Z273" i="1"/>
  <c r="X273" i="1"/>
  <c r="AA273" i="1" s="1"/>
  <c r="Q273" i="1"/>
  <c r="O273" i="1"/>
  <c r="H273" i="1"/>
  <c r="F273" i="1"/>
  <c r="I273" i="1" s="1"/>
  <c r="AI272" i="1"/>
  <c r="AG272" i="1"/>
  <c r="AJ272" i="1" s="1"/>
  <c r="Z272" i="1"/>
  <c r="X272" i="1"/>
  <c r="AA272" i="1" s="1"/>
  <c r="Q272" i="1"/>
  <c r="O272" i="1"/>
  <c r="H272" i="1"/>
  <c r="B70" i="2" s="1"/>
  <c r="F272" i="1"/>
  <c r="I272" i="1" s="1"/>
  <c r="AI271" i="1"/>
  <c r="AG271" i="1"/>
  <c r="AJ271" i="1" s="1"/>
  <c r="Z271" i="1"/>
  <c r="X271" i="1"/>
  <c r="Q271" i="1"/>
  <c r="O271" i="1"/>
  <c r="H271" i="1"/>
  <c r="F271" i="1"/>
  <c r="I271" i="1" s="1"/>
  <c r="AI270" i="1"/>
  <c r="AG270" i="1"/>
  <c r="Z270" i="1"/>
  <c r="X270" i="1"/>
  <c r="AA270" i="1" s="1"/>
  <c r="Q270" i="1"/>
  <c r="O270" i="1"/>
  <c r="R270" i="1" s="1"/>
  <c r="H270" i="1"/>
  <c r="F270" i="1"/>
  <c r="I270" i="1" s="1"/>
  <c r="AI269" i="1"/>
  <c r="AG269" i="1"/>
  <c r="AJ269" i="1" s="1"/>
  <c r="Z269" i="1"/>
  <c r="X269" i="1"/>
  <c r="AA269" i="1" s="1"/>
  <c r="Q269" i="1"/>
  <c r="O269" i="1"/>
  <c r="R269" i="1" s="1"/>
  <c r="H269" i="1"/>
  <c r="F269" i="1"/>
  <c r="I269" i="1" s="1"/>
  <c r="AI268" i="1"/>
  <c r="AG268" i="1"/>
  <c r="AJ268" i="1" s="1"/>
  <c r="Z268" i="1"/>
  <c r="X268" i="1"/>
  <c r="AA268" i="1" s="1"/>
  <c r="Q268" i="1"/>
  <c r="O268" i="1"/>
  <c r="R268" i="1" s="1"/>
  <c r="H268" i="1"/>
  <c r="F268" i="1"/>
  <c r="I268" i="1" s="1"/>
  <c r="AI267" i="1"/>
  <c r="AG267" i="1"/>
  <c r="AJ267" i="1" s="1"/>
  <c r="Z267" i="1"/>
  <c r="X267" i="1"/>
  <c r="AA267" i="1" s="1"/>
  <c r="Q267" i="1"/>
  <c r="O267" i="1"/>
  <c r="R267" i="1" s="1"/>
  <c r="H267" i="1"/>
  <c r="F267" i="1"/>
  <c r="I267" i="1" s="1"/>
  <c r="AI266" i="1"/>
  <c r="AG266" i="1"/>
  <c r="AJ266" i="1" s="1"/>
  <c r="Z266" i="1"/>
  <c r="X266" i="1"/>
  <c r="AA266" i="1" s="1"/>
  <c r="Q266" i="1"/>
  <c r="O266" i="1"/>
  <c r="R266" i="1" s="1"/>
  <c r="H266" i="1"/>
  <c r="F266" i="1"/>
  <c r="I266" i="1" s="1"/>
  <c r="AI265" i="1"/>
  <c r="AG265" i="1"/>
  <c r="AJ265" i="1" s="1"/>
  <c r="Z265" i="1"/>
  <c r="X265" i="1"/>
  <c r="AA265" i="1" s="1"/>
  <c r="Q265" i="1"/>
  <c r="O265" i="1"/>
  <c r="R265" i="1" s="1"/>
  <c r="H265" i="1"/>
  <c r="F265" i="1"/>
  <c r="I265" i="1" s="1"/>
  <c r="AI264" i="1"/>
  <c r="AG264" i="1"/>
  <c r="AJ264" i="1" s="1"/>
  <c r="Z264" i="1"/>
  <c r="X264" i="1"/>
  <c r="AA264" i="1" s="1"/>
  <c r="Q264" i="1"/>
  <c r="O264" i="1"/>
  <c r="R264" i="1" s="1"/>
  <c r="H264" i="1"/>
  <c r="F264" i="1"/>
  <c r="I264" i="1" s="1"/>
  <c r="AI263" i="1"/>
  <c r="AG263" i="1"/>
  <c r="AJ263" i="1" s="1"/>
  <c r="Z263" i="1"/>
  <c r="X263" i="1"/>
  <c r="AA263" i="1" s="1"/>
  <c r="Q263" i="1"/>
  <c r="O263" i="1"/>
  <c r="R263" i="1" s="1"/>
  <c r="H263" i="1"/>
  <c r="F263" i="1"/>
  <c r="I263" i="1" s="1"/>
  <c r="AI262" i="1"/>
  <c r="AG262" i="1"/>
  <c r="AJ262" i="1" s="1"/>
  <c r="Z262" i="1"/>
  <c r="X262" i="1"/>
  <c r="AA262" i="1" s="1"/>
  <c r="Q262" i="1"/>
  <c r="O262" i="1"/>
  <c r="R262" i="1" s="1"/>
  <c r="H262" i="1"/>
  <c r="F262" i="1"/>
  <c r="I262" i="1" s="1"/>
  <c r="AI261" i="1"/>
  <c r="AG261" i="1"/>
  <c r="AJ261" i="1" s="1"/>
  <c r="Z261" i="1"/>
  <c r="X261" i="1"/>
  <c r="AA261" i="1" s="1"/>
  <c r="Q261" i="1"/>
  <c r="O261" i="1"/>
  <c r="R261" i="1" s="1"/>
  <c r="H261" i="1"/>
  <c r="F261" i="1"/>
  <c r="I261" i="1" s="1"/>
  <c r="AI260" i="1"/>
  <c r="AG260" i="1"/>
  <c r="AJ260" i="1" s="1"/>
  <c r="Z260" i="1"/>
  <c r="X260" i="1"/>
  <c r="AA260" i="1" s="1"/>
  <c r="Q260" i="1"/>
  <c r="O260" i="1"/>
  <c r="R260" i="1" s="1"/>
  <c r="H260" i="1"/>
  <c r="F260" i="1"/>
  <c r="I260" i="1" s="1"/>
  <c r="AI259" i="1"/>
  <c r="AG259" i="1"/>
  <c r="AJ259" i="1" s="1"/>
  <c r="Z259" i="1"/>
  <c r="X259" i="1"/>
  <c r="AA259" i="1" s="1"/>
  <c r="Q259" i="1"/>
  <c r="O259" i="1"/>
  <c r="R259" i="1" s="1"/>
  <c r="H259" i="1"/>
  <c r="F259" i="1"/>
  <c r="I259" i="1" s="1"/>
  <c r="AI258" i="1"/>
  <c r="AG258" i="1"/>
  <c r="AJ258" i="1" s="1"/>
  <c r="Z258" i="1"/>
  <c r="X258" i="1"/>
  <c r="AA258" i="1" s="1"/>
  <c r="Q258" i="1"/>
  <c r="O258" i="1"/>
  <c r="R258" i="1" s="1"/>
  <c r="H258" i="1"/>
  <c r="F258" i="1"/>
  <c r="I258" i="1" s="1"/>
  <c r="AI257" i="1"/>
  <c r="AG257" i="1"/>
  <c r="AJ257" i="1" s="1"/>
  <c r="Z257" i="1"/>
  <c r="X257" i="1"/>
  <c r="AA257" i="1" s="1"/>
  <c r="Q257" i="1"/>
  <c r="O257" i="1"/>
  <c r="R257" i="1" s="1"/>
  <c r="H257" i="1"/>
  <c r="F257" i="1"/>
  <c r="I257" i="1" s="1"/>
  <c r="AI256" i="1"/>
  <c r="AG256" i="1"/>
  <c r="AJ256" i="1" s="1"/>
  <c r="Z256" i="1"/>
  <c r="X256" i="1"/>
  <c r="AA256" i="1" s="1"/>
  <c r="Q256" i="1"/>
  <c r="O256" i="1"/>
  <c r="R256" i="1" s="1"/>
  <c r="H256" i="1"/>
  <c r="F256" i="1"/>
  <c r="I256" i="1" s="1"/>
  <c r="AI255" i="1"/>
  <c r="AG255" i="1"/>
  <c r="AJ255" i="1" s="1"/>
  <c r="Z255" i="1"/>
  <c r="X255" i="1"/>
  <c r="AA255" i="1" s="1"/>
  <c r="Q255" i="1"/>
  <c r="O255" i="1"/>
  <c r="R255" i="1" s="1"/>
  <c r="H255" i="1"/>
  <c r="F255" i="1"/>
  <c r="I255" i="1" s="1"/>
  <c r="AI254" i="1"/>
  <c r="AG254" i="1"/>
  <c r="AJ254" i="1" s="1"/>
  <c r="Z254" i="1"/>
  <c r="X254" i="1"/>
  <c r="AA254" i="1" s="1"/>
  <c r="Q254" i="1"/>
  <c r="O254" i="1"/>
  <c r="R254" i="1" s="1"/>
  <c r="H254" i="1"/>
  <c r="F254" i="1"/>
  <c r="I254" i="1" s="1"/>
  <c r="AI253" i="1"/>
  <c r="AG253" i="1"/>
  <c r="AJ253" i="1" s="1"/>
  <c r="Z253" i="1"/>
  <c r="X253" i="1"/>
  <c r="AA253" i="1" s="1"/>
  <c r="Q253" i="1"/>
  <c r="O253" i="1"/>
  <c r="R253" i="1" s="1"/>
  <c r="H253" i="1"/>
  <c r="F253" i="1"/>
  <c r="I253" i="1" s="1"/>
  <c r="AI252" i="1"/>
  <c r="AG252" i="1"/>
  <c r="AJ252" i="1" s="1"/>
  <c r="Z252" i="1"/>
  <c r="X252" i="1"/>
  <c r="AA252" i="1" s="1"/>
  <c r="Q252" i="1"/>
  <c r="O252" i="1"/>
  <c r="R252" i="1" s="1"/>
  <c r="H252" i="1"/>
  <c r="F252" i="1"/>
  <c r="I252" i="1" s="1"/>
  <c r="AI251" i="1"/>
  <c r="AG251" i="1"/>
  <c r="AJ251" i="1" s="1"/>
  <c r="Z251" i="1"/>
  <c r="X251" i="1"/>
  <c r="AA251" i="1" s="1"/>
  <c r="Q251" i="1"/>
  <c r="O251" i="1"/>
  <c r="R251" i="1" s="1"/>
  <c r="H251" i="1"/>
  <c r="F251" i="1"/>
  <c r="I251" i="1" s="1"/>
  <c r="AI250" i="1"/>
  <c r="AG250" i="1"/>
  <c r="AJ250" i="1" s="1"/>
  <c r="Z250" i="1"/>
  <c r="X250" i="1"/>
  <c r="AA250" i="1" s="1"/>
  <c r="Q250" i="1"/>
  <c r="O250" i="1"/>
  <c r="R250" i="1" s="1"/>
  <c r="H250" i="1"/>
  <c r="F250" i="1"/>
  <c r="I250" i="1" s="1"/>
  <c r="AI249" i="1"/>
  <c r="AG249" i="1"/>
  <c r="AJ249" i="1" s="1"/>
  <c r="Z249" i="1"/>
  <c r="X249" i="1"/>
  <c r="AA249" i="1" s="1"/>
  <c r="Q249" i="1"/>
  <c r="O249" i="1"/>
  <c r="R249" i="1" s="1"/>
  <c r="H249" i="1"/>
  <c r="F249" i="1"/>
  <c r="I249" i="1" s="1"/>
  <c r="AI248" i="1"/>
  <c r="AG248" i="1"/>
  <c r="AJ248" i="1" s="1"/>
  <c r="Z248" i="1"/>
  <c r="X248" i="1"/>
  <c r="AA248" i="1" s="1"/>
  <c r="Q248" i="1"/>
  <c r="O248" i="1"/>
  <c r="R248" i="1" s="1"/>
  <c r="H248" i="1"/>
  <c r="F248" i="1"/>
  <c r="I248" i="1" s="1"/>
  <c r="AI247" i="1"/>
  <c r="AG247" i="1"/>
  <c r="AJ247" i="1" s="1"/>
  <c r="Z247" i="1"/>
  <c r="X247" i="1"/>
  <c r="AA247" i="1" s="1"/>
  <c r="Q247" i="1"/>
  <c r="O247" i="1"/>
  <c r="R247" i="1" s="1"/>
  <c r="H247" i="1"/>
  <c r="F247" i="1"/>
  <c r="I247" i="1" s="1"/>
  <c r="Z246" i="1"/>
  <c r="X246" i="1"/>
  <c r="AA246" i="1" s="1"/>
  <c r="Q246" i="1"/>
  <c r="O246" i="1"/>
  <c r="R246" i="1" s="1"/>
  <c r="H246" i="1"/>
  <c r="F246" i="1"/>
  <c r="I246" i="1" s="1"/>
  <c r="AI245" i="1"/>
  <c r="AG245" i="1"/>
  <c r="AJ245" i="1" s="1"/>
  <c r="Z245" i="1"/>
  <c r="X245" i="1"/>
  <c r="AA245" i="1" s="1"/>
  <c r="Q245" i="1"/>
  <c r="O245" i="1"/>
  <c r="R245" i="1" s="1"/>
  <c r="H245" i="1"/>
  <c r="F245" i="1"/>
  <c r="I245" i="1" s="1"/>
  <c r="AI244" i="1"/>
  <c r="AG244" i="1"/>
  <c r="AJ244" i="1" s="1"/>
  <c r="Z244" i="1"/>
  <c r="X244" i="1"/>
  <c r="AA244" i="1" s="1"/>
  <c r="Q244" i="1"/>
  <c r="O244" i="1"/>
  <c r="R244" i="1" s="1"/>
  <c r="H244" i="1"/>
  <c r="F244" i="1"/>
  <c r="I244" i="1" s="1"/>
  <c r="AI243" i="1"/>
  <c r="AG243" i="1"/>
  <c r="AJ243" i="1" s="1"/>
  <c r="Z243" i="1"/>
  <c r="X243" i="1"/>
  <c r="AA243" i="1" s="1"/>
  <c r="Q243" i="1"/>
  <c r="O243" i="1"/>
  <c r="R243" i="1" s="1"/>
  <c r="H243" i="1"/>
  <c r="F243" i="1"/>
  <c r="I243" i="1" s="1"/>
  <c r="AI242" i="1"/>
  <c r="AG242" i="1"/>
  <c r="AJ242" i="1" s="1"/>
  <c r="Z242" i="1"/>
  <c r="X242" i="1"/>
  <c r="AA242" i="1" s="1"/>
  <c r="Q242" i="1"/>
  <c r="O242" i="1"/>
  <c r="R242" i="1" s="1"/>
  <c r="H242" i="1"/>
  <c r="F242" i="1"/>
  <c r="I242" i="1" s="1"/>
  <c r="AI241" i="1"/>
  <c r="AG241" i="1"/>
  <c r="AJ241" i="1" s="1"/>
  <c r="Z241" i="1"/>
  <c r="X241" i="1"/>
  <c r="AA241" i="1" s="1"/>
  <c r="Q241" i="1"/>
  <c r="O241" i="1"/>
  <c r="R241" i="1" s="1"/>
  <c r="AI240" i="1"/>
  <c r="AG240" i="1"/>
  <c r="AJ240" i="1" s="1"/>
  <c r="Z240" i="1"/>
  <c r="X240" i="1"/>
  <c r="AA240" i="1" s="1"/>
  <c r="Q240" i="1"/>
  <c r="O240" i="1"/>
  <c r="R240" i="1" s="1"/>
  <c r="H240" i="1"/>
  <c r="F240" i="1"/>
  <c r="I240" i="1" s="1"/>
  <c r="AI239" i="1"/>
  <c r="AG239" i="1"/>
  <c r="AJ239" i="1" s="1"/>
  <c r="Z239" i="1"/>
  <c r="X239" i="1"/>
  <c r="AA239" i="1" s="1"/>
  <c r="Q239" i="1"/>
  <c r="O239" i="1"/>
  <c r="R239" i="1" s="1"/>
  <c r="H239" i="1"/>
  <c r="F239" i="1"/>
  <c r="I239" i="1" s="1"/>
  <c r="AI238" i="1"/>
  <c r="AG238" i="1"/>
  <c r="AJ238" i="1" s="1"/>
  <c r="Z238" i="1"/>
  <c r="X238" i="1"/>
  <c r="AA238" i="1" s="1"/>
  <c r="Q238" i="1"/>
  <c r="O238" i="1"/>
  <c r="R238" i="1" s="1"/>
  <c r="H238" i="1"/>
  <c r="F238" i="1"/>
  <c r="I238" i="1" s="1"/>
  <c r="AI237" i="1"/>
  <c r="AG237" i="1"/>
  <c r="AJ237" i="1" s="1"/>
  <c r="Z237" i="1"/>
  <c r="X237" i="1"/>
  <c r="AA237" i="1" s="1"/>
  <c r="Q237" i="1"/>
  <c r="O237" i="1"/>
  <c r="R237" i="1" s="1"/>
  <c r="H237" i="1"/>
  <c r="F237" i="1"/>
  <c r="I237" i="1" s="1"/>
  <c r="AI236" i="1"/>
  <c r="AG236" i="1"/>
  <c r="AJ236" i="1" s="1"/>
  <c r="Z236" i="1"/>
  <c r="X236" i="1"/>
  <c r="AA236" i="1" s="1"/>
  <c r="Q236" i="1"/>
  <c r="O236" i="1"/>
  <c r="R236" i="1" s="1"/>
  <c r="H236" i="1"/>
  <c r="F236" i="1"/>
  <c r="I236" i="1" s="1"/>
  <c r="AI235" i="1"/>
  <c r="AG235" i="1"/>
  <c r="AJ235" i="1" s="1"/>
  <c r="Z235" i="1"/>
  <c r="X235" i="1"/>
  <c r="AA235" i="1" s="1"/>
  <c r="Q235" i="1"/>
  <c r="O235" i="1"/>
  <c r="R235" i="1" s="1"/>
  <c r="I235" i="1"/>
  <c r="H235" i="1"/>
  <c r="G235" i="1"/>
  <c r="Z234" i="1"/>
  <c r="X234" i="1"/>
  <c r="Y234" i="1" s="1"/>
  <c r="Q234" i="1"/>
  <c r="O234" i="1"/>
  <c r="P234" i="1" s="1"/>
  <c r="H234" i="1"/>
  <c r="F234" i="1"/>
  <c r="AI233" i="1"/>
  <c r="AG233" i="1"/>
  <c r="Z233" i="1"/>
  <c r="X233" i="1"/>
  <c r="Y233" i="1" s="1"/>
  <c r="Q233" i="1"/>
  <c r="O233" i="1"/>
  <c r="P233" i="1" s="1"/>
  <c r="H233" i="1"/>
  <c r="F233" i="1"/>
  <c r="G233" i="1" s="1"/>
  <c r="AI232" i="1"/>
  <c r="AG232" i="1"/>
  <c r="Z232" i="1"/>
  <c r="X232" i="1"/>
  <c r="H232" i="1"/>
  <c r="F232" i="1"/>
  <c r="G232" i="1" s="1"/>
  <c r="AI231" i="1"/>
  <c r="AG231" i="1"/>
  <c r="AH231" i="1" s="1"/>
  <c r="Z231" i="1"/>
  <c r="X231" i="1"/>
  <c r="Q231" i="1"/>
  <c r="O231" i="1"/>
  <c r="P231" i="1" s="1"/>
  <c r="H231" i="1"/>
  <c r="F231" i="1"/>
  <c r="G231" i="1" s="1"/>
  <c r="AI230" i="1"/>
  <c r="AG230" i="1"/>
  <c r="AH230" i="1" s="1"/>
  <c r="Z230" i="1"/>
  <c r="X230" i="1"/>
  <c r="Q230" i="1"/>
  <c r="O230" i="1"/>
  <c r="P230" i="1" s="1"/>
  <c r="H230" i="1"/>
  <c r="F230" i="1"/>
  <c r="G230" i="1" s="1"/>
  <c r="AI229" i="1"/>
  <c r="AG229" i="1"/>
  <c r="Z229" i="1"/>
  <c r="X229" i="1"/>
  <c r="Q229" i="1"/>
  <c r="O229" i="1"/>
  <c r="P229" i="1" s="1"/>
  <c r="H229" i="1"/>
  <c r="B75" i="2" s="1"/>
  <c r="F229" i="1"/>
  <c r="G229" i="1" s="1"/>
  <c r="AI228" i="1"/>
  <c r="AG228" i="1"/>
  <c r="AH228" i="1" s="1"/>
  <c r="Z228" i="1"/>
  <c r="X228" i="1"/>
  <c r="Q228" i="1"/>
  <c r="O228" i="1"/>
  <c r="H228" i="1"/>
  <c r="F228" i="1"/>
  <c r="G228" i="1" s="1"/>
  <c r="AI227" i="1"/>
  <c r="AG227" i="1"/>
  <c r="AH227" i="1" s="1"/>
  <c r="Z227" i="1"/>
  <c r="X227" i="1"/>
  <c r="Q227" i="1"/>
  <c r="O227" i="1"/>
  <c r="P227" i="1" s="1"/>
  <c r="H227" i="1"/>
  <c r="F227" i="1"/>
  <c r="G227" i="1" s="1"/>
  <c r="Z226" i="1"/>
  <c r="X226" i="1"/>
  <c r="Y226" i="1" s="1"/>
  <c r="Q226" i="1"/>
  <c r="O226" i="1"/>
  <c r="H226" i="1"/>
  <c r="F226" i="1"/>
  <c r="G226" i="1" s="1"/>
  <c r="AI225" i="1"/>
  <c r="AG225" i="1"/>
  <c r="AH225" i="1" s="1"/>
  <c r="Z225" i="1"/>
  <c r="X225" i="1"/>
  <c r="AA225" i="1" s="1"/>
  <c r="Q225" i="1"/>
  <c r="O225" i="1"/>
  <c r="R225" i="1" s="1"/>
  <c r="H225" i="1"/>
  <c r="F225" i="1"/>
  <c r="I225" i="1" s="1"/>
  <c r="AI224" i="1"/>
  <c r="AG224" i="1"/>
  <c r="AJ224" i="1" s="1"/>
  <c r="Z224" i="1"/>
  <c r="X224" i="1"/>
  <c r="Q224" i="1"/>
  <c r="O224" i="1"/>
  <c r="R224" i="1" s="1"/>
  <c r="H224" i="1"/>
  <c r="F224" i="1"/>
  <c r="I224" i="1" s="1"/>
  <c r="AI223" i="1"/>
  <c r="AG223" i="1"/>
  <c r="AJ223" i="1" s="1"/>
  <c r="Z223" i="1"/>
  <c r="X223" i="1"/>
  <c r="Q223" i="1"/>
  <c r="O223" i="1"/>
  <c r="R223" i="1" s="1"/>
  <c r="H223" i="1"/>
  <c r="F223" i="1"/>
  <c r="I223" i="1" s="1"/>
  <c r="Z222" i="1"/>
  <c r="X222" i="1"/>
  <c r="AA222" i="1" s="1"/>
  <c r="Q222" i="1"/>
  <c r="O222" i="1"/>
  <c r="H222" i="1"/>
  <c r="F222" i="1"/>
  <c r="I222" i="1" s="1"/>
  <c r="AI221" i="1"/>
  <c r="AG221" i="1"/>
  <c r="AJ221" i="1" s="1"/>
  <c r="Z221" i="1"/>
  <c r="X221" i="1"/>
  <c r="AA221" i="1" s="1"/>
  <c r="Q221" i="1"/>
  <c r="O221" i="1"/>
  <c r="H221" i="1"/>
  <c r="F221" i="1"/>
  <c r="AI220" i="1"/>
  <c r="AG220" i="1"/>
  <c r="Z220" i="1"/>
  <c r="X220" i="1"/>
  <c r="Q220" i="1"/>
  <c r="O220" i="1"/>
  <c r="AI219" i="1"/>
  <c r="AG219" i="1"/>
  <c r="X219" i="1"/>
  <c r="AI218" i="1"/>
  <c r="AG218" i="1"/>
  <c r="Z218" i="1"/>
  <c r="X218" i="1"/>
  <c r="Y218" i="1" s="1"/>
  <c r="Q218" i="1"/>
  <c r="O218" i="1"/>
  <c r="P218" i="1" s="1"/>
  <c r="H218" i="1"/>
  <c r="F218" i="1"/>
  <c r="G218" i="1" s="1"/>
  <c r="AI217" i="1"/>
  <c r="AG217" i="1"/>
  <c r="Z217" i="1"/>
  <c r="X217" i="1"/>
  <c r="Y217" i="1" s="1"/>
  <c r="Q217" i="1"/>
  <c r="O217" i="1"/>
  <c r="P217" i="1" s="1"/>
  <c r="H217" i="1"/>
  <c r="F217" i="1"/>
  <c r="G217" i="1" s="1"/>
  <c r="AI216" i="1"/>
  <c r="AG216" i="1"/>
  <c r="Z216" i="1"/>
  <c r="X216" i="1"/>
  <c r="Y216" i="1" s="1"/>
  <c r="Q216" i="1"/>
  <c r="O216" i="1"/>
  <c r="P216" i="1" s="1"/>
  <c r="H216" i="1"/>
  <c r="F216" i="1"/>
  <c r="G216" i="1" s="1"/>
  <c r="AI215" i="1"/>
  <c r="AG215" i="1"/>
  <c r="Z215" i="1"/>
  <c r="X215" i="1"/>
  <c r="AA215" i="1" s="1"/>
  <c r="Q215" i="1"/>
  <c r="O215" i="1"/>
  <c r="P215" i="1" s="1"/>
  <c r="H215" i="1"/>
  <c r="F215" i="1"/>
  <c r="G215" i="1" s="1"/>
  <c r="AI214" i="1"/>
  <c r="AG214" i="1"/>
  <c r="AH214" i="1" s="1"/>
  <c r="Z214" i="1"/>
  <c r="X214" i="1"/>
  <c r="AA214" i="1" s="1"/>
  <c r="Q214" i="1"/>
  <c r="O214" i="1"/>
  <c r="R214" i="1" s="1"/>
  <c r="H214" i="1"/>
  <c r="F214" i="1"/>
  <c r="AI213" i="1"/>
  <c r="AG213" i="1"/>
  <c r="AJ213" i="1" s="1"/>
  <c r="Z213" i="1"/>
  <c r="X213" i="1"/>
  <c r="AA213" i="1" s="1"/>
  <c r="Q213" i="1"/>
  <c r="O213" i="1"/>
  <c r="R213" i="1" s="1"/>
  <c r="H213" i="1"/>
  <c r="F213" i="1"/>
  <c r="AI212" i="1"/>
  <c r="AG212" i="1"/>
  <c r="AJ212" i="1" s="1"/>
  <c r="Z212" i="1"/>
  <c r="X212" i="1"/>
  <c r="AA212" i="1" s="1"/>
  <c r="Q212" i="1"/>
  <c r="O212" i="1"/>
  <c r="R212" i="1" s="1"/>
  <c r="H212" i="1"/>
  <c r="F212" i="1"/>
  <c r="AI211" i="1"/>
  <c r="AG211" i="1"/>
  <c r="AJ211" i="1" s="1"/>
  <c r="Z211" i="1"/>
  <c r="X211" i="1"/>
  <c r="AA211" i="1" s="1"/>
  <c r="Q211" i="1"/>
  <c r="O211" i="1"/>
  <c r="R211" i="1" s="1"/>
  <c r="H211" i="1"/>
  <c r="F211" i="1"/>
  <c r="AI210" i="1"/>
  <c r="AG210" i="1"/>
  <c r="AJ210" i="1" s="1"/>
  <c r="Z210" i="1"/>
  <c r="X210" i="1"/>
  <c r="AA210" i="1" s="1"/>
  <c r="Q210" i="1"/>
  <c r="O210" i="1"/>
  <c r="R210" i="1" s="1"/>
  <c r="H210" i="1"/>
  <c r="F210" i="1"/>
  <c r="AI209" i="1"/>
  <c r="AG209" i="1"/>
  <c r="AJ209" i="1" s="1"/>
  <c r="Z209" i="1"/>
  <c r="X209" i="1"/>
  <c r="AA209" i="1" s="1"/>
  <c r="Q209" i="1"/>
  <c r="O209" i="1"/>
  <c r="R209" i="1" s="1"/>
  <c r="H209" i="1"/>
  <c r="B166" i="2" s="1"/>
  <c r="F209" i="1"/>
  <c r="AI208" i="1"/>
  <c r="AG208" i="1"/>
  <c r="AJ208" i="1" s="1"/>
  <c r="Z208" i="1"/>
  <c r="X208" i="1"/>
  <c r="AA208" i="1" s="1"/>
  <c r="Q208" i="1"/>
  <c r="O208" i="1"/>
  <c r="R208" i="1" s="1"/>
  <c r="H208" i="1"/>
  <c r="F208" i="1"/>
  <c r="AI207" i="1"/>
  <c r="AG207" i="1"/>
  <c r="AJ207" i="1" s="1"/>
  <c r="Z207" i="1"/>
  <c r="X207" i="1"/>
  <c r="AA207" i="1" s="1"/>
  <c r="Q207" i="1"/>
  <c r="O207" i="1"/>
  <c r="R207" i="1" s="1"/>
  <c r="H207" i="1"/>
  <c r="F207" i="1"/>
  <c r="AI206" i="1"/>
  <c r="AG206" i="1"/>
  <c r="AJ206" i="1" s="1"/>
  <c r="Z206" i="1"/>
  <c r="X206" i="1"/>
  <c r="AA206" i="1" s="1"/>
  <c r="Q206" i="1"/>
  <c r="O206" i="1"/>
  <c r="H206" i="1"/>
  <c r="F206" i="1"/>
  <c r="AI205" i="1"/>
  <c r="AG205" i="1"/>
  <c r="AJ205" i="1" s="1"/>
  <c r="Z205" i="1"/>
  <c r="X205" i="1"/>
  <c r="AA205" i="1" s="1"/>
  <c r="Q205" i="1"/>
  <c r="O205" i="1"/>
  <c r="R205" i="1" s="1"/>
  <c r="H205" i="1"/>
  <c r="F205" i="1"/>
  <c r="AI204" i="1"/>
  <c r="AG204" i="1"/>
  <c r="AJ204" i="1" s="1"/>
  <c r="Z204" i="1"/>
  <c r="X204" i="1"/>
  <c r="AA204" i="1" s="1"/>
  <c r="Q204" i="1"/>
  <c r="O204" i="1"/>
  <c r="H204" i="1"/>
  <c r="F204" i="1"/>
  <c r="AI203" i="1"/>
  <c r="AG203" i="1"/>
  <c r="AJ203" i="1" s="1"/>
  <c r="Z203" i="1"/>
  <c r="X203" i="1"/>
  <c r="AA203" i="1" s="1"/>
  <c r="Q203" i="1"/>
  <c r="O203" i="1"/>
  <c r="R203" i="1" s="1"/>
  <c r="H203" i="1"/>
  <c r="B60" i="2" s="1"/>
  <c r="F203" i="1"/>
  <c r="AI202" i="1"/>
  <c r="AG202" i="1"/>
  <c r="AJ202" i="1" s="1"/>
  <c r="Z202" i="1"/>
  <c r="X202" i="1"/>
  <c r="AA202" i="1" s="1"/>
  <c r="Q202" i="1"/>
  <c r="O202" i="1"/>
  <c r="H202" i="1"/>
  <c r="F202" i="1"/>
  <c r="AI201" i="1"/>
  <c r="AG201" i="1"/>
  <c r="AJ201" i="1" s="1"/>
  <c r="Z201" i="1"/>
  <c r="X201" i="1"/>
  <c r="AA201" i="1" s="1"/>
  <c r="Q201" i="1"/>
  <c r="O201" i="1"/>
  <c r="R201" i="1" s="1"/>
  <c r="H201" i="1"/>
  <c r="F201" i="1"/>
  <c r="AI200" i="1"/>
  <c r="AG200" i="1"/>
  <c r="AJ200" i="1" s="1"/>
  <c r="Z200" i="1"/>
  <c r="X200" i="1"/>
  <c r="AA200" i="1" s="1"/>
  <c r="H200" i="1"/>
  <c r="F200" i="1"/>
  <c r="AI199" i="1"/>
  <c r="AG199" i="1"/>
  <c r="Z199" i="1"/>
  <c r="X199" i="1"/>
  <c r="AA199" i="1" s="1"/>
  <c r="Q199" i="1"/>
  <c r="O199" i="1"/>
  <c r="R199" i="1" s="1"/>
  <c r="H199" i="1"/>
  <c r="B55" i="2" s="1"/>
  <c r="F199" i="1"/>
  <c r="I199" i="1" s="1"/>
  <c r="AI198" i="1"/>
  <c r="B144" i="2" s="1"/>
  <c r="AG198" i="1"/>
  <c r="Z198" i="1"/>
  <c r="X198" i="1"/>
  <c r="AA198" i="1" s="1"/>
  <c r="Q198" i="1"/>
  <c r="O198" i="1"/>
  <c r="R198" i="1" s="1"/>
  <c r="H198" i="1"/>
  <c r="F198" i="1"/>
  <c r="AI197" i="1"/>
  <c r="AG197" i="1"/>
  <c r="Z197" i="1"/>
  <c r="X197" i="1"/>
  <c r="AA197" i="1" s="1"/>
  <c r="Q197" i="1"/>
  <c r="O197" i="1"/>
  <c r="R197" i="1" s="1"/>
  <c r="H197" i="1"/>
  <c r="F197" i="1"/>
  <c r="I197" i="1" s="1"/>
  <c r="AI196" i="1"/>
  <c r="AG196" i="1"/>
  <c r="Z196" i="1"/>
  <c r="X196" i="1"/>
  <c r="AA196" i="1" s="1"/>
  <c r="Q196" i="1"/>
  <c r="O196" i="1"/>
  <c r="R196" i="1" s="1"/>
  <c r="H196" i="1"/>
  <c r="F196" i="1"/>
  <c r="AI195" i="1"/>
  <c r="AG195" i="1"/>
  <c r="Z195" i="1"/>
  <c r="X195" i="1"/>
  <c r="AA195" i="1" s="1"/>
  <c r="Q195" i="1"/>
  <c r="O195" i="1"/>
  <c r="R195" i="1" s="1"/>
  <c r="H195" i="1"/>
  <c r="B162" i="2" s="1"/>
  <c r="F195" i="1"/>
  <c r="I195" i="1" s="1"/>
  <c r="AI194" i="1"/>
  <c r="AG194" i="1"/>
  <c r="Q194" i="1"/>
  <c r="O194" i="1"/>
  <c r="R194" i="1" s="1"/>
  <c r="H194" i="1"/>
  <c r="F194" i="1"/>
  <c r="I194" i="1" s="1"/>
  <c r="AI193" i="1"/>
  <c r="AG193" i="1"/>
  <c r="Z193" i="1"/>
  <c r="X193" i="1"/>
  <c r="Q193" i="1"/>
  <c r="O193" i="1"/>
  <c r="R193" i="1" s="1"/>
  <c r="H193" i="1"/>
  <c r="F193" i="1"/>
  <c r="I193" i="1" s="1"/>
  <c r="AI192" i="1"/>
  <c r="AG192" i="1"/>
  <c r="AJ192" i="1" s="1"/>
  <c r="Z192" i="1"/>
  <c r="X192" i="1"/>
  <c r="Q192" i="1"/>
  <c r="O192" i="1"/>
  <c r="R192" i="1" s="1"/>
  <c r="H192" i="1"/>
  <c r="F192" i="1"/>
  <c r="I192" i="1" s="1"/>
  <c r="AI191" i="1"/>
  <c r="AG191" i="1"/>
  <c r="Z191" i="1"/>
  <c r="X191" i="1"/>
  <c r="Q191" i="1"/>
  <c r="O191" i="1"/>
  <c r="R191" i="1" s="1"/>
  <c r="H191" i="1"/>
  <c r="F191" i="1"/>
  <c r="I191" i="1" s="1"/>
  <c r="AJ190" i="1"/>
  <c r="AI190" i="1"/>
  <c r="AH190" i="1"/>
  <c r="Z190" i="1"/>
  <c r="X190" i="1"/>
  <c r="AA190" i="1" s="1"/>
  <c r="Q190" i="1"/>
  <c r="O190" i="1"/>
  <c r="R190" i="1" s="1"/>
  <c r="H190" i="1"/>
  <c r="F190" i="1"/>
  <c r="I190" i="1" s="1"/>
  <c r="AI189" i="1"/>
  <c r="AG189" i="1"/>
  <c r="AJ189" i="1" s="1"/>
  <c r="Z189" i="1"/>
  <c r="X189" i="1"/>
  <c r="AA189" i="1" s="1"/>
  <c r="Q189" i="1"/>
  <c r="O189" i="1"/>
  <c r="R189" i="1" s="1"/>
  <c r="H189" i="1"/>
  <c r="F189" i="1"/>
  <c r="I189" i="1" s="1"/>
  <c r="AI188" i="1"/>
  <c r="AG188" i="1"/>
  <c r="AJ188" i="1" s="1"/>
  <c r="Z188" i="1"/>
  <c r="X188" i="1"/>
  <c r="AA188" i="1" s="1"/>
  <c r="Q188" i="1"/>
  <c r="O188" i="1"/>
  <c r="R188" i="1" s="1"/>
  <c r="H188" i="1"/>
  <c r="F188" i="1"/>
  <c r="I188" i="1" s="1"/>
  <c r="AI187" i="1"/>
  <c r="AG187" i="1"/>
  <c r="AJ187" i="1" s="1"/>
  <c r="AA187" i="1"/>
  <c r="Z187" i="1"/>
  <c r="Y187" i="1"/>
  <c r="Q187" i="1"/>
  <c r="O187" i="1"/>
  <c r="P187" i="1" s="1"/>
  <c r="H187" i="1"/>
  <c r="F187" i="1"/>
  <c r="G187" i="1" s="1"/>
  <c r="AI186" i="1"/>
  <c r="AG186" i="1"/>
  <c r="AH186" i="1" s="1"/>
  <c r="Z186" i="1"/>
  <c r="X186" i="1"/>
  <c r="Q186" i="1"/>
  <c r="O186" i="1"/>
  <c r="P186" i="1" s="1"/>
  <c r="H186" i="1"/>
  <c r="F186" i="1"/>
  <c r="G186" i="1" s="1"/>
  <c r="AI185" i="1"/>
  <c r="AG185" i="1"/>
  <c r="AH185" i="1" s="1"/>
  <c r="Z185" i="1"/>
  <c r="X185" i="1"/>
  <c r="Q185" i="1"/>
  <c r="O185" i="1"/>
  <c r="P185" i="1" s="1"/>
  <c r="H185" i="1"/>
  <c r="F185" i="1"/>
  <c r="G185" i="1" s="1"/>
  <c r="AI184" i="1"/>
  <c r="B188" i="2" s="1"/>
  <c r="AG184" i="1"/>
  <c r="AJ184" i="1" s="1"/>
  <c r="Z184" i="1"/>
  <c r="X184" i="1"/>
  <c r="Q184" i="1"/>
  <c r="O184" i="1"/>
  <c r="H184" i="1"/>
  <c r="F184" i="1"/>
  <c r="Z183" i="1"/>
  <c r="X183" i="1"/>
  <c r="Q183" i="1"/>
  <c r="O183" i="1"/>
  <c r="H183" i="1"/>
  <c r="F183" i="1"/>
  <c r="AI182" i="1"/>
  <c r="AG182" i="1"/>
  <c r="Z182" i="1"/>
  <c r="X182" i="1"/>
  <c r="Q182" i="1"/>
  <c r="O182" i="1"/>
  <c r="H182" i="1"/>
  <c r="F182" i="1"/>
  <c r="AI181" i="1"/>
  <c r="B66" i="2" s="1"/>
  <c r="AG181" i="1"/>
  <c r="Z181" i="1"/>
  <c r="X181" i="1"/>
  <c r="Q181" i="1"/>
  <c r="O181" i="1"/>
  <c r="H181" i="1"/>
  <c r="F181" i="1"/>
  <c r="AI180" i="1"/>
  <c r="AG180" i="1"/>
  <c r="Z180" i="1"/>
  <c r="X180" i="1"/>
  <c r="Q180" i="1"/>
  <c r="O180" i="1"/>
  <c r="H180" i="1"/>
  <c r="F180" i="1"/>
  <c r="AI179" i="1"/>
  <c r="AG179" i="1"/>
  <c r="Z179" i="1"/>
  <c r="X179" i="1"/>
  <c r="Q179" i="1"/>
  <c r="O179" i="1"/>
  <c r="H179" i="1"/>
  <c r="F179" i="1"/>
  <c r="AI178" i="1"/>
  <c r="AG178" i="1"/>
  <c r="Z178" i="1"/>
  <c r="X178" i="1"/>
  <c r="Q178" i="1"/>
  <c r="O178" i="1"/>
  <c r="H178" i="1"/>
  <c r="F178" i="1"/>
  <c r="AI177" i="1"/>
  <c r="AG177" i="1"/>
  <c r="Z177" i="1"/>
  <c r="X177" i="1"/>
  <c r="Q177" i="1"/>
  <c r="O177" i="1"/>
  <c r="H177" i="1"/>
  <c r="F177" i="1"/>
  <c r="AI176" i="1"/>
  <c r="AG176" i="1"/>
  <c r="Q176" i="1"/>
  <c r="O176" i="1"/>
  <c r="H176" i="1"/>
  <c r="F176" i="1"/>
  <c r="AI175" i="1"/>
  <c r="AG175" i="1"/>
  <c r="Z175" i="1"/>
  <c r="X175" i="1"/>
  <c r="Q175" i="1"/>
  <c r="O175" i="1"/>
  <c r="H175" i="1"/>
  <c r="F175" i="1"/>
  <c r="AI174" i="1"/>
  <c r="AG174" i="1"/>
  <c r="Z174" i="1"/>
  <c r="X174" i="1"/>
  <c r="Q174" i="1"/>
  <c r="O174" i="1"/>
  <c r="H174" i="1"/>
  <c r="F174" i="1"/>
  <c r="AI173" i="1"/>
  <c r="AG173" i="1"/>
  <c r="Z173" i="1"/>
  <c r="X173" i="1"/>
  <c r="Q173" i="1"/>
  <c r="O173" i="1"/>
  <c r="H173" i="1"/>
  <c r="F173" i="1"/>
  <c r="AI172" i="1"/>
  <c r="AG172" i="1"/>
  <c r="Z172" i="1"/>
  <c r="X172" i="1"/>
  <c r="Q172" i="1"/>
  <c r="O172" i="1"/>
  <c r="H172" i="1"/>
  <c r="F172" i="1"/>
  <c r="AI171" i="1"/>
  <c r="AG171" i="1"/>
  <c r="Z171" i="1"/>
  <c r="X171" i="1"/>
  <c r="Q171" i="1"/>
  <c r="O171" i="1"/>
  <c r="H171" i="1"/>
  <c r="F171" i="1"/>
  <c r="AI170" i="1"/>
  <c r="AG170" i="1"/>
  <c r="Z170" i="1"/>
  <c r="X170" i="1"/>
  <c r="Q170" i="1"/>
  <c r="B148" i="2" s="1"/>
  <c r="O170" i="1"/>
  <c r="H170" i="1"/>
  <c r="F170" i="1"/>
  <c r="I170" i="1" s="1"/>
  <c r="AI169" i="1"/>
  <c r="AG169" i="1"/>
  <c r="AJ169" i="1" s="1"/>
  <c r="Z169" i="1"/>
  <c r="X169" i="1"/>
  <c r="AA169" i="1" s="1"/>
  <c r="Q169" i="1"/>
  <c r="O169" i="1"/>
  <c r="R169" i="1" s="1"/>
  <c r="H169" i="1"/>
  <c r="F169" i="1"/>
  <c r="I169" i="1" s="1"/>
  <c r="AI168" i="1"/>
  <c r="AG168" i="1"/>
  <c r="AJ168" i="1" s="1"/>
  <c r="Z168" i="1"/>
  <c r="X168" i="1"/>
  <c r="AA168" i="1" s="1"/>
  <c r="Q168" i="1"/>
  <c r="O168" i="1"/>
  <c r="R168" i="1" s="1"/>
  <c r="H168" i="1"/>
  <c r="F168" i="1"/>
  <c r="I168" i="1" s="1"/>
  <c r="AI167" i="1"/>
  <c r="AG167" i="1"/>
  <c r="AJ167" i="1" s="1"/>
  <c r="Z167" i="1"/>
  <c r="X167" i="1"/>
  <c r="AA167" i="1" s="1"/>
  <c r="Q167" i="1"/>
  <c r="O167" i="1"/>
  <c r="R167" i="1" s="1"/>
  <c r="H167" i="1"/>
  <c r="F167" i="1"/>
  <c r="I167" i="1" s="1"/>
  <c r="AI166" i="1"/>
  <c r="AG166" i="1"/>
  <c r="AJ166" i="1" s="1"/>
  <c r="Z166" i="1"/>
  <c r="X166" i="1"/>
  <c r="AA166" i="1" s="1"/>
  <c r="Q166" i="1"/>
  <c r="O166" i="1"/>
  <c r="R166" i="1" s="1"/>
  <c r="H166" i="1"/>
  <c r="F166" i="1"/>
  <c r="I166" i="1" s="1"/>
  <c r="AI165" i="1"/>
  <c r="AG165" i="1"/>
  <c r="AJ165" i="1" s="1"/>
  <c r="Z165" i="1"/>
  <c r="X165" i="1"/>
  <c r="AA165" i="1" s="1"/>
  <c r="Q165" i="1"/>
  <c r="O165" i="1"/>
  <c r="R165" i="1" s="1"/>
  <c r="H165" i="1"/>
  <c r="F165" i="1"/>
  <c r="I165" i="1" s="1"/>
  <c r="AI164" i="1"/>
  <c r="AG164" i="1"/>
  <c r="AJ164" i="1" s="1"/>
  <c r="Z164" i="1"/>
  <c r="X164" i="1"/>
  <c r="AA164" i="1" s="1"/>
  <c r="Q164" i="1"/>
  <c r="O164" i="1"/>
  <c r="R164" i="1" s="1"/>
  <c r="H164" i="1"/>
  <c r="F164" i="1"/>
  <c r="I164" i="1" s="1"/>
  <c r="AI163" i="1"/>
  <c r="AG163" i="1"/>
  <c r="AJ163" i="1" s="1"/>
  <c r="Z163" i="1"/>
  <c r="X163" i="1"/>
  <c r="AA163" i="1" s="1"/>
  <c r="Q163" i="1"/>
  <c r="O163" i="1"/>
  <c r="R163" i="1" s="1"/>
  <c r="H163" i="1"/>
  <c r="F163" i="1"/>
  <c r="I163" i="1" s="1"/>
  <c r="AI162" i="1"/>
  <c r="AG162" i="1"/>
  <c r="AJ162" i="1" s="1"/>
  <c r="Z162" i="1"/>
  <c r="X162" i="1"/>
  <c r="AA162" i="1" s="1"/>
  <c r="Q162" i="1"/>
  <c r="O162" i="1"/>
  <c r="R162" i="1" s="1"/>
  <c r="H162" i="1"/>
  <c r="F162" i="1"/>
  <c r="I162" i="1" s="1"/>
  <c r="AI161" i="1"/>
  <c r="AG161" i="1"/>
  <c r="AJ161" i="1" s="1"/>
  <c r="Z161" i="1"/>
  <c r="X161" i="1"/>
  <c r="AA161" i="1" s="1"/>
  <c r="Q161" i="1"/>
  <c r="O161" i="1"/>
  <c r="R161" i="1" s="1"/>
  <c r="H161" i="1"/>
  <c r="F161" i="1"/>
  <c r="I161" i="1" s="1"/>
  <c r="AI160" i="1"/>
  <c r="AG160" i="1"/>
  <c r="AJ160" i="1" s="1"/>
  <c r="Z160" i="1"/>
  <c r="X160" i="1"/>
  <c r="AA160" i="1" s="1"/>
  <c r="Q160" i="1"/>
  <c r="B183" i="2" s="1"/>
  <c r="O160" i="1"/>
  <c r="R160" i="1" s="1"/>
  <c r="C183" i="2" s="1"/>
  <c r="H160" i="1"/>
  <c r="F160" i="1"/>
  <c r="I160" i="1" s="1"/>
  <c r="AI159" i="1"/>
  <c r="AG159" i="1"/>
  <c r="AJ159" i="1" s="1"/>
  <c r="Z159" i="1"/>
  <c r="X159" i="1"/>
  <c r="AA159" i="1" s="1"/>
  <c r="Q159" i="1"/>
  <c r="O159" i="1"/>
  <c r="R159" i="1" s="1"/>
  <c r="H159" i="1"/>
  <c r="F159" i="1"/>
  <c r="I159" i="1" s="1"/>
  <c r="AI158" i="1"/>
  <c r="AG158" i="1"/>
  <c r="AJ158" i="1" s="1"/>
  <c r="Z158" i="1"/>
  <c r="X158" i="1"/>
  <c r="AA158" i="1" s="1"/>
  <c r="Q158" i="1"/>
  <c r="B187" i="2" s="1"/>
  <c r="O158" i="1"/>
  <c r="R158" i="1" s="1"/>
  <c r="C187" i="2" s="1"/>
  <c r="H158" i="1"/>
  <c r="F158" i="1"/>
  <c r="I158" i="1" s="1"/>
  <c r="AI157" i="1"/>
  <c r="AG157" i="1"/>
  <c r="AJ157" i="1" s="1"/>
  <c r="Z157" i="1"/>
  <c r="X157" i="1"/>
  <c r="AA157" i="1" s="1"/>
  <c r="Q157" i="1"/>
  <c r="O157" i="1"/>
  <c r="R157" i="1" s="1"/>
  <c r="H157" i="1"/>
  <c r="F157" i="1"/>
  <c r="I157" i="1" s="1"/>
  <c r="AI156" i="1"/>
  <c r="AG156" i="1"/>
  <c r="AJ156" i="1" s="1"/>
  <c r="Z156" i="1"/>
  <c r="X156" i="1"/>
  <c r="AA156" i="1" s="1"/>
  <c r="Q156" i="1"/>
  <c r="O156" i="1"/>
  <c r="R156" i="1" s="1"/>
  <c r="H156" i="1"/>
  <c r="F156" i="1"/>
  <c r="I156" i="1" s="1"/>
  <c r="AI155" i="1"/>
  <c r="AG155" i="1"/>
  <c r="AJ155" i="1" s="1"/>
  <c r="Z155" i="1"/>
  <c r="X155" i="1"/>
  <c r="AA155" i="1" s="1"/>
  <c r="Q155" i="1"/>
  <c r="O155" i="1"/>
  <c r="R155" i="1" s="1"/>
  <c r="H155" i="1"/>
  <c r="F155" i="1"/>
  <c r="I155" i="1" s="1"/>
  <c r="AI154" i="1"/>
  <c r="AG154" i="1"/>
  <c r="AJ154" i="1" s="1"/>
  <c r="Z154" i="1"/>
  <c r="X154" i="1"/>
  <c r="AA154" i="1" s="1"/>
  <c r="Q154" i="1"/>
  <c r="B184" i="2" s="1"/>
  <c r="O154" i="1"/>
  <c r="R154" i="1" s="1"/>
  <c r="C184" i="2" s="1"/>
  <c r="H154" i="1"/>
  <c r="F154" i="1"/>
  <c r="I154" i="1" s="1"/>
  <c r="AI153" i="1"/>
  <c r="AG153" i="1"/>
  <c r="AJ153" i="1" s="1"/>
  <c r="Z153" i="1"/>
  <c r="X153" i="1"/>
  <c r="AA153" i="1" s="1"/>
  <c r="Q153" i="1"/>
  <c r="O153" i="1"/>
  <c r="R153" i="1" s="1"/>
  <c r="H153" i="1"/>
  <c r="F153" i="1"/>
  <c r="I153" i="1" s="1"/>
  <c r="Z152" i="1"/>
  <c r="X152" i="1"/>
  <c r="AA152" i="1" s="1"/>
  <c r="Q152" i="1"/>
  <c r="O152" i="1"/>
  <c r="R152" i="1" s="1"/>
  <c r="H152" i="1"/>
  <c r="F152" i="1"/>
  <c r="I152" i="1" s="1"/>
  <c r="AI151" i="1"/>
  <c r="AG151" i="1"/>
  <c r="AJ151" i="1" s="1"/>
  <c r="Z151" i="1"/>
  <c r="X151" i="1"/>
  <c r="AA151" i="1" s="1"/>
  <c r="Q151" i="1"/>
  <c r="O151" i="1"/>
  <c r="R151" i="1" s="1"/>
  <c r="H151" i="1"/>
  <c r="F151" i="1"/>
  <c r="I151" i="1" s="1"/>
  <c r="AI150" i="1"/>
  <c r="AG150" i="1"/>
  <c r="AJ150" i="1" s="1"/>
  <c r="Z150" i="1"/>
  <c r="X150" i="1"/>
  <c r="AA150" i="1" s="1"/>
  <c r="Q150" i="1"/>
  <c r="O150" i="1"/>
  <c r="R150" i="1" s="1"/>
  <c r="H150" i="1"/>
  <c r="F150" i="1"/>
  <c r="I150" i="1" s="1"/>
  <c r="AI149" i="1"/>
  <c r="AG149" i="1"/>
  <c r="AJ149" i="1" s="1"/>
  <c r="Z149" i="1"/>
  <c r="X149" i="1"/>
  <c r="AA149" i="1" s="1"/>
  <c r="Q149" i="1"/>
  <c r="O149" i="1"/>
  <c r="R149" i="1" s="1"/>
  <c r="H149" i="1"/>
  <c r="F149" i="1"/>
  <c r="I149" i="1" s="1"/>
  <c r="AI148" i="1"/>
  <c r="AG148" i="1"/>
  <c r="AJ148" i="1" s="1"/>
  <c r="Z148" i="1"/>
  <c r="X148" i="1"/>
  <c r="AA148" i="1" s="1"/>
  <c r="Q148" i="1"/>
  <c r="O148" i="1"/>
  <c r="R148" i="1" s="1"/>
  <c r="H148" i="1"/>
  <c r="F148" i="1"/>
  <c r="I148" i="1" s="1"/>
  <c r="AI147" i="1"/>
  <c r="AG147" i="1"/>
  <c r="AJ147" i="1" s="1"/>
  <c r="Z147" i="1"/>
  <c r="X147" i="1"/>
  <c r="Q147" i="1"/>
  <c r="O147" i="1"/>
  <c r="R147" i="1" s="1"/>
  <c r="H147" i="1"/>
  <c r="F147" i="1"/>
  <c r="I147" i="1" s="1"/>
  <c r="AI146" i="1"/>
  <c r="AG146" i="1"/>
  <c r="AJ146" i="1" s="1"/>
  <c r="Z146" i="1"/>
  <c r="X146" i="1"/>
  <c r="Q146" i="1"/>
  <c r="O146" i="1"/>
  <c r="R146" i="1" s="1"/>
  <c r="H146" i="1"/>
  <c r="F146" i="1"/>
  <c r="I146" i="1" s="1"/>
  <c r="AI145" i="1"/>
  <c r="AG145" i="1"/>
  <c r="AJ145" i="1" s="1"/>
  <c r="Z145" i="1"/>
  <c r="X145" i="1"/>
  <c r="Q145" i="1"/>
  <c r="O145" i="1"/>
  <c r="R145" i="1" s="1"/>
  <c r="H145" i="1"/>
  <c r="F145" i="1"/>
  <c r="I145" i="1" s="1"/>
  <c r="AI144" i="1"/>
  <c r="AG144" i="1"/>
  <c r="AJ144" i="1" s="1"/>
  <c r="Z144" i="1"/>
  <c r="X144" i="1"/>
  <c r="Q144" i="1"/>
  <c r="O144" i="1"/>
  <c r="R144" i="1" s="1"/>
  <c r="H144" i="1"/>
  <c r="F144" i="1"/>
  <c r="I144" i="1" s="1"/>
  <c r="AI143" i="1"/>
  <c r="AG143" i="1"/>
  <c r="AJ143" i="1" s="1"/>
  <c r="Z143" i="1"/>
  <c r="X143" i="1"/>
  <c r="Q143" i="1"/>
  <c r="O143" i="1"/>
  <c r="R143" i="1" s="1"/>
  <c r="H143" i="1"/>
  <c r="F143" i="1"/>
  <c r="I143" i="1" s="1"/>
  <c r="AI142" i="1"/>
  <c r="AG142" i="1"/>
  <c r="AJ142" i="1" s="1"/>
  <c r="Z142" i="1"/>
  <c r="X142" i="1"/>
  <c r="Q142" i="1"/>
  <c r="O142" i="1"/>
  <c r="R142" i="1" s="1"/>
  <c r="H142" i="1"/>
  <c r="F142" i="1"/>
  <c r="I142" i="1" s="1"/>
  <c r="AI141" i="1"/>
  <c r="AG141" i="1"/>
  <c r="AJ141" i="1" s="1"/>
  <c r="Z141" i="1"/>
  <c r="X141" i="1"/>
  <c r="Q141" i="1"/>
  <c r="O141" i="1"/>
  <c r="R141" i="1" s="1"/>
  <c r="H141" i="1"/>
  <c r="F141" i="1"/>
  <c r="I141" i="1" s="1"/>
  <c r="AI140" i="1"/>
  <c r="AG140" i="1"/>
  <c r="AJ140" i="1" s="1"/>
  <c r="Z140" i="1"/>
  <c r="X140" i="1"/>
  <c r="Q140" i="1"/>
  <c r="O140" i="1"/>
  <c r="R140" i="1" s="1"/>
  <c r="H140" i="1"/>
  <c r="F140" i="1"/>
  <c r="I140" i="1" s="1"/>
  <c r="AI139" i="1"/>
  <c r="AG139" i="1"/>
  <c r="AJ139" i="1" s="1"/>
  <c r="Z139" i="1"/>
  <c r="X139" i="1"/>
  <c r="Q139" i="1"/>
  <c r="O139" i="1"/>
  <c r="R139" i="1" s="1"/>
  <c r="H139" i="1"/>
  <c r="F139" i="1"/>
  <c r="I139" i="1" s="1"/>
  <c r="AI138" i="1"/>
  <c r="AG138" i="1"/>
  <c r="AJ138" i="1" s="1"/>
  <c r="Z138" i="1"/>
  <c r="X138" i="1"/>
  <c r="Q138" i="1"/>
  <c r="O138" i="1"/>
  <c r="R138" i="1" s="1"/>
  <c r="H138" i="1"/>
  <c r="F138" i="1"/>
  <c r="I138" i="1" s="1"/>
  <c r="AI137" i="1"/>
  <c r="AG137" i="1"/>
  <c r="AJ137" i="1" s="1"/>
  <c r="Z137" i="1"/>
  <c r="X137" i="1"/>
  <c r="Q137" i="1"/>
  <c r="O137" i="1"/>
  <c r="R137" i="1" s="1"/>
  <c r="H137" i="1"/>
  <c r="F137" i="1"/>
  <c r="I137" i="1" s="1"/>
  <c r="AI136" i="1"/>
  <c r="AG136" i="1"/>
  <c r="AJ136" i="1" s="1"/>
  <c r="Z136" i="1"/>
  <c r="X136" i="1"/>
  <c r="Q136" i="1"/>
  <c r="O136" i="1"/>
  <c r="R136" i="1" s="1"/>
  <c r="H136" i="1"/>
  <c r="F136" i="1"/>
  <c r="I136" i="1" s="1"/>
  <c r="AI135" i="1"/>
  <c r="AG135" i="1"/>
  <c r="AJ135" i="1" s="1"/>
  <c r="Z135" i="1"/>
  <c r="X135" i="1"/>
  <c r="Q135" i="1"/>
  <c r="O135" i="1"/>
  <c r="R135" i="1" s="1"/>
  <c r="H135" i="1"/>
  <c r="F135" i="1"/>
  <c r="I135" i="1" s="1"/>
  <c r="AI134" i="1"/>
  <c r="AG134" i="1"/>
  <c r="AJ134" i="1" s="1"/>
  <c r="Z134" i="1"/>
  <c r="X134" i="1"/>
  <c r="Q134" i="1"/>
  <c r="O134" i="1"/>
  <c r="H134" i="1"/>
  <c r="F134" i="1"/>
  <c r="I134" i="1" s="1"/>
  <c r="AI133" i="1"/>
  <c r="AG133" i="1"/>
  <c r="AJ133" i="1" s="1"/>
  <c r="Z133" i="1"/>
  <c r="X133" i="1"/>
  <c r="H133" i="1"/>
  <c r="F133" i="1"/>
  <c r="I133" i="1" s="1"/>
  <c r="AI132" i="1"/>
  <c r="AG132" i="1"/>
  <c r="AJ132" i="1" s="1"/>
  <c r="Z132" i="1"/>
  <c r="X132" i="1"/>
  <c r="AA132" i="1" s="1"/>
  <c r="Q132" i="1"/>
  <c r="O132" i="1"/>
  <c r="R132" i="1" s="1"/>
  <c r="H132" i="1"/>
  <c r="F132" i="1"/>
  <c r="AI131" i="1"/>
  <c r="AG131" i="1"/>
  <c r="AJ131" i="1" s="1"/>
  <c r="Z131" i="1"/>
  <c r="X131" i="1"/>
  <c r="AA131" i="1" s="1"/>
  <c r="Q131" i="1"/>
  <c r="O131" i="1"/>
  <c r="R131" i="1" s="1"/>
  <c r="H131" i="1"/>
  <c r="F131" i="1"/>
  <c r="AI130" i="1"/>
  <c r="AG130" i="1"/>
  <c r="AJ130" i="1" s="1"/>
  <c r="Z130" i="1"/>
  <c r="X130" i="1"/>
  <c r="AA130" i="1" s="1"/>
  <c r="Q130" i="1"/>
  <c r="O130" i="1"/>
  <c r="R130" i="1" s="1"/>
  <c r="H130" i="1"/>
  <c r="F130" i="1"/>
  <c r="AI129" i="1"/>
  <c r="AG129" i="1"/>
  <c r="AJ129" i="1" s="1"/>
  <c r="Z129" i="1"/>
  <c r="X129" i="1"/>
  <c r="AA129" i="1" s="1"/>
  <c r="Q129" i="1"/>
  <c r="O129" i="1"/>
  <c r="R129" i="1" s="1"/>
  <c r="H129" i="1"/>
  <c r="F129" i="1"/>
  <c r="AI128" i="1"/>
  <c r="AG128" i="1"/>
  <c r="AJ128" i="1" s="1"/>
  <c r="Z128" i="1"/>
  <c r="X128" i="1"/>
  <c r="AA128" i="1" s="1"/>
  <c r="Q128" i="1"/>
  <c r="O128" i="1"/>
  <c r="R128" i="1" s="1"/>
  <c r="H128" i="1"/>
  <c r="F128" i="1"/>
  <c r="AI127" i="1"/>
  <c r="AG127" i="1"/>
  <c r="AJ127" i="1" s="1"/>
  <c r="Z127" i="1"/>
  <c r="X127" i="1"/>
  <c r="AA127" i="1" s="1"/>
  <c r="Q127" i="1"/>
  <c r="O127" i="1"/>
  <c r="R127" i="1" s="1"/>
  <c r="H127" i="1"/>
  <c r="F127" i="1"/>
  <c r="AI126" i="1"/>
  <c r="AG126" i="1"/>
  <c r="AJ126" i="1" s="1"/>
  <c r="Z126" i="1"/>
  <c r="X126" i="1"/>
  <c r="AA126" i="1" s="1"/>
  <c r="Q126" i="1"/>
  <c r="O126" i="1"/>
  <c r="R126" i="1" s="1"/>
  <c r="H126" i="1"/>
  <c r="F126" i="1"/>
  <c r="AI125" i="1"/>
  <c r="AG125" i="1"/>
  <c r="AJ125" i="1" s="1"/>
  <c r="Z125" i="1"/>
  <c r="X125" i="1"/>
  <c r="AA125" i="1" s="1"/>
  <c r="Q125" i="1"/>
  <c r="O125" i="1"/>
  <c r="R125" i="1" s="1"/>
  <c r="H125" i="1"/>
  <c r="F125" i="1"/>
  <c r="AI124" i="1"/>
  <c r="AG124" i="1"/>
  <c r="AJ124" i="1" s="1"/>
  <c r="Z124" i="1"/>
  <c r="X124" i="1"/>
  <c r="AA124" i="1" s="1"/>
  <c r="Q124" i="1"/>
  <c r="O124" i="1"/>
  <c r="R124" i="1" s="1"/>
  <c r="H124" i="1"/>
  <c r="F124" i="1"/>
  <c r="I124" i="1" s="1"/>
  <c r="AI123" i="1"/>
  <c r="AG123" i="1"/>
  <c r="AJ123" i="1" s="1"/>
  <c r="Z123" i="1"/>
  <c r="X123" i="1"/>
  <c r="AA123" i="1" s="1"/>
  <c r="Q123" i="1"/>
  <c r="O123" i="1"/>
  <c r="R123" i="1" s="1"/>
  <c r="H123" i="1"/>
  <c r="F123" i="1"/>
  <c r="I123" i="1" s="1"/>
  <c r="AI122" i="1"/>
  <c r="AG122" i="1"/>
  <c r="AJ122" i="1" s="1"/>
  <c r="Z122" i="1"/>
  <c r="X122" i="1"/>
  <c r="AA122" i="1" s="1"/>
  <c r="Q122" i="1"/>
  <c r="O122" i="1"/>
  <c r="R122" i="1" s="1"/>
  <c r="H122" i="1"/>
  <c r="F122" i="1"/>
  <c r="I122" i="1" s="1"/>
  <c r="AI121" i="1"/>
  <c r="AG121" i="1"/>
  <c r="AJ121" i="1" s="1"/>
  <c r="Z121" i="1"/>
  <c r="X121" i="1"/>
  <c r="AA121" i="1" s="1"/>
  <c r="Q121" i="1"/>
  <c r="O121" i="1"/>
  <c r="R121" i="1" s="1"/>
  <c r="H121" i="1"/>
  <c r="F121" i="1"/>
  <c r="I121" i="1" s="1"/>
  <c r="AI120" i="1"/>
  <c r="AG120" i="1"/>
  <c r="AJ120" i="1" s="1"/>
  <c r="Z120" i="1"/>
  <c r="X120" i="1"/>
  <c r="AA120" i="1" s="1"/>
  <c r="Q120" i="1"/>
  <c r="O120" i="1"/>
  <c r="R120" i="1" s="1"/>
  <c r="H120" i="1"/>
  <c r="F120" i="1"/>
  <c r="I120" i="1" s="1"/>
  <c r="AI119" i="1"/>
  <c r="AG119" i="1"/>
  <c r="AJ119" i="1" s="1"/>
  <c r="Z119" i="1"/>
  <c r="X119" i="1"/>
  <c r="AA119" i="1" s="1"/>
  <c r="Q119" i="1"/>
  <c r="O119" i="1"/>
  <c r="R119" i="1" s="1"/>
  <c r="H119" i="1"/>
  <c r="F119" i="1"/>
  <c r="I119" i="1" s="1"/>
  <c r="AI118" i="1"/>
  <c r="AG118" i="1"/>
  <c r="AJ118" i="1" s="1"/>
  <c r="Z118" i="1"/>
  <c r="X118" i="1"/>
  <c r="AA118" i="1" s="1"/>
  <c r="Q118" i="1"/>
  <c r="O118" i="1"/>
  <c r="R118" i="1" s="1"/>
  <c r="H118" i="1"/>
  <c r="F118" i="1"/>
  <c r="I118" i="1" s="1"/>
  <c r="AI117" i="1"/>
  <c r="AG117" i="1"/>
  <c r="AJ117" i="1" s="1"/>
  <c r="Z117" i="1"/>
  <c r="X117" i="1"/>
  <c r="AA117" i="1" s="1"/>
  <c r="Q117" i="1"/>
  <c r="O117" i="1"/>
  <c r="R117" i="1" s="1"/>
  <c r="H117" i="1"/>
  <c r="F117" i="1"/>
  <c r="I117" i="1" s="1"/>
  <c r="AI116" i="1"/>
  <c r="AG116" i="1"/>
  <c r="AJ116" i="1" s="1"/>
  <c r="Z116" i="1"/>
  <c r="X116" i="1"/>
  <c r="AA116" i="1" s="1"/>
  <c r="Q116" i="1"/>
  <c r="O116" i="1"/>
  <c r="R116" i="1" s="1"/>
  <c r="H116" i="1"/>
  <c r="F116" i="1"/>
  <c r="I116" i="1" s="1"/>
  <c r="AI115" i="1"/>
  <c r="AG115" i="1"/>
  <c r="AJ115" i="1" s="1"/>
  <c r="Z115" i="1"/>
  <c r="X115" i="1"/>
  <c r="AA115" i="1" s="1"/>
  <c r="Q115" i="1"/>
  <c r="O115" i="1"/>
  <c r="R115" i="1" s="1"/>
  <c r="H115" i="1"/>
  <c r="F115" i="1"/>
  <c r="I115" i="1" s="1"/>
  <c r="AI114" i="1"/>
  <c r="AG114" i="1"/>
  <c r="AJ114" i="1" s="1"/>
  <c r="Z114" i="1"/>
  <c r="X114" i="1"/>
  <c r="AA114" i="1" s="1"/>
  <c r="Q114" i="1"/>
  <c r="O114" i="1"/>
  <c r="R114" i="1" s="1"/>
  <c r="H114" i="1"/>
  <c r="F114" i="1"/>
  <c r="I114" i="1" s="1"/>
  <c r="AI113" i="1"/>
  <c r="AG113" i="1"/>
  <c r="AJ113" i="1" s="1"/>
  <c r="Z113" i="1"/>
  <c r="X113" i="1"/>
  <c r="AA113" i="1" s="1"/>
  <c r="Q113" i="1"/>
  <c r="O113" i="1"/>
  <c r="R113" i="1" s="1"/>
  <c r="H113" i="1"/>
  <c r="F113" i="1"/>
  <c r="I113" i="1" s="1"/>
  <c r="AI112" i="1"/>
  <c r="AG112" i="1"/>
  <c r="AJ112" i="1" s="1"/>
  <c r="Z112" i="1"/>
  <c r="X112" i="1"/>
  <c r="AA112" i="1" s="1"/>
  <c r="H112" i="1"/>
  <c r="F112" i="1"/>
  <c r="AI111" i="1"/>
  <c r="AG111" i="1"/>
  <c r="AH111" i="1" s="1"/>
  <c r="Z111" i="1"/>
  <c r="X111" i="1"/>
  <c r="Y111" i="1" s="1"/>
  <c r="Q111" i="1"/>
  <c r="O111" i="1"/>
  <c r="H111" i="1"/>
  <c r="F111" i="1"/>
  <c r="AI110" i="1"/>
  <c r="AG110" i="1"/>
  <c r="AH110" i="1" s="1"/>
  <c r="Z110" i="1"/>
  <c r="X110" i="1"/>
  <c r="Y110" i="1" s="1"/>
  <c r="Q110" i="1"/>
  <c r="O110" i="1"/>
  <c r="I110" i="1"/>
  <c r="H110" i="1"/>
  <c r="G110" i="1"/>
  <c r="AI109" i="1"/>
  <c r="AG109" i="1"/>
  <c r="AH109" i="1" s="1"/>
  <c r="Z109" i="1"/>
  <c r="X109" i="1"/>
  <c r="Y109" i="1" s="1"/>
  <c r="Q109" i="1"/>
  <c r="O109" i="1"/>
  <c r="H109" i="1"/>
  <c r="F109" i="1"/>
  <c r="AI108" i="1"/>
  <c r="AG108" i="1"/>
  <c r="AH108" i="1" s="1"/>
  <c r="Z108" i="1"/>
  <c r="X108" i="1"/>
  <c r="Y108" i="1" s="1"/>
  <c r="Q108" i="1"/>
  <c r="O108" i="1"/>
  <c r="H108" i="1"/>
  <c r="F108" i="1"/>
  <c r="AI107" i="1"/>
  <c r="AG107" i="1"/>
  <c r="AH107" i="1" s="1"/>
  <c r="Z107" i="1"/>
  <c r="X107" i="1"/>
  <c r="Y107" i="1" s="1"/>
  <c r="Q107" i="1"/>
  <c r="O107" i="1"/>
  <c r="H107" i="1"/>
  <c r="F107" i="1"/>
  <c r="AI106" i="1"/>
  <c r="AG106" i="1"/>
  <c r="AH106" i="1" s="1"/>
  <c r="Z106" i="1"/>
  <c r="X106" i="1"/>
  <c r="Y106" i="1" s="1"/>
  <c r="Q106" i="1"/>
  <c r="O106" i="1"/>
  <c r="H106" i="1"/>
  <c r="F106" i="1"/>
  <c r="AI105" i="1"/>
  <c r="AG105" i="1"/>
  <c r="AH105" i="1" s="1"/>
  <c r="Z105" i="1"/>
  <c r="X105" i="1"/>
  <c r="Y105" i="1" s="1"/>
  <c r="Q105" i="1"/>
  <c r="O105" i="1"/>
  <c r="H105" i="1"/>
  <c r="F105" i="1"/>
  <c r="AI104" i="1"/>
  <c r="AG104" i="1"/>
  <c r="AH104" i="1" s="1"/>
  <c r="Z104" i="1"/>
  <c r="X104" i="1"/>
  <c r="Y104" i="1" s="1"/>
  <c r="Q104" i="1"/>
  <c r="O104" i="1"/>
  <c r="H104" i="1"/>
  <c r="F104" i="1"/>
  <c r="AI103" i="1"/>
  <c r="AG103" i="1"/>
  <c r="AH103" i="1" s="1"/>
  <c r="Z103" i="1"/>
  <c r="X103" i="1"/>
  <c r="Y103" i="1" s="1"/>
  <c r="Q103" i="1"/>
  <c r="O103" i="1"/>
  <c r="H103" i="1"/>
  <c r="F103" i="1"/>
  <c r="AI102" i="1"/>
  <c r="AG102" i="1"/>
  <c r="AH102" i="1" s="1"/>
  <c r="Z102" i="1"/>
  <c r="X102" i="1"/>
  <c r="Y102" i="1" s="1"/>
  <c r="Q102" i="1"/>
  <c r="O102" i="1"/>
  <c r="H102" i="1"/>
  <c r="F102" i="1"/>
  <c r="AI101" i="1"/>
  <c r="AG101" i="1"/>
  <c r="AH101" i="1" s="1"/>
  <c r="Z101" i="1"/>
  <c r="X101" i="1"/>
  <c r="Y101" i="1" s="1"/>
  <c r="Q101" i="1"/>
  <c r="O101" i="1"/>
  <c r="H101" i="1"/>
  <c r="F101" i="1"/>
  <c r="AI100" i="1"/>
  <c r="AG100" i="1"/>
  <c r="AH100" i="1" s="1"/>
  <c r="Z100" i="1"/>
  <c r="X100" i="1"/>
  <c r="Y100" i="1" s="1"/>
  <c r="Q100" i="1"/>
  <c r="O100" i="1"/>
  <c r="H100" i="1"/>
  <c r="F100" i="1"/>
  <c r="AI99" i="1"/>
  <c r="AG99" i="1"/>
  <c r="AH99" i="1" s="1"/>
  <c r="Z99" i="1"/>
  <c r="X99" i="1"/>
  <c r="Y99" i="1" s="1"/>
  <c r="Q99" i="1"/>
  <c r="O99" i="1"/>
  <c r="H99" i="1"/>
  <c r="F99" i="1"/>
  <c r="AI98" i="1"/>
  <c r="AG98" i="1"/>
  <c r="AH98" i="1" s="1"/>
  <c r="Z98" i="1"/>
  <c r="X98" i="1"/>
  <c r="Y98" i="1" s="1"/>
  <c r="Q98" i="1"/>
  <c r="O98" i="1"/>
  <c r="H98" i="1"/>
  <c r="F98" i="1"/>
  <c r="AI97" i="1"/>
  <c r="AG97" i="1"/>
  <c r="AH97" i="1" s="1"/>
  <c r="Z97" i="1"/>
  <c r="X97" i="1"/>
  <c r="Y97" i="1" s="1"/>
  <c r="Q97" i="1"/>
  <c r="O97" i="1"/>
  <c r="H97" i="1"/>
  <c r="F97" i="1"/>
  <c r="AI96" i="1"/>
  <c r="AG96" i="1"/>
  <c r="AH96" i="1" s="1"/>
  <c r="Z96" i="1"/>
  <c r="X96" i="1"/>
  <c r="Y96" i="1" s="1"/>
  <c r="Q96" i="1"/>
  <c r="O96" i="1"/>
  <c r="H96" i="1"/>
  <c r="F96" i="1"/>
  <c r="AI95" i="1"/>
  <c r="AG95" i="1"/>
  <c r="AH95" i="1" s="1"/>
  <c r="Z95" i="1"/>
  <c r="X95" i="1"/>
  <c r="Y95" i="1" s="1"/>
  <c r="Q95" i="1"/>
  <c r="O95" i="1"/>
  <c r="H95" i="1"/>
  <c r="F95" i="1"/>
  <c r="AI94" i="1"/>
  <c r="AG94" i="1"/>
  <c r="AH94" i="1" s="1"/>
  <c r="Z94" i="1"/>
  <c r="X94" i="1"/>
  <c r="Y94" i="1" s="1"/>
  <c r="Q94" i="1"/>
  <c r="O94" i="1"/>
  <c r="H94" i="1"/>
  <c r="F94" i="1"/>
  <c r="AI93" i="1"/>
  <c r="AG93" i="1"/>
  <c r="AH93" i="1" s="1"/>
  <c r="Z93" i="1"/>
  <c r="X93" i="1"/>
  <c r="Y93" i="1" s="1"/>
  <c r="Q93" i="1"/>
  <c r="O93" i="1"/>
  <c r="H93" i="1"/>
  <c r="F93" i="1"/>
  <c r="AI92" i="1"/>
  <c r="AG92" i="1"/>
  <c r="AH92" i="1" s="1"/>
  <c r="Z92" i="1"/>
  <c r="X92" i="1"/>
  <c r="Y92" i="1" s="1"/>
  <c r="Q92" i="1"/>
  <c r="O92" i="1"/>
  <c r="H92" i="1"/>
  <c r="F92" i="1"/>
  <c r="AI91" i="1"/>
  <c r="AG91" i="1"/>
  <c r="AH91" i="1" s="1"/>
  <c r="Z91" i="1"/>
  <c r="X91" i="1"/>
  <c r="Y91" i="1" s="1"/>
  <c r="Q91" i="1"/>
  <c r="O91" i="1"/>
  <c r="H91" i="1"/>
  <c r="F91" i="1"/>
  <c r="AI90" i="1"/>
  <c r="AG90" i="1"/>
  <c r="AH90" i="1" s="1"/>
  <c r="Z90" i="1"/>
  <c r="X90" i="1"/>
  <c r="Y90" i="1" s="1"/>
  <c r="Q90" i="1"/>
  <c r="O90" i="1"/>
  <c r="H90" i="1"/>
  <c r="F90" i="1"/>
  <c r="AI89" i="1"/>
  <c r="AG89" i="1"/>
  <c r="AH89" i="1" s="1"/>
  <c r="Z89" i="1"/>
  <c r="X89" i="1"/>
  <c r="Y89" i="1" s="1"/>
  <c r="Q89" i="1"/>
  <c r="O89" i="1"/>
  <c r="H89" i="1"/>
  <c r="F89" i="1"/>
  <c r="AI88" i="1"/>
  <c r="AG88" i="1"/>
  <c r="AH88" i="1" s="1"/>
  <c r="Z88" i="1"/>
  <c r="X88" i="1"/>
  <c r="Y88" i="1" s="1"/>
  <c r="Q88" i="1"/>
  <c r="O88" i="1"/>
  <c r="H88" i="1"/>
  <c r="F88" i="1"/>
  <c r="AI87" i="1"/>
  <c r="AG87" i="1"/>
  <c r="AH87" i="1" s="1"/>
  <c r="Z87" i="1"/>
  <c r="X87" i="1"/>
  <c r="Y87" i="1" s="1"/>
  <c r="Q87" i="1"/>
  <c r="O87" i="1"/>
  <c r="H87" i="1"/>
  <c r="F87" i="1"/>
  <c r="AI86" i="1"/>
  <c r="AG86" i="1"/>
  <c r="AH86" i="1" s="1"/>
  <c r="Z86" i="1"/>
  <c r="X86" i="1"/>
  <c r="Y86" i="1" s="1"/>
  <c r="Q86" i="1"/>
  <c r="O86" i="1"/>
  <c r="H86" i="1"/>
  <c r="F86" i="1"/>
  <c r="AI85" i="1"/>
  <c r="AG85" i="1"/>
  <c r="AH85" i="1" s="1"/>
  <c r="Z85" i="1"/>
  <c r="X85" i="1"/>
  <c r="Y85" i="1" s="1"/>
  <c r="Q85" i="1"/>
  <c r="O85" i="1"/>
  <c r="H85" i="1"/>
  <c r="F85" i="1"/>
  <c r="AI84" i="1"/>
  <c r="AG84" i="1"/>
  <c r="AH84" i="1" s="1"/>
  <c r="Z84" i="1"/>
  <c r="X84" i="1"/>
  <c r="Y84" i="1" s="1"/>
  <c r="H84" i="1"/>
  <c r="F84" i="1"/>
  <c r="AI83" i="1"/>
  <c r="AG83" i="1"/>
  <c r="Z83" i="1"/>
  <c r="X83" i="1"/>
  <c r="Y83" i="1" s="1"/>
  <c r="Q83" i="1"/>
  <c r="O83" i="1"/>
  <c r="P83" i="1" s="1"/>
  <c r="H83" i="1"/>
  <c r="F83" i="1"/>
  <c r="AI82" i="1"/>
  <c r="AG82" i="1"/>
  <c r="Z82" i="1"/>
  <c r="X82" i="1"/>
  <c r="Y82" i="1" s="1"/>
  <c r="Q82" i="1"/>
  <c r="O82" i="1"/>
  <c r="P82" i="1" s="1"/>
  <c r="H82" i="1"/>
  <c r="B145" i="2" s="1"/>
  <c r="F82" i="1"/>
  <c r="AI81" i="1"/>
  <c r="AG81" i="1"/>
  <c r="Z81" i="1"/>
  <c r="X81" i="1"/>
  <c r="Y81" i="1" s="1"/>
  <c r="Q81" i="1"/>
  <c r="O81" i="1"/>
  <c r="P81" i="1" s="1"/>
  <c r="H81" i="1"/>
  <c r="F81" i="1"/>
  <c r="AI80" i="1"/>
  <c r="AG80" i="1"/>
  <c r="Z80" i="1"/>
  <c r="X80" i="1"/>
  <c r="Y80" i="1" s="1"/>
  <c r="Q80" i="1"/>
  <c r="B53" i="2" s="1"/>
  <c r="O80" i="1"/>
  <c r="P80" i="1" s="1"/>
  <c r="H80" i="1"/>
  <c r="F80" i="1"/>
  <c r="AI79" i="1"/>
  <c r="AG79" i="1"/>
  <c r="Z79" i="1"/>
  <c r="X79" i="1"/>
  <c r="Y79" i="1" s="1"/>
  <c r="Q79" i="1"/>
  <c r="O79" i="1"/>
  <c r="P79" i="1" s="1"/>
  <c r="H79" i="1"/>
  <c r="F79" i="1"/>
  <c r="AI78" i="1"/>
  <c r="AG78" i="1"/>
  <c r="Z78" i="1"/>
  <c r="X78" i="1"/>
  <c r="Y78" i="1" s="1"/>
  <c r="Q78" i="1"/>
  <c r="O78" i="1"/>
  <c r="P78" i="1" s="1"/>
  <c r="H78" i="1"/>
  <c r="F78" i="1"/>
  <c r="AI77" i="1"/>
  <c r="AG77" i="1"/>
  <c r="Z77" i="1"/>
  <c r="X77" i="1"/>
  <c r="Y77" i="1" s="1"/>
  <c r="Q77" i="1"/>
  <c r="O77" i="1"/>
  <c r="P77" i="1" s="1"/>
  <c r="H77" i="1"/>
  <c r="F77" i="1"/>
  <c r="AI76" i="1"/>
  <c r="AG76" i="1"/>
  <c r="Z76" i="1"/>
  <c r="X76" i="1"/>
  <c r="Y76" i="1" s="1"/>
  <c r="Q76" i="1"/>
  <c r="O76" i="1"/>
  <c r="P76" i="1" s="1"/>
  <c r="H76" i="1"/>
  <c r="B51" i="2" s="1"/>
  <c r="F76" i="1"/>
  <c r="AI75" i="1"/>
  <c r="AG75" i="1"/>
  <c r="Z75" i="1"/>
  <c r="X75" i="1"/>
  <c r="Y75" i="1" s="1"/>
  <c r="Q75" i="1"/>
  <c r="O75" i="1"/>
  <c r="P75" i="1" s="1"/>
  <c r="H75" i="1"/>
  <c r="F75" i="1"/>
  <c r="AI74" i="1"/>
  <c r="AG74" i="1"/>
  <c r="Z74" i="1"/>
  <c r="X74" i="1"/>
  <c r="Y74" i="1" s="1"/>
  <c r="Q74" i="1"/>
  <c r="O74" i="1"/>
  <c r="P74" i="1" s="1"/>
  <c r="H74" i="1"/>
  <c r="F74" i="1"/>
  <c r="AI73" i="1"/>
  <c r="AG73" i="1"/>
  <c r="Z73" i="1"/>
  <c r="X73" i="1"/>
  <c r="Y73" i="1" s="1"/>
  <c r="Q73" i="1"/>
  <c r="O73" i="1"/>
  <c r="P73" i="1" s="1"/>
  <c r="H73" i="1"/>
  <c r="F73" i="1"/>
  <c r="AI72" i="1"/>
  <c r="AG72" i="1"/>
  <c r="Z72" i="1"/>
  <c r="X72" i="1"/>
  <c r="Y72" i="1" s="1"/>
  <c r="Q72" i="1"/>
  <c r="O72" i="1"/>
  <c r="P72" i="1" s="1"/>
  <c r="H72" i="1"/>
  <c r="F72" i="1"/>
  <c r="AI71" i="1"/>
  <c r="AG71" i="1"/>
  <c r="Z71" i="1"/>
  <c r="X71" i="1"/>
  <c r="Y71" i="1" s="1"/>
  <c r="Q71" i="1"/>
  <c r="O71" i="1"/>
  <c r="P71" i="1" s="1"/>
  <c r="H71" i="1"/>
  <c r="F71" i="1"/>
  <c r="AI70" i="1"/>
  <c r="AG70" i="1"/>
  <c r="Z70" i="1"/>
  <c r="X70" i="1"/>
  <c r="Y70" i="1" s="1"/>
  <c r="Q70" i="1"/>
  <c r="O70" i="1"/>
  <c r="P70" i="1" s="1"/>
  <c r="H70" i="1"/>
  <c r="F70" i="1"/>
  <c r="AI69" i="1"/>
  <c r="AG69" i="1"/>
  <c r="Z69" i="1"/>
  <c r="X69" i="1"/>
  <c r="Y69" i="1" s="1"/>
  <c r="Q69" i="1"/>
  <c r="O69" i="1"/>
  <c r="P69" i="1" s="1"/>
  <c r="H69" i="1"/>
  <c r="B43" i="2" s="1"/>
  <c r="F69" i="1"/>
  <c r="AI68" i="1"/>
  <c r="AG68" i="1"/>
  <c r="Z68" i="1"/>
  <c r="X68" i="1"/>
  <c r="Y68" i="1" s="1"/>
  <c r="Q68" i="1"/>
  <c r="O68" i="1"/>
  <c r="P68" i="1" s="1"/>
  <c r="H68" i="1"/>
  <c r="F68" i="1"/>
  <c r="AI67" i="1"/>
  <c r="AG67" i="1"/>
  <c r="Z67" i="1"/>
  <c r="X67" i="1"/>
  <c r="Y67" i="1" s="1"/>
  <c r="Q67" i="1"/>
  <c r="O67" i="1"/>
  <c r="P67" i="1" s="1"/>
  <c r="H67" i="1"/>
  <c r="F67" i="1"/>
  <c r="AI66" i="1"/>
  <c r="AG66" i="1"/>
  <c r="Z66" i="1"/>
  <c r="X66" i="1"/>
  <c r="Y66" i="1" s="1"/>
  <c r="Q66" i="1"/>
  <c r="O66" i="1"/>
  <c r="P66" i="1" s="1"/>
  <c r="H66" i="1"/>
  <c r="F66" i="1"/>
  <c r="AI65" i="1"/>
  <c r="AG65" i="1"/>
  <c r="Z65" i="1"/>
  <c r="X65" i="1"/>
  <c r="Y65" i="1" s="1"/>
  <c r="Q65" i="1"/>
  <c r="O65" i="1"/>
  <c r="P65" i="1" s="1"/>
  <c r="H65" i="1"/>
  <c r="F65" i="1"/>
  <c r="AI64" i="1"/>
  <c r="AG64" i="1"/>
  <c r="Z64" i="1"/>
  <c r="X64" i="1"/>
  <c r="Y64" i="1" s="1"/>
  <c r="Q64" i="1"/>
  <c r="O64" i="1"/>
  <c r="P64" i="1" s="1"/>
  <c r="H64" i="1"/>
  <c r="F64" i="1"/>
  <c r="AI63" i="1"/>
  <c r="AG63" i="1"/>
  <c r="Z63" i="1"/>
  <c r="X63" i="1"/>
  <c r="Y63" i="1" s="1"/>
  <c r="Q63" i="1"/>
  <c r="O63" i="1"/>
  <c r="P63" i="1" s="1"/>
  <c r="H63" i="1"/>
  <c r="F63" i="1"/>
  <c r="AI62" i="1"/>
  <c r="AG62" i="1"/>
  <c r="Z62" i="1"/>
  <c r="X62" i="1"/>
  <c r="Y62" i="1" s="1"/>
  <c r="Q62" i="1"/>
  <c r="O62" i="1"/>
  <c r="P62" i="1" s="1"/>
  <c r="H62" i="1"/>
  <c r="F62" i="1"/>
  <c r="AI61" i="1"/>
  <c r="AG61" i="1"/>
  <c r="Z61" i="1"/>
  <c r="X61" i="1"/>
  <c r="Y61" i="1" s="1"/>
  <c r="Q61" i="1"/>
  <c r="O61" i="1"/>
  <c r="P61" i="1" s="1"/>
  <c r="I61" i="1"/>
  <c r="H61" i="1"/>
  <c r="B14" i="2" s="1"/>
  <c r="G61" i="1"/>
  <c r="AI60" i="1"/>
  <c r="AG60" i="1"/>
  <c r="AJ60" i="1" s="1"/>
  <c r="Z60" i="1"/>
  <c r="X60" i="1"/>
  <c r="AA60" i="1" s="1"/>
  <c r="Q60" i="1"/>
  <c r="O60" i="1"/>
  <c r="R60" i="1" s="1"/>
  <c r="H60" i="1"/>
  <c r="F60" i="1"/>
  <c r="I60" i="1" s="1"/>
  <c r="AI59" i="1"/>
  <c r="AG59" i="1"/>
  <c r="AJ59" i="1" s="1"/>
  <c r="Z59" i="1"/>
  <c r="X59" i="1"/>
  <c r="AA59" i="1" s="1"/>
  <c r="Q59" i="1"/>
  <c r="O59" i="1"/>
  <c r="R59" i="1" s="1"/>
  <c r="H59" i="1"/>
  <c r="F59" i="1"/>
  <c r="I59" i="1" s="1"/>
  <c r="AI58" i="1"/>
  <c r="AG58" i="1"/>
  <c r="AJ58" i="1" s="1"/>
  <c r="Z58" i="1"/>
  <c r="X58" i="1"/>
  <c r="AA58" i="1" s="1"/>
  <c r="Q58" i="1"/>
  <c r="O58" i="1"/>
  <c r="R58" i="1" s="1"/>
  <c r="H58" i="1"/>
  <c r="F58" i="1"/>
  <c r="I58" i="1" s="1"/>
  <c r="AI57" i="1"/>
  <c r="AG57" i="1"/>
  <c r="AJ57" i="1" s="1"/>
  <c r="Z57" i="1"/>
  <c r="X57" i="1"/>
  <c r="AA57" i="1" s="1"/>
  <c r="Q57" i="1"/>
  <c r="O57" i="1"/>
  <c r="R57" i="1" s="1"/>
  <c r="H57" i="1"/>
  <c r="F57" i="1"/>
  <c r="I57" i="1" s="1"/>
  <c r="AI56" i="1"/>
  <c r="AG56" i="1"/>
  <c r="AJ56" i="1" s="1"/>
  <c r="Z56" i="1"/>
  <c r="X56" i="1"/>
  <c r="AA56" i="1" s="1"/>
  <c r="Q56" i="1"/>
  <c r="O56" i="1"/>
  <c r="R56" i="1" s="1"/>
  <c r="H56" i="1"/>
  <c r="F56" i="1"/>
  <c r="I56" i="1" s="1"/>
  <c r="AI55" i="1"/>
  <c r="AG55" i="1"/>
  <c r="AJ55" i="1" s="1"/>
  <c r="Z55" i="1"/>
  <c r="X55" i="1"/>
  <c r="AA55" i="1" s="1"/>
  <c r="Q55" i="1"/>
  <c r="O55" i="1"/>
  <c r="R55" i="1" s="1"/>
  <c r="H55" i="1"/>
  <c r="F55" i="1"/>
  <c r="I55" i="1" s="1"/>
  <c r="AI54" i="1"/>
  <c r="AG54" i="1"/>
  <c r="AJ54" i="1" s="1"/>
  <c r="Z54" i="1"/>
  <c r="X54" i="1"/>
  <c r="AA54" i="1" s="1"/>
  <c r="Q54" i="1"/>
  <c r="O54" i="1"/>
  <c r="R54" i="1" s="1"/>
  <c r="H54" i="1"/>
  <c r="F54" i="1"/>
  <c r="I54" i="1" s="1"/>
  <c r="AI53" i="1"/>
  <c r="AG53" i="1"/>
  <c r="AJ53" i="1" s="1"/>
  <c r="Z53" i="1"/>
  <c r="X53" i="1"/>
  <c r="AA53" i="1" s="1"/>
  <c r="Q53" i="1"/>
  <c r="O53" i="1"/>
  <c r="R53" i="1" s="1"/>
  <c r="H53" i="1"/>
  <c r="F53" i="1"/>
  <c r="I53" i="1" s="1"/>
  <c r="AI52" i="1"/>
  <c r="AG52" i="1"/>
  <c r="AJ52" i="1" s="1"/>
  <c r="Z52" i="1"/>
  <c r="X52" i="1"/>
  <c r="AA52" i="1" s="1"/>
  <c r="Q52" i="1"/>
  <c r="O52" i="1"/>
  <c r="R52" i="1" s="1"/>
  <c r="H52" i="1"/>
  <c r="F52" i="1"/>
  <c r="I52" i="1" s="1"/>
  <c r="AI51" i="1"/>
  <c r="AG51" i="1"/>
  <c r="AJ51" i="1" s="1"/>
  <c r="Z51" i="1"/>
  <c r="X51" i="1"/>
  <c r="AA51" i="1" s="1"/>
  <c r="Q51" i="1"/>
  <c r="O51" i="1"/>
  <c r="R51" i="1" s="1"/>
  <c r="H51" i="1"/>
  <c r="F51" i="1"/>
  <c r="I51" i="1" s="1"/>
  <c r="AI50" i="1"/>
  <c r="AG50" i="1"/>
  <c r="AJ50" i="1" s="1"/>
  <c r="Z50" i="1"/>
  <c r="X50" i="1"/>
  <c r="AA50" i="1" s="1"/>
  <c r="Q50" i="1"/>
  <c r="O50" i="1"/>
  <c r="R50" i="1" s="1"/>
  <c r="H50" i="1"/>
  <c r="F50" i="1"/>
  <c r="I50" i="1" s="1"/>
  <c r="AI49" i="1"/>
  <c r="AG49" i="1"/>
  <c r="AJ49" i="1" s="1"/>
  <c r="Z49" i="1"/>
  <c r="X49" i="1"/>
  <c r="AA49" i="1" s="1"/>
  <c r="Q49" i="1"/>
  <c r="O49" i="1"/>
  <c r="R49" i="1" s="1"/>
  <c r="H49" i="1"/>
  <c r="F49" i="1"/>
  <c r="I49" i="1" s="1"/>
  <c r="AI48" i="1"/>
  <c r="AG48" i="1"/>
  <c r="AJ48" i="1" s="1"/>
  <c r="Z48" i="1"/>
  <c r="X48" i="1"/>
  <c r="AA48" i="1" s="1"/>
  <c r="Q48" i="1"/>
  <c r="O48" i="1"/>
  <c r="R48" i="1" s="1"/>
  <c r="H48" i="1"/>
  <c r="F48" i="1"/>
  <c r="I48" i="1" s="1"/>
  <c r="AI47" i="1"/>
  <c r="AG47" i="1"/>
  <c r="AJ47" i="1" s="1"/>
  <c r="Z47" i="1"/>
  <c r="X47" i="1"/>
  <c r="AA47" i="1" s="1"/>
  <c r="Q47" i="1"/>
  <c r="O47" i="1"/>
  <c r="R47" i="1" s="1"/>
  <c r="H47" i="1"/>
  <c r="B171" i="2" s="1"/>
  <c r="F47" i="1"/>
  <c r="I47" i="1" s="1"/>
  <c r="AI46" i="1"/>
  <c r="AG46" i="1"/>
  <c r="AJ46" i="1" s="1"/>
  <c r="Z46" i="1"/>
  <c r="X46" i="1"/>
  <c r="AA46" i="1" s="1"/>
  <c r="Q46" i="1"/>
  <c r="O46" i="1"/>
  <c r="R46" i="1" s="1"/>
  <c r="H46" i="1"/>
  <c r="F46" i="1"/>
  <c r="I46" i="1" s="1"/>
  <c r="AI45" i="1"/>
  <c r="AG45" i="1"/>
  <c r="AJ45" i="1" s="1"/>
  <c r="Z45" i="1"/>
  <c r="X45" i="1"/>
  <c r="AA45" i="1" s="1"/>
  <c r="Q45" i="1"/>
  <c r="O45" i="1"/>
  <c r="R45" i="1" s="1"/>
  <c r="H45" i="1"/>
  <c r="F45" i="1"/>
  <c r="I45" i="1" s="1"/>
  <c r="AI44" i="1"/>
  <c r="AG44" i="1"/>
  <c r="AJ44" i="1" s="1"/>
  <c r="Z44" i="1"/>
  <c r="X44" i="1"/>
  <c r="AA44" i="1" s="1"/>
  <c r="H44" i="1"/>
  <c r="F44" i="1"/>
  <c r="I44" i="1" s="1"/>
  <c r="AI43" i="1"/>
  <c r="AG43" i="1"/>
  <c r="AJ43" i="1" s="1"/>
  <c r="Z43" i="1"/>
  <c r="X43" i="1"/>
  <c r="AA43" i="1" s="1"/>
  <c r="Q43" i="1"/>
  <c r="O43" i="1"/>
  <c r="R43" i="1" s="1"/>
  <c r="H43" i="1"/>
  <c r="F43" i="1"/>
  <c r="I43" i="1" s="1"/>
  <c r="AI42" i="1"/>
  <c r="AG42" i="1"/>
  <c r="AJ42" i="1" s="1"/>
  <c r="Z42" i="1"/>
  <c r="X42" i="1"/>
  <c r="AA42" i="1" s="1"/>
  <c r="Q42" i="1"/>
  <c r="O42" i="1"/>
  <c r="R42" i="1" s="1"/>
  <c r="H42" i="1"/>
  <c r="B179" i="2" s="1"/>
  <c r="F42" i="1"/>
  <c r="I42" i="1" s="1"/>
  <c r="AI41" i="1"/>
  <c r="AG41" i="1"/>
  <c r="AJ41" i="1" s="1"/>
  <c r="AA41" i="1"/>
  <c r="Z41" i="1"/>
  <c r="Y41" i="1"/>
  <c r="Q41" i="1"/>
  <c r="O41" i="1"/>
  <c r="R41" i="1" s="1"/>
  <c r="H41" i="1"/>
  <c r="F41" i="1"/>
  <c r="I41" i="1" s="1"/>
  <c r="AI40" i="1"/>
  <c r="AG40" i="1"/>
  <c r="AJ40" i="1" s="1"/>
  <c r="Z40" i="1"/>
  <c r="X40" i="1"/>
  <c r="AA40" i="1" s="1"/>
  <c r="Q40" i="1"/>
  <c r="O40" i="1"/>
  <c r="R40" i="1" s="1"/>
  <c r="H40" i="1"/>
  <c r="F40" i="1"/>
  <c r="I40" i="1" s="1"/>
  <c r="AI39" i="1"/>
  <c r="AG39" i="1"/>
  <c r="AJ39" i="1" s="1"/>
  <c r="Z39" i="1"/>
  <c r="X39" i="1"/>
  <c r="AA39" i="1" s="1"/>
  <c r="Q39" i="1"/>
  <c r="O39" i="1"/>
  <c r="R39" i="1" s="1"/>
  <c r="H39" i="1"/>
  <c r="F39" i="1"/>
  <c r="I39" i="1" s="1"/>
  <c r="AI38" i="1"/>
  <c r="AG38" i="1"/>
  <c r="AJ38" i="1" s="1"/>
  <c r="Z38" i="1"/>
  <c r="X38" i="1"/>
  <c r="AA38" i="1" s="1"/>
  <c r="Q38" i="1"/>
  <c r="O38" i="1"/>
  <c r="R38" i="1" s="1"/>
  <c r="H38" i="1"/>
  <c r="B78" i="2" s="1"/>
  <c r="F38" i="1"/>
  <c r="I38" i="1" s="1"/>
  <c r="C78" i="2" s="1"/>
  <c r="D78" i="2" s="1"/>
  <c r="AI37" i="1"/>
  <c r="AG37" i="1"/>
  <c r="AJ37" i="1" s="1"/>
  <c r="Z37" i="1"/>
  <c r="X37" i="1"/>
  <c r="AA37" i="1" s="1"/>
  <c r="Q37" i="1"/>
  <c r="O37" i="1"/>
  <c r="R37" i="1" s="1"/>
  <c r="H37" i="1"/>
  <c r="F37" i="1"/>
  <c r="I37" i="1" s="1"/>
  <c r="AI36" i="1"/>
  <c r="AG36" i="1"/>
  <c r="AJ36" i="1" s="1"/>
  <c r="Z36" i="1"/>
  <c r="X36" i="1"/>
  <c r="AA36" i="1" s="1"/>
  <c r="Q36" i="1"/>
  <c r="O36" i="1"/>
  <c r="R36" i="1" s="1"/>
  <c r="H36" i="1"/>
  <c r="F36" i="1"/>
  <c r="I36" i="1" s="1"/>
  <c r="AI35" i="1"/>
  <c r="AG35" i="1"/>
  <c r="AJ35" i="1" s="1"/>
  <c r="Z35" i="1"/>
  <c r="X35" i="1"/>
  <c r="AA35" i="1" s="1"/>
  <c r="Q35" i="1"/>
  <c r="O35" i="1"/>
  <c r="R35" i="1" s="1"/>
  <c r="H35" i="1"/>
  <c r="F35" i="1"/>
  <c r="I35" i="1" s="1"/>
  <c r="AI34" i="1"/>
  <c r="AG34" i="1"/>
  <c r="AJ34" i="1" s="1"/>
  <c r="Z34" i="1"/>
  <c r="X34" i="1"/>
  <c r="AA34" i="1" s="1"/>
  <c r="Q34" i="1"/>
  <c r="O34" i="1"/>
  <c r="R34" i="1" s="1"/>
  <c r="H34" i="1"/>
  <c r="F34" i="1"/>
  <c r="I34" i="1" s="1"/>
  <c r="AI33" i="1"/>
  <c r="AG33" i="1"/>
  <c r="AJ33" i="1" s="1"/>
  <c r="Z33" i="1"/>
  <c r="X33" i="1"/>
  <c r="AA33" i="1" s="1"/>
  <c r="Q33" i="1"/>
  <c r="O33" i="1"/>
  <c r="R33" i="1" s="1"/>
  <c r="H33" i="1"/>
  <c r="F33" i="1"/>
  <c r="I33" i="1" s="1"/>
  <c r="AI32" i="1"/>
  <c r="AG32" i="1"/>
  <c r="AJ32" i="1" s="1"/>
  <c r="Z32" i="1"/>
  <c r="X32" i="1"/>
  <c r="AA32" i="1" s="1"/>
  <c r="Q32" i="1"/>
  <c r="O32" i="1"/>
  <c r="R32" i="1" s="1"/>
  <c r="H32" i="1"/>
  <c r="F32" i="1"/>
  <c r="I32" i="1" s="1"/>
  <c r="AI31" i="1"/>
  <c r="AG31" i="1"/>
  <c r="AJ31" i="1" s="1"/>
  <c r="Q31" i="1"/>
  <c r="O31" i="1"/>
  <c r="R31" i="1" s="1"/>
  <c r="H31" i="1"/>
  <c r="F31" i="1"/>
  <c r="I31" i="1" s="1"/>
  <c r="AI30" i="1"/>
  <c r="AG30" i="1"/>
  <c r="AJ30" i="1" s="1"/>
  <c r="Z30" i="1"/>
  <c r="X30" i="1"/>
  <c r="AA30" i="1" s="1"/>
  <c r="Q30" i="1"/>
  <c r="O30" i="1"/>
  <c r="R30" i="1" s="1"/>
  <c r="H30" i="1"/>
  <c r="F30" i="1"/>
  <c r="I30" i="1" s="1"/>
  <c r="AI29" i="1"/>
  <c r="AG29" i="1"/>
  <c r="AJ29" i="1" s="1"/>
  <c r="Z29" i="1"/>
  <c r="X29" i="1"/>
  <c r="AA29" i="1" s="1"/>
  <c r="Q29" i="1"/>
  <c r="O29" i="1"/>
  <c r="R29" i="1" s="1"/>
  <c r="H29" i="1"/>
  <c r="F29" i="1"/>
  <c r="I29" i="1" s="1"/>
  <c r="AI28" i="1"/>
  <c r="AG28" i="1"/>
  <c r="AJ28" i="1" s="1"/>
  <c r="Z28" i="1"/>
  <c r="X28" i="1"/>
  <c r="AA28" i="1" s="1"/>
  <c r="Q28" i="1"/>
  <c r="O28" i="1"/>
  <c r="R28" i="1" s="1"/>
  <c r="H28" i="1"/>
  <c r="F28" i="1"/>
  <c r="I28" i="1" s="1"/>
  <c r="AI27" i="1"/>
  <c r="AG27" i="1"/>
  <c r="AJ27" i="1" s="1"/>
  <c r="Z27" i="1"/>
  <c r="X27" i="1"/>
  <c r="AA27" i="1" s="1"/>
  <c r="Q27" i="1"/>
  <c r="O27" i="1"/>
  <c r="R27" i="1" s="1"/>
  <c r="H27" i="1"/>
  <c r="F27" i="1"/>
  <c r="I27" i="1" s="1"/>
  <c r="AI26" i="1"/>
  <c r="AG26" i="1"/>
  <c r="AJ26" i="1" s="1"/>
  <c r="Z26" i="1"/>
  <c r="X26" i="1"/>
  <c r="AA26" i="1" s="1"/>
  <c r="Q26" i="1"/>
  <c r="O26" i="1"/>
  <c r="R26" i="1" s="1"/>
  <c r="H26" i="1"/>
  <c r="F26" i="1"/>
  <c r="I26" i="1" s="1"/>
  <c r="AI25" i="1"/>
  <c r="AG25" i="1"/>
  <c r="AJ25" i="1" s="1"/>
  <c r="Z25" i="1"/>
  <c r="X25" i="1"/>
  <c r="AA25" i="1" s="1"/>
  <c r="Q25" i="1"/>
  <c r="O25" i="1"/>
  <c r="R25" i="1" s="1"/>
  <c r="H25" i="1"/>
  <c r="F25" i="1"/>
  <c r="I25" i="1" s="1"/>
  <c r="AI24" i="1"/>
  <c r="AG24" i="1"/>
  <c r="AJ24" i="1" s="1"/>
  <c r="Z24" i="1"/>
  <c r="X24" i="1"/>
  <c r="AA24" i="1" s="1"/>
  <c r="Q24" i="1"/>
  <c r="O24" i="1"/>
  <c r="R24" i="1" s="1"/>
  <c r="H24" i="1"/>
  <c r="F24" i="1"/>
  <c r="I24" i="1" s="1"/>
  <c r="AI23" i="1"/>
  <c r="AG23" i="1"/>
  <c r="AJ23" i="1" s="1"/>
  <c r="Z23" i="1"/>
  <c r="X23" i="1"/>
  <c r="AA23" i="1" s="1"/>
  <c r="Q23" i="1"/>
  <c r="O23" i="1"/>
  <c r="R23" i="1" s="1"/>
  <c r="H23" i="1"/>
  <c r="F23" i="1"/>
  <c r="I23" i="1" s="1"/>
  <c r="AI22" i="1"/>
  <c r="AG22" i="1"/>
  <c r="AJ22" i="1" s="1"/>
  <c r="Z22" i="1"/>
  <c r="X22" i="1"/>
  <c r="AA22" i="1" s="1"/>
  <c r="Q22" i="1"/>
  <c r="O22" i="1"/>
  <c r="R22" i="1" s="1"/>
  <c r="H22" i="1"/>
  <c r="F22" i="1"/>
  <c r="I22" i="1" s="1"/>
  <c r="AI21" i="1"/>
  <c r="AG21" i="1"/>
  <c r="AJ21" i="1" s="1"/>
  <c r="Z21" i="1"/>
  <c r="X21" i="1"/>
  <c r="AA21" i="1" s="1"/>
  <c r="Q21" i="1"/>
  <c r="B64" i="2" s="1"/>
  <c r="O21" i="1"/>
  <c r="R21" i="1" s="1"/>
  <c r="C64" i="2" s="1"/>
  <c r="D64" i="2" s="1"/>
  <c r="H21" i="1"/>
  <c r="F21" i="1"/>
  <c r="I21" i="1" s="1"/>
  <c r="AI20" i="1"/>
  <c r="AG20" i="1"/>
  <c r="AJ20" i="1" s="1"/>
  <c r="Z20" i="1"/>
  <c r="X20" i="1"/>
  <c r="AA20" i="1" s="1"/>
  <c r="Q20" i="1"/>
  <c r="O20" i="1"/>
  <c r="R20" i="1" s="1"/>
  <c r="H20" i="1"/>
  <c r="F20" i="1"/>
  <c r="I20" i="1" s="1"/>
  <c r="AI19" i="1"/>
  <c r="AG19" i="1"/>
  <c r="AJ19" i="1" s="1"/>
  <c r="Z19" i="1"/>
  <c r="X19" i="1"/>
  <c r="AA19" i="1" s="1"/>
  <c r="Q19" i="1"/>
  <c r="O19" i="1"/>
  <c r="R19" i="1" s="1"/>
  <c r="H19" i="1"/>
  <c r="F19" i="1"/>
  <c r="I19" i="1" s="1"/>
  <c r="AI18" i="1"/>
  <c r="AG18" i="1"/>
  <c r="AJ18" i="1" s="1"/>
  <c r="Z18" i="1"/>
  <c r="X18" i="1"/>
  <c r="AA18" i="1" s="1"/>
  <c r="Q18" i="1"/>
  <c r="O18" i="1"/>
  <c r="R18" i="1" s="1"/>
  <c r="AI17" i="1"/>
  <c r="AG17" i="1"/>
  <c r="AJ17" i="1" s="1"/>
  <c r="Z17" i="1"/>
  <c r="X17" i="1"/>
  <c r="AA17" i="1" s="1"/>
  <c r="Q17" i="1"/>
  <c r="O17" i="1"/>
  <c r="R17" i="1" s="1"/>
  <c r="H17" i="1"/>
  <c r="F17" i="1"/>
  <c r="I17" i="1" s="1"/>
  <c r="AI16" i="1"/>
  <c r="AG16" i="1"/>
  <c r="AJ16" i="1" s="1"/>
  <c r="Z16" i="1"/>
  <c r="X16" i="1"/>
  <c r="AA16" i="1" s="1"/>
  <c r="Q16" i="1"/>
  <c r="O16" i="1"/>
  <c r="R16" i="1" s="1"/>
  <c r="H16" i="1"/>
  <c r="F16" i="1"/>
  <c r="I16" i="1" s="1"/>
  <c r="AI15" i="1"/>
  <c r="AG15" i="1"/>
  <c r="AJ15" i="1" s="1"/>
  <c r="Z15" i="1"/>
  <c r="X15" i="1"/>
  <c r="AA15" i="1" s="1"/>
  <c r="Q15" i="1"/>
  <c r="O15" i="1"/>
  <c r="R15" i="1" s="1"/>
  <c r="AI14" i="1"/>
  <c r="AG14" i="1"/>
  <c r="AJ14" i="1" s="1"/>
  <c r="Z14" i="1"/>
  <c r="X14" i="1"/>
  <c r="AA14" i="1" s="1"/>
  <c r="Q14" i="1"/>
  <c r="B136" i="2" s="1"/>
  <c r="O14" i="1"/>
  <c r="R14" i="1" s="1"/>
  <c r="H14" i="1"/>
  <c r="F14" i="1"/>
  <c r="I14" i="1" s="1"/>
  <c r="AI13" i="1"/>
  <c r="AG13" i="1"/>
  <c r="AJ13" i="1" s="1"/>
  <c r="Z13" i="1"/>
  <c r="X13" i="1"/>
  <c r="AA13" i="1" s="1"/>
  <c r="Q13" i="1"/>
  <c r="O13" i="1"/>
  <c r="R13" i="1" s="1"/>
  <c r="H13" i="1"/>
  <c r="F13" i="1"/>
  <c r="I13" i="1" s="1"/>
  <c r="AI12" i="1"/>
  <c r="AG12" i="1"/>
  <c r="AJ12" i="1" s="1"/>
  <c r="Q12" i="1"/>
  <c r="O12" i="1"/>
  <c r="R12" i="1" s="1"/>
  <c r="H12" i="1"/>
  <c r="B155" i="2" s="1"/>
  <c r="F12" i="1"/>
  <c r="I12" i="1" s="1"/>
  <c r="AI11" i="1"/>
  <c r="AG11" i="1"/>
  <c r="AJ11" i="1" s="1"/>
  <c r="Z11" i="1"/>
  <c r="X11" i="1"/>
  <c r="AA11" i="1" s="1"/>
  <c r="Q11" i="1"/>
  <c r="B63" i="2" s="1"/>
  <c r="O11" i="1"/>
  <c r="R11" i="1" s="1"/>
  <c r="H11" i="1"/>
  <c r="F11" i="1"/>
  <c r="I11" i="1" s="1"/>
  <c r="AI10" i="1"/>
  <c r="AG10" i="1"/>
  <c r="AJ10" i="1" s="1"/>
  <c r="Z10" i="1"/>
  <c r="X10" i="1"/>
  <c r="AA10" i="1" s="1"/>
  <c r="Q10" i="1"/>
  <c r="O10" i="1"/>
  <c r="R10" i="1" s="1"/>
  <c r="H10" i="1"/>
  <c r="F10" i="1"/>
  <c r="I10" i="1" s="1"/>
  <c r="AI9" i="1"/>
  <c r="AG9" i="1"/>
  <c r="AJ9" i="1" s="1"/>
  <c r="Z9" i="1"/>
  <c r="X9" i="1"/>
  <c r="AA9" i="1" s="1"/>
  <c r="H9" i="1"/>
  <c r="B174" i="2" s="1"/>
  <c r="F9" i="1"/>
  <c r="I9" i="1" s="1"/>
  <c r="AI8" i="1"/>
  <c r="AG8" i="1"/>
  <c r="AJ8" i="1" s="1"/>
  <c r="Z8" i="1"/>
  <c r="X8" i="1"/>
  <c r="AA8" i="1" s="1"/>
  <c r="Q8" i="1"/>
  <c r="O8" i="1"/>
  <c r="R8" i="1" s="1"/>
  <c r="H8" i="1"/>
  <c r="F8" i="1"/>
  <c r="I8" i="1" s="1"/>
  <c r="AI7" i="1"/>
  <c r="AG7" i="1"/>
  <c r="AJ7" i="1" s="1"/>
  <c r="Z7" i="1"/>
  <c r="X7" i="1"/>
  <c r="AA7" i="1" s="1"/>
  <c r="Q7" i="1"/>
  <c r="O7" i="1"/>
  <c r="R7" i="1" s="1"/>
  <c r="H7" i="1"/>
  <c r="F7" i="1"/>
  <c r="I7" i="1" s="1"/>
  <c r="AI6" i="1"/>
  <c r="AG6" i="1"/>
  <c r="AJ6" i="1" s="1"/>
  <c r="Z6" i="1"/>
  <c r="X6" i="1"/>
  <c r="AA6" i="1" s="1"/>
  <c r="Q6" i="1"/>
  <c r="O6" i="1"/>
  <c r="R6" i="1" s="1"/>
  <c r="H6" i="1"/>
  <c r="F6" i="1"/>
  <c r="I6" i="1" s="1"/>
  <c r="AI5" i="1"/>
  <c r="AG5" i="1"/>
  <c r="AJ5" i="1" s="1"/>
  <c r="Z5" i="1"/>
  <c r="X5" i="1"/>
  <c r="AA5" i="1" s="1"/>
  <c r="Q5" i="1"/>
  <c r="O5" i="1"/>
  <c r="R5" i="1" s="1"/>
  <c r="H5" i="1"/>
  <c r="F5" i="1"/>
  <c r="I5" i="1" s="1"/>
  <c r="AI4" i="1"/>
  <c r="AG4" i="1"/>
  <c r="AJ4" i="1" s="1"/>
  <c r="Z4" i="1"/>
  <c r="X4" i="1"/>
  <c r="AA4" i="1" s="1"/>
  <c r="Q4" i="1"/>
  <c r="O4" i="1"/>
  <c r="R4" i="1" s="1"/>
  <c r="H4" i="1"/>
  <c r="F4" i="1"/>
  <c r="I4" i="1" s="1"/>
  <c r="AI3" i="1"/>
  <c r="AG3" i="1"/>
  <c r="AJ3" i="1" s="1"/>
  <c r="Z3" i="1"/>
  <c r="X3" i="1"/>
  <c r="AA3" i="1" s="1"/>
  <c r="Q3" i="1"/>
  <c r="O3" i="1"/>
  <c r="R3" i="1" s="1"/>
  <c r="H3" i="1"/>
  <c r="F3" i="1"/>
  <c r="G3" i="1" s="1"/>
  <c r="AI2" i="1"/>
  <c r="AG2" i="1"/>
  <c r="AH2" i="1" s="1"/>
  <c r="Z2" i="1"/>
  <c r="X2" i="1"/>
  <c r="Q2" i="1"/>
  <c r="O2" i="1"/>
  <c r="H2" i="1"/>
  <c r="F2" i="1"/>
  <c r="G2" i="1" s="1"/>
  <c r="I356" i="1" l="1"/>
  <c r="AH147" i="1"/>
  <c r="I534" i="1"/>
  <c r="AA95" i="1"/>
  <c r="Y636" i="1"/>
  <c r="AJ480" i="1"/>
  <c r="R617" i="1"/>
  <c r="AJ457" i="1"/>
  <c r="R571" i="1"/>
  <c r="Y131" i="1"/>
  <c r="R364" i="1"/>
  <c r="AH409" i="1"/>
  <c r="I455" i="1"/>
  <c r="AJ461" i="1"/>
  <c r="Y521" i="1"/>
  <c r="I538" i="1"/>
  <c r="P657" i="1"/>
  <c r="I711" i="1"/>
  <c r="G728" i="1"/>
  <c r="AJ731" i="1"/>
  <c r="AA818" i="1"/>
  <c r="AJ342" i="1"/>
  <c r="AJ402" i="1"/>
  <c r="R535" i="1"/>
  <c r="R675" i="1"/>
  <c r="P201" i="1"/>
  <c r="AA531" i="1"/>
  <c r="I536" i="1"/>
  <c r="G431" i="1"/>
  <c r="AA731" i="1"/>
  <c r="G844" i="1"/>
  <c r="R533" i="1"/>
  <c r="R537" i="1"/>
  <c r="R570" i="1"/>
  <c r="P650" i="1"/>
  <c r="P748" i="1"/>
  <c r="I766" i="1"/>
  <c r="P795" i="1"/>
  <c r="R849" i="1"/>
  <c r="AH143" i="1"/>
  <c r="G271" i="1"/>
  <c r="Y392" i="1"/>
  <c r="P412" i="1"/>
  <c r="G433" i="1"/>
  <c r="Y514" i="1"/>
  <c r="G648" i="1"/>
  <c r="G653" i="1"/>
  <c r="AH697" i="1"/>
  <c r="AH715" i="1"/>
  <c r="AH793" i="1"/>
  <c r="G799" i="1"/>
  <c r="AH347" i="1"/>
  <c r="R355" i="1"/>
  <c r="Y394" i="1"/>
  <c r="P420" i="1"/>
  <c r="I533" i="1"/>
  <c r="I535" i="1"/>
  <c r="I537" i="1"/>
  <c r="C6" i="2"/>
  <c r="D6" i="2" s="1"/>
  <c r="P550" i="1"/>
  <c r="AA674" i="1"/>
  <c r="R731" i="1"/>
  <c r="I740" i="1"/>
  <c r="I814" i="1"/>
  <c r="AA828" i="1"/>
  <c r="I917" i="1"/>
  <c r="Y947" i="1"/>
  <c r="Y963" i="1"/>
  <c r="G1023" i="1"/>
  <c r="R77" i="1"/>
  <c r="AJ96" i="1"/>
  <c r="G197" i="1"/>
  <c r="I333" i="1"/>
  <c r="Y396" i="1"/>
  <c r="G423" i="1"/>
  <c r="AJ531" i="1"/>
  <c r="R534" i="1"/>
  <c r="R536" i="1"/>
  <c r="R538" i="1"/>
  <c r="G548" i="1"/>
  <c r="P551" i="1"/>
  <c r="AJ588" i="1"/>
  <c r="P599" i="1"/>
  <c r="I660" i="1"/>
  <c r="I732" i="1"/>
  <c r="R769" i="1"/>
  <c r="P881" i="1"/>
  <c r="Y899" i="1"/>
  <c r="Y47" i="1"/>
  <c r="Y55" i="1"/>
  <c r="AA87" i="1"/>
  <c r="AJ89" i="1"/>
  <c r="Y127" i="1"/>
  <c r="G168" i="1"/>
  <c r="P213" i="1"/>
  <c r="AA226" i="1"/>
  <c r="P306" i="1"/>
  <c r="I354" i="1"/>
  <c r="I361" i="1"/>
  <c r="R374" i="1"/>
  <c r="G390" i="1"/>
  <c r="AH399" i="1"/>
  <c r="AH414" i="1"/>
  <c r="G426" i="1"/>
  <c r="G435" i="1"/>
  <c r="AJ443" i="1"/>
  <c r="AA445" i="1"/>
  <c r="AJ484" i="1"/>
  <c r="AJ530" i="1"/>
  <c r="AJ532" i="1"/>
  <c r="AJ533" i="1"/>
  <c r="AJ534" i="1"/>
  <c r="AJ535" i="1"/>
  <c r="AJ536" i="1"/>
  <c r="AJ537" i="1"/>
  <c r="Y538" i="1"/>
  <c r="AH538" i="1"/>
  <c r="G539" i="1"/>
  <c r="P539" i="1"/>
  <c r="Y539" i="1"/>
  <c r="AH539" i="1"/>
  <c r="G540" i="1"/>
  <c r="P540" i="1"/>
  <c r="Y540" i="1"/>
  <c r="AH540" i="1"/>
  <c r="G541" i="1"/>
  <c r="P541" i="1"/>
  <c r="Y541" i="1"/>
  <c r="AH541" i="1"/>
  <c r="G542" i="1"/>
  <c r="P542" i="1"/>
  <c r="Y542" i="1"/>
  <c r="G543" i="1"/>
  <c r="P543" i="1"/>
  <c r="I569" i="1"/>
  <c r="I582" i="1"/>
  <c r="P605" i="1"/>
  <c r="AH654" i="1"/>
  <c r="I667" i="1"/>
  <c r="AH704" i="1"/>
  <c r="AA705" i="1"/>
  <c r="AJ708" i="1"/>
  <c r="I721" i="1"/>
  <c r="AH789" i="1"/>
  <c r="AJ805" i="1"/>
  <c r="G865" i="1"/>
  <c r="AH887" i="1"/>
  <c r="I977" i="1"/>
  <c r="G1003" i="1"/>
  <c r="P1006" i="1"/>
  <c r="R63" i="1"/>
  <c r="AJ84" i="1"/>
  <c r="AA89" i="1"/>
  <c r="AA105" i="1"/>
  <c r="Y168" i="1"/>
  <c r="AJ225" i="1"/>
  <c r="R352" i="1"/>
  <c r="AA406" i="1"/>
  <c r="AH417" i="1"/>
  <c r="Y428" i="1"/>
  <c r="G437" i="1"/>
  <c r="I484" i="1"/>
  <c r="AH505" i="1"/>
  <c r="AA530" i="1"/>
  <c r="AA532" i="1"/>
  <c r="AA533" i="1"/>
  <c r="AA534" i="1"/>
  <c r="AA535" i="1"/>
  <c r="AA536" i="1"/>
  <c r="AA537" i="1"/>
  <c r="AJ568" i="1"/>
  <c r="R576" i="1"/>
  <c r="AA623" i="1"/>
  <c r="R666" i="1"/>
  <c r="AJ686" i="1"/>
  <c r="I708" i="1"/>
  <c r="AJ720" i="1"/>
  <c r="R732" i="1"/>
  <c r="AH747" i="1"/>
  <c r="AJ753" i="1"/>
  <c r="AA883" i="1"/>
  <c r="C165" i="2"/>
  <c r="D165" i="2" s="1"/>
  <c r="G570" i="1"/>
  <c r="I570" i="1"/>
  <c r="AH632" i="1"/>
  <c r="AJ632" i="1"/>
  <c r="AJ700" i="1"/>
  <c r="AH700" i="1"/>
  <c r="P765" i="1"/>
  <c r="R765" i="1"/>
  <c r="P813" i="1"/>
  <c r="R813" i="1"/>
  <c r="R961" i="1"/>
  <c r="P961" i="1"/>
  <c r="Y51" i="1"/>
  <c r="AJ100" i="1"/>
  <c r="G120" i="1"/>
  <c r="AH135" i="1"/>
  <c r="G166" i="1"/>
  <c r="G170" i="1"/>
  <c r="P205" i="1"/>
  <c r="P307" i="1"/>
  <c r="Y321" i="1"/>
  <c r="Y345" i="1"/>
  <c r="G351" i="1"/>
  <c r="AA382" i="1"/>
  <c r="Y393" i="1"/>
  <c r="Y397" i="1"/>
  <c r="AH407" i="1"/>
  <c r="AH413" i="1"/>
  <c r="AH419" i="1"/>
  <c r="G424" i="1"/>
  <c r="G430" i="1"/>
  <c r="G434" i="1"/>
  <c r="AJ488" i="1"/>
  <c r="Y529" i="1"/>
  <c r="AH529" i="1"/>
  <c r="G530" i="1"/>
  <c r="AH546" i="1"/>
  <c r="AH561" i="1"/>
  <c r="AJ561" i="1"/>
  <c r="AA609" i="1"/>
  <c r="Y609" i="1"/>
  <c r="I610" i="1"/>
  <c r="G610" i="1"/>
  <c r="AA610" i="1"/>
  <c r="Y610" i="1"/>
  <c r="R611" i="1"/>
  <c r="P611" i="1"/>
  <c r="AJ611" i="1"/>
  <c r="AH611" i="1"/>
  <c r="R612" i="1"/>
  <c r="P612" i="1"/>
  <c r="AJ612" i="1"/>
  <c r="AH612" i="1"/>
  <c r="R613" i="1"/>
  <c r="P613" i="1"/>
  <c r="AJ613" i="1"/>
  <c r="AH613" i="1"/>
  <c r="R614" i="1"/>
  <c r="P614" i="1"/>
  <c r="AJ614" i="1"/>
  <c r="AH614" i="1"/>
  <c r="R615" i="1"/>
  <c r="P615" i="1"/>
  <c r="AJ615" i="1"/>
  <c r="AH615" i="1"/>
  <c r="R616" i="1"/>
  <c r="P616" i="1"/>
  <c r="I647" i="1"/>
  <c r="G647" i="1"/>
  <c r="R655" i="1"/>
  <c r="P655" i="1"/>
  <c r="AA696" i="1"/>
  <c r="Y696" i="1"/>
  <c r="AA715" i="1"/>
  <c r="Y715" i="1"/>
  <c r="AH740" i="1"/>
  <c r="AJ740" i="1"/>
  <c r="G764" i="1"/>
  <c r="I764" i="1"/>
  <c r="I791" i="1"/>
  <c r="G791" i="1"/>
  <c r="AH925" i="1"/>
  <c r="AJ925" i="1"/>
  <c r="AH934" i="1"/>
  <c r="AJ934" i="1"/>
  <c r="Y971" i="1"/>
  <c r="AA971" i="1"/>
  <c r="AJ1006" i="1"/>
  <c r="AH1006" i="1"/>
  <c r="Y571" i="1"/>
  <c r="AA571" i="1"/>
  <c r="Y587" i="1"/>
  <c r="AA587" i="1"/>
  <c r="I649" i="1"/>
  <c r="G649" i="1"/>
  <c r="G671" i="1"/>
  <c r="I671" i="1"/>
  <c r="G723" i="1"/>
  <c r="I723" i="1"/>
  <c r="AA794" i="1"/>
  <c r="Y794" i="1"/>
  <c r="AA985" i="1"/>
  <c r="Y985" i="1"/>
  <c r="R67" i="1"/>
  <c r="AA75" i="1"/>
  <c r="R83" i="1"/>
  <c r="AA99" i="1"/>
  <c r="AA109" i="1"/>
  <c r="G124" i="1"/>
  <c r="AH139" i="1"/>
  <c r="C69" i="2"/>
  <c r="Y166" i="1"/>
  <c r="AH192" i="1"/>
  <c r="P209" i="1"/>
  <c r="AJ230" i="1"/>
  <c r="R311" i="1"/>
  <c r="R329" i="1"/>
  <c r="R332" i="1"/>
  <c r="AJ341" i="1"/>
  <c r="AA342" i="1"/>
  <c r="R360" i="1"/>
  <c r="R368" i="1"/>
  <c r="AA376" i="1"/>
  <c r="AA402" i="1"/>
  <c r="AJ479" i="1"/>
  <c r="I488" i="1"/>
  <c r="R530" i="1"/>
  <c r="R531" i="1"/>
  <c r="R532" i="1"/>
  <c r="I546" i="1"/>
  <c r="G546" i="1"/>
  <c r="AH569" i="1"/>
  <c r="AJ569" i="1"/>
  <c r="AH573" i="1"/>
  <c r="AJ573" i="1"/>
  <c r="P621" i="1"/>
  <c r="R621" i="1"/>
  <c r="G663" i="1"/>
  <c r="I663" i="1"/>
  <c r="Y685" i="1"/>
  <c r="AA685" i="1"/>
  <c r="AA704" i="1"/>
  <c r="Y704" i="1"/>
  <c r="AA955" i="1"/>
  <c r="Y955" i="1"/>
  <c r="AA1030" i="1"/>
  <c r="Y1030" i="1"/>
  <c r="I3" i="1"/>
  <c r="P43" i="1"/>
  <c r="Y59" i="1"/>
  <c r="AA64" i="1"/>
  <c r="R73" i="1"/>
  <c r="AA93" i="1"/>
  <c r="AJ107" i="1"/>
  <c r="I215" i="1"/>
  <c r="I230" i="1"/>
  <c r="AA234" i="1"/>
  <c r="G272" i="1"/>
  <c r="AJ309" i="1"/>
  <c r="AA310" i="1"/>
  <c r="I340" i="1"/>
  <c r="R354" i="1"/>
  <c r="AA355" i="1"/>
  <c r="R356" i="1"/>
  <c r="I357" i="1"/>
  <c r="I367" i="1"/>
  <c r="Y386" i="1"/>
  <c r="Y391" i="1"/>
  <c r="Y395" i="1"/>
  <c r="AH411" i="1"/>
  <c r="AH415" i="1"/>
  <c r="G422" i="1"/>
  <c r="G428" i="1"/>
  <c r="G432" i="1"/>
  <c r="G436" i="1"/>
  <c r="AA439" i="1"/>
  <c r="AJ446" i="1"/>
  <c r="I463" i="1"/>
  <c r="I531" i="1"/>
  <c r="I532" i="1"/>
  <c r="G564" i="1"/>
  <c r="I564" i="1"/>
  <c r="I568" i="1"/>
  <c r="G568" i="1"/>
  <c r="I593" i="1"/>
  <c r="G593" i="1"/>
  <c r="AJ609" i="1"/>
  <c r="AH609" i="1"/>
  <c r="R610" i="1"/>
  <c r="P610" i="1"/>
  <c r="I611" i="1"/>
  <c r="G611" i="1"/>
  <c r="AA611" i="1"/>
  <c r="Y611" i="1"/>
  <c r="I612" i="1"/>
  <c r="G612" i="1"/>
  <c r="AA612" i="1"/>
  <c r="Y612" i="1"/>
  <c r="I613" i="1"/>
  <c r="G613" i="1"/>
  <c r="AA613" i="1"/>
  <c r="Y613" i="1"/>
  <c r="I614" i="1"/>
  <c r="G614" i="1"/>
  <c r="AA614" i="1"/>
  <c r="Y614" i="1"/>
  <c r="I615" i="1"/>
  <c r="G615" i="1"/>
  <c r="AA615" i="1"/>
  <c r="Y615" i="1"/>
  <c r="I616" i="1"/>
  <c r="G616" i="1"/>
  <c r="R639" i="1"/>
  <c r="P639" i="1"/>
  <c r="AJ650" i="1"/>
  <c r="AH650" i="1"/>
  <c r="I694" i="1"/>
  <c r="G694" i="1"/>
  <c r="Y732" i="1"/>
  <c r="AA732" i="1"/>
  <c r="AJ748" i="1"/>
  <c r="AH748" i="1"/>
  <c r="R798" i="1"/>
  <c r="P798" i="1"/>
  <c r="AH913" i="1"/>
  <c r="AJ913" i="1"/>
  <c r="G931" i="1"/>
  <c r="I931" i="1"/>
  <c r="AA966" i="1"/>
  <c r="Y966" i="1"/>
  <c r="AJ1021" i="1"/>
  <c r="AH1021" i="1"/>
  <c r="AJ732" i="1"/>
  <c r="G595" i="1"/>
  <c r="Y643" i="1"/>
  <c r="Y652" i="1"/>
  <c r="AH656" i="1"/>
  <c r="P693" i="1"/>
  <c r="Y694" i="1"/>
  <c r="P703" i="1"/>
  <c r="AH716" i="1"/>
  <c r="P747" i="1"/>
  <c r="P891" i="1"/>
  <c r="P906" i="1"/>
  <c r="G953" i="1"/>
  <c r="Y958" i="1"/>
  <c r="AH990" i="1"/>
  <c r="G1017" i="1"/>
  <c r="G1036" i="1"/>
  <c r="R584" i="1"/>
  <c r="AA619" i="1"/>
  <c r="AA630" i="1"/>
  <c r="R670" i="1"/>
  <c r="AJ678" i="1"/>
  <c r="Y692" i="1"/>
  <c r="Y716" i="1"/>
  <c r="AJ722" i="1"/>
  <c r="R759" i="1"/>
  <c r="I770" i="1"/>
  <c r="AH788" i="1"/>
  <c r="AH799" i="1"/>
  <c r="AA806" i="1"/>
  <c r="AA851" i="1"/>
  <c r="I913" i="1"/>
  <c r="I924" i="1"/>
  <c r="AJ930" i="1"/>
  <c r="I933" i="1"/>
  <c r="Y938" i="1"/>
  <c r="AJ968" i="1"/>
  <c r="G999" i="1"/>
  <c r="R407" i="1"/>
  <c r="P407" i="1"/>
  <c r="R415" i="1"/>
  <c r="P415" i="1"/>
  <c r="AA432" i="1"/>
  <c r="Y432" i="1"/>
  <c r="G451" i="1"/>
  <c r="I451" i="1"/>
  <c r="G482" i="1"/>
  <c r="I482" i="1"/>
  <c r="I510" i="1"/>
  <c r="G510" i="1"/>
  <c r="R699" i="1"/>
  <c r="P699" i="1"/>
  <c r="R716" i="1"/>
  <c r="P716" i="1"/>
  <c r="G768" i="1"/>
  <c r="I768" i="1"/>
  <c r="AA788" i="1"/>
  <c r="Y788" i="1"/>
  <c r="R797" i="1"/>
  <c r="P797" i="1"/>
  <c r="P802" i="1"/>
  <c r="R802" i="1"/>
  <c r="Y821" i="1"/>
  <c r="AA821" i="1"/>
  <c r="G829" i="1"/>
  <c r="I829" i="1"/>
  <c r="G839" i="1"/>
  <c r="I839" i="1"/>
  <c r="AA858" i="1"/>
  <c r="Y858" i="1"/>
  <c r="R954" i="1"/>
  <c r="P954" i="1"/>
  <c r="AA982" i="1"/>
  <c r="Y982" i="1"/>
  <c r="Y49" i="1"/>
  <c r="Y57" i="1"/>
  <c r="Y125" i="1"/>
  <c r="AH133" i="1"/>
  <c r="AH141" i="1"/>
  <c r="G165" i="1"/>
  <c r="G167" i="1"/>
  <c r="G169" i="1"/>
  <c r="G199" i="1"/>
  <c r="P207" i="1"/>
  <c r="Y222" i="1"/>
  <c r="R233" i="1"/>
  <c r="G273" i="1"/>
  <c r="P309" i="1"/>
  <c r="AH324" i="1"/>
  <c r="R327" i="1"/>
  <c r="AA328" i="1"/>
  <c r="G335" i="1"/>
  <c r="I341" i="1"/>
  <c r="I352" i="1"/>
  <c r="AH388" i="1"/>
  <c r="G391" i="1"/>
  <c r="G393" i="1"/>
  <c r="G395" i="1"/>
  <c r="P400" i="1"/>
  <c r="AH400" i="1"/>
  <c r="AJ400" i="1"/>
  <c r="P410" i="1"/>
  <c r="AH412" i="1"/>
  <c r="R413" i="1"/>
  <c r="P413" i="1"/>
  <c r="P418" i="1"/>
  <c r="AH420" i="1"/>
  <c r="R421" i="1"/>
  <c r="P421" i="1"/>
  <c r="Y426" i="1"/>
  <c r="G429" i="1"/>
  <c r="AA429" i="1"/>
  <c r="Y429" i="1"/>
  <c r="AA433" i="1"/>
  <c r="Y433" i="1"/>
  <c r="I551" i="1"/>
  <c r="G551" i="1"/>
  <c r="P556" i="1"/>
  <c r="R556" i="1"/>
  <c r="I594" i="1"/>
  <c r="G594" i="1"/>
  <c r="Y617" i="1"/>
  <c r="AA617" i="1"/>
  <c r="Y626" i="1"/>
  <c r="AA626" i="1"/>
  <c r="R640" i="1"/>
  <c r="P640" i="1"/>
  <c r="AA651" i="1"/>
  <c r="Y651" i="1"/>
  <c r="AJ655" i="1"/>
  <c r="AH655" i="1"/>
  <c r="P660" i="1"/>
  <c r="R660" i="1"/>
  <c r="AJ701" i="1"/>
  <c r="AH701" i="1"/>
  <c r="G720" i="1"/>
  <c r="I720" i="1"/>
  <c r="P724" i="1"/>
  <c r="R724" i="1"/>
  <c r="R745" i="1"/>
  <c r="P745" i="1"/>
  <c r="AA789" i="1"/>
  <c r="Y789" i="1"/>
  <c r="AA792" i="1"/>
  <c r="Y792" i="1"/>
  <c r="AJ798" i="1"/>
  <c r="AH798" i="1"/>
  <c r="P817" i="1"/>
  <c r="R817" i="1"/>
  <c r="I875" i="1"/>
  <c r="G875" i="1"/>
  <c r="R889" i="1"/>
  <c r="P889" i="1"/>
  <c r="AH915" i="1"/>
  <c r="AJ915" i="1"/>
  <c r="AH975" i="1"/>
  <c r="F58" i="2" s="1"/>
  <c r="AJ975" i="1"/>
  <c r="C58" i="2" s="1"/>
  <c r="D58" i="2" s="1"/>
  <c r="R1007" i="1"/>
  <c r="P1007" i="1"/>
  <c r="I1012" i="1"/>
  <c r="G1012" i="1"/>
  <c r="AJ1033" i="1"/>
  <c r="AH1033" i="1"/>
  <c r="AH404" i="1"/>
  <c r="AJ404" i="1"/>
  <c r="G490" i="1"/>
  <c r="I490" i="1"/>
  <c r="R546" i="1"/>
  <c r="P546" i="1"/>
  <c r="R552" i="1"/>
  <c r="P552" i="1"/>
  <c r="R692" i="1"/>
  <c r="P692" i="1"/>
  <c r="AA747" i="1"/>
  <c r="Y747" i="1"/>
  <c r="AJ2" i="1"/>
  <c r="C155" i="2"/>
  <c r="D155" i="2" s="1"/>
  <c r="AA65" i="1"/>
  <c r="R69" i="1"/>
  <c r="R75" i="1"/>
  <c r="AA76" i="1"/>
  <c r="R79" i="1"/>
  <c r="AA81" i="1"/>
  <c r="AA101" i="1"/>
  <c r="AA107" i="1"/>
  <c r="AJ111" i="1"/>
  <c r="Y165" i="1"/>
  <c r="Y167" i="1"/>
  <c r="Y169" i="1"/>
  <c r="I186" i="1"/>
  <c r="I216" i="1"/>
  <c r="R218" i="1"/>
  <c r="AH224" i="1"/>
  <c r="AJ231" i="1"/>
  <c r="P305" i="1"/>
  <c r="AA326" i="1"/>
  <c r="R328" i="1"/>
  <c r="R333" i="1"/>
  <c r="R340" i="1"/>
  <c r="R353" i="1"/>
  <c r="I359" i="1"/>
  <c r="AJ365" i="1"/>
  <c r="AJ369" i="1"/>
  <c r="I373" i="1"/>
  <c r="AJ380" i="1"/>
  <c r="P398" i="1"/>
  <c r="P408" i="1"/>
  <c r="AH410" i="1"/>
  <c r="R411" i="1"/>
  <c r="P411" i="1"/>
  <c r="P416" i="1"/>
  <c r="AH418" i="1"/>
  <c r="R419" i="1"/>
  <c r="P419" i="1"/>
  <c r="Y424" i="1"/>
  <c r="G427" i="1"/>
  <c r="AA427" i="1"/>
  <c r="Y427" i="1"/>
  <c r="AA430" i="1"/>
  <c r="Y430" i="1"/>
  <c r="AA434" i="1"/>
  <c r="Y434" i="1"/>
  <c r="G459" i="1"/>
  <c r="I459" i="1"/>
  <c r="AH477" i="1"/>
  <c r="AJ477" i="1"/>
  <c r="G486" i="1"/>
  <c r="I486" i="1"/>
  <c r="R492" i="1"/>
  <c r="P492" i="1"/>
  <c r="AA525" i="1"/>
  <c r="Y525" i="1"/>
  <c r="Y570" i="1"/>
  <c r="AA570" i="1"/>
  <c r="G578" i="1"/>
  <c r="I578" i="1"/>
  <c r="Y589" i="1"/>
  <c r="AA589" i="1"/>
  <c r="AJ644" i="1"/>
  <c r="AH644" i="1"/>
  <c r="AJ703" i="1"/>
  <c r="AH703" i="1"/>
  <c r="R715" i="1"/>
  <c r="P715" i="1"/>
  <c r="AA748" i="1"/>
  <c r="Y748" i="1"/>
  <c r="P763" i="1"/>
  <c r="R763" i="1"/>
  <c r="AJ790" i="1"/>
  <c r="AH790" i="1"/>
  <c r="R794" i="1"/>
  <c r="P794" i="1"/>
  <c r="I798" i="1"/>
  <c r="G798" i="1"/>
  <c r="Y810" i="1"/>
  <c r="AA810" i="1"/>
  <c r="P826" i="1"/>
  <c r="R826" i="1"/>
  <c r="Y854" i="1"/>
  <c r="AA854" i="1"/>
  <c r="Y885" i="1"/>
  <c r="AA885" i="1"/>
  <c r="C18" i="2" s="1"/>
  <c r="D18" i="2" s="1"/>
  <c r="AA959" i="1"/>
  <c r="Y959" i="1"/>
  <c r="I995" i="1"/>
  <c r="G995" i="1"/>
  <c r="I1019" i="1"/>
  <c r="G1019" i="1"/>
  <c r="I397" i="1"/>
  <c r="G397" i="1"/>
  <c r="AA423" i="1"/>
  <c r="Y423" i="1"/>
  <c r="AA436" i="1"/>
  <c r="Y436" i="1"/>
  <c r="AH571" i="1"/>
  <c r="AJ571" i="1"/>
  <c r="Y585" i="1"/>
  <c r="AA585" i="1"/>
  <c r="G713" i="1"/>
  <c r="I713" i="1"/>
  <c r="C136" i="2"/>
  <c r="D136" i="2" s="1"/>
  <c r="Y45" i="1"/>
  <c r="Y53" i="1"/>
  <c r="R61" i="1"/>
  <c r="AA63" i="1"/>
  <c r="R65" i="1"/>
  <c r="R71" i="1"/>
  <c r="AA73" i="1"/>
  <c r="R81" i="1"/>
  <c r="AA85" i="1"/>
  <c r="AA91" i="1"/>
  <c r="AA97" i="1"/>
  <c r="AA103" i="1"/>
  <c r="AJ105" i="1"/>
  <c r="AJ109" i="1"/>
  <c r="AA110" i="1"/>
  <c r="G122" i="1"/>
  <c r="Y129" i="1"/>
  <c r="AH137" i="1"/>
  <c r="AH145" i="1"/>
  <c r="AJ185" i="1"/>
  <c r="G195" i="1"/>
  <c r="P203" i="1"/>
  <c r="P211" i="1"/>
  <c r="R215" i="1"/>
  <c r="I217" i="1"/>
  <c r="I226" i="1"/>
  <c r="I227" i="1"/>
  <c r="R230" i="1"/>
  <c r="I231" i="1"/>
  <c r="I353" i="1"/>
  <c r="AJ357" i="1"/>
  <c r="AJ361" i="1"/>
  <c r="I365" i="1"/>
  <c r="I369" i="1"/>
  <c r="R372" i="1"/>
  <c r="R378" i="1"/>
  <c r="P384" i="1"/>
  <c r="G392" i="1"/>
  <c r="G394" i="1"/>
  <c r="G396" i="1"/>
  <c r="AH398" i="1"/>
  <c r="R399" i="1"/>
  <c r="P399" i="1"/>
  <c r="AA404" i="1"/>
  <c r="AH408" i="1"/>
  <c r="R409" i="1"/>
  <c r="P409" i="1"/>
  <c r="P414" i="1"/>
  <c r="AH416" i="1"/>
  <c r="R417" i="1"/>
  <c r="P417" i="1"/>
  <c r="Y422" i="1"/>
  <c r="G425" i="1"/>
  <c r="AA425" i="1"/>
  <c r="Y425" i="1"/>
  <c r="AA431" i="1"/>
  <c r="Y431" i="1"/>
  <c r="AA435" i="1"/>
  <c r="Y435" i="1"/>
  <c r="AJ441" i="1"/>
  <c r="Y472" i="1"/>
  <c r="AA472" i="1"/>
  <c r="I547" i="1"/>
  <c r="G547" i="1"/>
  <c r="Y553" i="1"/>
  <c r="AA553" i="1"/>
  <c r="Y569" i="1"/>
  <c r="AA569" i="1"/>
  <c r="R601" i="1"/>
  <c r="P601" i="1"/>
  <c r="Y621" i="1"/>
  <c r="AA621" i="1"/>
  <c r="Y634" i="1"/>
  <c r="AA634" i="1"/>
  <c r="AA642" i="1"/>
  <c r="Y642" i="1"/>
  <c r="AJ653" i="1"/>
  <c r="AH653" i="1"/>
  <c r="AJ657" i="1"/>
  <c r="AH657" i="1"/>
  <c r="I693" i="1"/>
  <c r="G693" i="1"/>
  <c r="AA702" i="1"/>
  <c r="Y702" i="1"/>
  <c r="G722" i="1"/>
  <c r="I722" i="1"/>
  <c r="Y736" i="1"/>
  <c r="AA736" i="1"/>
  <c r="G758" i="1"/>
  <c r="I758" i="1"/>
  <c r="AA793" i="1"/>
  <c r="Y793" i="1"/>
  <c r="P834" i="1"/>
  <c r="R834" i="1"/>
  <c r="R868" i="1"/>
  <c r="P868" i="1"/>
  <c r="AA903" i="1"/>
  <c r="Y903" i="1"/>
  <c r="AH922" i="1"/>
  <c r="AJ922" i="1"/>
  <c r="R957" i="1"/>
  <c r="P957" i="1"/>
  <c r="Y967" i="1"/>
  <c r="AA967" i="1"/>
  <c r="AJ1013" i="1"/>
  <c r="AH1013" i="1"/>
  <c r="AJ453" i="1"/>
  <c r="R467" i="1"/>
  <c r="AA468" i="1"/>
  <c r="AA478" i="1"/>
  <c r="AJ482" i="1"/>
  <c r="AJ486" i="1"/>
  <c r="AJ490" i="1"/>
  <c r="I571" i="1"/>
  <c r="I572" i="1"/>
  <c r="R580" i="1"/>
  <c r="AJ586" i="1"/>
  <c r="R619" i="1"/>
  <c r="R623" i="1"/>
  <c r="AJ628" i="1"/>
  <c r="I658" i="1"/>
  <c r="I662" i="1"/>
  <c r="AJ662" i="1"/>
  <c r="I666" i="1"/>
  <c r="AJ666" i="1"/>
  <c r="I670" i="1"/>
  <c r="AJ670" i="1"/>
  <c r="R674" i="1"/>
  <c r="I675" i="1"/>
  <c r="AA678" i="1"/>
  <c r="AJ684" i="1"/>
  <c r="AA686" i="1"/>
  <c r="R705" i="1"/>
  <c r="AH641" i="1"/>
  <c r="G652" i="1"/>
  <c r="P654" i="1"/>
  <c r="P656" i="1"/>
  <c r="Y691" i="1"/>
  <c r="P697" i="1"/>
  <c r="Y698" i="1"/>
  <c r="AH699" i="1"/>
  <c r="Y701" i="1"/>
  <c r="P702" i="1"/>
  <c r="G715" i="1"/>
  <c r="G716" i="1"/>
  <c r="Y717" i="1"/>
  <c r="P775" i="1"/>
  <c r="Y786" i="1"/>
  <c r="P788" i="1"/>
  <c r="P789" i="1"/>
  <c r="Y790" i="1"/>
  <c r="Y791" i="1"/>
  <c r="P792" i="1"/>
  <c r="P793" i="1"/>
  <c r="G796" i="1"/>
  <c r="G797" i="1"/>
  <c r="AH797" i="1"/>
  <c r="P800" i="1"/>
  <c r="P824" i="1"/>
  <c r="P838" i="1"/>
  <c r="Y855" i="1"/>
  <c r="P873" i="1"/>
  <c r="AH1007" i="1"/>
  <c r="Y1008" i="1"/>
  <c r="E3" i="2" s="1"/>
  <c r="G1013" i="1"/>
  <c r="AJ438" i="1"/>
  <c r="AA441" i="1"/>
  <c r="AA449" i="1"/>
  <c r="AH501" i="1"/>
  <c r="Y517" i="1"/>
  <c r="P544" i="1"/>
  <c r="G549" i="1"/>
  <c r="AA555" i="1"/>
  <c r="R558" i="1"/>
  <c r="I562" i="1"/>
  <c r="AJ564" i="1"/>
  <c r="AH565" i="1"/>
  <c r="R569" i="1"/>
  <c r="G598" i="1"/>
  <c r="P606" i="1"/>
  <c r="Y637" i="1"/>
  <c r="AJ719" i="1"/>
  <c r="AJ721" i="1"/>
  <c r="I724" i="1"/>
  <c r="AJ735" i="1"/>
  <c r="AA743" i="1"/>
  <c r="G748" i="1"/>
  <c r="Y749" i="1"/>
  <c r="I755" i="1"/>
  <c r="R767" i="1"/>
  <c r="G775" i="1"/>
  <c r="Y776" i="1"/>
  <c r="P785" i="1"/>
  <c r="G788" i="1"/>
  <c r="G789" i="1"/>
  <c r="P790" i="1"/>
  <c r="P791" i="1"/>
  <c r="G792" i="1"/>
  <c r="AH794" i="1"/>
  <c r="Y795" i="1"/>
  <c r="Y796" i="1"/>
  <c r="P799" i="1"/>
  <c r="G800" i="1"/>
  <c r="AA801" i="1"/>
  <c r="AJ809" i="1"/>
  <c r="AJ828" i="1"/>
  <c r="R853" i="1"/>
  <c r="AJ883" i="1"/>
  <c r="R885" i="1"/>
  <c r="Y896" i="1"/>
  <c r="I915" i="1"/>
  <c r="I921" i="1"/>
  <c r="AJ936" i="1"/>
  <c r="AH942" i="1"/>
  <c r="Y962" i="1"/>
  <c r="P965" i="1"/>
  <c r="AJ972" i="1"/>
  <c r="Y987" i="1"/>
  <c r="P1008" i="1"/>
  <c r="P42" i="1"/>
  <c r="Y46" i="1"/>
  <c r="C171" i="2"/>
  <c r="Y50" i="1"/>
  <c r="Y54" i="1"/>
  <c r="Y58" i="1"/>
  <c r="AA62" i="1"/>
  <c r="AA66" i="1"/>
  <c r="AA68" i="1"/>
  <c r="AA70" i="1"/>
  <c r="AA72" i="1"/>
  <c r="AA74" i="1"/>
  <c r="AA78" i="1"/>
  <c r="AA80" i="1"/>
  <c r="AA82" i="1"/>
  <c r="AJ86" i="1"/>
  <c r="AJ88" i="1"/>
  <c r="AJ90" i="1"/>
  <c r="AJ92" i="1"/>
  <c r="AJ94" i="1"/>
  <c r="AJ98" i="1"/>
  <c r="AJ102" i="1"/>
  <c r="AJ104" i="1"/>
  <c r="AJ106" i="1"/>
  <c r="AJ108" i="1"/>
  <c r="AA111" i="1"/>
  <c r="G121" i="1"/>
  <c r="Y124" i="1"/>
  <c r="Y128" i="1"/>
  <c r="Y132" i="1"/>
  <c r="AH136" i="1"/>
  <c r="AH140" i="1"/>
  <c r="AH144" i="1"/>
  <c r="AH148" i="1"/>
  <c r="G149" i="1"/>
  <c r="P149" i="1"/>
  <c r="Y149" i="1"/>
  <c r="AH149" i="1"/>
  <c r="G150" i="1"/>
  <c r="P150" i="1"/>
  <c r="Y150" i="1"/>
  <c r="AH150" i="1"/>
  <c r="G151" i="1"/>
  <c r="P151" i="1"/>
  <c r="Y151" i="1"/>
  <c r="AH151" i="1"/>
  <c r="G152" i="1"/>
  <c r="P152" i="1"/>
  <c r="Y152" i="1"/>
  <c r="G153" i="1"/>
  <c r="P153" i="1"/>
  <c r="Y153" i="1"/>
  <c r="AH153" i="1"/>
  <c r="G154" i="1"/>
  <c r="P154" i="1"/>
  <c r="Y154" i="1"/>
  <c r="AH154" i="1"/>
  <c r="G155" i="1"/>
  <c r="P155" i="1"/>
  <c r="Y155" i="1"/>
  <c r="AH155" i="1"/>
  <c r="G156" i="1"/>
  <c r="P156" i="1"/>
  <c r="Y156" i="1"/>
  <c r="AH156" i="1"/>
  <c r="G157" i="1"/>
  <c r="P157" i="1"/>
  <c r="Y157" i="1"/>
  <c r="AH157" i="1"/>
  <c r="G158" i="1"/>
  <c r="P158" i="1"/>
  <c r="Y158" i="1"/>
  <c r="AH158" i="1"/>
  <c r="G159" i="1"/>
  <c r="P159" i="1"/>
  <c r="Y159" i="1"/>
  <c r="AH159" i="1"/>
  <c r="G160" i="1"/>
  <c r="P160" i="1"/>
  <c r="Y160" i="1"/>
  <c r="AH160" i="1"/>
  <c r="G161" i="1"/>
  <c r="P161" i="1"/>
  <c r="Y161" i="1"/>
  <c r="AH161" i="1"/>
  <c r="G162" i="1"/>
  <c r="P162" i="1"/>
  <c r="Y162" i="1"/>
  <c r="AH162" i="1"/>
  <c r="G163" i="1"/>
  <c r="P163" i="1"/>
  <c r="Y163" i="1"/>
  <c r="AH163" i="1"/>
  <c r="G164" i="1"/>
  <c r="P164" i="1"/>
  <c r="Y164" i="1"/>
  <c r="AH164" i="1"/>
  <c r="AH165" i="1"/>
  <c r="AH166" i="1"/>
  <c r="AH167" i="1"/>
  <c r="AH168" i="1"/>
  <c r="AH169" i="1"/>
  <c r="AJ193" i="1"/>
  <c r="AH193" i="1"/>
  <c r="R202" i="1"/>
  <c r="P202" i="1"/>
  <c r="C179" i="2"/>
  <c r="D179" i="2" s="1"/>
  <c r="R62" i="1"/>
  <c r="R64" i="1"/>
  <c r="R66" i="1"/>
  <c r="R68" i="1"/>
  <c r="R70" i="1"/>
  <c r="R72" i="1"/>
  <c r="R74" i="1"/>
  <c r="R76" i="1"/>
  <c r="R78" i="1"/>
  <c r="R80" i="1"/>
  <c r="R82" i="1"/>
  <c r="AA84" i="1"/>
  <c r="AA86" i="1"/>
  <c r="AA88" i="1"/>
  <c r="AA90" i="1"/>
  <c r="AA92" i="1"/>
  <c r="AA94" i="1"/>
  <c r="AA96" i="1"/>
  <c r="AA98" i="1"/>
  <c r="AA100" i="1"/>
  <c r="AA102" i="1"/>
  <c r="AA104" i="1"/>
  <c r="AA106" i="1"/>
  <c r="AA108" i="1"/>
  <c r="AJ110" i="1"/>
  <c r="P170" i="1"/>
  <c r="R170" i="1"/>
  <c r="AH170" i="1"/>
  <c r="AJ170" i="1"/>
  <c r="P171" i="1"/>
  <c r="R171" i="1"/>
  <c r="AH171" i="1"/>
  <c r="AJ171" i="1"/>
  <c r="P172" i="1"/>
  <c r="R172" i="1"/>
  <c r="AH172" i="1"/>
  <c r="AJ172" i="1"/>
  <c r="P173" i="1"/>
  <c r="R173" i="1"/>
  <c r="AH173" i="1"/>
  <c r="AJ173" i="1"/>
  <c r="P174" i="1"/>
  <c r="R174" i="1"/>
  <c r="AH174" i="1"/>
  <c r="AJ174" i="1"/>
  <c r="P175" i="1"/>
  <c r="R175" i="1"/>
  <c r="AH175" i="1"/>
  <c r="AJ175" i="1"/>
  <c r="P176" i="1"/>
  <c r="R176" i="1"/>
  <c r="G177" i="1"/>
  <c r="I177" i="1"/>
  <c r="Y177" i="1"/>
  <c r="AA177" i="1"/>
  <c r="G178" i="1"/>
  <c r="I178" i="1"/>
  <c r="Y178" i="1"/>
  <c r="AA178" i="1"/>
  <c r="G179" i="1"/>
  <c r="I179" i="1"/>
  <c r="Y179" i="1"/>
  <c r="AA179" i="1"/>
  <c r="G180" i="1"/>
  <c r="I180" i="1"/>
  <c r="Y180" i="1"/>
  <c r="AA180" i="1"/>
  <c r="G181" i="1"/>
  <c r="I181" i="1"/>
  <c r="Y181" i="1"/>
  <c r="AA181" i="1"/>
  <c r="G182" i="1"/>
  <c r="I182" i="1"/>
  <c r="Y182" i="1"/>
  <c r="AA182" i="1"/>
  <c r="G183" i="1"/>
  <c r="I183" i="1"/>
  <c r="Y183" i="1"/>
  <c r="AA183" i="1"/>
  <c r="P184" i="1"/>
  <c r="R184" i="1"/>
  <c r="I196" i="1"/>
  <c r="G196" i="1"/>
  <c r="R204" i="1"/>
  <c r="P204" i="1"/>
  <c r="I2" i="1"/>
  <c r="Y44" i="1"/>
  <c r="Y48" i="1"/>
  <c r="Y52" i="1"/>
  <c r="Y56" i="1"/>
  <c r="Y60" i="1"/>
  <c r="AA61" i="1"/>
  <c r="AA67" i="1"/>
  <c r="AA69" i="1"/>
  <c r="AA71" i="1"/>
  <c r="AA77" i="1"/>
  <c r="AA79" i="1"/>
  <c r="AA83" i="1"/>
  <c r="AJ85" i="1"/>
  <c r="AJ87" i="1"/>
  <c r="AJ91" i="1"/>
  <c r="AJ93" i="1"/>
  <c r="AJ95" i="1"/>
  <c r="AJ97" i="1"/>
  <c r="AJ99" i="1"/>
  <c r="AJ101" i="1"/>
  <c r="AJ103" i="1"/>
  <c r="G123" i="1"/>
  <c r="Y126" i="1"/>
  <c r="Y130" i="1"/>
  <c r="AH134" i="1"/>
  <c r="AH138" i="1"/>
  <c r="AH142" i="1"/>
  <c r="AH146" i="1"/>
  <c r="P165" i="1"/>
  <c r="P166" i="1"/>
  <c r="P167" i="1"/>
  <c r="P168" i="1"/>
  <c r="P169" i="1"/>
  <c r="AJ186" i="1"/>
  <c r="I198" i="1"/>
  <c r="G198" i="1"/>
  <c r="R206" i="1"/>
  <c r="P206" i="1"/>
  <c r="Y170" i="1"/>
  <c r="AA170" i="1"/>
  <c r="G171" i="1"/>
  <c r="I171" i="1"/>
  <c r="Y171" i="1"/>
  <c r="AA171" i="1"/>
  <c r="G172" i="1"/>
  <c r="I172" i="1"/>
  <c r="Y172" i="1"/>
  <c r="AA172" i="1"/>
  <c r="G173" i="1"/>
  <c r="I173" i="1"/>
  <c r="Y173" i="1"/>
  <c r="AA173" i="1"/>
  <c r="G174" i="1"/>
  <c r="I174" i="1"/>
  <c r="Y174" i="1"/>
  <c r="AA174" i="1"/>
  <c r="G175" i="1"/>
  <c r="I175" i="1"/>
  <c r="Y175" i="1"/>
  <c r="AA175" i="1"/>
  <c r="G176" i="1"/>
  <c r="I176" i="1"/>
  <c r="AH176" i="1"/>
  <c r="AJ176" i="1"/>
  <c r="P177" i="1"/>
  <c r="R177" i="1"/>
  <c r="AH177" i="1"/>
  <c r="AJ177" i="1"/>
  <c r="P178" i="1"/>
  <c r="R178" i="1"/>
  <c r="AH178" i="1"/>
  <c r="AJ178" i="1"/>
  <c r="P179" i="1"/>
  <c r="R179" i="1"/>
  <c r="AH179" i="1"/>
  <c r="AJ179" i="1"/>
  <c r="P180" i="1"/>
  <c r="R180" i="1"/>
  <c r="AH180" i="1"/>
  <c r="AJ180" i="1"/>
  <c r="P181" i="1"/>
  <c r="R181" i="1"/>
  <c r="AH181" i="1"/>
  <c r="AJ181" i="1"/>
  <c r="P182" i="1"/>
  <c r="R182" i="1"/>
  <c r="AH182" i="1"/>
  <c r="AJ182" i="1"/>
  <c r="P183" i="1"/>
  <c r="R183" i="1"/>
  <c r="G184" i="1"/>
  <c r="I184" i="1"/>
  <c r="Y184" i="1"/>
  <c r="AA184" i="1"/>
  <c r="AJ191" i="1"/>
  <c r="AH191" i="1"/>
  <c r="I200" i="1"/>
  <c r="G200" i="1"/>
  <c r="P210" i="1"/>
  <c r="P214" i="1"/>
  <c r="I218" i="1"/>
  <c r="AH223" i="1"/>
  <c r="I228" i="1"/>
  <c r="R229" i="1"/>
  <c r="I232" i="1"/>
  <c r="AA233" i="1"/>
  <c r="AH271" i="1"/>
  <c r="Y272" i="1"/>
  <c r="P308" i="1"/>
  <c r="R326" i="1"/>
  <c r="R338" i="1"/>
  <c r="R339" i="1"/>
  <c r="R341" i="1"/>
  <c r="AA352" i="1"/>
  <c r="R357" i="1"/>
  <c r="I358" i="1"/>
  <c r="R365" i="1"/>
  <c r="I366" i="1"/>
  <c r="R373" i="1"/>
  <c r="AA374" i="1"/>
  <c r="AA384" i="1"/>
  <c r="Y384" i="1"/>
  <c r="R392" i="1"/>
  <c r="P392" i="1"/>
  <c r="R394" i="1"/>
  <c r="P394" i="1"/>
  <c r="R396" i="1"/>
  <c r="P396" i="1"/>
  <c r="AA398" i="1"/>
  <c r="Y398" i="1"/>
  <c r="AA401" i="1"/>
  <c r="R217" i="1"/>
  <c r="AJ227" i="1"/>
  <c r="I229" i="1"/>
  <c r="AA327" i="1"/>
  <c r="AA329" i="1"/>
  <c r="I338" i="1"/>
  <c r="I339" i="1"/>
  <c r="Y341" i="1"/>
  <c r="AA341" i="1"/>
  <c r="AJ386" i="1"/>
  <c r="AH386" i="1"/>
  <c r="AJ390" i="1"/>
  <c r="AH390" i="1"/>
  <c r="AJ392" i="1"/>
  <c r="AH392" i="1"/>
  <c r="AJ394" i="1"/>
  <c r="AH394" i="1"/>
  <c r="AJ396" i="1"/>
  <c r="AH396" i="1"/>
  <c r="I399" i="1"/>
  <c r="G399" i="1"/>
  <c r="I185" i="1"/>
  <c r="I187" i="1"/>
  <c r="P208" i="1"/>
  <c r="P212" i="1"/>
  <c r="Y221" i="1"/>
  <c r="G274" i="1"/>
  <c r="G306" i="1"/>
  <c r="AH306" i="1"/>
  <c r="R312" i="1"/>
  <c r="Y323" i="1"/>
  <c r="G336" i="1"/>
  <c r="AJ337" i="1"/>
  <c r="AJ338" i="1"/>
  <c r="AJ339" i="1"/>
  <c r="AJ340" i="1"/>
  <c r="AJ346" i="1"/>
  <c r="AH346" i="1"/>
  <c r="AA354" i="1"/>
  <c r="R361" i="1"/>
  <c r="I362" i="1"/>
  <c r="R369" i="1"/>
  <c r="I370" i="1"/>
  <c r="AJ382" i="1"/>
  <c r="I389" i="1"/>
  <c r="G389" i="1"/>
  <c r="R391" i="1"/>
  <c r="P391" i="1"/>
  <c r="R393" i="1"/>
  <c r="P393" i="1"/>
  <c r="R395" i="1"/>
  <c r="P395" i="1"/>
  <c r="R397" i="1"/>
  <c r="P397" i="1"/>
  <c r="AA399" i="1"/>
  <c r="Y399" i="1"/>
  <c r="AJ214" i="1"/>
  <c r="R216" i="1"/>
  <c r="R234" i="1"/>
  <c r="AJ310" i="1"/>
  <c r="AA311" i="1"/>
  <c r="AA338" i="1"/>
  <c r="AA339" i="1"/>
  <c r="AA340" i="1"/>
  <c r="I349" i="1"/>
  <c r="G349" i="1"/>
  <c r="AA353" i="1"/>
  <c r="I355" i="1"/>
  <c r="I363" i="1"/>
  <c r="I371" i="1"/>
  <c r="AA378" i="1"/>
  <c r="AJ391" i="1"/>
  <c r="AH391" i="1"/>
  <c r="AJ393" i="1"/>
  <c r="AH393" i="1"/>
  <c r="AJ395" i="1"/>
  <c r="AH395" i="1"/>
  <c r="AJ397" i="1"/>
  <c r="AH397" i="1"/>
  <c r="I400" i="1"/>
  <c r="G400" i="1"/>
  <c r="AA403" i="1"/>
  <c r="R344" i="1"/>
  <c r="AJ352" i="1"/>
  <c r="AJ353" i="1"/>
  <c r="AJ354" i="1"/>
  <c r="AJ355" i="1"/>
  <c r="AJ358" i="1"/>
  <c r="I360" i="1"/>
  <c r="AJ362" i="1"/>
  <c r="I364" i="1"/>
  <c r="AJ366" i="1"/>
  <c r="I368" i="1"/>
  <c r="AJ370" i="1"/>
  <c r="I372" i="1"/>
  <c r="R376" i="1"/>
  <c r="AA380" i="1"/>
  <c r="AJ401" i="1"/>
  <c r="AJ403" i="1"/>
  <c r="AJ405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A438" i="1"/>
  <c r="AA440" i="1"/>
  <c r="AJ442" i="1"/>
  <c r="AJ448" i="1"/>
  <c r="I453" i="1"/>
  <c r="I457" i="1"/>
  <c r="I461" i="1"/>
  <c r="R465" i="1"/>
  <c r="AA470" i="1"/>
  <c r="AA474" i="1"/>
  <c r="AA477" i="1"/>
  <c r="AA479" i="1"/>
  <c r="AJ481" i="1"/>
  <c r="AJ483" i="1"/>
  <c r="AJ485" i="1"/>
  <c r="AJ487" i="1"/>
  <c r="AJ489" i="1"/>
  <c r="G509" i="1"/>
  <c r="Y515" i="1"/>
  <c r="Y522" i="1"/>
  <c r="P548" i="1"/>
  <c r="G550" i="1"/>
  <c r="AH550" i="1"/>
  <c r="I552" i="1"/>
  <c r="G552" i="1"/>
  <c r="AA405" i="1"/>
  <c r="AJ437" i="1"/>
  <c r="AJ439" i="1"/>
  <c r="I444" i="1"/>
  <c r="AA447" i="1"/>
  <c r="AJ451" i="1"/>
  <c r="AJ455" i="1"/>
  <c r="AJ459" i="1"/>
  <c r="AJ463" i="1"/>
  <c r="AJ468" i="1"/>
  <c r="AJ472" i="1"/>
  <c r="AJ476" i="1"/>
  <c r="AJ478" i="1"/>
  <c r="I481" i="1"/>
  <c r="I483" i="1"/>
  <c r="I485" i="1"/>
  <c r="I487" i="1"/>
  <c r="I489" i="1"/>
  <c r="I491" i="1"/>
  <c r="R549" i="1"/>
  <c r="P549" i="1"/>
  <c r="AA559" i="1"/>
  <c r="I566" i="1"/>
  <c r="G566" i="1"/>
  <c r="G580" i="1"/>
  <c r="I580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AH504" i="1"/>
  <c r="Y513" i="1"/>
  <c r="Y518" i="1"/>
  <c r="Y526" i="1"/>
  <c r="G544" i="1"/>
  <c r="P545" i="1"/>
  <c r="R547" i="1"/>
  <c r="P547" i="1"/>
  <c r="G553" i="1"/>
  <c r="Y557" i="1"/>
  <c r="AA557" i="1"/>
  <c r="AJ440" i="1"/>
  <c r="I443" i="1"/>
  <c r="I466" i="1"/>
  <c r="AJ470" i="1"/>
  <c r="AJ474" i="1"/>
  <c r="I545" i="1"/>
  <c r="G545" i="1"/>
  <c r="G576" i="1"/>
  <c r="I576" i="1"/>
  <c r="I762" i="1"/>
  <c r="I765" i="1"/>
  <c r="I767" i="1"/>
  <c r="I769" i="1"/>
  <c r="R777" i="1"/>
  <c r="P777" i="1"/>
  <c r="AH791" i="1"/>
  <c r="G793" i="1"/>
  <c r="G794" i="1"/>
  <c r="G795" i="1"/>
  <c r="P796" i="1"/>
  <c r="Y797" i="1"/>
  <c r="Y798" i="1"/>
  <c r="Y799" i="1"/>
  <c r="Y800" i="1"/>
  <c r="Y829" i="1"/>
  <c r="AA829" i="1"/>
  <c r="AH834" i="1"/>
  <c r="AJ834" i="1"/>
  <c r="P851" i="1"/>
  <c r="R851" i="1"/>
  <c r="P883" i="1"/>
  <c r="R883" i="1"/>
  <c r="AA949" i="1"/>
  <c r="Y949" i="1"/>
  <c r="R953" i="1"/>
  <c r="P953" i="1"/>
  <c r="AA964" i="1"/>
  <c r="Y964" i="1"/>
  <c r="Y973" i="1"/>
  <c r="AA973" i="1"/>
  <c r="AA981" i="1"/>
  <c r="Y981" i="1"/>
  <c r="I994" i="1"/>
  <c r="G994" i="1"/>
  <c r="I1006" i="1"/>
  <c r="G1006" i="1"/>
  <c r="I1008" i="1"/>
  <c r="G1008" i="1"/>
  <c r="I584" i="1"/>
  <c r="AA586" i="1"/>
  <c r="AA588" i="1"/>
  <c r="G597" i="1"/>
  <c r="P602" i="1"/>
  <c r="AA618" i="1"/>
  <c r="AA620" i="1"/>
  <c r="AA622" i="1"/>
  <c r="AA624" i="1"/>
  <c r="AA628" i="1"/>
  <c r="AA632" i="1"/>
  <c r="G637" i="1"/>
  <c r="Y641" i="1"/>
  <c r="P642" i="1"/>
  <c r="P647" i="1"/>
  <c r="P648" i="1"/>
  <c r="Y649" i="1"/>
  <c r="P651" i="1"/>
  <c r="P652" i="1"/>
  <c r="Y653" i="1"/>
  <c r="Y654" i="1"/>
  <c r="Y655" i="1"/>
  <c r="Y656" i="1"/>
  <c r="Y657" i="1"/>
  <c r="R659" i="1"/>
  <c r="R661" i="1"/>
  <c r="I664" i="1"/>
  <c r="R665" i="1"/>
  <c r="I668" i="1"/>
  <c r="R669" i="1"/>
  <c r="I672" i="1"/>
  <c r="AA673" i="1"/>
  <c r="AA676" i="1"/>
  <c r="AJ677" i="1"/>
  <c r="AJ680" i="1"/>
  <c r="AA683" i="1"/>
  <c r="AJ688" i="1"/>
  <c r="P691" i="1"/>
  <c r="G692" i="1"/>
  <c r="AH696" i="1"/>
  <c r="Y697" i="1"/>
  <c r="P698" i="1"/>
  <c r="Y700" i="1"/>
  <c r="AH702" i="1"/>
  <c r="Y703" i="1"/>
  <c r="AA706" i="1"/>
  <c r="R707" i="1"/>
  <c r="AJ710" i="1"/>
  <c r="AA719" i="1"/>
  <c r="AA720" i="1"/>
  <c r="AA721" i="1"/>
  <c r="AA722" i="1"/>
  <c r="AJ723" i="1"/>
  <c r="AA725" i="1"/>
  <c r="G726" i="1"/>
  <c r="AA734" i="1"/>
  <c r="AA738" i="1"/>
  <c r="R742" i="1"/>
  <c r="AJ751" i="1"/>
  <c r="I753" i="1"/>
  <c r="I757" i="1"/>
  <c r="R761" i="1"/>
  <c r="R766" i="1"/>
  <c r="R768" i="1"/>
  <c r="R770" i="1"/>
  <c r="P804" i="1"/>
  <c r="R804" i="1"/>
  <c r="G812" i="1"/>
  <c r="I812" i="1"/>
  <c r="P818" i="1"/>
  <c r="R818" i="1"/>
  <c r="AA904" i="1"/>
  <c r="Y904" i="1"/>
  <c r="AH912" i="1"/>
  <c r="AJ912" i="1"/>
  <c r="AH916" i="1"/>
  <c r="AJ916" i="1"/>
  <c r="G929" i="1"/>
  <c r="I929" i="1"/>
  <c r="R963" i="1"/>
  <c r="P963" i="1"/>
  <c r="I1020" i="1"/>
  <c r="G1020" i="1"/>
  <c r="AJ1034" i="1"/>
  <c r="AH1034" i="1"/>
  <c r="R559" i="1"/>
  <c r="AJ572" i="1"/>
  <c r="R574" i="1"/>
  <c r="R578" i="1"/>
  <c r="R582" i="1"/>
  <c r="AJ585" i="1"/>
  <c r="AJ587" i="1"/>
  <c r="AJ589" i="1"/>
  <c r="R618" i="1"/>
  <c r="R620" i="1"/>
  <c r="R622" i="1"/>
  <c r="R624" i="1"/>
  <c r="AJ626" i="1"/>
  <c r="AJ630" i="1"/>
  <c r="AJ634" i="1"/>
  <c r="I659" i="1"/>
  <c r="I661" i="1"/>
  <c r="AJ663" i="1"/>
  <c r="I665" i="1"/>
  <c r="AJ667" i="1"/>
  <c r="I669" i="1"/>
  <c r="AJ671" i="1"/>
  <c r="R673" i="1"/>
  <c r="R676" i="1"/>
  <c r="AA677" i="1"/>
  <c r="AA680" i="1"/>
  <c r="AJ682" i="1"/>
  <c r="AA688" i="1"/>
  <c r="R706" i="1"/>
  <c r="I707" i="1"/>
  <c r="I709" i="1"/>
  <c r="R713" i="1"/>
  <c r="R719" i="1"/>
  <c r="R720" i="1"/>
  <c r="R721" i="1"/>
  <c r="R722" i="1"/>
  <c r="AA723" i="1"/>
  <c r="AA724" i="1"/>
  <c r="R725" i="1"/>
  <c r="AJ733" i="1"/>
  <c r="AJ737" i="1"/>
  <c r="AA741" i="1"/>
  <c r="AA751" i="1"/>
  <c r="AJ755" i="1"/>
  <c r="I760" i="1"/>
  <c r="I817" i="1"/>
  <c r="G817" i="1"/>
  <c r="AH838" i="1"/>
  <c r="AJ838" i="1"/>
  <c r="AA856" i="1"/>
  <c r="Y856" i="1"/>
  <c r="R874" i="1"/>
  <c r="P874" i="1"/>
  <c r="I882" i="1"/>
  <c r="G882" i="1"/>
  <c r="R902" i="1"/>
  <c r="P902" i="1"/>
  <c r="AA941" i="1"/>
  <c r="Y941" i="1"/>
  <c r="AA956" i="1"/>
  <c r="Y956" i="1"/>
  <c r="AA961" i="1"/>
  <c r="Y961" i="1"/>
  <c r="Y969" i="1"/>
  <c r="AA969" i="1"/>
  <c r="AH977" i="1"/>
  <c r="AJ977" i="1"/>
  <c r="AA986" i="1"/>
  <c r="Y986" i="1"/>
  <c r="I1002" i="1"/>
  <c r="G1002" i="1"/>
  <c r="I1007" i="1"/>
  <c r="G1007" i="1"/>
  <c r="Y638" i="1"/>
  <c r="Y639" i="1"/>
  <c r="AH642" i="1"/>
  <c r="AH643" i="1"/>
  <c r="P646" i="1"/>
  <c r="Y650" i="1"/>
  <c r="AH651" i="1"/>
  <c r="AH652" i="1"/>
  <c r="G654" i="1"/>
  <c r="G655" i="1"/>
  <c r="G656" i="1"/>
  <c r="G657" i="1"/>
  <c r="AH698" i="1"/>
  <c r="Y699" i="1"/>
  <c r="AH718" i="1"/>
  <c r="Y728" i="1"/>
  <c r="AA783" i="1"/>
  <c r="Y783" i="1"/>
  <c r="Y808" i="1"/>
  <c r="AA808" i="1"/>
  <c r="P816" i="1"/>
  <c r="R816" i="1"/>
  <c r="R821" i="1"/>
  <c r="P821" i="1"/>
  <c r="Y831" i="1"/>
  <c r="AA831" i="1"/>
  <c r="Y852" i="1"/>
  <c r="AA852" i="1"/>
  <c r="I873" i="1"/>
  <c r="G873" i="1"/>
  <c r="AH914" i="1"/>
  <c r="AJ914" i="1"/>
  <c r="P920" i="1"/>
  <c r="R920" i="1"/>
  <c r="AH927" i="1"/>
  <c r="E10" i="2" s="1"/>
  <c r="AJ927" i="1"/>
  <c r="C10" i="2" s="1"/>
  <c r="D10" i="2" s="1"/>
  <c r="Y936" i="1"/>
  <c r="AA936" i="1"/>
  <c r="R955" i="1"/>
  <c r="P955" i="1"/>
  <c r="I1015" i="1"/>
  <c r="G1015" i="1"/>
  <c r="I1026" i="1"/>
  <c r="G1026" i="1"/>
  <c r="AJ970" i="1"/>
  <c r="AJ974" i="1"/>
  <c r="I979" i="1"/>
  <c r="P829" i="1"/>
  <c r="G847" i="1"/>
  <c r="P951" i="1"/>
  <c r="G1016" i="1"/>
  <c r="Y1027" i="1"/>
  <c r="AA803" i="1"/>
  <c r="AJ807" i="1"/>
  <c r="AA815" i="1"/>
  <c r="Y819" i="1"/>
  <c r="I825" i="1"/>
  <c r="AA834" i="1"/>
  <c r="AH837" i="1"/>
  <c r="G842" i="1"/>
  <c r="AH845" i="1"/>
  <c r="G848" i="1"/>
  <c r="AA849" i="1"/>
  <c r="AH859" i="1"/>
  <c r="AH866" i="1"/>
  <c r="Y876" i="1"/>
  <c r="R877" i="1"/>
  <c r="P879" i="1"/>
  <c r="I883" i="1"/>
  <c r="I884" i="1"/>
  <c r="G888" i="1"/>
  <c r="G890" i="1"/>
  <c r="Y892" i="1"/>
  <c r="P898" i="1"/>
  <c r="Y907" i="1"/>
  <c r="P911" i="1"/>
  <c r="I912" i="1"/>
  <c r="I914" i="1"/>
  <c r="I916" i="1"/>
  <c r="I919" i="1"/>
  <c r="I923" i="1"/>
  <c r="R924" i="1"/>
  <c r="I927" i="1"/>
  <c r="AJ928" i="1"/>
  <c r="I935" i="1"/>
  <c r="Y946" i="1"/>
  <c r="G951" i="1"/>
  <c r="P952" i="1"/>
  <c r="Y957" i="1"/>
  <c r="P959" i="1"/>
  <c r="Y960" i="1"/>
  <c r="Y965" i="1"/>
  <c r="Y983" i="1"/>
  <c r="Y989" i="1"/>
  <c r="G998" i="1"/>
  <c r="G1004" i="1"/>
  <c r="Y1006" i="1"/>
  <c r="Y1007" i="1"/>
  <c r="G1022" i="1"/>
  <c r="P2" i="1"/>
  <c r="R2" i="1"/>
  <c r="G64" i="1"/>
  <c r="I64" i="1"/>
  <c r="G66" i="1"/>
  <c r="I66" i="1"/>
  <c r="G70" i="1"/>
  <c r="I70" i="1"/>
  <c r="G72" i="1"/>
  <c r="I72" i="1"/>
  <c r="AH72" i="1"/>
  <c r="AJ72" i="1"/>
  <c r="AH74" i="1"/>
  <c r="AJ74" i="1"/>
  <c r="G76" i="1"/>
  <c r="I76" i="1"/>
  <c r="AH76" i="1"/>
  <c r="AJ76" i="1"/>
  <c r="G80" i="1"/>
  <c r="I80" i="1"/>
  <c r="G84" i="1"/>
  <c r="I84" i="1"/>
  <c r="P86" i="1"/>
  <c r="R86" i="1"/>
  <c r="P90" i="1"/>
  <c r="R90" i="1"/>
  <c r="P92" i="1"/>
  <c r="R92" i="1"/>
  <c r="P94" i="1"/>
  <c r="R94" i="1"/>
  <c r="G95" i="1"/>
  <c r="I95" i="1"/>
  <c r="P96" i="1"/>
  <c r="R96" i="1"/>
  <c r="P98" i="1"/>
  <c r="R98" i="1"/>
  <c r="G99" i="1"/>
  <c r="I99" i="1"/>
  <c r="P102" i="1"/>
  <c r="R102" i="1"/>
  <c r="P104" i="1"/>
  <c r="R104" i="1"/>
  <c r="P106" i="1"/>
  <c r="R106" i="1"/>
  <c r="P108" i="1"/>
  <c r="R108" i="1"/>
  <c r="I126" i="1"/>
  <c r="G126" i="1"/>
  <c r="AA133" i="1"/>
  <c r="Y133" i="1"/>
  <c r="I205" i="1"/>
  <c r="G205" i="1"/>
  <c r="I213" i="1"/>
  <c r="G213" i="1"/>
  <c r="AJ274" i="1"/>
  <c r="AH274" i="1"/>
  <c r="G326" i="1"/>
  <c r="I326" i="1"/>
  <c r="P343" i="1"/>
  <c r="R343" i="1"/>
  <c r="P401" i="1"/>
  <c r="R401" i="1"/>
  <c r="P403" i="1"/>
  <c r="R403" i="1"/>
  <c r="P405" i="1"/>
  <c r="R405" i="1"/>
  <c r="R511" i="1"/>
  <c r="P511" i="1"/>
  <c r="I834" i="1"/>
  <c r="G834" i="1"/>
  <c r="AA837" i="1"/>
  <c r="Y837" i="1"/>
  <c r="AJ841" i="1"/>
  <c r="AH841" i="1"/>
  <c r="R892" i="1"/>
  <c r="P892" i="1"/>
  <c r="P912" i="1"/>
  <c r="R912" i="1"/>
  <c r="G922" i="1"/>
  <c r="I922" i="1"/>
  <c r="G936" i="1"/>
  <c r="I936" i="1"/>
  <c r="I952" i="1"/>
  <c r="G952" i="1"/>
  <c r="G42" i="1"/>
  <c r="G43" i="1"/>
  <c r="G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110" i="1"/>
  <c r="R110" i="1"/>
  <c r="G111" i="1"/>
  <c r="I111" i="1"/>
  <c r="AH119" i="1"/>
  <c r="AH120" i="1"/>
  <c r="AH121" i="1"/>
  <c r="AH122" i="1"/>
  <c r="AH123" i="1"/>
  <c r="P125" i="1"/>
  <c r="P127" i="1"/>
  <c r="P129" i="1"/>
  <c r="P131" i="1"/>
  <c r="AA134" i="1"/>
  <c r="Y134" i="1"/>
  <c r="AA138" i="1"/>
  <c r="Y138" i="1"/>
  <c r="AA142" i="1"/>
  <c r="Y142" i="1"/>
  <c r="AA146" i="1"/>
  <c r="Y146" i="1"/>
  <c r="Y185" i="1"/>
  <c r="AA185" i="1"/>
  <c r="AA193" i="1"/>
  <c r="Y193" i="1"/>
  <c r="AJ197" i="1"/>
  <c r="AH197" i="1"/>
  <c r="I202" i="1"/>
  <c r="G202" i="1"/>
  <c r="I206" i="1"/>
  <c r="G206" i="1"/>
  <c r="I210" i="1"/>
  <c r="G210" i="1"/>
  <c r="I214" i="1"/>
  <c r="G214" i="1"/>
  <c r="AJ219" i="1"/>
  <c r="AH219" i="1"/>
  <c r="AA220" i="1"/>
  <c r="Y220" i="1"/>
  <c r="I221" i="1"/>
  <c r="G221" i="1"/>
  <c r="AA223" i="1"/>
  <c r="Y223" i="1"/>
  <c r="Y227" i="1"/>
  <c r="AA227" i="1"/>
  <c r="P228" i="1"/>
  <c r="R228" i="1"/>
  <c r="Y231" i="1"/>
  <c r="AA231" i="1"/>
  <c r="Y232" i="1"/>
  <c r="AA232" i="1"/>
  <c r="AA271" i="1"/>
  <c r="Y271" i="1"/>
  <c r="AA307" i="1"/>
  <c r="Y307" i="1"/>
  <c r="AH333" i="1"/>
  <c r="AJ333" i="1"/>
  <c r="R349" i="1"/>
  <c r="P349" i="1"/>
  <c r="AH356" i="1"/>
  <c r="AJ356" i="1"/>
  <c r="AH360" i="1"/>
  <c r="AJ360" i="1"/>
  <c r="AH364" i="1"/>
  <c r="AJ364" i="1"/>
  <c r="AH368" i="1"/>
  <c r="AJ368" i="1"/>
  <c r="AH372" i="1"/>
  <c r="E143" i="2" s="1"/>
  <c r="AJ372" i="1"/>
  <c r="I388" i="1"/>
  <c r="C50" i="2" s="1"/>
  <c r="D50" i="2" s="1"/>
  <c r="G388" i="1"/>
  <c r="AA527" i="1"/>
  <c r="Y527" i="1"/>
  <c r="AA547" i="1"/>
  <c r="Y547" i="1"/>
  <c r="I646" i="1"/>
  <c r="G646" i="1"/>
  <c r="AA823" i="1"/>
  <c r="Y823" i="1"/>
  <c r="G62" i="1"/>
  <c r="I62" i="1"/>
  <c r="G68" i="1"/>
  <c r="I68" i="1"/>
  <c r="AH70" i="1"/>
  <c r="AJ70" i="1"/>
  <c r="AH80" i="1"/>
  <c r="AJ80" i="1"/>
  <c r="P88" i="1"/>
  <c r="R88" i="1"/>
  <c r="G91" i="1"/>
  <c r="I91" i="1"/>
  <c r="G93" i="1"/>
  <c r="I93" i="1"/>
  <c r="P100" i="1"/>
  <c r="R100" i="1"/>
  <c r="G105" i="1"/>
  <c r="I105" i="1"/>
  <c r="AA141" i="1"/>
  <c r="Y141" i="1"/>
  <c r="AA145" i="1"/>
  <c r="Y145" i="1"/>
  <c r="AA192" i="1"/>
  <c r="Y192" i="1"/>
  <c r="AJ196" i="1"/>
  <c r="AH196" i="1"/>
  <c r="I201" i="1"/>
  <c r="G201" i="1"/>
  <c r="I209" i="1"/>
  <c r="G209" i="1"/>
  <c r="AH215" i="1"/>
  <c r="AJ215" i="1"/>
  <c r="AH217" i="1"/>
  <c r="AJ217" i="1"/>
  <c r="R222" i="1"/>
  <c r="P222" i="1"/>
  <c r="P330" i="1"/>
  <c r="R330" i="1"/>
  <c r="G402" i="1"/>
  <c r="I402" i="1"/>
  <c r="G406" i="1"/>
  <c r="I406" i="1"/>
  <c r="AA543" i="1"/>
  <c r="Y543" i="1"/>
  <c r="Y832" i="1"/>
  <c r="AA832" i="1"/>
  <c r="AH835" i="1"/>
  <c r="AJ835" i="1"/>
  <c r="Y913" i="1"/>
  <c r="AA913" i="1"/>
  <c r="Y915" i="1"/>
  <c r="AA915" i="1"/>
  <c r="Y917" i="1"/>
  <c r="AA917" i="1"/>
  <c r="G925" i="1"/>
  <c r="I925" i="1"/>
  <c r="P937" i="1"/>
  <c r="R937" i="1"/>
  <c r="AJ950" i="1"/>
  <c r="AH950" i="1"/>
  <c r="I959" i="1"/>
  <c r="G959" i="1"/>
  <c r="Y2" i="1"/>
  <c r="AA2" i="1"/>
  <c r="AH42" i="1"/>
  <c r="G45" i="1"/>
  <c r="G46" i="1"/>
  <c r="G47" i="1"/>
  <c r="G49" i="1"/>
  <c r="G51" i="1"/>
  <c r="G52" i="1"/>
  <c r="G55" i="1"/>
  <c r="G58" i="1"/>
  <c r="G59" i="1"/>
  <c r="G60" i="1"/>
  <c r="AH61" i="1"/>
  <c r="AJ61" i="1"/>
  <c r="G65" i="1"/>
  <c r="I65" i="1"/>
  <c r="AH65" i="1"/>
  <c r="AJ65" i="1"/>
  <c r="AH67" i="1"/>
  <c r="AJ67" i="1"/>
  <c r="AH69" i="1"/>
  <c r="AJ69" i="1"/>
  <c r="G73" i="1"/>
  <c r="I73" i="1"/>
  <c r="G75" i="1"/>
  <c r="I75" i="1"/>
  <c r="G77" i="1"/>
  <c r="I77" i="1"/>
  <c r="AH77" i="1"/>
  <c r="AJ77" i="1"/>
  <c r="AH79" i="1"/>
  <c r="AJ79" i="1"/>
  <c r="G81" i="1"/>
  <c r="I81" i="1"/>
  <c r="AH81" i="1"/>
  <c r="AJ81" i="1"/>
  <c r="G83" i="1"/>
  <c r="I83" i="1"/>
  <c r="AH83" i="1"/>
  <c r="AJ83" i="1"/>
  <c r="P85" i="1"/>
  <c r="R85" i="1"/>
  <c r="G86" i="1"/>
  <c r="I86" i="1"/>
  <c r="P87" i="1"/>
  <c r="R87" i="1"/>
  <c r="G88" i="1"/>
  <c r="I88" i="1"/>
  <c r="P89" i="1"/>
  <c r="R89" i="1"/>
  <c r="G90" i="1"/>
  <c r="I90" i="1"/>
  <c r="P91" i="1"/>
  <c r="R91" i="1"/>
  <c r="G92" i="1"/>
  <c r="I92" i="1"/>
  <c r="P93" i="1"/>
  <c r="R93" i="1"/>
  <c r="G94" i="1"/>
  <c r="I94" i="1"/>
  <c r="P95" i="1"/>
  <c r="R95" i="1"/>
  <c r="G96" i="1"/>
  <c r="I96" i="1"/>
  <c r="P97" i="1"/>
  <c r="R97" i="1"/>
  <c r="G98" i="1"/>
  <c r="I98" i="1"/>
  <c r="P99" i="1"/>
  <c r="R99" i="1"/>
  <c r="G100" i="1"/>
  <c r="I100" i="1"/>
  <c r="P101" i="1"/>
  <c r="R101" i="1"/>
  <c r="G102" i="1"/>
  <c r="I102" i="1"/>
  <c r="P103" i="1"/>
  <c r="R103" i="1"/>
  <c r="G104" i="1"/>
  <c r="I104" i="1"/>
  <c r="P105" i="1"/>
  <c r="R105" i="1"/>
  <c r="G106" i="1"/>
  <c r="I106" i="1"/>
  <c r="P107" i="1"/>
  <c r="R107" i="1"/>
  <c r="G108" i="1"/>
  <c r="I108" i="1"/>
  <c r="P109" i="1"/>
  <c r="R109" i="1"/>
  <c r="Y119" i="1"/>
  <c r="Y120" i="1"/>
  <c r="Y121" i="1"/>
  <c r="Y122" i="1"/>
  <c r="Y123" i="1"/>
  <c r="I125" i="1"/>
  <c r="G125" i="1"/>
  <c r="I127" i="1"/>
  <c r="G127" i="1"/>
  <c r="I129" i="1"/>
  <c r="G129" i="1"/>
  <c r="I131" i="1"/>
  <c r="G131" i="1"/>
  <c r="AA135" i="1"/>
  <c r="Y135" i="1"/>
  <c r="AA139" i="1"/>
  <c r="Y139" i="1"/>
  <c r="AA143" i="1"/>
  <c r="Y143" i="1"/>
  <c r="AA147" i="1"/>
  <c r="Y147" i="1"/>
  <c r="AJ194" i="1"/>
  <c r="AH194" i="1"/>
  <c r="AJ198" i="1"/>
  <c r="AH198" i="1"/>
  <c r="I203" i="1"/>
  <c r="G203" i="1"/>
  <c r="I207" i="1"/>
  <c r="G207" i="1"/>
  <c r="I211" i="1"/>
  <c r="G211" i="1"/>
  <c r="AH216" i="1"/>
  <c r="AJ216" i="1"/>
  <c r="AH218" i="1"/>
  <c r="AJ218" i="1"/>
  <c r="AA224" i="1"/>
  <c r="Y224" i="1"/>
  <c r="AJ270" i="1"/>
  <c r="AH270" i="1"/>
  <c r="I309" i="1"/>
  <c r="G309" i="1"/>
  <c r="G312" i="1"/>
  <c r="I312" i="1"/>
  <c r="AJ319" i="1"/>
  <c r="AH319" i="1"/>
  <c r="AA324" i="1"/>
  <c r="Y324" i="1"/>
  <c r="G327" i="1"/>
  <c r="I327" i="1"/>
  <c r="G329" i="1"/>
  <c r="I329" i="1"/>
  <c r="AJ545" i="1"/>
  <c r="AH545" i="1"/>
  <c r="AA551" i="1"/>
  <c r="Y551" i="1"/>
  <c r="AA784" i="1"/>
  <c r="Y784" i="1"/>
  <c r="I821" i="1"/>
  <c r="G821" i="1"/>
  <c r="AH62" i="1"/>
  <c r="AJ62" i="1"/>
  <c r="AH64" i="1"/>
  <c r="AJ64" i="1"/>
  <c r="AH66" i="1"/>
  <c r="AJ66" i="1"/>
  <c r="AH68" i="1"/>
  <c r="AJ68" i="1"/>
  <c r="G74" i="1"/>
  <c r="I74" i="1"/>
  <c r="G78" i="1"/>
  <c r="I78" i="1"/>
  <c r="AH78" i="1"/>
  <c r="AJ78" i="1"/>
  <c r="G82" i="1"/>
  <c r="I82" i="1"/>
  <c r="AH82" i="1"/>
  <c r="AJ82" i="1"/>
  <c r="G85" i="1"/>
  <c r="I85" i="1"/>
  <c r="G87" i="1"/>
  <c r="I87" i="1"/>
  <c r="G89" i="1"/>
  <c r="I89" i="1"/>
  <c r="G97" i="1"/>
  <c r="I97" i="1"/>
  <c r="G101" i="1"/>
  <c r="I101" i="1"/>
  <c r="G103" i="1"/>
  <c r="I103" i="1"/>
  <c r="G107" i="1"/>
  <c r="I107" i="1"/>
  <c r="G109" i="1"/>
  <c r="I109" i="1"/>
  <c r="I128" i="1"/>
  <c r="G128" i="1"/>
  <c r="I130" i="1"/>
  <c r="G130" i="1"/>
  <c r="I132" i="1"/>
  <c r="G132" i="1"/>
  <c r="AA137" i="1"/>
  <c r="Y137" i="1"/>
  <c r="P310" i="1"/>
  <c r="R310" i="1"/>
  <c r="G328" i="1"/>
  <c r="I328" i="1"/>
  <c r="R336" i="1"/>
  <c r="P336" i="1"/>
  <c r="G404" i="1"/>
  <c r="I404" i="1"/>
  <c r="G573" i="1"/>
  <c r="I573" i="1"/>
  <c r="G575" i="1"/>
  <c r="I575" i="1"/>
  <c r="AJ646" i="1"/>
  <c r="AH646" i="1"/>
  <c r="AA897" i="1"/>
  <c r="Y897" i="1"/>
  <c r="P914" i="1"/>
  <c r="R914" i="1"/>
  <c r="P916" i="1"/>
  <c r="R916" i="1"/>
  <c r="G934" i="1"/>
  <c r="I934" i="1"/>
  <c r="AA948" i="1"/>
  <c r="Y948" i="1"/>
  <c r="R960" i="1"/>
  <c r="P960" i="1"/>
  <c r="AA979" i="1"/>
  <c r="Y979" i="1"/>
  <c r="I1000" i="1"/>
  <c r="G1000" i="1"/>
  <c r="C86" i="2"/>
  <c r="AH41" i="1"/>
  <c r="AH43" i="1"/>
  <c r="G48" i="1"/>
  <c r="G50" i="1"/>
  <c r="G53" i="1"/>
  <c r="G54" i="1"/>
  <c r="G56" i="1"/>
  <c r="G57" i="1"/>
  <c r="G63" i="1"/>
  <c r="I63" i="1"/>
  <c r="AH63" i="1"/>
  <c r="AJ63" i="1"/>
  <c r="G67" i="1"/>
  <c r="I67" i="1"/>
  <c r="G69" i="1"/>
  <c r="I69" i="1"/>
  <c r="G71" i="1"/>
  <c r="I71" i="1"/>
  <c r="AH71" i="1"/>
  <c r="AJ71" i="1"/>
  <c r="AH73" i="1"/>
  <c r="AJ73" i="1"/>
  <c r="AH75" i="1"/>
  <c r="AJ75" i="1"/>
  <c r="G79" i="1"/>
  <c r="I79" i="1"/>
  <c r="Y42" i="1"/>
  <c r="Y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P111" i="1"/>
  <c r="R111" i="1"/>
  <c r="G112" i="1"/>
  <c r="I112" i="1"/>
  <c r="P120" i="1"/>
  <c r="P121" i="1"/>
  <c r="P122" i="1"/>
  <c r="P123" i="1"/>
  <c r="P124" i="1"/>
  <c r="P126" i="1"/>
  <c r="P128" i="1"/>
  <c r="P130" i="1"/>
  <c r="P132" i="1"/>
  <c r="R134" i="1"/>
  <c r="P134" i="1"/>
  <c r="AA136" i="1"/>
  <c r="Y136" i="1"/>
  <c r="AA140" i="1"/>
  <c r="Y140" i="1"/>
  <c r="AA144" i="1"/>
  <c r="Y144" i="1"/>
  <c r="Y186" i="1"/>
  <c r="AA186" i="1"/>
  <c r="AA191" i="1"/>
  <c r="Y191" i="1"/>
  <c r="AJ195" i="1"/>
  <c r="AH195" i="1"/>
  <c r="AJ199" i="1"/>
  <c r="AH199" i="1"/>
  <c r="I204" i="1"/>
  <c r="G204" i="1"/>
  <c r="I208" i="1"/>
  <c r="G208" i="1"/>
  <c r="I212" i="1"/>
  <c r="G212" i="1"/>
  <c r="R220" i="1"/>
  <c r="P220" i="1"/>
  <c r="AJ220" i="1"/>
  <c r="AH220" i="1"/>
  <c r="R221" i="1"/>
  <c r="P221" i="1"/>
  <c r="AH229" i="1"/>
  <c r="AJ229" i="1"/>
  <c r="G234" i="1"/>
  <c r="I234" i="1"/>
  <c r="R273" i="1"/>
  <c r="P273" i="1"/>
  <c r="AJ305" i="1"/>
  <c r="AH305" i="1"/>
  <c r="AJ322" i="1"/>
  <c r="AH322" i="1"/>
  <c r="Y331" i="1"/>
  <c r="AA331" i="1"/>
  <c r="R345" i="1"/>
  <c r="P345" i="1"/>
  <c r="Y358" i="1"/>
  <c r="AA358" i="1"/>
  <c r="P359" i="1"/>
  <c r="R359" i="1"/>
  <c r="Y362" i="1"/>
  <c r="AA362" i="1"/>
  <c r="P363" i="1"/>
  <c r="R363" i="1"/>
  <c r="Y366" i="1"/>
  <c r="AA366" i="1"/>
  <c r="P367" i="1"/>
  <c r="R367" i="1"/>
  <c r="Y370" i="1"/>
  <c r="AA370" i="1"/>
  <c r="P371" i="1"/>
  <c r="R371" i="1"/>
  <c r="Y375" i="1"/>
  <c r="AA375" i="1"/>
  <c r="P377" i="1"/>
  <c r="R377" i="1"/>
  <c r="AA516" i="1"/>
  <c r="Y516" i="1"/>
  <c r="AJ549" i="1"/>
  <c r="AH549" i="1"/>
  <c r="R649" i="1"/>
  <c r="P649" i="1"/>
  <c r="AH658" i="1"/>
  <c r="AJ658" i="1"/>
  <c r="Y659" i="1"/>
  <c r="AA659" i="1"/>
  <c r="AH660" i="1"/>
  <c r="AJ660" i="1"/>
  <c r="Y661" i="1"/>
  <c r="AA661" i="1"/>
  <c r="Y663" i="1"/>
  <c r="AA663" i="1"/>
  <c r="P664" i="1"/>
  <c r="R664" i="1"/>
  <c r="AH664" i="1"/>
  <c r="AJ664" i="1"/>
  <c r="Y667" i="1"/>
  <c r="AA667" i="1"/>
  <c r="P668" i="1"/>
  <c r="R668" i="1"/>
  <c r="AH668" i="1"/>
  <c r="AJ668" i="1"/>
  <c r="Y671" i="1"/>
  <c r="AA671" i="1"/>
  <c r="P672" i="1"/>
  <c r="R672" i="1"/>
  <c r="AH672" i="1"/>
  <c r="AJ672" i="1"/>
  <c r="G676" i="1"/>
  <c r="I676" i="1"/>
  <c r="AH676" i="1"/>
  <c r="AJ676" i="1"/>
  <c r="P677" i="1"/>
  <c r="R677" i="1"/>
  <c r="AH679" i="1"/>
  <c r="E65" i="2" s="1"/>
  <c r="AJ679" i="1"/>
  <c r="Y681" i="1"/>
  <c r="AA681" i="1"/>
  <c r="Y682" i="1"/>
  <c r="AA682" i="1"/>
  <c r="AH687" i="1"/>
  <c r="AJ687" i="1"/>
  <c r="Y689" i="1"/>
  <c r="AA689" i="1"/>
  <c r="AA690" i="1"/>
  <c r="Y690" i="1"/>
  <c r="I698" i="1"/>
  <c r="G698" i="1"/>
  <c r="R700" i="1"/>
  <c r="P700" i="1"/>
  <c r="AA306" i="1"/>
  <c r="Y306" i="1"/>
  <c r="G311" i="1"/>
  <c r="I311" i="1"/>
  <c r="Y357" i="1"/>
  <c r="AA357" i="1"/>
  <c r="Y369" i="1"/>
  <c r="AA369" i="1"/>
  <c r="AH379" i="1"/>
  <c r="E36" i="2" s="1"/>
  <c r="AJ379" i="1"/>
  <c r="P439" i="1"/>
  <c r="R439" i="1"/>
  <c r="G440" i="1"/>
  <c r="I440" i="1"/>
  <c r="P442" i="1"/>
  <c r="R442" i="1"/>
  <c r="AH447" i="1"/>
  <c r="AJ447" i="1"/>
  <c r="AH450" i="1"/>
  <c r="AJ450" i="1"/>
  <c r="G460" i="1"/>
  <c r="I460" i="1"/>
  <c r="AH462" i="1"/>
  <c r="AJ462" i="1"/>
  <c r="G464" i="1"/>
  <c r="I464" i="1"/>
  <c r="G467" i="1"/>
  <c r="I467" i="1"/>
  <c r="Y469" i="1"/>
  <c r="AA469" i="1"/>
  <c r="P478" i="1"/>
  <c r="R478" i="1"/>
  <c r="G479" i="1"/>
  <c r="I479" i="1"/>
  <c r="Y482" i="1"/>
  <c r="AA482" i="1"/>
  <c r="P483" i="1"/>
  <c r="R483" i="1"/>
  <c r="AA550" i="1"/>
  <c r="Y550" i="1"/>
  <c r="P554" i="1"/>
  <c r="R554" i="1"/>
  <c r="P555" i="1"/>
  <c r="R555" i="1"/>
  <c r="G561" i="1"/>
  <c r="I561" i="1"/>
  <c r="G618" i="1"/>
  <c r="I618" i="1"/>
  <c r="AH618" i="1"/>
  <c r="AJ618" i="1"/>
  <c r="G622" i="1"/>
  <c r="I622" i="1"/>
  <c r="AH622" i="1"/>
  <c r="AJ622" i="1"/>
  <c r="I644" i="1"/>
  <c r="G644" i="1"/>
  <c r="AA648" i="1"/>
  <c r="Y648" i="1"/>
  <c r="P751" i="1"/>
  <c r="R751" i="1"/>
  <c r="G752" i="1"/>
  <c r="I752" i="1"/>
  <c r="Y766" i="1"/>
  <c r="AA766" i="1"/>
  <c r="AH767" i="1"/>
  <c r="AJ767" i="1"/>
  <c r="Y768" i="1"/>
  <c r="AA768" i="1"/>
  <c r="Y822" i="1"/>
  <c r="AA822" i="1"/>
  <c r="G832" i="1"/>
  <c r="I832" i="1"/>
  <c r="AJ862" i="1"/>
  <c r="AH862" i="1"/>
  <c r="AJ864" i="1"/>
  <c r="AH864" i="1"/>
  <c r="AA882" i="1"/>
  <c r="Y882" i="1"/>
  <c r="R958" i="1"/>
  <c r="P958" i="1"/>
  <c r="I965" i="1"/>
  <c r="G965" i="1"/>
  <c r="G133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91" i="1"/>
  <c r="P192" i="1"/>
  <c r="P193" i="1"/>
  <c r="P194" i="1"/>
  <c r="Y195" i="1"/>
  <c r="Y196" i="1"/>
  <c r="Y197" i="1"/>
  <c r="Y198" i="1"/>
  <c r="Y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G222" i="1"/>
  <c r="P223" i="1"/>
  <c r="P224" i="1"/>
  <c r="P225" i="1"/>
  <c r="Y229" i="1"/>
  <c r="AA229" i="1"/>
  <c r="AH233" i="1"/>
  <c r="AJ233" i="1"/>
  <c r="R271" i="1"/>
  <c r="P271" i="1"/>
  <c r="AH273" i="1"/>
  <c r="Y274" i="1"/>
  <c r="AA305" i="1"/>
  <c r="Y305" i="1"/>
  <c r="G308" i="1"/>
  <c r="AH308" i="1"/>
  <c r="AH320" i="1"/>
  <c r="Y322" i="1"/>
  <c r="AJ323" i="1"/>
  <c r="AH323" i="1"/>
  <c r="P331" i="1"/>
  <c r="R331" i="1"/>
  <c r="P337" i="1"/>
  <c r="G343" i="1"/>
  <c r="I343" i="1"/>
  <c r="P350" i="1"/>
  <c r="Y360" i="1"/>
  <c r="AA360" i="1"/>
  <c r="Y364" i="1"/>
  <c r="AA364" i="1"/>
  <c r="Y368" i="1"/>
  <c r="AA368" i="1"/>
  <c r="Y372" i="1"/>
  <c r="AA372" i="1"/>
  <c r="AH385" i="1"/>
  <c r="AJ387" i="1"/>
  <c r="AH387" i="1"/>
  <c r="G401" i="1"/>
  <c r="I401" i="1"/>
  <c r="P402" i="1"/>
  <c r="R402" i="1"/>
  <c r="G403" i="1"/>
  <c r="I403" i="1"/>
  <c r="P404" i="1"/>
  <c r="R404" i="1"/>
  <c r="G405" i="1"/>
  <c r="I405" i="1"/>
  <c r="P406" i="1"/>
  <c r="R406" i="1"/>
  <c r="AH506" i="1"/>
  <c r="AJ507" i="1"/>
  <c r="AH507" i="1"/>
  <c r="Y523" i="1"/>
  <c r="AA524" i="1"/>
  <c r="Y524" i="1"/>
  <c r="AH544" i="1"/>
  <c r="AA545" i="1"/>
  <c r="Y545" i="1"/>
  <c r="AH548" i="1"/>
  <c r="AA549" i="1"/>
  <c r="Y549" i="1"/>
  <c r="AH552" i="1"/>
  <c r="P575" i="1"/>
  <c r="R575" i="1"/>
  <c r="G577" i="1"/>
  <c r="I577" i="1"/>
  <c r="P579" i="1"/>
  <c r="R579" i="1"/>
  <c r="G581" i="1"/>
  <c r="I581" i="1"/>
  <c r="P583" i="1"/>
  <c r="R583" i="1"/>
  <c r="P586" i="1"/>
  <c r="R586" i="1"/>
  <c r="G587" i="1"/>
  <c r="I587" i="1"/>
  <c r="P588" i="1"/>
  <c r="R588" i="1"/>
  <c r="G589" i="1"/>
  <c r="I589" i="1"/>
  <c r="I596" i="1"/>
  <c r="G596" i="1"/>
  <c r="P607" i="1"/>
  <c r="AA608" i="1"/>
  <c r="Y608" i="1"/>
  <c r="AH625" i="1"/>
  <c r="AJ625" i="1"/>
  <c r="Y627" i="1"/>
  <c r="AA627" i="1"/>
  <c r="AH629" i="1"/>
  <c r="AJ629" i="1"/>
  <c r="Y631" i="1"/>
  <c r="AA631" i="1"/>
  <c r="AH633" i="1"/>
  <c r="AJ633" i="1"/>
  <c r="I636" i="1"/>
  <c r="G636" i="1"/>
  <c r="AH640" i="1"/>
  <c r="R641" i="1"/>
  <c r="P641" i="1"/>
  <c r="R645" i="1"/>
  <c r="P645" i="1"/>
  <c r="I703" i="1"/>
  <c r="G703" i="1"/>
  <c r="I729" i="1"/>
  <c r="G729" i="1"/>
  <c r="P746" i="1"/>
  <c r="R746" i="1"/>
  <c r="AH754" i="1"/>
  <c r="AJ754" i="1"/>
  <c r="G756" i="1"/>
  <c r="I756" i="1"/>
  <c r="G759" i="1"/>
  <c r="I759" i="1"/>
  <c r="P760" i="1"/>
  <c r="R760" i="1"/>
  <c r="G763" i="1"/>
  <c r="I763" i="1"/>
  <c r="P764" i="1"/>
  <c r="R764" i="1"/>
  <c r="R773" i="1"/>
  <c r="P773" i="1"/>
  <c r="P226" i="1"/>
  <c r="R226" i="1"/>
  <c r="Y230" i="1"/>
  <c r="AA230" i="1"/>
  <c r="R272" i="1"/>
  <c r="P272" i="1"/>
  <c r="AH332" i="1"/>
  <c r="AJ332" i="1"/>
  <c r="Y344" i="1"/>
  <c r="AA344" i="1"/>
  <c r="I347" i="1"/>
  <c r="G347" i="1"/>
  <c r="Y361" i="1"/>
  <c r="AA361" i="1"/>
  <c r="Y365" i="1"/>
  <c r="AA365" i="1"/>
  <c r="Y381" i="1"/>
  <c r="AA381" i="1"/>
  <c r="AJ389" i="1"/>
  <c r="AH389" i="1"/>
  <c r="G438" i="1"/>
  <c r="I438" i="1"/>
  <c r="P441" i="1"/>
  <c r="R441" i="1"/>
  <c r="Y443" i="1"/>
  <c r="AA443" i="1"/>
  <c r="P444" i="1"/>
  <c r="R444" i="1"/>
  <c r="Y446" i="1"/>
  <c r="AA446" i="1"/>
  <c r="G452" i="1"/>
  <c r="I452" i="1"/>
  <c r="AH454" i="1"/>
  <c r="AJ454" i="1"/>
  <c r="G456" i="1"/>
  <c r="I456" i="1"/>
  <c r="AH458" i="1"/>
  <c r="AJ458" i="1"/>
  <c r="AH471" i="1"/>
  <c r="AJ471" i="1"/>
  <c r="Y473" i="1"/>
  <c r="AA473" i="1"/>
  <c r="AH475" i="1"/>
  <c r="AJ475" i="1"/>
  <c r="G477" i="1"/>
  <c r="I477" i="1"/>
  <c r="P480" i="1"/>
  <c r="R480" i="1"/>
  <c r="P481" i="1"/>
  <c r="R481" i="1"/>
  <c r="Y484" i="1"/>
  <c r="AA484" i="1"/>
  <c r="P485" i="1"/>
  <c r="R485" i="1"/>
  <c r="Y486" i="1"/>
  <c r="AA486" i="1"/>
  <c r="P487" i="1"/>
  <c r="R487" i="1"/>
  <c r="Y488" i="1"/>
  <c r="AA488" i="1"/>
  <c r="P489" i="1"/>
  <c r="R489" i="1"/>
  <c r="Y490" i="1"/>
  <c r="AA490" i="1"/>
  <c r="P491" i="1"/>
  <c r="R491" i="1"/>
  <c r="R512" i="1"/>
  <c r="P512" i="1"/>
  <c r="AA528" i="1"/>
  <c r="Y528" i="1"/>
  <c r="AA546" i="1"/>
  <c r="Y546" i="1"/>
  <c r="AH562" i="1"/>
  <c r="AJ562" i="1"/>
  <c r="AH563" i="1"/>
  <c r="AJ563" i="1"/>
  <c r="AH616" i="1"/>
  <c r="AJ616" i="1"/>
  <c r="G620" i="1"/>
  <c r="I620" i="1"/>
  <c r="AH620" i="1"/>
  <c r="AJ620" i="1"/>
  <c r="G624" i="1"/>
  <c r="I624" i="1"/>
  <c r="AH624" i="1"/>
  <c r="AJ624" i="1"/>
  <c r="I638" i="1"/>
  <c r="G638" i="1"/>
  <c r="AA695" i="1"/>
  <c r="Y695" i="1"/>
  <c r="G706" i="1"/>
  <c r="I706" i="1"/>
  <c r="AH706" i="1"/>
  <c r="AJ706" i="1"/>
  <c r="Y707" i="1"/>
  <c r="AA707" i="1"/>
  <c r="AH765" i="1"/>
  <c r="AJ765" i="1"/>
  <c r="AH769" i="1"/>
  <c r="AJ769" i="1"/>
  <c r="Y770" i="1"/>
  <c r="AA770" i="1"/>
  <c r="R781" i="1"/>
  <c r="P781" i="1"/>
  <c r="R783" i="1"/>
  <c r="P783" i="1"/>
  <c r="Y824" i="1"/>
  <c r="AA824" i="1"/>
  <c r="P835" i="1"/>
  <c r="R835" i="1"/>
  <c r="AJ886" i="1"/>
  <c r="AH886" i="1"/>
  <c r="R896" i="1"/>
  <c r="P896" i="1"/>
  <c r="I957" i="1"/>
  <c r="G957" i="1"/>
  <c r="R966" i="1"/>
  <c r="P966" i="1"/>
  <c r="AH124" i="1"/>
  <c r="AH125" i="1"/>
  <c r="AH126" i="1"/>
  <c r="AH127" i="1"/>
  <c r="AH128" i="1"/>
  <c r="AH129" i="1"/>
  <c r="AH130" i="1"/>
  <c r="AH131" i="1"/>
  <c r="AH132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R185" i="1"/>
  <c r="R186" i="1"/>
  <c r="R187" i="1"/>
  <c r="G191" i="1"/>
  <c r="G192" i="1"/>
  <c r="G193" i="1"/>
  <c r="G194" i="1"/>
  <c r="P195" i="1"/>
  <c r="P196" i="1"/>
  <c r="P197" i="1"/>
  <c r="P198" i="1"/>
  <c r="P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AA216" i="1"/>
  <c r="AA217" i="1"/>
  <c r="AA218" i="1"/>
  <c r="AH221" i="1"/>
  <c r="G223" i="1"/>
  <c r="G224" i="1"/>
  <c r="G225" i="1"/>
  <c r="R227" i="1"/>
  <c r="Y228" i="1"/>
  <c r="AA228" i="1"/>
  <c r="AJ228" i="1"/>
  <c r="R231" i="1"/>
  <c r="AH232" i="1"/>
  <c r="AJ232" i="1"/>
  <c r="I233" i="1"/>
  <c r="AH272" i="1"/>
  <c r="Y273" i="1"/>
  <c r="R274" i="1"/>
  <c r="P274" i="1"/>
  <c r="G307" i="1"/>
  <c r="AH307" i="1"/>
  <c r="AA308" i="1"/>
  <c r="Y308" i="1"/>
  <c r="AJ311" i="1"/>
  <c r="Y320" i="1"/>
  <c r="AJ321" i="1"/>
  <c r="AH321" i="1"/>
  <c r="AJ325" i="1"/>
  <c r="AJ326" i="1"/>
  <c r="AJ327" i="1"/>
  <c r="AJ328" i="1"/>
  <c r="AJ329" i="1"/>
  <c r="AA333" i="1"/>
  <c r="P335" i="1"/>
  <c r="G337" i="1"/>
  <c r="R342" i="1"/>
  <c r="P348" i="1"/>
  <c r="G350" i="1"/>
  <c r="R351" i="1"/>
  <c r="P351" i="1"/>
  <c r="R358" i="1"/>
  <c r="Y359" i="1"/>
  <c r="AA359" i="1"/>
  <c r="AJ359" i="1"/>
  <c r="R362" i="1"/>
  <c r="Y363" i="1"/>
  <c r="AA363" i="1"/>
  <c r="AJ363" i="1"/>
  <c r="R366" i="1"/>
  <c r="Y367" i="1"/>
  <c r="AA367" i="1"/>
  <c r="AJ367" i="1"/>
  <c r="R370" i="1"/>
  <c r="Y371" i="1"/>
  <c r="AA371" i="1"/>
  <c r="AJ371" i="1"/>
  <c r="R375" i="1"/>
  <c r="Y377" i="1"/>
  <c r="AA377" i="1"/>
  <c r="Y379" i="1"/>
  <c r="AA379" i="1"/>
  <c r="AH381" i="1"/>
  <c r="AJ381" i="1"/>
  <c r="AA385" i="1"/>
  <c r="Y385" i="1"/>
  <c r="P438" i="1"/>
  <c r="R438" i="1"/>
  <c r="G439" i="1"/>
  <c r="I439" i="1"/>
  <c r="P440" i="1"/>
  <c r="R440" i="1"/>
  <c r="G441" i="1"/>
  <c r="I441" i="1"/>
  <c r="Y442" i="1"/>
  <c r="AA442" i="1"/>
  <c r="P443" i="1"/>
  <c r="R443" i="1"/>
  <c r="Y444" i="1"/>
  <c r="AA444" i="1"/>
  <c r="AH445" i="1"/>
  <c r="AJ445" i="1"/>
  <c r="Y448" i="1"/>
  <c r="AA448" i="1"/>
  <c r="AH449" i="1"/>
  <c r="AJ449" i="1"/>
  <c r="AH452" i="1"/>
  <c r="AJ452" i="1"/>
  <c r="G454" i="1"/>
  <c r="I454" i="1"/>
  <c r="AH456" i="1"/>
  <c r="AJ456" i="1"/>
  <c r="G458" i="1"/>
  <c r="I458" i="1"/>
  <c r="AH460" i="1"/>
  <c r="AJ460" i="1"/>
  <c r="G462" i="1"/>
  <c r="I462" i="1"/>
  <c r="G465" i="1"/>
  <c r="I465" i="1"/>
  <c r="P466" i="1"/>
  <c r="R466" i="1"/>
  <c r="AH469" i="1"/>
  <c r="AJ469" i="1"/>
  <c r="Y471" i="1"/>
  <c r="AA471" i="1"/>
  <c r="AH473" i="1"/>
  <c r="AJ473" i="1"/>
  <c r="Y475" i="1"/>
  <c r="AA475" i="1"/>
  <c r="P477" i="1"/>
  <c r="R477" i="1"/>
  <c r="G478" i="1"/>
  <c r="I478" i="1"/>
  <c r="P479" i="1"/>
  <c r="R479" i="1"/>
  <c r="G480" i="1"/>
  <c r="I480" i="1"/>
  <c r="Y481" i="1"/>
  <c r="AA481" i="1"/>
  <c r="P482" i="1"/>
  <c r="R482" i="1"/>
  <c r="Y483" i="1"/>
  <c r="AA483" i="1"/>
  <c r="P484" i="1"/>
  <c r="R484" i="1"/>
  <c r="Y485" i="1"/>
  <c r="AA485" i="1"/>
  <c r="P486" i="1"/>
  <c r="R486" i="1"/>
  <c r="Y487" i="1"/>
  <c r="AA487" i="1"/>
  <c r="P488" i="1"/>
  <c r="R488" i="1"/>
  <c r="Y489" i="1"/>
  <c r="AA489" i="1"/>
  <c r="P490" i="1"/>
  <c r="R490" i="1"/>
  <c r="Y491" i="1"/>
  <c r="AA491" i="1"/>
  <c r="P493" i="1"/>
  <c r="P495" i="1"/>
  <c r="AH502" i="1"/>
  <c r="AJ503" i="1"/>
  <c r="AH503" i="1"/>
  <c r="Y519" i="1"/>
  <c r="AA520" i="1"/>
  <c r="Y520" i="1"/>
  <c r="AH543" i="1"/>
  <c r="AA544" i="1"/>
  <c r="Y544" i="1"/>
  <c r="AH547" i="1"/>
  <c r="AA548" i="1"/>
  <c r="Y548" i="1"/>
  <c r="AH551" i="1"/>
  <c r="AA552" i="1"/>
  <c r="Y552" i="1"/>
  <c r="P557" i="1"/>
  <c r="R557" i="1"/>
  <c r="Y558" i="1"/>
  <c r="AA558" i="1"/>
  <c r="AH560" i="1"/>
  <c r="AJ560" i="1"/>
  <c r="I567" i="1"/>
  <c r="G567" i="1"/>
  <c r="AH590" i="1"/>
  <c r="AJ591" i="1"/>
  <c r="AH591" i="1"/>
  <c r="R603" i="1"/>
  <c r="P603" i="1"/>
  <c r="I699" i="1"/>
  <c r="G699" i="1"/>
  <c r="P701" i="1"/>
  <c r="I702" i="1"/>
  <c r="G702" i="1"/>
  <c r="R704" i="1"/>
  <c r="P704" i="1"/>
  <c r="C56" i="2"/>
  <c r="D56" i="2" s="1"/>
  <c r="Y556" i="1"/>
  <c r="AA556" i="1"/>
  <c r="G565" i="1"/>
  <c r="I565" i="1"/>
  <c r="P577" i="1"/>
  <c r="R577" i="1"/>
  <c r="G579" i="1"/>
  <c r="I579" i="1"/>
  <c r="P581" i="1"/>
  <c r="R581" i="1"/>
  <c r="G583" i="1"/>
  <c r="I583" i="1"/>
  <c r="P585" i="1"/>
  <c r="R585" i="1"/>
  <c r="G586" i="1"/>
  <c r="I586" i="1"/>
  <c r="P587" i="1"/>
  <c r="R587" i="1"/>
  <c r="G588" i="1"/>
  <c r="I588" i="1"/>
  <c r="P589" i="1"/>
  <c r="R589" i="1"/>
  <c r="G590" i="1"/>
  <c r="I590" i="1"/>
  <c r="R604" i="1"/>
  <c r="P604" i="1"/>
  <c r="G617" i="1"/>
  <c r="I617" i="1"/>
  <c r="AH617" i="1"/>
  <c r="AJ617" i="1"/>
  <c r="G619" i="1"/>
  <c r="I619" i="1"/>
  <c r="AH619" i="1"/>
  <c r="AJ619" i="1"/>
  <c r="G621" i="1"/>
  <c r="I621" i="1"/>
  <c r="AH621" i="1"/>
  <c r="AJ621" i="1"/>
  <c r="G623" i="1"/>
  <c r="I623" i="1"/>
  <c r="AH623" i="1"/>
  <c r="AJ623" i="1"/>
  <c r="AA640" i="1"/>
  <c r="Y640" i="1"/>
  <c r="AJ645" i="1"/>
  <c r="AH645" i="1"/>
  <c r="Y658" i="1"/>
  <c r="AA658" i="1"/>
  <c r="AH659" i="1"/>
  <c r="AJ659" i="1"/>
  <c r="Y660" i="1"/>
  <c r="AA660" i="1"/>
  <c r="AH661" i="1"/>
  <c r="AJ661" i="1"/>
  <c r="Y662" i="1"/>
  <c r="AA662" i="1"/>
  <c r="C21" i="2" s="1"/>
  <c r="P663" i="1"/>
  <c r="R663" i="1"/>
  <c r="AH665" i="1"/>
  <c r="AJ665" i="1"/>
  <c r="Y666" i="1"/>
  <c r="AA666" i="1"/>
  <c r="P667" i="1"/>
  <c r="R667" i="1"/>
  <c r="AH669" i="1"/>
  <c r="AJ669" i="1"/>
  <c r="Y670" i="1"/>
  <c r="AA670" i="1"/>
  <c r="P671" i="1"/>
  <c r="R671" i="1"/>
  <c r="G674" i="1"/>
  <c r="I674" i="1"/>
  <c r="AH674" i="1"/>
  <c r="AJ674" i="1"/>
  <c r="AH675" i="1"/>
  <c r="AJ675" i="1"/>
  <c r="P678" i="1"/>
  <c r="R678" i="1"/>
  <c r="Y679" i="1"/>
  <c r="AA679" i="1"/>
  <c r="Y684" i="1"/>
  <c r="AA684" i="1"/>
  <c r="AH685" i="1"/>
  <c r="AJ685" i="1"/>
  <c r="Y687" i="1"/>
  <c r="AA687" i="1"/>
  <c r="R694" i="1"/>
  <c r="P694" i="1"/>
  <c r="I696" i="1"/>
  <c r="G696" i="1"/>
  <c r="I701" i="1"/>
  <c r="G701" i="1"/>
  <c r="AH707" i="1"/>
  <c r="AJ707" i="1"/>
  <c r="AA718" i="1"/>
  <c r="Y718" i="1"/>
  <c r="Y735" i="1"/>
  <c r="AA735" i="1"/>
  <c r="AH736" i="1"/>
  <c r="AJ736" i="1"/>
  <c r="Y739" i="1"/>
  <c r="AA739" i="1"/>
  <c r="P743" i="1"/>
  <c r="R743" i="1"/>
  <c r="G751" i="1"/>
  <c r="I751" i="1"/>
  <c r="P752" i="1"/>
  <c r="R752" i="1"/>
  <c r="Y765" i="1"/>
  <c r="AA765" i="1"/>
  <c r="AH766" i="1"/>
  <c r="AJ766" i="1"/>
  <c r="Y767" i="1"/>
  <c r="AA767" i="1"/>
  <c r="AH768" i="1"/>
  <c r="AJ768" i="1"/>
  <c r="Y769" i="1"/>
  <c r="AA769" i="1"/>
  <c r="AH770" i="1"/>
  <c r="AJ770" i="1"/>
  <c r="R774" i="1"/>
  <c r="P774" i="1"/>
  <c r="AA787" i="1"/>
  <c r="Y787" i="1"/>
  <c r="AJ820" i="1"/>
  <c r="AH820" i="1"/>
  <c r="Y850" i="1"/>
  <c r="AA850" i="1"/>
  <c r="P852" i="1"/>
  <c r="R852" i="1"/>
  <c r="Y853" i="1"/>
  <c r="AA853" i="1"/>
  <c r="AJ858" i="1"/>
  <c r="AH858" i="1"/>
  <c r="R869" i="1"/>
  <c r="P869" i="1"/>
  <c r="R871" i="1"/>
  <c r="P871" i="1"/>
  <c r="Y554" i="1"/>
  <c r="AA554" i="1"/>
  <c r="G563" i="1"/>
  <c r="I563" i="1"/>
  <c r="R600" i="1"/>
  <c r="P600" i="1"/>
  <c r="Y625" i="1"/>
  <c r="AA625" i="1"/>
  <c r="AH627" i="1"/>
  <c r="AJ627" i="1"/>
  <c r="Y629" i="1"/>
  <c r="AA629" i="1"/>
  <c r="AH631" i="1"/>
  <c r="AJ631" i="1"/>
  <c r="Y633" i="1"/>
  <c r="AA633" i="1"/>
  <c r="AJ639" i="1"/>
  <c r="AH639" i="1"/>
  <c r="I645" i="1"/>
  <c r="G645" i="1"/>
  <c r="AA693" i="1"/>
  <c r="Y693" i="1"/>
  <c r="R695" i="1"/>
  <c r="P695" i="1"/>
  <c r="I700" i="1"/>
  <c r="G700" i="1"/>
  <c r="I704" i="1"/>
  <c r="G704" i="1"/>
  <c r="G710" i="1"/>
  <c r="I710" i="1"/>
  <c r="AH711" i="1"/>
  <c r="AJ711" i="1"/>
  <c r="P714" i="1"/>
  <c r="R714" i="1"/>
  <c r="AA726" i="1"/>
  <c r="Y726" i="1"/>
  <c r="P801" i="1"/>
  <c r="R801" i="1"/>
  <c r="Y802" i="1"/>
  <c r="AA802" i="1"/>
  <c r="Y805" i="1"/>
  <c r="AA805" i="1"/>
  <c r="AH806" i="1"/>
  <c r="AJ806" i="1"/>
  <c r="Y809" i="1"/>
  <c r="AA809" i="1"/>
  <c r="AH810" i="1"/>
  <c r="AJ810" i="1"/>
  <c r="G813" i="1"/>
  <c r="I813" i="1"/>
  <c r="Y814" i="1"/>
  <c r="AA814" i="1"/>
  <c r="AH818" i="1"/>
  <c r="AJ818" i="1"/>
  <c r="AH824" i="1"/>
  <c r="AJ824" i="1"/>
  <c r="AH829" i="1"/>
  <c r="AJ829" i="1"/>
  <c r="AH831" i="1"/>
  <c r="AJ831" i="1"/>
  <c r="I843" i="1"/>
  <c r="G843" i="1"/>
  <c r="Y665" i="1"/>
  <c r="AA665" i="1"/>
  <c r="Y669" i="1"/>
  <c r="AA669" i="1"/>
  <c r="AH673" i="1"/>
  <c r="AJ673" i="1"/>
  <c r="G678" i="1"/>
  <c r="I678" i="1"/>
  <c r="AH683" i="1"/>
  <c r="AJ683" i="1"/>
  <c r="I691" i="1"/>
  <c r="G691" i="1"/>
  <c r="AH705" i="1"/>
  <c r="AJ705" i="1"/>
  <c r="I727" i="1"/>
  <c r="G727" i="1"/>
  <c r="AJ730" i="1"/>
  <c r="AH730" i="1"/>
  <c r="Y746" i="1"/>
  <c r="AA746" i="1"/>
  <c r="AH752" i="1"/>
  <c r="AJ752" i="1"/>
  <c r="G754" i="1"/>
  <c r="G79" i="2" s="1"/>
  <c r="I754" i="1"/>
  <c r="AH756" i="1"/>
  <c r="AJ756" i="1"/>
  <c r="P758" i="1"/>
  <c r="R758" i="1"/>
  <c r="G761" i="1"/>
  <c r="I761" i="1"/>
  <c r="P762" i="1"/>
  <c r="R762" i="1"/>
  <c r="I773" i="1"/>
  <c r="G773" i="1"/>
  <c r="AA779" i="1"/>
  <c r="Y779" i="1"/>
  <c r="R825" i="1"/>
  <c r="P825" i="1"/>
  <c r="AA827" i="1"/>
  <c r="Y827" i="1"/>
  <c r="Y830" i="1"/>
  <c r="AA830" i="1"/>
  <c r="AH839" i="1"/>
  <c r="AJ839" i="1"/>
  <c r="AJ860" i="1"/>
  <c r="AH860" i="1"/>
  <c r="R872" i="1"/>
  <c r="P872" i="1"/>
  <c r="R878" i="1"/>
  <c r="P878" i="1"/>
  <c r="I955" i="1"/>
  <c r="G955" i="1"/>
  <c r="R956" i="1"/>
  <c r="P956" i="1"/>
  <c r="I963" i="1"/>
  <c r="G963" i="1"/>
  <c r="R964" i="1"/>
  <c r="P964" i="1"/>
  <c r="AA1028" i="1"/>
  <c r="Y1028" i="1"/>
  <c r="Y664" i="1"/>
  <c r="AA664" i="1"/>
  <c r="Y668" i="1"/>
  <c r="AA668" i="1"/>
  <c r="Y672" i="1"/>
  <c r="AA672" i="1"/>
  <c r="G677" i="1"/>
  <c r="I677" i="1"/>
  <c r="AH681" i="1"/>
  <c r="AJ681" i="1"/>
  <c r="AH689" i="1"/>
  <c r="AJ689" i="1"/>
  <c r="R690" i="1"/>
  <c r="P690" i="1"/>
  <c r="I695" i="1"/>
  <c r="G695" i="1"/>
  <c r="AH709" i="1"/>
  <c r="AJ709" i="1"/>
  <c r="G712" i="1"/>
  <c r="I712" i="1"/>
  <c r="G714" i="1"/>
  <c r="I714" i="1"/>
  <c r="Y733" i="1"/>
  <c r="AA733" i="1"/>
  <c r="AH734" i="1"/>
  <c r="AJ734" i="1"/>
  <c r="Y737" i="1"/>
  <c r="AA737" i="1"/>
  <c r="AH738" i="1"/>
  <c r="AJ738" i="1"/>
  <c r="P741" i="1"/>
  <c r="R741" i="1"/>
  <c r="Y742" i="1"/>
  <c r="AA742" i="1"/>
  <c r="Y781" i="1"/>
  <c r="AA782" i="1"/>
  <c r="Y782" i="1"/>
  <c r="P803" i="1"/>
  <c r="R803" i="1"/>
  <c r="AH804" i="1"/>
  <c r="AJ804" i="1"/>
  <c r="Y807" i="1"/>
  <c r="AA807" i="1"/>
  <c r="AH808" i="1"/>
  <c r="AJ808" i="1"/>
  <c r="Y811" i="1"/>
  <c r="AA811" i="1"/>
  <c r="P812" i="1"/>
  <c r="R812" i="1"/>
  <c r="P815" i="1"/>
  <c r="R815" i="1"/>
  <c r="Y816" i="1"/>
  <c r="AA816" i="1"/>
  <c r="Y820" i="1"/>
  <c r="Y825" i="1"/>
  <c r="AA825" i="1"/>
  <c r="G827" i="1"/>
  <c r="I827" i="1"/>
  <c r="R832" i="1"/>
  <c r="P832" i="1"/>
  <c r="AA833" i="1"/>
  <c r="Y833" i="1"/>
  <c r="G835" i="1"/>
  <c r="I835" i="1"/>
  <c r="Y838" i="1"/>
  <c r="AA838" i="1"/>
  <c r="P839" i="1"/>
  <c r="R839" i="1"/>
  <c r="AH843" i="1"/>
  <c r="G845" i="1"/>
  <c r="AJ847" i="1"/>
  <c r="AH847" i="1"/>
  <c r="P854" i="1"/>
  <c r="R854" i="1"/>
  <c r="I866" i="1"/>
  <c r="G866" i="1"/>
  <c r="AH918" i="1"/>
  <c r="AJ918" i="1"/>
  <c r="AH926" i="1"/>
  <c r="AJ926" i="1"/>
  <c r="G928" i="1"/>
  <c r="I928" i="1"/>
  <c r="AH929" i="1"/>
  <c r="AJ929" i="1"/>
  <c r="AJ952" i="1"/>
  <c r="AH952" i="1"/>
  <c r="I954" i="1"/>
  <c r="G954" i="1"/>
  <c r="I961" i="1"/>
  <c r="G961" i="1"/>
  <c r="R962" i="1"/>
  <c r="P962" i="1"/>
  <c r="Y968" i="1"/>
  <c r="AA968" i="1"/>
  <c r="AH969" i="1"/>
  <c r="AJ969" i="1"/>
  <c r="Y972" i="1"/>
  <c r="AA972" i="1"/>
  <c r="C24" i="2" s="1"/>
  <c r="D24" i="2" s="1"/>
  <c r="AH973" i="1"/>
  <c r="G74" i="2" s="1"/>
  <c r="AJ973" i="1"/>
  <c r="AH976" i="1"/>
  <c r="AJ976" i="1"/>
  <c r="C185" i="2" s="1"/>
  <c r="D185" i="2" s="1"/>
  <c r="G978" i="1"/>
  <c r="I978" i="1"/>
  <c r="AA984" i="1"/>
  <c r="Y984" i="1"/>
  <c r="I1005" i="1"/>
  <c r="G1005" i="1"/>
  <c r="AH1009" i="1"/>
  <c r="AJ1009" i="1"/>
  <c r="I1018" i="1"/>
  <c r="G1018" i="1"/>
  <c r="Y835" i="1"/>
  <c r="AA835" i="1"/>
  <c r="I837" i="1"/>
  <c r="G837" i="1"/>
  <c r="I846" i="1"/>
  <c r="G846" i="1"/>
  <c r="P850" i="1"/>
  <c r="R850" i="1"/>
  <c r="I871" i="1"/>
  <c r="G871" i="1"/>
  <c r="AA884" i="1"/>
  <c r="Y884" i="1"/>
  <c r="G930" i="1"/>
  <c r="I930" i="1"/>
  <c r="AH931" i="1"/>
  <c r="AJ931" i="1"/>
  <c r="AH932" i="1"/>
  <c r="AJ932" i="1"/>
  <c r="R947" i="1"/>
  <c r="P947" i="1"/>
  <c r="I1001" i="1"/>
  <c r="G1001" i="1"/>
  <c r="I1014" i="1"/>
  <c r="G1014" i="1"/>
  <c r="I1037" i="1"/>
  <c r="G1037" i="1"/>
  <c r="AH717" i="1"/>
  <c r="Y727" i="1"/>
  <c r="Y729" i="1"/>
  <c r="P744" i="1"/>
  <c r="AH749" i="1"/>
  <c r="P772" i="1"/>
  <c r="Y777" i="1"/>
  <c r="P779" i="1"/>
  <c r="Y780" i="1"/>
  <c r="Y785" i="1"/>
  <c r="P787" i="1"/>
  <c r="P820" i="1"/>
  <c r="R822" i="1"/>
  <c r="R830" i="1"/>
  <c r="G838" i="1"/>
  <c r="Y839" i="1"/>
  <c r="AA839" i="1"/>
  <c r="I841" i="1"/>
  <c r="G841" i="1"/>
  <c r="AH848" i="1"/>
  <c r="P856" i="1"/>
  <c r="AH857" i="1"/>
  <c r="AA860" i="1"/>
  <c r="Y860" i="1"/>
  <c r="G863" i="1"/>
  <c r="I864" i="1"/>
  <c r="G864" i="1"/>
  <c r="Y877" i="1"/>
  <c r="AA877" i="1"/>
  <c r="P880" i="1"/>
  <c r="AA893" i="1"/>
  <c r="Y893" i="1"/>
  <c r="AA894" i="1"/>
  <c r="Y894" i="1"/>
  <c r="Y900" i="1"/>
  <c r="AA901" i="1"/>
  <c r="Y901" i="1"/>
  <c r="AA906" i="1"/>
  <c r="Y906" i="1"/>
  <c r="I909" i="1"/>
  <c r="G909" i="1"/>
  <c r="Y912" i="1"/>
  <c r="AA912" i="1"/>
  <c r="P913" i="1"/>
  <c r="R913" i="1"/>
  <c r="Y914" i="1"/>
  <c r="AA914" i="1"/>
  <c r="P915" i="1"/>
  <c r="R915" i="1"/>
  <c r="Y916" i="1"/>
  <c r="AA916" i="1"/>
  <c r="P917" i="1"/>
  <c r="R917" i="1"/>
  <c r="G920" i="1"/>
  <c r="I920" i="1"/>
  <c r="P921" i="1"/>
  <c r="R921" i="1"/>
  <c r="AH921" i="1"/>
  <c r="AJ921" i="1"/>
  <c r="C20" i="2"/>
  <c r="D20" i="2" s="1"/>
  <c r="P936" i="1"/>
  <c r="R936" i="1"/>
  <c r="G937" i="1"/>
  <c r="I937" i="1"/>
  <c r="R944" i="1"/>
  <c r="P944" i="1"/>
  <c r="AJ951" i="1"/>
  <c r="AH951" i="1"/>
  <c r="AJ953" i="1"/>
  <c r="AH953" i="1"/>
  <c r="I956" i="1"/>
  <c r="G956" i="1"/>
  <c r="I958" i="1"/>
  <c r="G958" i="1"/>
  <c r="I960" i="1"/>
  <c r="G960" i="1"/>
  <c r="I962" i="1"/>
  <c r="G962" i="1"/>
  <c r="I964" i="1"/>
  <c r="G964" i="1"/>
  <c r="I966" i="1"/>
  <c r="G966" i="1"/>
  <c r="AA988" i="1"/>
  <c r="Y988" i="1"/>
  <c r="I996" i="1"/>
  <c r="G996" i="1"/>
  <c r="P1030" i="1"/>
  <c r="AH1031" i="1"/>
  <c r="AJ1032" i="1"/>
  <c r="AH1032" i="1"/>
  <c r="R890" i="1"/>
  <c r="P890" i="1"/>
  <c r="R900" i="1"/>
  <c r="P900" i="1"/>
  <c r="G918" i="1"/>
  <c r="I918" i="1"/>
  <c r="G926" i="1"/>
  <c r="I926" i="1"/>
  <c r="R945" i="1"/>
  <c r="P945" i="1"/>
  <c r="AH967" i="1"/>
  <c r="AJ967" i="1"/>
  <c r="Y970" i="1"/>
  <c r="G34" i="2" s="1"/>
  <c r="AA970" i="1"/>
  <c r="C34" i="2" s="1"/>
  <c r="D34" i="2" s="1"/>
  <c r="AH971" i="1"/>
  <c r="AJ971" i="1"/>
  <c r="Y974" i="1"/>
  <c r="AA974" i="1"/>
  <c r="G976" i="1"/>
  <c r="I976" i="1"/>
  <c r="AH978" i="1"/>
  <c r="AJ978" i="1"/>
  <c r="AA980" i="1"/>
  <c r="Y980" i="1"/>
  <c r="I997" i="1"/>
  <c r="C16" i="2" s="1"/>
  <c r="D16" i="2" s="1"/>
  <c r="G997" i="1"/>
  <c r="G1010" i="1"/>
  <c r="I1010" i="1"/>
  <c r="I1011" i="1"/>
  <c r="G1011" i="1"/>
  <c r="AA1029" i="1"/>
  <c r="Y1029" i="1"/>
  <c r="C8" i="2"/>
  <c r="D8" i="2" s="1"/>
  <c r="AH861" i="1"/>
  <c r="G867" i="1"/>
  <c r="G869" i="1"/>
  <c r="P870" i="1"/>
  <c r="P875" i="1"/>
  <c r="G878" i="1"/>
  <c r="AH878" i="1"/>
  <c r="Y881" i="1"/>
  <c r="P882" i="1"/>
  <c r="P884" i="1"/>
  <c r="P894" i="1"/>
  <c r="Y895" i="1"/>
  <c r="AA898" i="1"/>
  <c r="Y898" i="1"/>
  <c r="Y902" i="1"/>
  <c r="P904" i="1"/>
  <c r="Y905" i="1"/>
  <c r="AH908" i="1"/>
  <c r="Y909" i="1"/>
  <c r="R910" i="1"/>
  <c r="P910" i="1"/>
  <c r="P925" i="1"/>
  <c r="R925" i="1"/>
  <c r="G932" i="1"/>
  <c r="I932" i="1"/>
  <c r="AH933" i="1"/>
  <c r="AJ933" i="1"/>
  <c r="P938" i="1"/>
  <c r="Y939" i="1"/>
  <c r="AA940" i="1"/>
  <c r="Y940" i="1"/>
  <c r="Y950" i="1"/>
  <c r="Y951" i="1"/>
  <c r="Y952" i="1"/>
  <c r="Y953" i="1"/>
  <c r="Y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G992" i="1"/>
  <c r="I993" i="1"/>
  <c r="G993" i="1"/>
  <c r="G1021" i="1"/>
  <c r="G1024" i="1"/>
  <c r="I1025" i="1"/>
  <c r="G1025" i="1"/>
  <c r="F10" i="2"/>
  <c r="C174" i="2"/>
  <c r="D174" i="2" s="1"/>
  <c r="C63" i="2"/>
  <c r="D63" i="2" s="1"/>
  <c r="E53" i="2"/>
  <c r="F53" i="2"/>
  <c r="G53" i="2"/>
  <c r="I599" i="1"/>
  <c r="G599" i="1"/>
  <c r="I642" i="1"/>
  <c r="G642" i="1"/>
  <c r="I777" i="1"/>
  <c r="G777" i="1"/>
  <c r="P469" i="1"/>
  <c r="R469" i="1"/>
  <c r="G470" i="1"/>
  <c r="I470" i="1"/>
  <c r="P473" i="1"/>
  <c r="R473" i="1"/>
  <c r="G474" i="1"/>
  <c r="I474" i="1"/>
  <c r="AJ495" i="1"/>
  <c r="AH495" i="1"/>
  <c r="AJ496" i="1"/>
  <c r="AH496" i="1"/>
  <c r="AJ497" i="1"/>
  <c r="AH497" i="1"/>
  <c r="AJ498" i="1"/>
  <c r="AH498" i="1"/>
  <c r="AJ499" i="1"/>
  <c r="AH499" i="1"/>
  <c r="R501" i="1"/>
  <c r="P501" i="1"/>
  <c r="AJ509" i="1"/>
  <c r="AH509" i="1"/>
  <c r="R522" i="1"/>
  <c r="P522" i="1"/>
  <c r="AA646" i="1"/>
  <c r="Y646" i="1"/>
  <c r="R778" i="1"/>
  <c r="P778" i="1"/>
  <c r="I785" i="1"/>
  <c r="G785" i="1"/>
  <c r="Y826" i="1"/>
  <c r="AA826" i="1"/>
  <c r="G840" i="1"/>
  <c r="I840" i="1"/>
  <c r="R855" i="1"/>
  <c r="P855" i="1"/>
  <c r="AA862" i="1"/>
  <c r="Y862" i="1"/>
  <c r="AJ863" i="1"/>
  <c r="AH863" i="1"/>
  <c r="AJ870" i="1"/>
  <c r="AH870" i="1"/>
  <c r="Y3" i="1"/>
  <c r="AH3" i="1"/>
  <c r="G4" i="1"/>
  <c r="P4" i="1"/>
  <c r="Y4" i="1"/>
  <c r="AH4" i="1"/>
  <c r="G5" i="1"/>
  <c r="P5" i="1"/>
  <c r="Y5" i="1"/>
  <c r="AH5" i="1"/>
  <c r="G6" i="1"/>
  <c r="P6" i="1"/>
  <c r="Y6" i="1"/>
  <c r="AH6" i="1"/>
  <c r="G7" i="1"/>
  <c r="P7" i="1"/>
  <c r="Y7" i="1"/>
  <c r="AH7" i="1"/>
  <c r="G8" i="1"/>
  <c r="P8" i="1"/>
  <c r="Y8" i="1"/>
  <c r="AH8" i="1"/>
  <c r="G9" i="1"/>
  <c r="Y9" i="1"/>
  <c r="AH9" i="1"/>
  <c r="G10" i="1"/>
  <c r="Y10" i="1"/>
  <c r="G11" i="1"/>
  <c r="P11" i="1"/>
  <c r="AH11" i="1"/>
  <c r="P12" i="1"/>
  <c r="G13" i="1"/>
  <c r="P13" i="1"/>
  <c r="G14" i="1"/>
  <c r="Y14" i="1"/>
  <c r="P15" i="1"/>
  <c r="AH15" i="1"/>
  <c r="P16" i="1"/>
  <c r="G17" i="1"/>
  <c r="Y17" i="1"/>
  <c r="P18" i="1"/>
  <c r="AH18" i="1"/>
  <c r="P19" i="1"/>
  <c r="AH19" i="1"/>
  <c r="P20" i="1"/>
  <c r="AH20" i="1"/>
  <c r="P21" i="1"/>
  <c r="AH21" i="1"/>
  <c r="P22" i="1"/>
  <c r="AH22" i="1"/>
  <c r="P23" i="1"/>
  <c r="AH23" i="1"/>
  <c r="P24" i="1"/>
  <c r="AH24" i="1"/>
  <c r="P25" i="1"/>
  <c r="AH25" i="1"/>
  <c r="P26" i="1"/>
  <c r="AH26" i="1"/>
  <c r="Y27" i="1"/>
  <c r="G28" i="1"/>
  <c r="G32" i="1"/>
  <c r="G113" i="1"/>
  <c r="Y113" i="1"/>
  <c r="G114" i="1"/>
  <c r="Y114" i="1"/>
  <c r="P115" i="1"/>
  <c r="AH115" i="1"/>
  <c r="P116" i="1"/>
  <c r="AH116" i="1"/>
  <c r="P117" i="1"/>
  <c r="AH117" i="1"/>
  <c r="G118" i="1"/>
  <c r="Y118" i="1"/>
  <c r="G119" i="1"/>
  <c r="D184" i="2"/>
  <c r="D183" i="2"/>
  <c r="AH187" i="1"/>
  <c r="E188" i="2" s="1"/>
  <c r="P188" i="1"/>
  <c r="AH188" i="1"/>
  <c r="P189" i="1"/>
  <c r="AH189" i="1"/>
  <c r="P190" i="1"/>
  <c r="Y235" i="1"/>
  <c r="G236" i="1"/>
  <c r="Y236" i="1"/>
  <c r="G237" i="1"/>
  <c r="Y237" i="1"/>
  <c r="G238" i="1"/>
  <c r="Y238" i="1"/>
  <c r="G239" i="1"/>
  <c r="Y239" i="1"/>
  <c r="AH239" i="1"/>
  <c r="P240" i="1"/>
  <c r="AH240" i="1"/>
  <c r="Y241" i="1"/>
  <c r="G242" i="1"/>
  <c r="Y242" i="1"/>
  <c r="G243" i="1"/>
  <c r="Y243" i="1"/>
  <c r="G244" i="1"/>
  <c r="Y244" i="1"/>
  <c r="G245" i="1"/>
  <c r="Y245" i="1"/>
  <c r="G246" i="1"/>
  <c r="Y246" i="1"/>
  <c r="P247" i="1"/>
  <c r="AH247" i="1"/>
  <c r="P248" i="1"/>
  <c r="AH248" i="1"/>
  <c r="P249" i="1"/>
  <c r="AH249" i="1"/>
  <c r="P250" i="1"/>
  <c r="AH250" i="1"/>
  <c r="P251" i="1"/>
  <c r="AH251" i="1"/>
  <c r="P252" i="1"/>
  <c r="AH252" i="1"/>
  <c r="P253" i="1"/>
  <c r="AH253" i="1"/>
  <c r="P254" i="1"/>
  <c r="AH254" i="1"/>
  <c r="G255" i="1"/>
  <c r="AH255" i="1"/>
  <c r="P256" i="1"/>
  <c r="AH256" i="1"/>
  <c r="P257" i="1"/>
  <c r="AH257" i="1"/>
  <c r="G258" i="1"/>
  <c r="Y258" i="1"/>
  <c r="G259" i="1"/>
  <c r="Y259" i="1"/>
  <c r="G260" i="1"/>
  <c r="Y260" i="1"/>
  <c r="G261" i="1"/>
  <c r="Y261" i="1"/>
  <c r="G262" i="1"/>
  <c r="Y262" i="1"/>
  <c r="G263" i="1"/>
  <c r="Y263" i="1"/>
  <c r="G264" i="1"/>
  <c r="Y264" i="1"/>
  <c r="G265" i="1"/>
  <c r="Y265" i="1"/>
  <c r="G266" i="1"/>
  <c r="Y266" i="1"/>
  <c r="G267" i="1"/>
  <c r="Y267" i="1"/>
  <c r="G268" i="1"/>
  <c r="Y268" i="1"/>
  <c r="AH268" i="1"/>
  <c r="P269" i="1"/>
  <c r="Y269" i="1"/>
  <c r="G270" i="1"/>
  <c r="P270" i="1"/>
  <c r="Y275" i="1"/>
  <c r="G276" i="1"/>
  <c r="Y276" i="1"/>
  <c r="G277" i="1"/>
  <c r="Y277" i="1"/>
  <c r="G278" i="1"/>
  <c r="Y278" i="1"/>
  <c r="AH278" i="1"/>
  <c r="P279" i="1"/>
  <c r="AH279" i="1"/>
  <c r="P280" i="1"/>
  <c r="AH280" i="1"/>
  <c r="P281" i="1"/>
  <c r="AH281" i="1"/>
  <c r="P282" i="1"/>
  <c r="AH282" i="1"/>
  <c r="P283" i="1"/>
  <c r="G284" i="1"/>
  <c r="Y284" i="1"/>
  <c r="P285" i="1"/>
  <c r="AH285" i="1"/>
  <c r="G286" i="1"/>
  <c r="Y286" i="1"/>
  <c r="G287" i="1"/>
  <c r="P287" i="1"/>
  <c r="Y287" i="1"/>
  <c r="G288" i="1"/>
  <c r="AH288" i="1"/>
  <c r="P289" i="1"/>
  <c r="AH289" i="1"/>
  <c r="P290" i="1"/>
  <c r="AH290" i="1"/>
  <c r="P291" i="1"/>
  <c r="AH291" i="1"/>
  <c r="P292" i="1"/>
  <c r="AH292" i="1"/>
  <c r="P293" i="1"/>
  <c r="AH293" i="1"/>
  <c r="P294" i="1"/>
  <c r="G295" i="1"/>
  <c r="Y295" i="1"/>
  <c r="G296" i="1"/>
  <c r="Y296" i="1"/>
  <c r="G297" i="1"/>
  <c r="Y297" i="1"/>
  <c r="G298" i="1"/>
  <c r="Y298" i="1"/>
  <c r="P299" i="1"/>
  <c r="AH299" i="1"/>
  <c r="G300" i="1"/>
  <c r="Y300" i="1"/>
  <c r="P301" i="1"/>
  <c r="AH301" i="1"/>
  <c r="Y302" i="1"/>
  <c r="G303" i="1"/>
  <c r="Y303" i="1"/>
  <c r="G304" i="1"/>
  <c r="AH304" i="1"/>
  <c r="AH312" i="1"/>
  <c r="P313" i="1"/>
  <c r="AH313" i="1"/>
  <c r="P314" i="1"/>
  <c r="AH314" i="1"/>
  <c r="P315" i="1"/>
  <c r="G316" i="1"/>
  <c r="Y316" i="1"/>
  <c r="G317" i="1"/>
  <c r="Y317" i="1"/>
  <c r="G318" i="1"/>
  <c r="P318" i="1"/>
  <c r="AH318" i="1"/>
  <c r="P321" i="1"/>
  <c r="P323" i="1"/>
  <c r="P324" i="1"/>
  <c r="P325" i="1"/>
  <c r="AH334" i="1"/>
  <c r="G345" i="1"/>
  <c r="AH348" i="1"/>
  <c r="AH349" i="1"/>
  <c r="AH350" i="1"/>
  <c r="G384" i="1"/>
  <c r="P386" i="1"/>
  <c r="Y387" i="1"/>
  <c r="G495" i="1"/>
  <c r="AA502" i="1"/>
  <c r="Y502" i="1"/>
  <c r="AA506" i="1"/>
  <c r="Y506" i="1"/>
  <c r="R527" i="1"/>
  <c r="P527" i="1"/>
  <c r="G556" i="1"/>
  <c r="I556" i="1"/>
  <c r="G560" i="1"/>
  <c r="I560" i="1"/>
  <c r="Y564" i="1"/>
  <c r="AA564" i="1"/>
  <c r="Y572" i="1"/>
  <c r="AA572" i="1"/>
  <c r="AH574" i="1"/>
  <c r="AJ574" i="1"/>
  <c r="AH576" i="1"/>
  <c r="AJ576" i="1"/>
  <c r="AH584" i="1"/>
  <c r="AJ584" i="1"/>
  <c r="AA591" i="1"/>
  <c r="Y591" i="1"/>
  <c r="G630" i="1"/>
  <c r="I630" i="1"/>
  <c r="G632" i="1"/>
  <c r="I632" i="1"/>
  <c r="AJ635" i="1"/>
  <c r="AH635" i="1"/>
  <c r="I641" i="1"/>
  <c r="G641" i="1"/>
  <c r="AA645" i="1"/>
  <c r="Y645" i="1"/>
  <c r="AJ649" i="1"/>
  <c r="AH649" i="1"/>
  <c r="G681" i="1"/>
  <c r="I681" i="1"/>
  <c r="G683" i="1"/>
  <c r="I683" i="1"/>
  <c r="G685" i="1"/>
  <c r="I685" i="1"/>
  <c r="G689" i="1"/>
  <c r="I689" i="1"/>
  <c r="B150" i="2"/>
  <c r="R728" i="1"/>
  <c r="P728" i="1"/>
  <c r="P737" i="1"/>
  <c r="R737" i="1"/>
  <c r="G738" i="1"/>
  <c r="I738" i="1"/>
  <c r="AH743" i="1"/>
  <c r="AJ743" i="1"/>
  <c r="R860" i="1"/>
  <c r="P860" i="1"/>
  <c r="AA861" i="1"/>
  <c r="Y861" i="1"/>
  <c r="I870" i="1"/>
  <c r="G870" i="1"/>
  <c r="B86" i="2"/>
  <c r="D171" i="2"/>
  <c r="B152" i="2"/>
  <c r="G320" i="1"/>
  <c r="G321" i="1"/>
  <c r="G322" i="1"/>
  <c r="G323" i="1"/>
  <c r="G324" i="1"/>
  <c r="G325" i="1"/>
  <c r="I331" i="1"/>
  <c r="I332" i="1"/>
  <c r="Y335" i="1"/>
  <c r="Y336" i="1"/>
  <c r="I344" i="1"/>
  <c r="P346" i="1"/>
  <c r="P347" i="1"/>
  <c r="Y348" i="1"/>
  <c r="Y349" i="1"/>
  <c r="Y350" i="1"/>
  <c r="Y351" i="1"/>
  <c r="I374" i="1"/>
  <c r="I375" i="1"/>
  <c r="I376" i="1"/>
  <c r="I377" i="1"/>
  <c r="I378" i="1"/>
  <c r="R379" i="1"/>
  <c r="R380" i="1"/>
  <c r="R381" i="1"/>
  <c r="R382" i="1"/>
  <c r="R383" i="1"/>
  <c r="AH383" i="1"/>
  <c r="G385" i="1"/>
  <c r="G386" i="1"/>
  <c r="P387" i="1"/>
  <c r="P388" i="1"/>
  <c r="P389" i="1"/>
  <c r="P390" i="1"/>
  <c r="R445" i="1"/>
  <c r="R446" i="1"/>
  <c r="R447" i="1"/>
  <c r="R448" i="1"/>
  <c r="R449" i="1"/>
  <c r="R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J464" i="1"/>
  <c r="AJ465" i="1"/>
  <c r="AJ466" i="1"/>
  <c r="AJ467" i="1"/>
  <c r="P468" i="1"/>
  <c r="R468" i="1"/>
  <c r="G469" i="1"/>
  <c r="I469" i="1"/>
  <c r="P470" i="1"/>
  <c r="R470" i="1"/>
  <c r="G471" i="1"/>
  <c r="I471" i="1"/>
  <c r="P472" i="1"/>
  <c r="R472" i="1"/>
  <c r="G473" i="1"/>
  <c r="I473" i="1"/>
  <c r="P474" i="1"/>
  <c r="R474" i="1"/>
  <c r="G475" i="1"/>
  <c r="I475" i="1"/>
  <c r="P476" i="1"/>
  <c r="R476" i="1"/>
  <c r="AJ492" i="1"/>
  <c r="AH492" i="1"/>
  <c r="AH494" i="1"/>
  <c r="AA495" i="1"/>
  <c r="Y495" i="1"/>
  <c r="I496" i="1"/>
  <c r="G496" i="1"/>
  <c r="AA496" i="1"/>
  <c r="Y496" i="1"/>
  <c r="I497" i="1"/>
  <c r="G497" i="1"/>
  <c r="AA497" i="1"/>
  <c r="Y497" i="1"/>
  <c r="I498" i="1"/>
  <c r="G498" i="1"/>
  <c r="AA498" i="1"/>
  <c r="Y498" i="1"/>
  <c r="I499" i="1"/>
  <c r="G499" i="1"/>
  <c r="AA499" i="1"/>
  <c r="Y499" i="1"/>
  <c r="I500" i="1"/>
  <c r="G500" i="1"/>
  <c r="AA503" i="1"/>
  <c r="Y503" i="1"/>
  <c r="AA507" i="1"/>
  <c r="Y507" i="1"/>
  <c r="I512" i="1"/>
  <c r="G512" i="1"/>
  <c r="R516" i="1"/>
  <c r="P516" i="1"/>
  <c r="R520" i="1"/>
  <c r="P520" i="1"/>
  <c r="R524" i="1"/>
  <c r="P524" i="1"/>
  <c r="R528" i="1"/>
  <c r="P528" i="1"/>
  <c r="AJ567" i="1"/>
  <c r="AH567" i="1"/>
  <c r="AA592" i="1"/>
  <c r="Y592" i="1"/>
  <c r="AJ596" i="1"/>
  <c r="AH596" i="1"/>
  <c r="I601" i="1"/>
  <c r="G601" i="1"/>
  <c r="I605" i="1"/>
  <c r="G605" i="1"/>
  <c r="I640" i="1"/>
  <c r="G640" i="1"/>
  <c r="AA644" i="1"/>
  <c r="Y644" i="1"/>
  <c r="AJ648" i="1"/>
  <c r="AH648" i="1"/>
  <c r="AJ691" i="1"/>
  <c r="AH691" i="1"/>
  <c r="AJ695" i="1"/>
  <c r="C62" i="2" s="1"/>
  <c r="AH695" i="1"/>
  <c r="AA730" i="1"/>
  <c r="Y730" i="1"/>
  <c r="AJ772" i="1"/>
  <c r="AH772" i="1"/>
  <c r="I774" i="1"/>
  <c r="G774" i="1"/>
  <c r="I781" i="1"/>
  <c r="G781" i="1"/>
  <c r="R782" i="1"/>
  <c r="P782" i="1"/>
  <c r="AH822" i="1"/>
  <c r="AJ822" i="1"/>
  <c r="R858" i="1"/>
  <c r="P858" i="1"/>
  <c r="AA859" i="1"/>
  <c r="Y859" i="1"/>
  <c r="AA866" i="1"/>
  <c r="Y866" i="1"/>
  <c r="I868" i="1"/>
  <c r="G868" i="1"/>
  <c r="B69" i="2"/>
  <c r="D69" i="2" s="1"/>
  <c r="P471" i="1"/>
  <c r="R471" i="1"/>
  <c r="G472" i="1"/>
  <c r="I472" i="1"/>
  <c r="P475" i="1"/>
  <c r="R475" i="1"/>
  <c r="G476" i="1"/>
  <c r="I476" i="1"/>
  <c r="AJ493" i="1"/>
  <c r="AH493" i="1"/>
  <c r="R496" i="1"/>
  <c r="P496" i="1"/>
  <c r="R497" i="1"/>
  <c r="P497" i="1"/>
  <c r="R498" i="1"/>
  <c r="P498" i="1"/>
  <c r="R499" i="1"/>
  <c r="P499" i="1"/>
  <c r="R500" i="1"/>
  <c r="P500" i="1"/>
  <c r="AA505" i="1"/>
  <c r="Y505" i="1"/>
  <c r="R514" i="1"/>
  <c r="P514" i="1"/>
  <c r="R518" i="1"/>
  <c r="P518" i="1"/>
  <c r="R526" i="1"/>
  <c r="P526" i="1"/>
  <c r="AA590" i="1"/>
  <c r="Y590" i="1"/>
  <c r="AJ594" i="1"/>
  <c r="AH594" i="1"/>
  <c r="I603" i="1"/>
  <c r="G603" i="1"/>
  <c r="I607" i="1"/>
  <c r="G607" i="1"/>
  <c r="AJ693" i="1"/>
  <c r="AH693" i="1"/>
  <c r="I745" i="1"/>
  <c r="G745" i="1"/>
  <c r="R786" i="1"/>
  <c r="P786" i="1"/>
  <c r="I824" i="1"/>
  <c r="G824" i="1"/>
  <c r="G826" i="1"/>
  <c r="I826" i="1"/>
  <c r="I872" i="1"/>
  <c r="G872" i="1"/>
  <c r="P10" i="1"/>
  <c r="AH10" i="1"/>
  <c r="Y11" i="1"/>
  <c r="G12" i="1"/>
  <c r="AH12" i="1"/>
  <c r="Y13" i="1"/>
  <c r="AH13" i="1"/>
  <c r="P14" i="1"/>
  <c r="AH14" i="1"/>
  <c r="Y15" i="1"/>
  <c r="G16" i="1"/>
  <c r="Y16" i="1"/>
  <c r="AH16" i="1"/>
  <c r="P17" i="1"/>
  <c r="AH17" i="1"/>
  <c r="Y18" i="1"/>
  <c r="G19" i="1"/>
  <c r="Y19" i="1"/>
  <c r="G20" i="1"/>
  <c r="Y20" i="1"/>
  <c r="G21" i="1"/>
  <c r="Y21" i="1"/>
  <c r="G22" i="1"/>
  <c r="Y22" i="1"/>
  <c r="G23" i="1"/>
  <c r="Y23" i="1"/>
  <c r="G24" i="1"/>
  <c r="Y24" i="1"/>
  <c r="G25" i="1"/>
  <c r="Y25" i="1"/>
  <c r="G26" i="1"/>
  <c r="Y26" i="1"/>
  <c r="G27" i="1"/>
  <c r="P27" i="1"/>
  <c r="AH27" i="1"/>
  <c r="P28" i="1"/>
  <c r="Y28" i="1"/>
  <c r="AH28" i="1"/>
  <c r="G29" i="1"/>
  <c r="P29" i="1"/>
  <c r="Y29" i="1"/>
  <c r="AH29" i="1"/>
  <c r="G30" i="1"/>
  <c r="P30" i="1"/>
  <c r="Y30" i="1"/>
  <c r="AH30" i="1"/>
  <c r="G31" i="1"/>
  <c r="P31" i="1"/>
  <c r="AH31" i="1"/>
  <c r="P32" i="1"/>
  <c r="Y32" i="1"/>
  <c r="AH32" i="1"/>
  <c r="G33" i="1"/>
  <c r="P33" i="1"/>
  <c r="Y33" i="1"/>
  <c r="AH33" i="1"/>
  <c r="G34" i="1"/>
  <c r="P34" i="1"/>
  <c r="Y34" i="1"/>
  <c r="AH34" i="1"/>
  <c r="G35" i="1"/>
  <c r="P35" i="1"/>
  <c r="Y35" i="1"/>
  <c r="AH35" i="1"/>
  <c r="G36" i="1"/>
  <c r="P36" i="1"/>
  <c r="Y36" i="1"/>
  <c r="AH36" i="1"/>
  <c r="G37" i="1"/>
  <c r="P37" i="1"/>
  <c r="Y37" i="1"/>
  <c r="AH37" i="1"/>
  <c r="G38" i="1"/>
  <c r="P38" i="1"/>
  <c r="Y38" i="1"/>
  <c r="AH38" i="1"/>
  <c r="G39" i="1"/>
  <c r="P39" i="1"/>
  <c r="Y39" i="1"/>
  <c r="AH39" i="1"/>
  <c r="G40" i="1"/>
  <c r="P40" i="1"/>
  <c r="Y40" i="1"/>
  <c r="AH40" i="1"/>
  <c r="G41" i="1"/>
  <c r="P41" i="1"/>
  <c r="AH112" i="1"/>
  <c r="P113" i="1"/>
  <c r="AH113" i="1"/>
  <c r="P114" i="1"/>
  <c r="AH114" i="1"/>
  <c r="G115" i="1"/>
  <c r="Y115" i="1"/>
  <c r="G116" i="1"/>
  <c r="Y116" i="1"/>
  <c r="G117" i="1"/>
  <c r="Y117" i="1"/>
  <c r="P118" i="1"/>
  <c r="AH118" i="1"/>
  <c r="D187" i="2"/>
  <c r="G188" i="1"/>
  <c r="Y188" i="1"/>
  <c r="G189" i="1"/>
  <c r="Y189" i="1"/>
  <c r="G190" i="1"/>
  <c r="Y190" i="1"/>
  <c r="P235" i="1"/>
  <c r="AH235" i="1"/>
  <c r="P236" i="1"/>
  <c r="AH236" i="1"/>
  <c r="P237" i="1"/>
  <c r="AH237" i="1"/>
  <c r="P238" i="1"/>
  <c r="AH238" i="1"/>
  <c r="P239" i="1"/>
  <c r="G240" i="1"/>
  <c r="Y240" i="1"/>
  <c r="P241" i="1"/>
  <c r="AH241" i="1"/>
  <c r="P242" i="1"/>
  <c r="AH242" i="1"/>
  <c r="P243" i="1"/>
  <c r="AH243" i="1"/>
  <c r="P244" i="1"/>
  <c r="AH244" i="1"/>
  <c r="P245" i="1"/>
  <c r="AH245" i="1"/>
  <c r="P246" i="1"/>
  <c r="G247" i="1"/>
  <c r="Y247" i="1"/>
  <c r="G248" i="1"/>
  <c r="Y248" i="1"/>
  <c r="G249" i="1"/>
  <c r="Y249" i="1"/>
  <c r="G250" i="1"/>
  <c r="Y250" i="1"/>
  <c r="G251" i="1"/>
  <c r="Y251" i="1"/>
  <c r="G252" i="1"/>
  <c r="Y252" i="1"/>
  <c r="G253" i="1"/>
  <c r="Y253" i="1"/>
  <c r="G254" i="1"/>
  <c r="Y254" i="1"/>
  <c r="P255" i="1"/>
  <c r="Y255" i="1"/>
  <c r="G256" i="1"/>
  <c r="Y256" i="1"/>
  <c r="G257" i="1"/>
  <c r="Y257" i="1"/>
  <c r="P258" i="1"/>
  <c r="AH258" i="1"/>
  <c r="P259" i="1"/>
  <c r="AH259" i="1"/>
  <c r="P260" i="1"/>
  <c r="AH260" i="1"/>
  <c r="P261" i="1"/>
  <c r="AH261" i="1"/>
  <c r="P262" i="1"/>
  <c r="AH262" i="1"/>
  <c r="P263" i="1"/>
  <c r="AH263" i="1"/>
  <c r="P264" i="1"/>
  <c r="AH264" i="1"/>
  <c r="P265" i="1"/>
  <c r="AH265" i="1"/>
  <c r="P266" i="1"/>
  <c r="AH266" i="1"/>
  <c r="P267" i="1"/>
  <c r="AH267" i="1"/>
  <c r="P268" i="1"/>
  <c r="G269" i="1"/>
  <c r="AH269" i="1"/>
  <c r="P275" i="1"/>
  <c r="AH275" i="1"/>
  <c r="P276" i="1"/>
  <c r="AH276" i="1"/>
  <c r="P277" i="1"/>
  <c r="AH277" i="1"/>
  <c r="P278" i="1"/>
  <c r="G279" i="1"/>
  <c r="Y279" i="1"/>
  <c r="G280" i="1"/>
  <c r="Y280" i="1"/>
  <c r="G281" i="1"/>
  <c r="Y281" i="1"/>
  <c r="G282" i="1"/>
  <c r="Y282" i="1"/>
  <c r="G283" i="1"/>
  <c r="Y283" i="1"/>
  <c r="AH283" i="1"/>
  <c r="P284" i="1"/>
  <c r="AH284" i="1"/>
  <c r="Y285" i="1"/>
  <c r="P286" i="1"/>
  <c r="AH286" i="1"/>
  <c r="AH287" i="1"/>
  <c r="P288" i="1"/>
  <c r="Y288" i="1"/>
  <c r="G289" i="1"/>
  <c r="Y289" i="1"/>
  <c r="G290" i="1"/>
  <c r="Y290" i="1"/>
  <c r="G291" i="1"/>
  <c r="Y291" i="1"/>
  <c r="G292" i="1"/>
  <c r="Y292" i="1"/>
  <c r="G293" i="1"/>
  <c r="Y293" i="1"/>
  <c r="G294" i="1"/>
  <c r="AH294" i="1"/>
  <c r="P295" i="1"/>
  <c r="AH295" i="1"/>
  <c r="P296" i="1"/>
  <c r="AH296" i="1"/>
  <c r="P297" i="1"/>
  <c r="AH297" i="1"/>
  <c r="P298" i="1"/>
  <c r="AH298" i="1"/>
  <c r="G299" i="1"/>
  <c r="Y299" i="1"/>
  <c r="P300" i="1"/>
  <c r="AH300" i="1"/>
  <c r="G301" i="1"/>
  <c r="Y301" i="1"/>
  <c r="G302" i="1"/>
  <c r="AH302" i="1"/>
  <c r="P303" i="1"/>
  <c r="AH303" i="1"/>
  <c r="P304" i="1"/>
  <c r="Y304" i="1"/>
  <c r="G313" i="1"/>
  <c r="Y313" i="1"/>
  <c r="G314" i="1"/>
  <c r="Y314" i="1"/>
  <c r="G315" i="1"/>
  <c r="Y315" i="1"/>
  <c r="AH315" i="1"/>
  <c r="P316" i="1"/>
  <c r="AH316" i="1"/>
  <c r="P317" i="1"/>
  <c r="AH317" i="1"/>
  <c r="Y318" i="1"/>
  <c r="G319" i="1"/>
  <c r="P319" i="1"/>
  <c r="P320" i="1"/>
  <c r="P322" i="1"/>
  <c r="AH335" i="1"/>
  <c r="AH336" i="1"/>
  <c r="Y346" i="1"/>
  <c r="Y347" i="1"/>
  <c r="P385" i="1"/>
  <c r="Y388" i="1"/>
  <c r="Y389" i="1"/>
  <c r="G493" i="1"/>
  <c r="AJ510" i="1"/>
  <c r="AH510" i="1"/>
  <c r="R515" i="1"/>
  <c r="P515" i="1"/>
  <c r="R519" i="1"/>
  <c r="P519" i="1"/>
  <c r="R523" i="1"/>
  <c r="P523" i="1"/>
  <c r="G554" i="1"/>
  <c r="I554" i="1"/>
  <c r="G558" i="1"/>
  <c r="I558" i="1"/>
  <c r="Y562" i="1"/>
  <c r="AA562" i="1"/>
  <c r="AJ566" i="1"/>
  <c r="AH566" i="1"/>
  <c r="AH578" i="1"/>
  <c r="AJ578" i="1"/>
  <c r="AH580" i="1"/>
  <c r="AJ580" i="1"/>
  <c r="AH582" i="1"/>
  <c r="AJ582" i="1"/>
  <c r="AJ595" i="1"/>
  <c r="AH595" i="1"/>
  <c r="I600" i="1"/>
  <c r="G600" i="1"/>
  <c r="I604" i="1"/>
  <c r="G604" i="1"/>
  <c r="R608" i="1"/>
  <c r="P608" i="1"/>
  <c r="G626" i="1"/>
  <c r="I626" i="1"/>
  <c r="G628" i="1"/>
  <c r="I628" i="1"/>
  <c r="G634" i="1"/>
  <c r="I634" i="1"/>
  <c r="AJ637" i="1"/>
  <c r="AH637" i="1"/>
  <c r="G687" i="1"/>
  <c r="I687" i="1"/>
  <c r="AJ692" i="1"/>
  <c r="AH692" i="1"/>
  <c r="R726" i="1"/>
  <c r="P726" i="1"/>
  <c r="P733" i="1"/>
  <c r="R733" i="1"/>
  <c r="G734" i="1"/>
  <c r="I734" i="1"/>
  <c r="P735" i="1"/>
  <c r="R735" i="1"/>
  <c r="G736" i="1"/>
  <c r="I736" i="1"/>
  <c r="P739" i="1"/>
  <c r="R739" i="1"/>
  <c r="P740" i="1"/>
  <c r="R740" i="1"/>
  <c r="AH741" i="1"/>
  <c r="AJ741" i="1"/>
  <c r="AJ774" i="1"/>
  <c r="AH774" i="1"/>
  <c r="I776" i="1"/>
  <c r="G776" i="1"/>
  <c r="I783" i="1"/>
  <c r="G783" i="1"/>
  <c r="R784" i="1"/>
  <c r="P784" i="1"/>
  <c r="Y813" i="1"/>
  <c r="AA813" i="1"/>
  <c r="AH815" i="1"/>
  <c r="AJ815" i="1"/>
  <c r="AJ836" i="1"/>
  <c r="AH836" i="1"/>
  <c r="AJ868" i="1"/>
  <c r="AH868" i="1"/>
  <c r="B182" i="2"/>
  <c r="F187" i="2"/>
  <c r="E183" i="2"/>
  <c r="G66" i="2"/>
  <c r="E66" i="2"/>
  <c r="F66" i="2"/>
  <c r="AJ330" i="1"/>
  <c r="AJ331" i="1"/>
  <c r="AJ343" i="1"/>
  <c r="AJ373" i="1"/>
  <c r="AJ374" i="1"/>
  <c r="AJ375" i="1"/>
  <c r="AJ376" i="1"/>
  <c r="AJ377" i="1"/>
  <c r="AJ378" i="1"/>
  <c r="I380" i="1"/>
  <c r="I381" i="1"/>
  <c r="I382" i="1"/>
  <c r="I383" i="1"/>
  <c r="I445" i="1"/>
  <c r="I446" i="1"/>
  <c r="I447" i="1"/>
  <c r="I448" i="1"/>
  <c r="I449" i="1"/>
  <c r="I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AA464" i="1"/>
  <c r="AA465" i="1"/>
  <c r="AA466" i="1"/>
  <c r="AA467" i="1"/>
  <c r="G492" i="1"/>
  <c r="G494" i="1"/>
  <c r="Y494" i="1"/>
  <c r="AA504" i="1"/>
  <c r="Y504" i="1"/>
  <c r="AJ508" i="1"/>
  <c r="AH508" i="1"/>
  <c r="R513" i="1"/>
  <c r="P513" i="1"/>
  <c r="R517" i="1"/>
  <c r="P517" i="1"/>
  <c r="R521" i="1"/>
  <c r="P521" i="1"/>
  <c r="R525" i="1"/>
  <c r="P525" i="1"/>
  <c r="G555" i="1"/>
  <c r="I555" i="1"/>
  <c r="G557" i="1"/>
  <c r="I557" i="1"/>
  <c r="G559" i="1"/>
  <c r="I559" i="1"/>
  <c r="Y561" i="1"/>
  <c r="AA561" i="1"/>
  <c r="Y563" i="1"/>
  <c r="AA563" i="1"/>
  <c r="Y573" i="1"/>
  <c r="AA573" i="1"/>
  <c r="AH575" i="1"/>
  <c r="AJ575" i="1"/>
  <c r="AH577" i="1"/>
  <c r="AJ577" i="1"/>
  <c r="AH579" i="1"/>
  <c r="AJ579" i="1"/>
  <c r="AH581" i="1"/>
  <c r="AJ581" i="1"/>
  <c r="AH583" i="1"/>
  <c r="AJ583" i="1"/>
  <c r="AJ593" i="1"/>
  <c r="AH593" i="1"/>
  <c r="AJ597" i="1"/>
  <c r="AH597" i="1"/>
  <c r="I602" i="1"/>
  <c r="G602" i="1"/>
  <c r="I606" i="1"/>
  <c r="G606" i="1"/>
  <c r="G627" i="1"/>
  <c r="I627" i="1"/>
  <c r="G629" i="1"/>
  <c r="I629" i="1"/>
  <c r="G631" i="1"/>
  <c r="I631" i="1"/>
  <c r="G633" i="1"/>
  <c r="I633" i="1"/>
  <c r="G635" i="1"/>
  <c r="I635" i="1"/>
  <c r="AJ636" i="1"/>
  <c r="AH636" i="1"/>
  <c r="I639" i="1"/>
  <c r="G639" i="1"/>
  <c r="R643" i="1"/>
  <c r="P643" i="1"/>
  <c r="AJ647" i="1"/>
  <c r="AH647" i="1"/>
  <c r="G680" i="1"/>
  <c r="I680" i="1"/>
  <c r="G682" i="1"/>
  <c r="I682" i="1"/>
  <c r="G684" i="1"/>
  <c r="I684" i="1"/>
  <c r="G686" i="1"/>
  <c r="I686" i="1"/>
  <c r="G688" i="1"/>
  <c r="I688" i="1"/>
  <c r="AJ690" i="1"/>
  <c r="AH690" i="1"/>
  <c r="AJ694" i="1"/>
  <c r="AH694" i="1"/>
  <c r="R727" i="1"/>
  <c r="P727" i="1"/>
  <c r="R729" i="1"/>
  <c r="P729" i="1"/>
  <c r="AH742" i="1"/>
  <c r="AJ742" i="1"/>
  <c r="Y753" i="1"/>
  <c r="AA753" i="1"/>
  <c r="P754" i="1"/>
  <c r="R754" i="1"/>
  <c r="Y755" i="1"/>
  <c r="AA755" i="1"/>
  <c r="P756" i="1"/>
  <c r="R756" i="1"/>
  <c r="AH757" i="1"/>
  <c r="AJ757" i="1"/>
  <c r="Y758" i="1"/>
  <c r="AA758" i="1"/>
  <c r="AH759" i="1"/>
  <c r="AJ759" i="1"/>
  <c r="Y760" i="1"/>
  <c r="AA760" i="1"/>
  <c r="AH761" i="1"/>
  <c r="AJ761" i="1"/>
  <c r="Y762" i="1"/>
  <c r="AA762" i="1"/>
  <c r="AH763" i="1"/>
  <c r="AJ763" i="1"/>
  <c r="Y764" i="1"/>
  <c r="AA764" i="1"/>
  <c r="I772" i="1"/>
  <c r="G772" i="1"/>
  <c r="I779" i="1"/>
  <c r="G779" i="1"/>
  <c r="R780" i="1"/>
  <c r="P780" i="1"/>
  <c r="I787" i="1"/>
  <c r="G787" i="1"/>
  <c r="G802" i="1"/>
  <c r="I802" i="1"/>
  <c r="AH802" i="1"/>
  <c r="AJ802" i="1"/>
  <c r="G804" i="1"/>
  <c r="I804" i="1"/>
  <c r="G805" i="1"/>
  <c r="I805" i="1"/>
  <c r="P806" i="1"/>
  <c r="R806" i="1"/>
  <c r="G807" i="1"/>
  <c r="I807" i="1"/>
  <c r="P808" i="1"/>
  <c r="R808" i="1"/>
  <c r="G809" i="1"/>
  <c r="I809" i="1"/>
  <c r="P810" i="1"/>
  <c r="R810" i="1"/>
  <c r="G811" i="1"/>
  <c r="I811" i="1"/>
  <c r="Y812" i="1"/>
  <c r="AA812" i="1"/>
  <c r="AH814" i="1"/>
  <c r="AJ814" i="1"/>
  <c r="AH817" i="1"/>
  <c r="AJ817" i="1"/>
  <c r="G819" i="1"/>
  <c r="I819" i="1"/>
  <c r="I856" i="1"/>
  <c r="G856" i="1"/>
  <c r="R857" i="1"/>
  <c r="P857" i="1"/>
  <c r="AA864" i="1"/>
  <c r="Y864" i="1"/>
  <c r="AJ865" i="1"/>
  <c r="AH865" i="1"/>
  <c r="AJ872" i="1"/>
  <c r="AH872" i="1"/>
  <c r="AJ874" i="1"/>
  <c r="AH874" i="1"/>
  <c r="G877" i="1"/>
  <c r="I877" i="1"/>
  <c r="AA878" i="1"/>
  <c r="Y878" i="1"/>
  <c r="R909" i="1"/>
  <c r="P909" i="1"/>
  <c r="I980" i="1"/>
  <c r="G980" i="1"/>
  <c r="I984" i="1"/>
  <c r="G984" i="1"/>
  <c r="I988" i="1"/>
  <c r="G988" i="1"/>
  <c r="AA992" i="1"/>
  <c r="Y992" i="1"/>
  <c r="AA996" i="1"/>
  <c r="Y996" i="1"/>
  <c r="AA1000" i="1"/>
  <c r="Y1000" i="1"/>
  <c r="AA1004" i="1"/>
  <c r="Y1004" i="1"/>
  <c r="AJ1019" i="1"/>
  <c r="AH1019" i="1"/>
  <c r="I1029" i="1"/>
  <c r="G1029" i="1"/>
  <c r="B92" i="2"/>
  <c r="B83" i="2"/>
  <c r="R625" i="1"/>
  <c r="R626" i="1"/>
  <c r="R627" i="1"/>
  <c r="R628" i="1"/>
  <c r="R629" i="1"/>
  <c r="R630" i="1"/>
  <c r="R631" i="1"/>
  <c r="R632" i="1"/>
  <c r="R633" i="1"/>
  <c r="R634" i="1"/>
  <c r="R635" i="1"/>
  <c r="E49" i="2"/>
  <c r="F49" i="2"/>
  <c r="G49" i="2"/>
  <c r="R679" i="1"/>
  <c r="R680" i="1"/>
  <c r="R681" i="1"/>
  <c r="R682" i="1"/>
  <c r="R683" i="1"/>
  <c r="R684" i="1"/>
  <c r="R685" i="1"/>
  <c r="R686" i="1"/>
  <c r="R687" i="1"/>
  <c r="R688" i="1"/>
  <c r="R689" i="1"/>
  <c r="P708" i="1"/>
  <c r="R708" i="1"/>
  <c r="Y709" i="1"/>
  <c r="AA709" i="1"/>
  <c r="P710" i="1"/>
  <c r="R710" i="1"/>
  <c r="Y711" i="1"/>
  <c r="AA711" i="1"/>
  <c r="P712" i="1"/>
  <c r="R712" i="1"/>
  <c r="AH713" i="1"/>
  <c r="AJ713" i="1"/>
  <c r="Y714" i="1"/>
  <c r="AA714" i="1"/>
  <c r="R718" i="1"/>
  <c r="P718" i="1"/>
  <c r="I742" i="1"/>
  <c r="I743" i="1"/>
  <c r="R749" i="1"/>
  <c r="P749" i="1"/>
  <c r="B17" i="2"/>
  <c r="AJ812" i="1"/>
  <c r="AJ813" i="1"/>
  <c r="I815" i="1"/>
  <c r="I816" i="1"/>
  <c r="I820" i="1"/>
  <c r="G820" i="1"/>
  <c r="G822" i="1"/>
  <c r="I822" i="1"/>
  <c r="I823" i="1"/>
  <c r="AJ826" i="1"/>
  <c r="R827" i="1"/>
  <c r="P827" i="1"/>
  <c r="G830" i="1"/>
  <c r="I830" i="1"/>
  <c r="AH832" i="1"/>
  <c r="AJ832" i="1"/>
  <c r="R836" i="1"/>
  <c r="P836" i="1"/>
  <c r="AA841" i="1"/>
  <c r="Y841" i="1"/>
  <c r="AA843" i="1"/>
  <c r="Y843" i="1"/>
  <c r="AA845" i="1"/>
  <c r="Y845" i="1"/>
  <c r="AA847" i="1"/>
  <c r="Y847" i="1"/>
  <c r="G874" i="1"/>
  <c r="P876" i="1"/>
  <c r="R887" i="1"/>
  <c r="P887" i="1"/>
  <c r="AJ889" i="1"/>
  <c r="AH889" i="1"/>
  <c r="I892" i="1"/>
  <c r="G892" i="1"/>
  <c r="I894" i="1"/>
  <c r="G894" i="1"/>
  <c r="I896" i="1"/>
  <c r="G896" i="1"/>
  <c r="I898" i="1"/>
  <c r="G898" i="1"/>
  <c r="I900" i="1"/>
  <c r="G900" i="1"/>
  <c r="I902" i="1"/>
  <c r="G902" i="1"/>
  <c r="I904" i="1"/>
  <c r="G904" i="1"/>
  <c r="I906" i="1"/>
  <c r="G906" i="1"/>
  <c r="R908" i="1"/>
  <c r="P908" i="1"/>
  <c r="AJ945" i="1"/>
  <c r="AH945" i="1"/>
  <c r="P968" i="1"/>
  <c r="R968" i="1"/>
  <c r="G969" i="1"/>
  <c r="I969" i="1"/>
  <c r="P970" i="1"/>
  <c r="R970" i="1"/>
  <c r="G971" i="1"/>
  <c r="I971" i="1"/>
  <c r="P972" i="1"/>
  <c r="R972" i="1"/>
  <c r="P974" i="1"/>
  <c r="R974" i="1"/>
  <c r="Y976" i="1"/>
  <c r="AA976" i="1"/>
  <c r="Y978" i="1"/>
  <c r="AA978" i="1"/>
  <c r="R983" i="1"/>
  <c r="P983" i="1"/>
  <c r="R987" i="1"/>
  <c r="P987" i="1"/>
  <c r="AJ991" i="1"/>
  <c r="AH991" i="1"/>
  <c r="AJ995" i="1"/>
  <c r="AH995" i="1"/>
  <c r="AJ999" i="1"/>
  <c r="AH999" i="1"/>
  <c r="AJ1003" i="1"/>
  <c r="AH1003" i="1"/>
  <c r="R1028" i="1"/>
  <c r="P1028" i="1"/>
  <c r="B47" i="2"/>
  <c r="B50" i="2"/>
  <c r="G501" i="1"/>
  <c r="P502" i="1"/>
  <c r="P503" i="1"/>
  <c r="P504" i="1"/>
  <c r="P505" i="1"/>
  <c r="P506" i="1"/>
  <c r="P507" i="1"/>
  <c r="Y508" i="1"/>
  <c r="Y509" i="1"/>
  <c r="Y510" i="1"/>
  <c r="AH511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Y566" i="1"/>
  <c r="Y567" i="1"/>
  <c r="P591" i="1"/>
  <c r="P592" i="1"/>
  <c r="Y593" i="1"/>
  <c r="Y594" i="1"/>
  <c r="Y595" i="1"/>
  <c r="Y596" i="1"/>
  <c r="Y597" i="1"/>
  <c r="AH598" i="1"/>
  <c r="AH599" i="1"/>
  <c r="AH600" i="1"/>
  <c r="AH601" i="1"/>
  <c r="AH602" i="1"/>
  <c r="AH603" i="1"/>
  <c r="AH604" i="1"/>
  <c r="AH605" i="1"/>
  <c r="AH606" i="1"/>
  <c r="G608" i="1"/>
  <c r="G609" i="1"/>
  <c r="R730" i="1"/>
  <c r="P730" i="1"/>
  <c r="P734" i="1"/>
  <c r="R734" i="1"/>
  <c r="G735" i="1"/>
  <c r="I735" i="1"/>
  <c r="P736" i="1"/>
  <c r="R736" i="1"/>
  <c r="G737" i="1"/>
  <c r="I737" i="1"/>
  <c r="P738" i="1"/>
  <c r="R738" i="1"/>
  <c r="G739" i="1"/>
  <c r="I739" i="1"/>
  <c r="Y740" i="1"/>
  <c r="AA740" i="1"/>
  <c r="AJ744" i="1"/>
  <c r="AH744" i="1"/>
  <c r="P753" i="1"/>
  <c r="R753" i="1"/>
  <c r="Y754" i="1"/>
  <c r="AA754" i="1"/>
  <c r="P755" i="1"/>
  <c r="R755" i="1"/>
  <c r="Y756" i="1"/>
  <c r="AA756" i="1"/>
  <c r="P757" i="1"/>
  <c r="R757" i="1"/>
  <c r="AH758" i="1"/>
  <c r="AJ758" i="1"/>
  <c r="Y759" i="1"/>
  <c r="AA759" i="1"/>
  <c r="AH760" i="1"/>
  <c r="AJ760" i="1"/>
  <c r="Y761" i="1"/>
  <c r="AA761" i="1"/>
  <c r="AH762" i="1"/>
  <c r="AJ762" i="1"/>
  <c r="Y763" i="1"/>
  <c r="AA763" i="1"/>
  <c r="AA771" i="1"/>
  <c r="Y771" i="1"/>
  <c r="AJ773" i="1"/>
  <c r="AH773" i="1"/>
  <c r="AJ775" i="1"/>
  <c r="AH775" i="1"/>
  <c r="I778" i="1"/>
  <c r="G778" i="1"/>
  <c r="I780" i="1"/>
  <c r="G780" i="1"/>
  <c r="I782" i="1"/>
  <c r="G782" i="1"/>
  <c r="I784" i="1"/>
  <c r="G784" i="1"/>
  <c r="I786" i="1"/>
  <c r="G786" i="1"/>
  <c r="G801" i="1"/>
  <c r="I801" i="1"/>
  <c r="AH801" i="1"/>
  <c r="AJ801" i="1"/>
  <c r="G803" i="1"/>
  <c r="I803" i="1"/>
  <c r="AH803" i="1"/>
  <c r="AJ803" i="1"/>
  <c r="P805" i="1"/>
  <c r="R805" i="1"/>
  <c r="G806" i="1"/>
  <c r="I806" i="1"/>
  <c r="P807" i="1"/>
  <c r="R807" i="1"/>
  <c r="G808" i="1"/>
  <c r="I808" i="1"/>
  <c r="P809" i="1"/>
  <c r="R809" i="1"/>
  <c r="G810" i="1"/>
  <c r="I810" i="1"/>
  <c r="P811" i="1"/>
  <c r="R811" i="1"/>
  <c r="G818" i="1"/>
  <c r="I818" i="1"/>
  <c r="R823" i="1"/>
  <c r="P823" i="1"/>
  <c r="AH825" i="1"/>
  <c r="AJ825" i="1"/>
  <c r="P831" i="1"/>
  <c r="AA836" i="1"/>
  <c r="Y836" i="1"/>
  <c r="R840" i="1"/>
  <c r="P840" i="1"/>
  <c r="AH840" i="1"/>
  <c r="AH842" i="1"/>
  <c r="AH844" i="1"/>
  <c r="AH846" i="1"/>
  <c r="AH849" i="1"/>
  <c r="AJ849" i="1"/>
  <c r="G851" i="1"/>
  <c r="I851" i="1"/>
  <c r="AH851" i="1"/>
  <c r="AJ851" i="1"/>
  <c r="G853" i="1"/>
  <c r="I853" i="1"/>
  <c r="AH853" i="1"/>
  <c r="AJ853" i="1"/>
  <c r="I855" i="1"/>
  <c r="G855" i="1"/>
  <c r="I857" i="1"/>
  <c r="G857" i="1"/>
  <c r="R859" i="1"/>
  <c r="P859" i="1"/>
  <c r="R861" i="1"/>
  <c r="P861" i="1"/>
  <c r="AA863" i="1"/>
  <c r="Y863" i="1"/>
  <c r="AA865" i="1"/>
  <c r="Y865" i="1"/>
  <c r="AJ867" i="1"/>
  <c r="AH867" i="1"/>
  <c r="AJ869" i="1"/>
  <c r="AH869" i="1"/>
  <c r="AJ871" i="1"/>
  <c r="AH871" i="1"/>
  <c r="AJ873" i="1"/>
  <c r="AH873" i="1"/>
  <c r="I876" i="1"/>
  <c r="G876" i="1"/>
  <c r="Y886" i="1"/>
  <c r="G18" i="2" s="1"/>
  <c r="G889" i="1"/>
  <c r="G891" i="1"/>
  <c r="P893" i="1"/>
  <c r="P895" i="1"/>
  <c r="P897" i="1"/>
  <c r="P899" i="1"/>
  <c r="P901" i="1"/>
  <c r="P903" i="1"/>
  <c r="P905" i="1"/>
  <c r="P907" i="1"/>
  <c r="R943" i="1"/>
  <c r="P943" i="1"/>
  <c r="G945" i="1"/>
  <c r="B178" i="2"/>
  <c r="D178" i="2" s="1"/>
  <c r="B163" i="2"/>
  <c r="B159" i="2"/>
  <c r="B126" i="2"/>
  <c r="Y492" i="1"/>
  <c r="Y493" i="1"/>
  <c r="AH500" i="1"/>
  <c r="G502" i="1"/>
  <c r="G503" i="1"/>
  <c r="G504" i="1"/>
  <c r="G505" i="1"/>
  <c r="G506" i="1"/>
  <c r="G507" i="1"/>
  <c r="P508" i="1"/>
  <c r="P509" i="1"/>
  <c r="P510" i="1"/>
  <c r="Y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J553" i="1"/>
  <c r="AJ554" i="1"/>
  <c r="AJ555" i="1"/>
  <c r="AJ556" i="1"/>
  <c r="AJ557" i="1"/>
  <c r="AJ558" i="1"/>
  <c r="AJ559" i="1"/>
  <c r="R561" i="1"/>
  <c r="R562" i="1"/>
  <c r="R563" i="1"/>
  <c r="R564" i="1"/>
  <c r="R565" i="1"/>
  <c r="P567" i="1"/>
  <c r="R573" i="1"/>
  <c r="AA574" i="1"/>
  <c r="AA575" i="1"/>
  <c r="AA576" i="1"/>
  <c r="AA577" i="1"/>
  <c r="AA578" i="1"/>
  <c r="AA579" i="1"/>
  <c r="AA580" i="1"/>
  <c r="AA581" i="1"/>
  <c r="AA582" i="1"/>
  <c r="AA583" i="1"/>
  <c r="AA584" i="1"/>
  <c r="G591" i="1"/>
  <c r="G592" i="1"/>
  <c r="P593" i="1"/>
  <c r="P594" i="1"/>
  <c r="P595" i="1"/>
  <c r="P596" i="1"/>
  <c r="P597" i="1"/>
  <c r="Y598" i="1"/>
  <c r="Y599" i="1"/>
  <c r="Y600" i="1"/>
  <c r="Y601" i="1"/>
  <c r="Y602" i="1"/>
  <c r="Y603" i="1"/>
  <c r="Y604" i="1"/>
  <c r="Y605" i="1"/>
  <c r="Y606" i="1"/>
  <c r="AH607" i="1"/>
  <c r="AH608" i="1"/>
  <c r="P636" i="1"/>
  <c r="P637" i="1"/>
  <c r="P638" i="1"/>
  <c r="B168" i="2"/>
  <c r="Y708" i="1"/>
  <c r="AA708" i="1"/>
  <c r="P709" i="1"/>
  <c r="R709" i="1"/>
  <c r="Y710" i="1"/>
  <c r="AA710" i="1"/>
  <c r="P711" i="1"/>
  <c r="R711" i="1"/>
  <c r="Y712" i="1"/>
  <c r="AA712" i="1"/>
  <c r="Y713" i="1"/>
  <c r="AA713" i="1"/>
  <c r="R717" i="1"/>
  <c r="P717" i="1"/>
  <c r="G725" i="1"/>
  <c r="I725" i="1"/>
  <c r="AH726" i="1"/>
  <c r="AH727" i="1"/>
  <c r="AH728" i="1"/>
  <c r="AH746" i="1"/>
  <c r="AJ746" i="1"/>
  <c r="R819" i="1"/>
  <c r="P819" i="1"/>
  <c r="AH821" i="1"/>
  <c r="AJ821" i="1"/>
  <c r="R828" i="1"/>
  <c r="P828" i="1"/>
  <c r="I831" i="1"/>
  <c r="G831" i="1"/>
  <c r="G833" i="1"/>
  <c r="I833" i="1"/>
  <c r="G836" i="1"/>
  <c r="I836" i="1"/>
  <c r="AA840" i="1"/>
  <c r="Y840" i="1"/>
  <c r="AA842" i="1"/>
  <c r="Y842" i="1"/>
  <c r="AA844" i="1"/>
  <c r="Y844" i="1"/>
  <c r="AA846" i="1"/>
  <c r="Y846" i="1"/>
  <c r="AA848" i="1"/>
  <c r="Y848" i="1"/>
  <c r="B186" i="2"/>
  <c r="R886" i="1"/>
  <c r="P886" i="1"/>
  <c r="AJ888" i="1"/>
  <c r="AH888" i="1"/>
  <c r="AJ890" i="1"/>
  <c r="AH890" i="1"/>
  <c r="I893" i="1"/>
  <c r="G893" i="1"/>
  <c r="I895" i="1"/>
  <c r="G895" i="1"/>
  <c r="I897" i="1"/>
  <c r="G897" i="1"/>
  <c r="I899" i="1"/>
  <c r="G899" i="1"/>
  <c r="I901" i="1"/>
  <c r="G901" i="1"/>
  <c r="I903" i="1"/>
  <c r="G903" i="1"/>
  <c r="I905" i="1"/>
  <c r="G905" i="1"/>
  <c r="I907" i="1"/>
  <c r="G907" i="1"/>
  <c r="Y918" i="1"/>
  <c r="AA918" i="1"/>
  <c r="P919" i="1"/>
  <c r="R919" i="1"/>
  <c r="AH919" i="1"/>
  <c r="AJ919" i="1"/>
  <c r="Y922" i="1"/>
  <c r="AA922" i="1"/>
  <c r="P923" i="1"/>
  <c r="R923" i="1"/>
  <c r="AH923" i="1"/>
  <c r="AJ923" i="1"/>
  <c r="Y926" i="1"/>
  <c r="AA926" i="1"/>
  <c r="P927" i="1"/>
  <c r="R927" i="1"/>
  <c r="Y928" i="1"/>
  <c r="AA928" i="1"/>
  <c r="P929" i="1"/>
  <c r="R929" i="1"/>
  <c r="Y930" i="1"/>
  <c r="AA930" i="1"/>
  <c r="P931" i="1"/>
  <c r="R931" i="1"/>
  <c r="Y932" i="1"/>
  <c r="AA932" i="1"/>
  <c r="P933" i="1"/>
  <c r="R933" i="1"/>
  <c r="Y934" i="1"/>
  <c r="AA934" i="1"/>
  <c r="P935" i="1"/>
  <c r="R935" i="1"/>
  <c r="AA942" i="1"/>
  <c r="Y942" i="1"/>
  <c r="B103" i="2"/>
  <c r="B62" i="2"/>
  <c r="B87" i="2"/>
  <c r="B29" i="2"/>
  <c r="I881" i="1"/>
  <c r="G881" i="1"/>
  <c r="P918" i="1"/>
  <c r="R918" i="1"/>
  <c r="AH920" i="1"/>
  <c r="AJ920" i="1"/>
  <c r="Y921" i="1"/>
  <c r="AA921" i="1"/>
  <c r="P922" i="1"/>
  <c r="R922" i="1"/>
  <c r="AH924" i="1"/>
  <c r="AJ924" i="1"/>
  <c r="Y925" i="1"/>
  <c r="AA925" i="1"/>
  <c r="P926" i="1"/>
  <c r="R926" i="1"/>
  <c r="I941" i="1"/>
  <c r="G941" i="1"/>
  <c r="I950" i="1"/>
  <c r="G950" i="1"/>
  <c r="I982" i="1"/>
  <c r="G982" i="1"/>
  <c r="I986" i="1"/>
  <c r="G986" i="1"/>
  <c r="I990" i="1"/>
  <c r="G990" i="1"/>
  <c r="AA994" i="1"/>
  <c r="Y994" i="1"/>
  <c r="AA998" i="1"/>
  <c r="Y998" i="1"/>
  <c r="AA1002" i="1"/>
  <c r="Y1002" i="1"/>
  <c r="AA1012" i="1"/>
  <c r="Y1012" i="1"/>
  <c r="AJ1036" i="1"/>
  <c r="C26" i="2" s="1"/>
  <c r="D26" i="2" s="1"/>
  <c r="AH1036" i="1"/>
  <c r="B113" i="2"/>
  <c r="B44" i="2"/>
  <c r="B30" i="2"/>
  <c r="G718" i="1"/>
  <c r="B154" i="2"/>
  <c r="G730" i="1"/>
  <c r="Y744" i="1"/>
  <c r="Y745" i="1"/>
  <c r="G750" i="1"/>
  <c r="B147" i="2"/>
  <c r="P771" i="1"/>
  <c r="B98" i="2"/>
  <c r="Y772" i="1"/>
  <c r="Y773" i="1"/>
  <c r="Y774" i="1"/>
  <c r="Y775" i="1"/>
  <c r="AH776" i="1"/>
  <c r="AH777" i="1"/>
  <c r="AH778" i="1"/>
  <c r="AH779" i="1"/>
  <c r="AH780" i="1"/>
  <c r="AH781" i="1"/>
  <c r="AH782" i="1"/>
  <c r="AH783" i="1"/>
  <c r="AH784" i="1"/>
  <c r="AH785" i="1"/>
  <c r="AH786" i="1"/>
  <c r="B13" i="2"/>
  <c r="B77" i="2"/>
  <c r="AH819" i="1"/>
  <c r="AH823" i="1"/>
  <c r="G828" i="1"/>
  <c r="R833" i="1"/>
  <c r="P833" i="1"/>
  <c r="P837" i="1"/>
  <c r="P841" i="1"/>
  <c r="P842" i="1"/>
  <c r="P843" i="1"/>
  <c r="P844" i="1"/>
  <c r="P845" i="1"/>
  <c r="P846" i="1"/>
  <c r="P847" i="1"/>
  <c r="P848" i="1"/>
  <c r="G850" i="1"/>
  <c r="I850" i="1"/>
  <c r="AH850" i="1"/>
  <c r="AJ850" i="1"/>
  <c r="G852" i="1"/>
  <c r="I852" i="1"/>
  <c r="AH852" i="1"/>
  <c r="AJ852" i="1"/>
  <c r="G854" i="1"/>
  <c r="I854" i="1"/>
  <c r="AH855" i="1"/>
  <c r="AH856" i="1"/>
  <c r="G858" i="1"/>
  <c r="G859" i="1"/>
  <c r="G860" i="1"/>
  <c r="G861" i="1"/>
  <c r="P862" i="1"/>
  <c r="P863" i="1"/>
  <c r="P864" i="1"/>
  <c r="P865" i="1"/>
  <c r="P866" i="1"/>
  <c r="Y867" i="1"/>
  <c r="Y868" i="1"/>
  <c r="Y869" i="1"/>
  <c r="Y870" i="1"/>
  <c r="Y871" i="1"/>
  <c r="Y872" i="1"/>
  <c r="Y873" i="1"/>
  <c r="Y874" i="1"/>
  <c r="Y875" i="1"/>
  <c r="AH876" i="1"/>
  <c r="AA879" i="1"/>
  <c r="Y879" i="1"/>
  <c r="I880" i="1"/>
  <c r="G880" i="1"/>
  <c r="G886" i="1"/>
  <c r="G887" i="1"/>
  <c r="P888" i="1"/>
  <c r="Y889" i="1"/>
  <c r="Y890" i="1"/>
  <c r="Y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G908" i="1"/>
  <c r="AA910" i="1"/>
  <c r="Y910" i="1"/>
  <c r="I911" i="1"/>
  <c r="G911" i="1"/>
  <c r="B33" i="2"/>
  <c r="I939" i="1"/>
  <c r="G939" i="1"/>
  <c r="P940" i="1"/>
  <c r="I948" i="1"/>
  <c r="G948" i="1"/>
  <c r="P949" i="1"/>
  <c r="G968" i="1"/>
  <c r="I968" i="1"/>
  <c r="P969" i="1"/>
  <c r="R969" i="1"/>
  <c r="G970" i="1"/>
  <c r="I970" i="1"/>
  <c r="P971" i="1"/>
  <c r="R971" i="1"/>
  <c r="P973" i="1"/>
  <c r="R973" i="1"/>
  <c r="Y975" i="1"/>
  <c r="AA975" i="1"/>
  <c r="Y977" i="1"/>
  <c r="AA977" i="1"/>
  <c r="R981" i="1"/>
  <c r="P981" i="1"/>
  <c r="R985" i="1"/>
  <c r="P985" i="1"/>
  <c r="R989" i="1"/>
  <c r="P989" i="1"/>
  <c r="AJ993" i="1"/>
  <c r="AH993" i="1"/>
  <c r="AJ997" i="1"/>
  <c r="C46" i="2" s="1"/>
  <c r="D46" i="2" s="1"/>
  <c r="AH997" i="1"/>
  <c r="AJ1001" i="1"/>
  <c r="AH1001" i="1"/>
  <c r="F3" i="2"/>
  <c r="AJ1011" i="1"/>
  <c r="C9" i="2" s="1"/>
  <c r="D9" i="2" s="1"/>
  <c r="AH1011" i="1"/>
  <c r="AA1020" i="1"/>
  <c r="Y1020" i="1"/>
  <c r="B105" i="2"/>
  <c r="B112" i="2"/>
  <c r="B110" i="2"/>
  <c r="B114" i="2"/>
  <c r="B160" i="2"/>
  <c r="B139" i="2"/>
  <c r="B61" i="2"/>
  <c r="B135" i="2"/>
  <c r="B120" i="2"/>
  <c r="B167" i="2"/>
  <c r="B129" i="2"/>
  <c r="B99" i="2"/>
  <c r="P1009" i="1"/>
  <c r="R1009" i="1"/>
  <c r="AA1010" i="1"/>
  <c r="Y1010" i="1"/>
  <c r="B84" i="2"/>
  <c r="AA1018" i="1"/>
  <c r="Y1018" i="1"/>
  <c r="I1027" i="1"/>
  <c r="C68" i="2" s="1"/>
  <c r="D68" i="2" s="1"/>
  <c r="G1027" i="1"/>
  <c r="AA1035" i="1"/>
  <c r="C35" i="2" s="1"/>
  <c r="D35" i="2" s="1"/>
  <c r="Y1035" i="1"/>
  <c r="B151" i="2"/>
  <c r="B173" i="2"/>
  <c r="B31" i="2"/>
  <c r="AJ881" i="1"/>
  <c r="AH881" i="1"/>
  <c r="Y920" i="1"/>
  <c r="AA920" i="1"/>
  <c r="Y924" i="1"/>
  <c r="AA924" i="1"/>
  <c r="I938" i="1"/>
  <c r="G938" i="1"/>
  <c r="I940" i="1"/>
  <c r="G940" i="1"/>
  <c r="R942" i="1"/>
  <c r="P942" i="1"/>
  <c r="AJ944" i="1"/>
  <c r="AH944" i="1"/>
  <c r="I947" i="1"/>
  <c r="G947" i="1"/>
  <c r="I949" i="1"/>
  <c r="G949" i="1"/>
  <c r="B141" i="2"/>
  <c r="I981" i="1"/>
  <c r="G981" i="1"/>
  <c r="I983" i="1"/>
  <c r="G983" i="1"/>
  <c r="I985" i="1"/>
  <c r="G985" i="1"/>
  <c r="I987" i="1"/>
  <c r="G987" i="1"/>
  <c r="I989" i="1"/>
  <c r="G989" i="1"/>
  <c r="AA991" i="1"/>
  <c r="Y991" i="1"/>
  <c r="AA993" i="1"/>
  <c r="Y993" i="1"/>
  <c r="AA995" i="1"/>
  <c r="Y995" i="1"/>
  <c r="AA997" i="1"/>
  <c r="Y997" i="1"/>
  <c r="AA999" i="1"/>
  <c r="Y999" i="1"/>
  <c r="AA1001" i="1"/>
  <c r="Y1001" i="1"/>
  <c r="C22" i="2"/>
  <c r="D22" i="2" s="1"/>
  <c r="AA1003" i="1"/>
  <c r="Y1003" i="1"/>
  <c r="AA1005" i="1"/>
  <c r="Y1005" i="1"/>
  <c r="AA1016" i="1"/>
  <c r="Y1016" i="1"/>
  <c r="AH1017" i="1"/>
  <c r="AA1024" i="1"/>
  <c r="Y1024" i="1"/>
  <c r="AH1025" i="1"/>
  <c r="R1033" i="1"/>
  <c r="P1033" i="1"/>
  <c r="Y1034" i="1"/>
  <c r="B158" i="2"/>
  <c r="G879" i="1"/>
  <c r="AH879" i="1"/>
  <c r="AA880" i="1"/>
  <c r="Y880" i="1"/>
  <c r="AH909" i="1"/>
  <c r="B189" i="2"/>
  <c r="AH910" i="1"/>
  <c r="AA911" i="1"/>
  <c r="Y911" i="1"/>
  <c r="Y919" i="1"/>
  <c r="AA919" i="1"/>
  <c r="Y923" i="1"/>
  <c r="AA923" i="1"/>
  <c r="Y927" i="1"/>
  <c r="AA927" i="1"/>
  <c r="P928" i="1"/>
  <c r="R928" i="1"/>
  <c r="Y929" i="1"/>
  <c r="AA929" i="1"/>
  <c r="P930" i="1"/>
  <c r="R930" i="1"/>
  <c r="Y931" i="1"/>
  <c r="AA931" i="1"/>
  <c r="P932" i="1"/>
  <c r="R932" i="1"/>
  <c r="Y933" i="1"/>
  <c r="AA933" i="1"/>
  <c r="P934" i="1"/>
  <c r="R934" i="1"/>
  <c r="P939" i="1"/>
  <c r="P941" i="1"/>
  <c r="G944" i="1"/>
  <c r="G946" i="1"/>
  <c r="P948" i="1"/>
  <c r="I972" i="1"/>
  <c r="I973" i="1"/>
  <c r="I974" i="1"/>
  <c r="R975" i="1"/>
  <c r="E58" i="2"/>
  <c r="R976" i="1"/>
  <c r="R977" i="1"/>
  <c r="R978" i="1"/>
  <c r="B142" i="2"/>
  <c r="P980" i="1"/>
  <c r="B101" i="2"/>
  <c r="P982" i="1"/>
  <c r="B170" i="2"/>
  <c r="B130" i="2"/>
  <c r="P984" i="1"/>
  <c r="P986" i="1"/>
  <c r="B111" i="2"/>
  <c r="P988" i="1"/>
  <c r="Y990" i="1"/>
  <c r="AH992" i="1"/>
  <c r="AH994" i="1"/>
  <c r="AH996" i="1"/>
  <c r="AH998" i="1"/>
  <c r="B68" i="2"/>
  <c r="AH1000" i="1"/>
  <c r="B96" i="2"/>
  <c r="B21" i="2"/>
  <c r="AH1002" i="1"/>
  <c r="AH1004" i="1"/>
  <c r="B91" i="2"/>
  <c r="Y1009" i="1"/>
  <c r="AA1009" i="1"/>
  <c r="P1010" i="1"/>
  <c r="R1010" i="1"/>
  <c r="AA1014" i="1"/>
  <c r="C61" i="2" s="1"/>
  <c r="D61" i="2" s="1"/>
  <c r="Y1014" i="1"/>
  <c r="AH1015" i="1"/>
  <c r="AA1022" i="1"/>
  <c r="Y1022" i="1"/>
  <c r="B85" i="2"/>
  <c r="AH1023" i="1"/>
  <c r="I1031" i="1"/>
  <c r="G1031" i="1"/>
  <c r="Y1032" i="1"/>
  <c r="B90" i="2"/>
  <c r="B161" i="2"/>
  <c r="D38" i="2"/>
  <c r="D37" i="2"/>
  <c r="B149" i="2"/>
  <c r="B115" i="2"/>
  <c r="B140" i="2"/>
  <c r="B100" i="2"/>
  <c r="B46" i="2"/>
  <c r="B138" i="2"/>
  <c r="B73" i="2"/>
  <c r="D48" i="2"/>
  <c r="B93" i="2"/>
  <c r="AA1011" i="1"/>
  <c r="Y1011" i="1"/>
  <c r="AA1013" i="1"/>
  <c r="Y1013" i="1"/>
  <c r="AA1015" i="1"/>
  <c r="C2" i="2" s="1"/>
  <c r="D2" i="2" s="1"/>
  <c r="Y1015" i="1"/>
  <c r="AA1017" i="1"/>
  <c r="Y1017" i="1"/>
  <c r="AA1019" i="1"/>
  <c r="Y1019" i="1"/>
  <c r="AA1021" i="1"/>
  <c r="Y1021" i="1"/>
  <c r="AA1023" i="1"/>
  <c r="Y1023" i="1"/>
  <c r="AA1025" i="1"/>
  <c r="Y1025" i="1"/>
  <c r="B52" i="2"/>
  <c r="I1028" i="1"/>
  <c r="G1028" i="1"/>
  <c r="I1030" i="1"/>
  <c r="G1030" i="1"/>
  <c r="R1032" i="1"/>
  <c r="P1032" i="1"/>
  <c r="R1034" i="1"/>
  <c r="P1034" i="1"/>
  <c r="AA1036" i="1"/>
  <c r="Y1036" i="1"/>
  <c r="G10" i="2"/>
  <c r="AH937" i="1"/>
  <c r="AH938" i="1"/>
  <c r="AH939" i="1"/>
  <c r="AH940" i="1"/>
  <c r="G942" i="1"/>
  <c r="G943" i="1"/>
  <c r="Y944" i="1"/>
  <c r="Y945" i="1"/>
  <c r="AH946" i="1"/>
  <c r="B88" i="2"/>
  <c r="AH947" i="1"/>
  <c r="AH948" i="1"/>
  <c r="AH949" i="1"/>
  <c r="AH979" i="1"/>
  <c r="AH980" i="1"/>
  <c r="AH981" i="1"/>
  <c r="AH982" i="1"/>
  <c r="AH983" i="1"/>
  <c r="AH984" i="1"/>
  <c r="AH985" i="1"/>
  <c r="AH986" i="1"/>
  <c r="AH987" i="1"/>
  <c r="AH988" i="1"/>
  <c r="AH989" i="1"/>
  <c r="P991" i="1"/>
  <c r="P992" i="1"/>
  <c r="P993" i="1"/>
  <c r="P994" i="1"/>
  <c r="P995" i="1"/>
  <c r="P996" i="1"/>
  <c r="P997" i="1"/>
  <c r="P998" i="1"/>
  <c r="P999" i="1"/>
  <c r="P1000" i="1"/>
  <c r="P1001" i="1"/>
  <c r="B72" i="2"/>
  <c r="P1002" i="1"/>
  <c r="P1003" i="1"/>
  <c r="P1004" i="1"/>
  <c r="B59" i="2"/>
  <c r="P1005" i="1"/>
  <c r="AH1010" i="1"/>
  <c r="B157" i="2"/>
  <c r="AH1012" i="1"/>
  <c r="B121" i="2"/>
  <c r="AH1014" i="1"/>
  <c r="B107" i="2"/>
  <c r="AH1016" i="1"/>
  <c r="AH1018" i="1"/>
  <c r="AH1020" i="1"/>
  <c r="B41" i="2"/>
  <c r="B106" i="2"/>
  <c r="AH1022" i="1"/>
  <c r="B127" i="2"/>
  <c r="AH1024" i="1"/>
  <c r="P1027" i="1"/>
  <c r="B132" i="2"/>
  <c r="P1029" i="1"/>
  <c r="B45" i="2"/>
  <c r="Y1031" i="1"/>
  <c r="B40" i="2"/>
  <c r="Y1033" i="1"/>
  <c r="AH1035" i="1"/>
  <c r="B97" i="2"/>
  <c r="C106" i="2"/>
  <c r="D106" i="2" s="1"/>
  <c r="B124" i="2"/>
  <c r="B116" i="2"/>
  <c r="B102" i="2"/>
  <c r="B119" i="2"/>
  <c r="B117" i="2"/>
  <c r="B67" i="2"/>
  <c r="B156" i="2"/>
  <c r="P1011" i="1"/>
  <c r="B133" i="2"/>
  <c r="P1012" i="1"/>
  <c r="P1013" i="1"/>
  <c r="B95" i="2"/>
  <c r="P1014" i="1"/>
  <c r="P1015" i="1"/>
  <c r="P1016" i="1"/>
  <c r="B134" i="2"/>
  <c r="P1017" i="1"/>
  <c r="B131" i="2"/>
  <c r="P1018" i="1"/>
  <c r="P1019" i="1"/>
  <c r="P1020" i="1"/>
  <c r="P1021" i="1"/>
  <c r="P1022" i="1"/>
  <c r="P1023" i="1"/>
  <c r="P1024" i="1"/>
  <c r="B76" i="2"/>
  <c r="P1025" i="1"/>
  <c r="B109" i="2"/>
  <c r="Y1026" i="1"/>
  <c r="AH1027" i="1"/>
  <c r="B146" i="2"/>
  <c r="AH1028" i="1"/>
  <c r="AH1029" i="1"/>
  <c r="AH1030" i="1"/>
  <c r="B125" i="2"/>
  <c r="G1032" i="1"/>
  <c r="G1033" i="1"/>
  <c r="G1034" i="1"/>
  <c r="G1035" i="1"/>
  <c r="P1036" i="1"/>
  <c r="G50" i="2" l="1"/>
  <c r="E185" i="2"/>
  <c r="E94" i="2"/>
  <c r="G24" i="2"/>
  <c r="C115" i="2"/>
  <c r="F162" i="2"/>
  <c r="G185" i="2"/>
  <c r="G16" i="2"/>
  <c r="C130" i="2"/>
  <c r="D130" i="2" s="1"/>
  <c r="G76" i="2"/>
  <c r="G65" i="2"/>
  <c r="C28" i="2"/>
  <c r="D28" i="2" s="1"/>
  <c r="C45" i="2"/>
  <c r="D45" i="2" s="1"/>
  <c r="C65" i="2"/>
  <c r="D65" i="2" s="1"/>
  <c r="C49" i="2"/>
  <c r="D49" i="2" s="1"/>
  <c r="C42" i="2"/>
  <c r="D42" i="2" s="1"/>
  <c r="H10" i="2"/>
  <c r="F185" i="2"/>
  <c r="G4" i="2"/>
  <c r="C47" i="2"/>
  <c r="D47" i="2" s="1"/>
  <c r="C188" i="2"/>
  <c r="D188" i="2" s="1"/>
  <c r="C39" i="2"/>
  <c r="D39" i="2" s="1"/>
  <c r="F74" i="2"/>
  <c r="E168" i="2"/>
  <c r="C137" i="2"/>
  <c r="D137" i="2" s="1"/>
  <c r="G72" i="2"/>
  <c r="G118" i="2"/>
  <c r="F20" i="2"/>
  <c r="C162" i="2"/>
  <c r="D162" i="2" s="1"/>
  <c r="C53" i="2"/>
  <c r="D53" i="2" s="1"/>
  <c r="E39" i="2"/>
  <c r="G71" i="2"/>
  <c r="C101" i="2"/>
  <c r="D101" i="2" s="1"/>
  <c r="F55" i="2"/>
  <c r="G162" i="2"/>
  <c r="G57" i="2"/>
  <c r="E24" i="2"/>
  <c r="E28" i="2"/>
  <c r="F24" i="2"/>
  <c r="C105" i="2"/>
  <c r="D105" i="2" s="1"/>
  <c r="E4" i="2"/>
  <c r="G126" i="2"/>
  <c r="E119" i="2"/>
  <c r="E20" i="2"/>
  <c r="E7" i="2"/>
  <c r="F79" i="2"/>
  <c r="E163" i="2"/>
  <c r="F169" i="2"/>
  <c r="F32" i="2"/>
  <c r="F189" i="2"/>
  <c r="C57" i="2"/>
  <c r="D57" i="2" s="1"/>
  <c r="G77" i="2"/>
  <c r="C147" i="2"/>
  <c r="D147" i="2" s="1"/>
  <c r="C108" i="2"/>
  <c r="D108" i="2" s="1"/>
  <c r="G80" i="2"/>
  <c r="G6" i="2"/>
  <c r="E128" i="2"/>
  <c r="E144" i="2"/>
  <c r="C77" i="2"/>
  <c r="D77" i="2" s="1"/>
  <c r="G60" i="2"/>
  <c r="G145" i="2"/>
  <c r="C70" i="2"/>
  <c r="D70" i="2" s="1"/>
  <c r="G171" i="2"/>
  <c r="E14" i="2"/>
  <c r="E118" i="2"/>
  <c r="C135" i="2"/>
  <c r="D135" i="2" s="1"/>
  <c r="C55" i="2"/>
  <c r="D55" i="2" s="1"/>
  <c r="E179" i="2"/>
  <c r="F176" i="2"/>
  <c r="E51" i="2"/>
  <c r="C79" i="2"/>
  <c r="D79" i="2" s="1"/>
  <c r="C132" i="2"/>
  <c r="D132" i="2" s="1"/>
  <c r="C158" i="2"/>
  <c r="D158" i="2" s="1"/>
  <c r="G69" i="2"/>
  <c r="G183" i="2"/>
  <c r="E187" i="2"/>
  <c r="F184" i="2"/>
  <c r="F39" i="2"/>
  <c r="E57" i="2"/>
  <c r="F50" i="2"/>
  <c r="C93" i="2"/>
  <c r="D93" i="2" s="1"/>
  <c r="F101" i="2"/>
  <c r="C167" i="2"/>
  <c r="D167" i="2" s="1"/>
  <c r="C172" i="2"/>
  <c r="D172" i="2" s="1"/>
  <c r="G3" i="2"/>
  <c r="H3" i="2" s="1"/>
  <c r="G20" i="2"/>
  <c r="G169" i="2"/>
  <c r="G58" i="2"/>
  <c r="I58" i="2" s="1"/>
  <c r="E34" i="2"/>
  <c r="E50" i="2"/>
  <c r="F183" i="2"/>
  <c r="I183" i="2" s="1"/>
  <c r="E184" i="2"/>
  <c r="F57" i="2"/>
  <c r="G170" i="2"/>
  <c r="E21" i="2"/>
  <c r="C90" i="2"/>
  <c r="D90" i="2" s="1"/>
  <c r="E176" i="2"/>
  <c r="G187" i="2"/>
  <c r="G184" i="2"/>
  <c r="C112" i="2"/>
  <c r="D112" i="2" s="1"/>
  <c r="E69" i="2"/>
  <c r="C182" i="2"/>
  <c r="D182" i="2" s="1"/>
  <c r="C107" i="2"/>
  <c r="D107" i="2" s="1"/>
  <c r="G39" i="2"/>
  <c r="E108" i="2"/>
  <c r="F147" i="2"/>
  <c r="C75" i="2"/>
  <c r="D75" i="2" s="1"/>
  <c r="E162" i="2"/>
  <c r="F128" i="2"/>
  <c r="C139" i="2"/>
  <c r="D139" i="2" s="1"/>
  <c r="F112" i="2"/>
  <c r="F115" i="2"/>
  <c r="G143" i="2"/>
  <c r="E6" i="2"/>
  <c r="F148" i="2"/>
  <c r="C169" i="2"/>
  <c r="D169" i="2" s="1"/>
  <c r="C173" i="2"/>
  <c r="D173" i="2" s="1"/>
  <c r="C25" i="2"/>
  <c r="D25" i="2" s="1"/>
  <c r="C154" i="2"/>
  <c r="D154" i="2" s="1"/>
  <c r="F94" i="2"/>
  <c r="E126" i="2"/>
  <c r="F75" i="2"/>
  <c r="F77" i="2"/>
  <c r="G176" i="2"/>
  <c r="F89" i="2"/>
  <c r="C170" i="2"/>
  <c r="D170" i="2" s="1"/>
  <c r="C175" i="2"/>
  <c r="D175" i="2" s="1"/>
  <c r="C163" i="2"/>
  <c r="D163" i="2" s="1"/>
  <c r="C94" i="2"/>
  <c r="D94" i="2" s="1"/>
  <c r="C125" i="2"/>
  <c r="D125" i="2" s="1"/>
  <c r="E169" i="2"/>
  <c r="G164" i="2"/>
  <c r="C52" i="2"/>
  <c r="D52" i="2" s="1"/>
  <c r="F143" i="2"/>
  <c r="E31" i="2"/>
  <c r="F118" i="2"/>
  <c r="C67" i="2"/>
  <c r="D67" i="2" s="1"/>
  <c r="G85" i="2"/>
  <c r="C7" i="2"/>
  <c r="D7" i="2" s="1"/>
  <c r="F34" i="2"/>
  <c r="C117" i="2"/>
  <c r="D117" i="2" s="1"/>
  <c r="E81" i="2"/>
  <c r="C122" i="2"/>
  <c r="D122" i="2" s="1"/>
  <c r="E59" i="2"/>
  <c r="G128" i="2"/>
  <c r="F69" i="2"/>
  <c r="G154" i="2"/>
  <c r="C164" i="2"/>
  <c r="D164" i="2" s="1"/>
  <c r="F36" i="2"/>
  <c r="C180" i="2"/>
  <c r="D180" i="2" s="1"/>
  <c r="F80" i="2"/>
  <c r="F6" i="2"/>
  <c r="G94" i="2"/>
  <c r="E25" i="2"/>
  <c r="G32" i="2"/>
  <c r="C71" i="2"/>
  <c r="D71" i="2" s="1"/>
  <c r="G149" i="2"/>
  <c r="C74" i="2"/>
  <c r="D74" i="2" s="1"/>
  <c r="G127" i="2"/>
  <c r="G168" i="2"/>
  <c r="C54" i="2"/>
  <c r="D54" i="2" s="1"/>
  <c r="C73" i="2"/>
  <c r="D73" i="2" s="1"/>
  <c r="C129" i="2"/>
  <c r="D129" i="2" s="1"/>
  <c r="E60" i="2"/>
  <c r="E80" i="2"/>
  <c r="D86" i="2"/>
  <c r="F107" i="2"/>
  <c r="C76" i="2"/>
  <c r="D76" i="2" s="1"/>
  <c r="F117" i="2"/>
  <c r="E189" i="2"/>
  <c r="C119" i="2"/>
  <c r="D119" i="2" s="1"/>
  <c r="C11" i="2"/>
  <c r="D11" i="2" s="1"/>
  <c r="C102" i="2"/>
  <c r="D102" i="2" s="1"/>
  <c r="E71" i="2"/>
  <c r="C17" i="2"/>
  <c r="D17" i="2" s="1"/>
  <c r="C111" i="2"/>
  <c r="D111" i="2" s="1"/>
  <c r="C148" i="2"/>
  <c r="D148" i="2" s="1"/>
  <c r="C124" i="2"/>
  <c r="D124" i="2" s="1"/>
  <c r="G147" i="2"/>
  <c r="G173" i="2"/>
  <c r="E40" i="2"/>
  <c r="F47" i="2"/>
  <c r="E145" i="2"/>
  <c r="G179" i="2"/>
  <c r="E158" i="2"/>
  <c r="F140" i="2"/>
  <c r="G25" i="2"/>
  <c r="E30" i="2"/>
  <c r="E103" i="2"/>
  <c r="E129" i="2"/>
  <c r="C114" i="2"/>
  <c r="D114" i="2" s="1"/>
  <c r="F144" i="2"/>
  <c r="F51" i="2"/>
  <c r="E43" i="2"/>
  <c r="G14" i="2"/>
  <c r="C89" i="2"/>
  <c r="D89" i="2" s="1"/>
  <c r="E166" i="2"/>
  <c r="C99" i="2"/>
  <c r="D99" i="2" s="1"/>
  <c r="C14" i="2"/>
  <c r="D14" i="2" s="1"/>
  <c r="F135" i="2"/>
  <c r="G55" i="2"/>
  <c r="C142" i="2"/>
  <c r="D142" i="2" s="1"/>
  <c r="C110" i="2"/>
  <c r="D110" i="2" s="1"/>
  <c r="C138" i="2"/>
  <c r="D138" i="2" s="1"/>
  <c r="F92" i="2"/>
  <c r="E137" i="2"/>
  <c r="E33" i="2"/>
  <c r="F71" i="2"/>
  <c r="F72" i="2"/>
  <c r="E74" i="2"/>
  <c r="G189" i="2"/>
  <c r="C186" i="2"/>
  <c r="D186" i="2" s="1"/>
  <c r="C81" i="2"/>
  <c r="D81" i="2" s="1"/>
  <c r="E79" i="2"/>
  <c r="F4" i="2"/>
  <c r="F168" i="2"/>
  <c r="E47" i="2"/>
  <c r="C36" i="2"/>
  <c r="D36" i="2" s="1"/>
  <c r="G153" i="2"/>
  <c r="C103" i="2"/>
  <c r="D103" i="2" s="1"/>
  <c r="C189" i="2"/>
  <c r="D189" i="2" s="1"/>
  <c r="F170" i="2"/>
  <c r="F123" i="2"/>
  <c r="G13" i="2"/>
  <c r="C127" i="2"/>
  <c r="D127" i="2" s="1"/>
  <c r="G59" i="2"/>
  <c r="C41" i="2"/>
  <c r="D41" i="2" s="1"/>
  <c r="C160" i="2"/>
  <c r="D160" i="2" s="1"/>
  <c r="C168" i="2"/>
  <c r="D168" i="2" s="1"/>
  <c r="C140" i="2"/>
  <c r="D140" i="2" s="1"/>
  <c r="F171" i="2"/>
  <c r="F81" i="2"/>
  <c r="C120" i="2"/>
  <c r="D120" i="2" s="1"/>
  <c r="F160" i="2"/>
  <c r="E32" i="2"/>
  <c r="F163" i="2"/>
  <c r="C121" i="2"/>
  <c r="D121" i="2" s="1"/>
  <c r="C80" i="2"/>
  <c r="D80" i="2" s="1"/>
  <c r="C85" i="2"/>
  <c r="D85" i="2" s="1"/>
  <c r="F108" i="2"/>
  <c r="E95" i="2"/>
  <c r="G28" i="2"/>
  <c r="C134" i="2"/>
  <c r="D134" i="2" s="1"/>
  <c r="C33" i="2"/>
  <c r="D33" i="2" s="1"/>
  <c r="F167" i="2"/>
  <c r="C13" i="2"/>
  <c r="D13" i="2" s="1"/>
  <c r="F173" i="2"/>
  <c r="G73" i="2"/>
  <c r="C113" i="2"/>
  <c r="D113" i="2" s="1"/>
  <c r="F126" i="2"/>
  <c r="G180" i="2"/>
  <c r="C123" i="2"/>
  <c r="D123" i="2" s="1"/>
  <c r="E54" i="2"/>
  <c r="C12" i="2"/>
  <c r="D12" i="2" s="1"/>
  <c r="G33" i="2"/>
  <c r="C32" i="2"/>
  <c r="D32" i="2" s="1"/>
  <c r="F111" i="2"/>
  <c r="C152" i="2"/>
  <c r="D152" i="2" s="1"/>
  <c r="E127" i="2"/>
  <c r="G160" i="2"/>
  <c r="E41" i="2"/>
  <c r="C66" i="2"/>
  <c r="D66" i="2" s="1"/>
  <c r="F116" i="2"/>
  <c r="F119" i="2"/>
  <c r="G119" i="2"/>
  <c r="G96" i="2"/>
  <c r="F110" i="2"/>
  <c r="G7" i="2"/>
  <c r="C141" i="2"/>
  <c r="D141" i="2" s="1"/>
  <c r="E157" i="2"/>
  <c r="F16" i="2"/>
  <c r="E123" i="2"/>
  <c r="G54" i="2"/>
  <c r="E77" i="2"/>
  <c r="F154" i="2"/>
  <c r="E180" i="2"/>
  <c r="G120" i="2"/>
  <c r="G108" i="2"/>
  <c r="F127" i="2"/>
  <c r="G41" i="2"/>
  <c r="G103" i="2"/>
  <c r="E116" i="2"/>
  <c r="E13" i="2"/>
  <c r="F141" i="2"/>
  <c r="G81" i="2"/>
  <c r="F103" i="2"/>
  <c r="C159" i="2"/>
  <c r="D159" i="2" s="1"/>
  <c r="C128" i="2"/>
  <c r="D128" i="2" s="1"/>
  <c r="C143" i="2"/>
  <c r="D143" i="2" s="1"/>
  <c r="E112" i="2"/>
  <c r="G36" i="2"/>
  <c r="F114" i="2"/>
  <c r="F166" i="2"/>
  <c r="F60" i="2"/>
  <c r="E55" i="2"/>
  <c r="F158" i="2"/>
  <c r="E153" i="2"/>
  <c r="C153" i="2"/>
  <c r="D153" i="2" s="1"/>
  <c r="G89" i="2"/>
  <c r="C84" i="2"/>
  <c r="D84" i="2" s="1"/>
  <c r="F180" i="2"/>
  <c r="G139" i="2"/>
  <c r="E45" i="2"/>
  <c r="G21" i="2"/>
  <c r="E135" i="2"/>
  <c r="G144" i="2"/>
  <c r="E171" i="2"/>
  <c r="F179" i="2"/>
  <c r="F145" i="2"/>
  <c r="G43" i="2"/>
  <c r="C4" i="2"/>
  <c r="D4" i="2" s="1"/>
  <c r="C145" i="2"/>
  <c r="D145" i="2" s="1"/>
  <c r="C144" i="2"/>
  <c r="D144" i="2" s="1"/>
  <c r="C166" i="2"/>
  <c r="D166" i="2" s="1"/>
  <c r="C126" i="2"/>
  <c r="D126" i="2" s="1"/>
  <c r="E70" i="2"/>
  <c r="F139" i="2"/>
  <c r="C43" i="2"/>
  <c r="D43" i="2" s="1"/>
  <c r="C51" i="2"/>
  <c r="D51" i="2" s="1"/>
  <c r="E107" i="2"/>
  <c r="F142" i="2"/>
  <c r="G167" i="2"/>
  <c r="E170" i="2"/>
  <c r="F25" i="2"/>
  <c r="F137" i="2"/>
  <c r="E111" i="2"/>
  <c r="G130" i="2"/>
  <c r="F33" i="2"/>
  <c r="F40" i="2"/>
  <c r="C95" i="2"/>
  <c r="D95" i="2" s="1"/>
  <c r="E16" i="2"/>
  <c r="E141" i="2"/>
  <c r="G123" i="2"/>
  <c r="C88" i="2"/>
  <c r="D88" i="2" s="1"/>
  <c r="F133" i="2"/>
  <c r="I10" i="2"/>
  <c r="G90" i="2"/>
  <c r="E149" i="2"/>
  <c r="E120" i="2"/>
  <c r="E147" i="2"/>
  <c r="E154" i="2"/>
  <c r="F41" i="2"/>
  <c r="G95" i="2"/>
  <c r="C87" i="2"/>
  <c r="D87" i="2" s="1"/>
  <c r="C91" i="2"/>
  <c r="D91" i="2" s="1"/>
  <c r="E173" i="2"/>
  <c r="C157" i="2"/>
  <c r="D157" i="2" s="1"/>
  <c r="C29" i="2"/>
  <c r="D29" i="2" s="1"/>
  <c r="G121" i="2"/>
  <c r="F65" i="2"/>
  <c r="C59" i="2"/>
  <c r="D59" i="2" s="1"/>
  <c r="G31" i="2"/>
  <c r="G47" i="2"/>
  <c r="H66" i="2"/>
  <c r="H183" i="2"/>
  <c r="F14" i="2"/>
  <c r="F31" i="2"/>
  <c r="F30" i="2"/>
  <c r="G129" i="2"/>
  <c r="F95" i="2"/>
  <c r="C97" i="2"/>
  <c r="D97" i="2" s="1"/>
  <c r="G166" i="2"/>
  <c r="G158" i="2"/>
  <c r="G93" i="2"/>
  <c r="F70" i="2"/>
  <c r="G75" i="2"/>
  <c r="E148" i="2"/>
  <c r="F99" i="2"/>
  <c r="F182" i="2"/>
  <c r="F149" i="2"/>
  <c r="G135" i="2"/>
  <c r="G51" i="2"/>
  <c r="F43" i="2"/>
  <c r="F188" i="2"/>
  <c r="C118" i="2"/>
  <c r="D118" i="2" s="1"/>
  <c r="C176" i="2"/>
  <c r="D176" i="2" s="1"/>
  <c r="F157" i="2"/>
  <c r="F150" i="2"/>
  <c r="E150" i="2"/>
  <c r="F138" i="2"/>
  <c r="G115" i="2"/>
  <c r="F73" i="2"/>
  <c r="E160" i="2"/>
  <c r="C30" i="2"/>
  <c r="D30" i="2" s="1"/>
  <c r="C116" i="2"/>
  <c r="D116" i="2" s="1"/>
  <c r="E130" i="2"/>
  <c r="F42" i="2"/>
  <c r="C40" i="2"/>
  <c r="D40" i="2" s="1"/>
  <c r="E109" i="2"/>
  <c r="D21" i="2"/>
  <c r="F104" i="2"/>
  <c r="G42" i="2"/>
  <c r="C72" i="2"/>
  <c r="D72" i="2" s="1"/>
  <c r="C104" i="2"/>
  <c r="D104" i="2" s="1"/>
  <c r="C161" i="2"/>
  <c r="D161" i="2" s="1"/>
  <c r="G11" i="2"/>
  <c r="C23" i="2"/>
  <c r="D23" i="2" s="1"/>
  <c r="G133" i="2"/>
  <c r="F120" i="2"/>
  <c r="E110" i="2"/>
  <c r="C92" i="2"/>
  <c r="D92" i="2" s="1"/>
  <c r="F146" i="2"/>
  <c r="C98" i="2"/>
  <c r="D98" i="2" s="1"/>
  <c r="C100" i="2"/>
  <c r="D100" i="2" s="1"/>
  <c r="C149" i="2"/>
  <c r="D149" i="2" s="1"/>
  <c r="F100" i="2"/>
  <c r="C150" i="2"/>
  <c r="D150" i="2" s="1"/>
  <c r="E117" i="2"/>
  <c r="F13" i="2"/>
  <c r="C31" i="2"/>
  <c r="D31" i="2" s="1"/>
  <c r="F129" i="2"/>
  <c r="I129" i="2" s="1"/>
  <c r="F164" i="2"/>
  <c r="F97" i="2"/>
  <c r="F153" i="2"/>
  <c r="E142" i="2"/>
  <c r="G113" i="2"/>
  <c r="E96" i="2"/>
  <c r="E92" i="2"/>
  <c r="G159" i="2"/>
  <c r="C96" i="2"/>
  <c r="D96" i="2" s="1"/>
  <c r="G163" i="2"/>
  <c r="E140" i="2"/>
  <c r="C60" i="2"/>
  <c r="D60" i="2" s="1"/>
  <c r="E15" i="2"/>
  <c r="F15" i="2"/>
  <c r="G15" i="2"/>
  <c r="F165" i="2"/>
  <c r="E165" i="2"/>
  <c r="G165" i="2"/>
  <c r="F98" i="2"/>
  <c r="E98" i="2"/>
  <c r="G98" i="2"/>
  <c r="E5" i="2"/>
  <c r="F5" i="2"/>
  <c r="G5" i="2"/>
  <c r="G61" i="2"/>
  <c r="E61" i="2"/>
  <c r="F61" i="2"/>
  <c r="F177" i="2"/>
  <c r="E177" i="2"/>
  <c r="G177" i="2"/>
  <c r="F159" i="2"/>
  <c r="F106" i="2"/>
  <c r="E106" i="2"/>
  <c r="G106" i="2"/>
  <c r="G82" i="2"/>
  <c r="E82" i="2"/>
  <c r="F82" i="2"/>
  <c r="F93" i="2"/>
  <c r="E139" i="2"/>
  <c r="E75" i="2"/>
  <c r="F18" i="2"/>
  <c r="G87" i="2"/>
  <c r="E87" i="2"/>
  <c r="F87" i="2"/>
  <c r="F85" i="2"/>
  <c r="E100" i="2"/>
  <c r="G116" i="2"/>
  <c r="E73" i="2"/>
  <c r="F152" i="2"/>
  <c r="E152" i="2"/>
  <c r="G152" i="2"/>
  <c r="E2" i="2"/>
  <c r="F2" i="2"/>
  <c r="G2" i="2"/>
  <c r="E9" i="2"/>
  <c r="F9" i="2"/>
  <c r="G9" i="2"/>
  <c r="F121" i="2"/>
  <c r="E44" i="2"/>
  <c r="G44" i="2"/>
  <c r="F44" i="2"/>
  <c r="E113" i="2"/>
  <c r="C109" i="2"/>
  <c r="D109" i="2" s="1"/>
  <c r="F7" i="2"/>
  <c r="F161" i="2"/>
  <c r="E161" i="2"/>
  <c r="G161" i="2"/>
  <c r="E76" i="2"/>
  <c r="E35" i="2"/>
  <c r="F35" i="2"/>
  <c r="G35" i="2"/>
  <c r="E12" i="2"/>
  <c r="G12" i="2"/>
  <c r="F12" i="2"/>
  <c r="E104" i="2"/>
  <c r="F90" i="2"/>
  <c r="G146" i="2"/>
  <c r="G117" i="2"/>
  <c r="F151" i="2"/>
  <c r="G151" i="2"/>
  <c r="E151" i="2"/>
  <c r="E115" i="2"/>
  <c r="G101" i="2"/>
  <c r="C177" i="2"/>
  <c r="D177" i="2" s="1"/>
  <c r="G114" i="2"/>
  <c r="G62" i="2"/>
  <c r="F62" i="2"/>
  <c r="E62" i="2"/>
  <c r="G92" i="2"/>
  <c r="G97" i="2"/>
  <c r="F130" i="2"/>
  <c r="F174" i="2"/>
  <c r="G174" i="2"/>
  <c r="E174" i="2"/>
  <c r="F21" i="2"/>
  <c r="E93" i="2"/>
  <c r="G70" i="2"/>
  <c r="G99" i="2"/>
  <c r="G45" i="2"/>
  <c r="G188" i="2"/>
  <c r="G182" i="2"/>
  <c r="G141" i="2"/>
  <c r="E37" i="2"/>
  <c r="F37" i="2"/>
  <c r="G37" i="2"/>
  <c r="C146" i="2"/>
  <c r="D146" i="2" s="1"/>
  <c r="C131" i="2"/>
  <c r="D131" i="2" s="1"/>
  <c r="F54" i="2"/>
  <c r="I54" i="2" s="1"/>
  <c r="E72" i="2"/>
  <c r="F11" i="2"/>
  <c r="E167" i="2"/>
  <c r="F28" i="2"/>
  <c r="F76" i="2"/>
  <c r="G157" i="2"/>
  <c r="D115" i="2"/>
  <c r="G150" i="2"/>
  <c r="G110" i="2"/>
  <c r="E26" i="2"/>
  <c r="F26" i="2"/>
  <c r="G26" i="2"/>
  <c r="E42" i="2"/>
  <c r="G104" i="2"/>
  <c r="E164" i="2"/>
  <c r="E133" i="2"/>
  <c r="E90" i="2"/>
  <c r="E138" i="2"/>
  <c r="G137" i="2"/>
  <c r="F105" i="2"/>
  <c r="E105" i="2"/>
  <c r="G105" i="2"/>
  <c r="E85" i="2"/>
  <c r="F122" i="2"/>
  <c r="E122" i="2"/>
  <c r="G122" i="2"/>
  <c r="E146" i="2"/>
  <c r="G30" i="2"/>
  <c r="I49" i="2"/>
  <c r="E121" i="2"/>
  <c r="C27" i="2"/>
  <c r="D27" i="2" s="1"/>
  <c r="G100" i="2"/>
  <c r="C151" i="2"/>
  <c r="D151" i="2" s="1"/>
  <c r="C83" i="2"/>
  <c r="D83" i="2" s="1"/>
  <c r="C19" i="2"/>
  <c r="D19" i="2" s="1"/>
  <c r="G111" i="2"/>
  <c r="E101" i="2"/>
  <c r="F109" i="2"/>
  <c r="E89" i="2"/>
  <c r="G148" i="2"/>
  <c r="G112" i="2"/>
  <c r="F125" i="2"/>
  <c r="G125" i="2"/>
  <c r="E125" i="2"/>
  <c r="G68" i="2"/>
  <c r="F68" i="2"/>
  <c r="E68" i="2"/>
  <c r="G78" i="2"/>
  <c r="F78" i="2"/>
  <c r="E78" i="2"/>
  <c r="E114" i="2"/>
  <c r="D62" i="2"/>
  <c r="F59" i="2"/>
  <c r="G40" i="2"/>
  <c r="E97" i="2"/>
  <c r="F131" i="2"/>
  <c r="G131" i="2"/>
  <c r="E131" i="2"/>
  <c r="F96" i="2"/>
  <c r="E159" i="2"/>
  <c r="F132" i="2"/>
  <c r="E132" i="2"/>
  <c r="G132" i="2"/>
  <c r="F124" i="2"/>
  <c r="G124" i="2"/>
  <c r="E124" i="2"/>
  <c r="F156" i="2"/>
  <c r="G156" i="2"/>
  <c r="E156" i="2"/>
  <c r="G107" i="2"/>
  <c r="G91" i="2"/>
  <c r="E91" i="2"/>
  <c r="F91" i="2"/>
  <c r="E99" i="2"/>
  <c r="F45" i="2"/>
  <c r="G142" i="2"/>
  <c r="I53" i="2"/>
  <c r="G140" i="2"/>
  <c r="E182" i="2"/>
  <c r="G88" i="2"/>
  <c r="F88" i="2"/>
  <c r="E88" i="2"/>
  <c r="F186" i="2"/>
  <c r="G186" i="2"/>
  <c r="E186" i="2"/>
  <c r="E8" i="2"/>
  <c r="F8" i="2"/>
  <c r="G8" i="2"/>
  <c r="C181" i="2"/>
  <c r="D181" i="2" s="1"/>
  <c r="E17" i="2"/>
  <c r="F17" i="2"/>
  <c r="G17" i="2"/>
  <c r="G109" i="2"/>
  <c r="E52" i="2"/>
  <c r="G52" i="2"/>
  <c r="F52" i="2"/>
  <c r="E46" i="2"/>
  <c r="G46" i="2"/>
  <c r="F46" i="2"/>
  <c r="F181" i="2"/>
  <c r="G181" i="2"/>
  <c r="E181" i="2"/>
  <c r="G138" i="2"/>
  <c r="E29" i="2"/>
  <c r="F29" i="2"/>
  <c r="G29" i="2"/>
  <c r="F113" i="2"/>
  <c r="G64" i="2"/>
  <c r="F64" i="2"/>
  <c r="E64" i="2"/>
  <c r="E48" i="2"/>
  <c r="F48" i="2"/>
  <c r="G48" i="2"/>
  <c r="E38" i="2"/>
  <c r="G38" i="2"/>
  <c r="F38" i="2"/>
  <c r="C133" i="2"/>
  <c r="D133" i="2" s="1"/>
  <c r="E18" i="2"/>
  <c r="E22" i="2"/>
  <c r="G22" i="2"/>
  <c r="F22" i="2"/>
  <c r="E11" i="2"/>
  <c r="C156" i="2"/>
  <c r="D156" i="2" s="1"/>
  <c r="E23" i="2"/>
  <c r="F23" i="2"/>
  <c r="G23" i="2"/>
  <c r="F102" i="2"/>
  <c r="G102" i="2"/>
  <c r="E102" i="2"/>
  <c r="F175" i="2"/>
  <c r="E175" i="2"/>
  <c r="G175" i="2"/>
  <c r="F134" i="2"/>
  <c r="G134" i="2"/>
  <c r="E134" i="2"/>
  <c r="C5" i="2"/>
  <c r="D5" i="2" s="1"/>
  <c r="F172" i="2"/>
  <c r="G172" i="2"/>
  <c r="E172" i="2"/>
  <c r="H49" i="2"/>
  <c r="E27" i="2"/>
  <c r="F27" i="2"/>
  <c r="G27" i="2"/>
  <c r="C44" i="2"/>
  <c r="D44" i="2" s="1"/>
  <c r="G83" i="2"/>
  <c r="E83" i="2"/>
  <c r="F83" i="2"/>
  <c r="E19" i="2"/>
  <c r="F19" i="2"/>
  <c r="G19" i="2"/>
  <c r="I66" i="2"/>
  <c r="E56" i="2"/>
  <c r="F56" i="2"/>
  <c r="G56" i="2"/>
  <c r="F136" i="2"/>
  <c r="G136" i="2"/>
  <c r="E136" i="2"/>
  <c r="F155" i="2"/>
  <c r="G155" i="2"/>
  <c r="E155" i="2"/>
  <c r="G84" i="2"/>
  <c r="F84" i="2"/>
  <c r="E84" i="2"/>
  <c r="F178" i="2"/>
  <c r="E178" i="2"/>
  <c r="G178" i="2"/>
  <c r="G67" i="2"/>
  <c r="E67" i="2"/>
  <c r="F67" i="2"/>
  <c r="G86" i="2"/>
  <c r="F86" i="2"/>
  <c r="E86" i="2"/>
  <c r="G63" i="2"/>
  <c r="E63" i="2"/>
  <c r="F63" i="2"/>
  <c r="C82" i="2"/>
  <c r="D82" i="2" s="1"/>
  <c r="H53" i="2"/>
  <c r="I31" i="2" l="1"/>
  <c r="H18" i="2"/>
  <c r="H182" i="2"/>
  <c r="I6" i="2"/>
  <c r="I162" i="2"/>
  <c r="I39" i="2"/>
  <c r="I184" i="2"/>
  <c r="I24" i="2"/>
  <c r="H74" i="2"/>
  <c r="I153" i="2"/>
  <c r="I65" i="2"/>
  <c r="H162" i="2"/>
  <c r="H185" i="2"/>
  <c r="H11" i="2"/>
  <c r="H80" i="2"/>
  <c r="H24" i="2"/>
  <c r="H31" i="2"/>
  <c r="I135" i="2"/>
  <c r="H77" i="2"/>
  <c r="I169" i="2"/>
  <c r="I127" i="2"/>
  <c r="H171" i="2"/>
  <c r="H173" i="2"/>
  <c r="H60" i="2"/>
  <c r="I77" i="2"/>
  <c r="H169" i="2"/>
  <c r="I188" i="2"/>
  <c r="I60" i="2"/>
  <c r="H115" i="2"/>
  <c r="I59" i="2"/>
  <c r="I14" i="2"/>
  <c r="I33" i="2"/>
  <c r="H179" i="2"/>
  <c r="H187" i="2"/>
  <c r="H39" i="2"/>
  <c r="H112" i="2"/>
  <c r="H58" i="2"/>
  <c r="H135" i="2"/>
  <c r="H168" i="2"/>
  <c r="I118" i="2"/>
  <c r="I32" i="2"/>
  <c r="H32" i="2"/>
  <c r="I13" i="2"/>
  <c r="I4" i="2"/>
  <c r="I173" i="2"/>
  <c r="H110" i="2"/>
  <c r="I100" i="2"/>
  <c r="H65" i="2"/>
  <c r="H16" i="2"/>
  <c r="H147" i="2"/>
  <c r="I189" i="2"/>
  <c r="H79" i="2"/>
  <c r="I179" i="2"/>
  <c r="I185" i="2"/>
  <c r="H148" i="2"/>
  <c r="I130" i="2"/>
  <c r="I147" i="2"/>
  <c r="H167" i="2"/>
  <c r="I187" i="2"/>
  <c r="H50" i="2"/>
  <c r="H20" i="2"/>
  <c r="H127" i="2"/>
  <c r="I80" i="2"/>
  <c r="I94" i="2"/>
  <c r="H57" i="2"/>
  <c r="I123" i="2"/>
  <c r="H41" i="2"/>
  <c r="H47" i="2"/>
  <c r="I47" i="2"/>
  <c r="I71" i="2"/>
  <c r="H189" i="2"/>
  <c r="H6" i="2"/>
  <c r="H170" i="2"/>
  <c r="I79" i="2"/>
  <c r="I74" i="2"/>
  <c r="I142" i="2"/>
  <c r="H71" i="2"/>
  <c r="I20" i="2"/>
  <c r="H154" i="2"/>
  <c r="I16" i="2"/>
  <c r="H160" i="2"/>
  <c r="I81" i="2"/>
  <c r="H117" i="2"/>
  <c r="I143" i="2"/>
  <c r="H69" i="2"/>
  <c r="H184" i="2"/>
  <c r="H118" i="2"/>
  <c r="I145" i="2"/>
  <c r="I50" i="2"/>
  <c r="I148" i="2"/>
  <c r="I25" i="2"/>
  <c r="I140" i="2"/>
  <c r="H107" i="2"/>
  <c r="H111" i="2"/>
  <c r="H70" i="2"/>
  <c r="I168" i="2"/>
  <c r="I154" i="2"/>
  <c r="H145" i="2"/>
  <c r="I30" i="2"/>
  <c r="H90" i="2"/>
  <c r="I76" i="2"/>
  <c r="H163" i="2"/>
  <c r="I160" i="2"/>
  <c r="I51" i="2"/>
  <c r="H143" i="2"/>
  <c r="I3" i="2"/>
  <c r="H25" i="2"/>
  <c r="H75" i="2"/>
  <c r="H103" i="2"/>
  <c r="H126" i="2"/>
  <c r="I69" i="2"/>
  <c r="I176" i="2"/>
  <c r="I34" i="2"/>
  <c r="I92" i="2"/>
  <c r="I166" i="2"/>
  <c r="H158" i="2"/>
  <c r="I128" i="2"/>
  <c r="I108" i="2"/>
  <c r="H95" i="2"/>
  <c r="I119" i="2"/>
  <c r="I126" i="2"/>
  <c r="H33" i="2"/>
  <c r="H108" i="2"/>
  <c r="H176" i="2"/>
  <c r="H121" i="2"/>
  <c r="I55" i="2"/>
  <c r="H36" i="2"/>
  <c r="H119" i="2"/>
  <c r="H4" i="2"/>
  <c r="H128" i="2"/>
  <c r="H34" i="2"/>
  <c r="I163" i="2"/>
  <c r="I57" i="2"/>
  <c r="H72" i="2"/>
  <c r="I149" i="2"/>
  <c r="I103" i="2"/>
  <c r="H94" i="2"/>
  <c r="I46" i="2"/>
  <c r="H186" i="2"/>
  <c r="I45" i="2"/>
  <c r="I28" i="2"/>
  <c r="I117" i="2"/>
  <c r="H129" i="2"/>
  <c r="H165" i="2"/>
  <c r="H142" i="2"/>
  <c r="H101" i="2"/>
  <c r="H137" i="2"/>
  <c r="H166" i="2"/>
  <c r="H116" i="2"/>
  <c r="H114" i="2"/>
  <c r="I171" i="2"/>
  <c r="H81" i="2"/>
  <c r="I72" i="2"/>
  <c r="H120" i="2"/>
  <c r="I67" i="2"/>
  <c r="H178" i="2"/>
  <c r="I84" i="2"/>
  <c r="I155" i="2"/>
  <c r="I19" i="2"/>
  <c r="H27" i="2"/>
  <c r="H102" i="2"/>
  <c r="I23" i="2"/>
  <c r="I38" i="2"/>
  <c r="I48" i="2"/>
  <c r="I64" i="2"/>
  <c r="I96" i="2"/>
  <c r="I138" i="2"/>
  <c r="H92" i="2"/>
  <c r="I116" i="2"/>
  <c r="I73" i="2"/>
  <c r="H97" i="2"/>
  <c r="H14" i="2"/>
  <c r="H42" i="2"/>
  <c r="I21" i="2"/>
  <c r="I82" i="2"/>
  <c r="H106" i="2"/>
  <c r="H61" i="2"/>
  <c r="I112" i="2"/>
  <c r="I170" i="2"/>
  <c r="I43" i="2"/>
  <c r="I144" i="2"/>
  <c r="I41" i="2"/>
  <c r="H180" i="2"/>
  <c r="H123" i="2"/>
  <c r="H156" i="2"/>
  <c r="H40" i="2"/>
  <c r="H125" i="2"/>
  <c r="I157" i="2"/>
  <c r="H174" i="2"/>
  <c r="I104" i="2"/>
  <c r="I2" i="2"/>
  <c r="H152" i="2"/>
  <c r="H73" i="2"/>
  <c r="I85" i="2"/>
  <c r="H43" i="2"/>
  <c r="H86" i="2"/>
  <c r="H136" i="2"/>
  <c r="I22" i="2"/>
  <c r="I52" i="2"/>
  <c r="H159" i="2"/>
  <c r="H133" i="2"/>
  <c r="H141" i="2"/>
  <c r="H51" i="2"/>
  <c r="H93" i="2"/>
  <c r="H9" i="2"/>
  <c r="I87" i="2"/>
  <c r="I95" i="2"/>
  <c r="H153" i="2"/>
  <c r="I110" i="2"/>
  <c r="H149" i="2"/>
  <c r="I180" i="2"/>
  <c r="H13" i="2"/>
  <c r="I113" i="2"/>
  <c r="H164" i="2"/>
  <c r="H55" i="2"/>
  <c r="I7" i="2"/>
  <c r="I44" i="2"/>
  <c r="H139" i="2"/>
  <c r="I139" i="2"/>
  <c r="I114" i="2"/>
  <c r="I120" i="2"/>
  <c r="I36" i="2"/>
  <c r="I107" i="2"/>
  <c r="I17" i="2"/>
  <c r="H8" i="2"/>
  <c r="H88" i="2"/>
  <c r="I91" i="2"/>
  <c r="H144" i="2"/>
  <c r="H124" i="2"/>
  <c r="H132" i="2"/>
  <c r="H131" i="2"/>
  <c r="I78" i="2"/>
  <c r="H89" i="2"/>
  <c r="I122" i="2"/>
  <c r="H105" i="2"/>
  <c r="I137" i="2"/>
  <c r="H150" i="2"/>
  <c r="H37" i="2"/>
  <c r="H62" i="2"/>
  <c r="H151" i="2"/>
  <c r="I12" i="2"/>
  <c r="I35" i="2"/>
  <c r="H161" i="2"/>
  <c r="H140" i="2"/>
  <c r="H30" i="2"/>
  <c r="I158" i="2"/>
  <c r="I121" i="2"/>
  <c r="I18" i="2"/>
  <c r="H67" i="2"/>
  <c r="I178" i="2"/>
  <c r="H19" i="2"/>
  <c r="I134" i="2"/>
  <c r="H48" i="2"/>
  <c r="I181" i="2"/>
  <c r="H91" i="2"/>
  <c r="I132" i="2"/>
  <c r="H146" i="2"/>
  <c r="I105" i="2"/>
  <c r="I62" i="2"/>
  <c r="H35" i="2"/>
  <c r="I152" i="2"/>
  <c r="H82" i="2"/>
  <c r="H177" i="2"/>
  <c r="H98" i="2"/>
  <c r="I15" i="2"/>
  <c r="I75" i="2"/>
  <c r="I150" i="2"/>
  <c r="H188" i="2"/>
  <c r="I146" i="2"/>
  <c r="I70" i="2"/>
  <c r="I40" i="2"/>
  <c r="I63" i="2"/>
  <c r="I86" i="2"/>
  <c r="H155" i="2"/>
  <c r="H56" i="2"/>
  <c r="I83" i="2"/>
  <c r="H175" i="2"/>
  <c r="I102" i="2"/>
  <c r="H38" i="2"/>
  <c r="I29" i="2"/>
  <c r="H46" i="2"/>
  <c r="I111" i="2"/>
  <c r="H99" i="2"/>
  <c r="I124" i="2"/>
  <c r="I131" i="2"/>
  <c r="H68" i="2"/>
  <c r="H85" i="2"/>
  <c r="H26" i="2"/>
  <c r="I151" i="2"/>
  <c r="I90" i="2"/>
  <c r="H12" i="2"/>
  <c r="H76" i="2"/>
  <c r="H113" i="2"/>
  <c r="H28" i="2"/>
  <c r="H87" i="2"/>
  <c r="I159" i="2"/>
  <c r="I177" i="2"/>
  <c r="I5" i="2"/>
  <c r="I98" i="2"/>
  <c r="H15" i="2"/>
  <c r="I115" i="2"/>
  <c r="H7" i="2"/>
  <c r="I164" i="2"/>
  <c r="I182" i="2"/>
  <c r="I133" i="2"/>
  <c r="H157" i="2"/>
  <c r="H45" i="2"/>
  <c r="I141" i="2"/>
  <c r="I89" i="2"/>
  <c r="H130" i="2"/>
  <c r="I56" i="2"/>
  <c r="I172" i="2"/>
  <c r="H23" i="2"/>
  <c r="H17" i="2"/>
  <c r="I88" i="2"/>
  <c r="I109" i="2"/>
  <c r="H138" i="2"/>
  <c r="I26" i="2"/>
  <c r="I161" i="2"/>
  <c r="H2" i="2"/>
  <c r="I106" i="2"/>
  <c r="I165" i="2"/>
  <c r="I97" i="2"/>
  <c r="H63" i="2"/>
  <c r="H84" i="2"/>
  <c r="I136" i="2"/>
  <c r="H83" i="2"/>
  <c r="I27" i="2"/>
  <c r="H172" i="2"/>
  <c r="H134" i="2"/>
  <c r="I175" i="2"/>
  <c r="H22" i="2"/>
  <c r="H64" i="2"/>
  <c r="H29" i="2"/>
  <c r="H181" i="2"/>
  <c r="H52" i="2"/>
  <c r="I8" i="2"/>
  <c r="I186" i="2"/>
  <c r="I156" i="2"/>
  <c r="H78" i="2"/>
  <c r="I68" i="2"/>
  <c r="I125" i="2"/>
  <c r="H122" i="2"/>
  <c r="I11" i="2"/>
  <c r="I37" i="2"/>
  <c r="I174" i="2"/>
  <c r="H104" i="2"/>
  <c r="H44" i="2"/>
  <c r="I9" i="2"/>
  <c r="H100" i="2"/>
  <c r="I93" i="2"/>
  <c r="I61" i="2"/>
  <c r="H5" i="2"/>
  <c r="H54" i="2"/>
  <c r="I167" i="2"/>
  <c r="H109" i="2"/>
  <c r="H96" i="2"/>
  <c r="H21" i="2"/>
  <c r="I99" i="2"/>
  <c r="I101" i="2"/>
  <c r="H59" i="2"/>
  <c r="I42" i="2"/>
</calcChain>
</file>

<file path=xl/sharedStrings.xml><?xml version="1.0" encoding="utf-8"?>
<sst xmlns="http://schemas.openxmlformats.org/spreadsheetml/2006/main" count="8871" uniqueCount="4510">
  <si>
    <t>Industry</t>
  </si>
  <si>
    <t>BSE Code</t>
  </si>
  <si>
    <t>Stock</t>
  </si>
  <si>
    <t>NoS</t>
  </si>
  <si>
    <t>Price on Month's Starting</t>
  </si>
  <si>
    <t>LTP</t>
  </si>
  <si>
    <t>Change %</t>
  </si>
  <si>
    <t>Month Starting m-Cap</t>
  </si>
  <si>
    <t>Current m-Cap</t>
  </si>
  <si>
    <t>2/3 Wheelers</t>
  </si>
  <si>
    <t>BAJAJ-AUTO*</t>
  </si>
  <si>
    <t>Financial Institution</t>
  </si>
  <si>
    <t>GUJSTATFIN</t>
  </si>
  <si>
    <t>Non Banking Financial Company</t>
  </si>
  <si>
    <t>1STCUS</t>
  </si>
  <si>
    <t>Pharmaceuticals</t>
  </si>
  <si>
    <t>AARTIDRUGS</t>
  </si>
  <si>
    <t>EICHERMOT</t>
  </si>
  <si>
    <t>HARAFIN</t>
  </si>
  <si>
    <t>AARSHYAM</t>
  </si>
  <si>
    <t>ABBOTINDIA</t>
  </si>
  <si>
    <t>HEROMOTOCO</t>
  </si>
  <si>
    <t>HUDCO</t>
  </si>
  <si>
    <t>AASTAFIN</t>
  </si>
  <si>
    <t>ACHYUT</t>
  </si>
  <si>
    <t>JRELTD</t>
  </si>
  <si>
    <t>IFCI</t>
  </si>
  <si>
    <t>ABATEAS</t>
  </si>
  <si>
    <t>ADLINE</t>
  </si>
  <si>
    <t>SCOOTER</t>
  </si>
  <si>
    <t>IRFC</t>
  </si>
  <si>
    <t>ABHICAP</t>
  </si>
  <si>
    <t>AJANTPHARM</t>
  </si>
  <si>
    <t>TVSMOTOR</t>
  </si>
  <si>
    <t>PFC</t>
  </si>
  <si>
    <t>ABIRAFN</t>
  </si>
  <si>
    <t>ALBERTDA</t>
  </si>
  <si>
    <t>WARDINMOBI</t>
  </si>
  <si>
    <t>RECLTD</t>
  </si>
  <si>
    <t>ACFL</t>
  </si>
  <si>
    <t>ALKEM</t>
  </si>
  <si>
    <t>Abrasives</t>
  </si>
  <si>
    <t>CARBORUNIV</t>
  </si>
  <si>
    <t>SREINFRA</t>
  </si>
  <si>
    <t>Suspended</t>
  </si>
  <si>
    <t>ACFSL</t>
  </si>
  <si>
    <t>ALPA</t>
  </si>
  <si>
    <t>GRINDWELL</t>
  </si>
  <si>
    <t>TFCILTD</t>
  </si>
  <si>
    <t>ACME</t>
  </si>
  <si>
    <t>AMBALALSA</t>
  </si>
  <si>
    <t>WENDT</t>
  </si>
  <si>
    <t>Financial Technology (Fintech)</t>
  </si>
  <si>
    <t>PAYTM</t>
  </si>
  <si>
    <t>ADCON</t>
  </si>
  <si>
    <t>AMIORG</t>
  </si>
  <si>
    <t>Advertising</t>
  </si>
  <si>
    <t>BRANDBUCKT</t>
  </si>
  <si>
    <t>POLICYBZR</t>
  </si>
  <si>
    <t>ADHARSHILA</t>
  </si>
  <si>
    <t>Delisted</t>
  </si>
  <si>
    <t>AMRUTANJAN</t>
  </si>
  <si>
    <t>DGCONTENT</t>
  </si>
  <si>
    <t>SUVIDHAA</t>
  </si>
  <si>
    <t>ADMANUM</t>
  </si>
  <si>
    <t>ANG</t>
  </si>
  <si>
    <t>ESHAMEDIA</t>
  </si>
  <si>
    <t>Footwear</t>
  </si>
  <si>
    <t>BATAINDIA</t>
  </si>
  <si>
    <t>ADVIKCA</t>
  </si>
  <si>
    <t>ANUHPHR</t>
  </si>
  <si>
    <t>GRADIENTE</t>
  </si>
  <si>
    <t>CAMPUS</t>
  </si>
  <si>
    <t>AIIL</t>
  </si>
  <si>
    <t>APLLTD</t>
  </si>
  <si>
    <t>NEXTMEDIA</t>
  </si>
  <si>
    <t>KHADIM</t>
  </si>
  <si>
    <t>AKASHDEEP</t>
  </si>
  <si>
    <t>AREYDRG</t>
  </si>
  <si>
    <t>PRAVEG</t>
  </si>
  <si>
    <t>LIBERTSHOE</t>
  </si>
  <si>
    <t>AKCAPIT</t>
  </si>
  <si>
    <t>ASTRAZEN</t>
  </si>
  <si>
    <t>PRESSMN</t>
  </si>
  <si>
    <t>METROBRAND</t>
  </si>
  <si>
    <t>ALFL</t>
  </si>
  <si>
    <t>AUROLAB</t>
  </si>
  <si>
    <t>SHARPLINE</t>
  </si>
  <si>
    <t>RELAXO</t>
  </si>
  <si>
    <t>ALFREDHE</t>
  </si>
  <si>
    <t>AUROPHARMA</t>
  </si>
  <si>
    <t>SMEL</t>
  </si>
  <si>
    <t>SREEL</t>
  </si>
  <si>
    <t>AMARNATH</t>
  </si>
  <si>
    <t>BAFNAPHARM</t>
  </si>
  <si>
    <t>THINKINK</t>
  </si>
  <si>
    <t>Forest Products</t>
  </si>
  <si>
    <t>IWP</t>
  </si>
  <si>
    <t>AMARSEC</t>
  </si>
  <si>
    <t>BAJAJHCARE</t>
  </si>
  <si>
    <t>VISIONCINE</t>
  </si>
  <si>
    <t>NATPLY</t>
  </si>
  <si>
    <t>ANERI</t>
  </si>
  <si>
    <t>BALPHARMA</t>
  </si>
  <si>
    <t>WINPRO</t>
  </si>
  <si>
    <t>STYLAMIND</t>
  </si>
  <si>
    <t>ANJANIFIN</t>
  </si>
  <si>
    <t>BDH</t>
  </si>
  <si>
    <t>Aerospace &amp; Defense</t>
  </si>
  <si>
    <t>APOLLO</t>
  </si>
  <si>
    <t>Furniture, Home Furnishing &amp; Flooring</t>
  </si>
  <si>
    <t>AROGRANITE</t>
  </si>
  <si>
    <t>ANNAINFRA</t>
  </si>
  <si>
    <t>BERLDRG</t>
  </si>
  <si>
    <t>ASTRAMICRO</t>
  </si>
  <si>
    <t>ASIANTILES</t>
  </si>
  <si>
    <t>ANUPAM</t>
  </si>
  <si>
    <t>BIBCL</t>
  </si>
  <si>
    <t>BDL</t>
  </si>
  <si>
    <t>ELEMARB</t>
  </si>
  <si>
    <t>APMFINVEST</t>
  </si>
  <si>
    <t>BIOCON</t>
  </si>
  <si>
    <t>BEL</t>
  </si>
  <si>
    <t>EXXARO</t>
  </si>
  <si>
    <t>APOLLOFI</t>
  </si>
  <si>
    <t>BIOFILCHEM</t>
  </si>
  <si>
    <t>DATAPATTNS</t>
  </si>
  <si>
    <t>HIL</t>
  </si>
  <si>
    <t>ARMANFIN</t>
  </si>
  <si>
    <t>BLISSGVS</t>
  </si>
  <si>
    <t>GRSE</t>
  </si>
  <si>
    <t>KAJARIACER</t>
  </si>
  <si>
    <t>ARNOLD</t>
  </si>
  <si>
    <t>BPLPHARMA</t>
  </si>
  <si>
    <t>HAL</t>
  </si>
  <si>
    <t>MADHAV</t>
  </si>
  <si>
    <t>ARYAMAN</t>
  </si>
  <si>
    <t>BRAWN</t>
  </si>
  <si>
    <t>MIDHANI</t>
  </si>
  <si>
    <t>MILEFUR</t>
  </si>
  <si>
    <t>ASHIKACR</t>
  </si>
  <si>
    <t>BROOKS</t>
  </si>
  <si>
    <t>MTARTECH</t>
  </si>
  <si>
    <t>MURUDCERA</t>
  </si>
  <si>
    <t>ASIACAP</t>
  </si>
  <si>
    <t>CAPPL</t>
  </si>
  <si>
    <t>PARAS</t>
  </si>
  <si>
    <t>NITCO</t>
  </si>
  <si>
    <t>ASSAMENT</t>
  </si>
  <si>
    <t>CBPL</t>
  </si>
  <si>
    <t>ROSSELLIND</t>
  </si>
  <si>
    <t>ORIENTALTL</t>
  </si>
  <si>
    <t>ATHARVENT</t>
  </si>
  <si>
    <t>CHCL</t>
  </si>
  <si>
    <t>SIKA</t>
  </si>
  <si>
    <t>ORIENTBELL</t>
  </si>
  <si>
    <t>AVAILFC</t>
  </si>
  <si>
    <t>CHEMOPH</t>
  </si>
  <si>
    <t>TANAA</t>
  </si>
  <si>
    <t>PACIFICI</t>
  </si>
  <si>
    <t>AVONMORE</t>
  </si>
  <si>
    <t>CIPLA</t>
  </si>
  <si>
    <t>ZENTEC</t>
  </si>
  <si>
    <t>POKARNA</t>
  </si>
  <si>
    <t>BAJFINANCE</t>
  </si>
  <si>
    <t>COLINZ</t>
  </si>
  <si>
    <t>Air Conditioning</t>
  </si>
  <si>
    <t>AMBER</t>
  </si>
  <si>
    <t>REGENCERAM</t>
  </si>
  <si>
    <t>BAIDFIN</t>
  </si>
  <si>
    <t>CONCORD</t>
  </si>
  <si>
    <t>BLUESTARCO</t>
  </si>
  <si>
    <t>RESPONIND</t>
  </si>
  <si>
    <t>BAMPSL</t>
  </si>
  <si>
    <t>CORALAB</t>
  </si>
  <si>
    <t>JCHAC</t>
  </si>
  <si>
    <t>RESTILE</t>
  </si>
  <si>
    <t>BAZELINTER</t>
  </si>
  <si>
    <t>DCAL</t>
  </si>
  <si>
    <t>VOLTAS</t>
  </si>
  <si>
    <t>ROYALCU</t>
  </si>
  <si>
    <t>BCLENTERPR</t>
  </si>
  <si>
    <t>DECIPHER</t>
  </si>
  <si>
    <t>Airline</t>
  </si>
  <si>
    <t>GLOBALVECT</t>
  </si>
  <si>
    <t>SFL</t>
  </si>
  <si>
    <t>BENGALASM</t>
  </si>
  <si>
    <t>DENISCHEM</t>
  </si>
  <si>
    <t>INDIGO</t>
  </si>
  <si>
    <t>SFSL</t>
  </si>
  <si>
    <t>BERYLSE</t>
  </si>
  <si>
    <t>DESHRAK</t>
  </si>
  <si>
    <t>JETAIRWAYS</t>
  </si>
  <si>
    <t>SHRIBCL</t>
  </si>
  <si>
    <t>BFLAFL</t>
  </si>
  <si>
    <t>DIVISLAB</t>
  </si>
  <si>
    <t>SPICEJET</t>
  </si>
  <si>
    <t>SOMANYCERA</t>
  </si>
  <si>
    <t>BHARTIA</t>
  </si>
  <si>
    <t>DRREDDY</t>
  </si>
  <si>
    <t>TAALENT</t>
  </si>
  <si>
    <t>TIRUFOAM</t>
  </si>
  <si>
    <t>BLIL</t>
  </si>
  <si>
    <t>EARUM</t>
  </si>
  <si>
    <t>Aluminium</t>
  </si>
  <si>
    <t>ARFIN</t>
  </si>
  <si>
    <t>Garments &amp; Apparels</t>
  </si>
  <si>
    <t>ACTIVE</t>
  </si>
  <si>
    <t>BOMOXY-B1</t>
  </si>
  <si>
    <t>EPSOMPRO</t>
  </si>
  <si>
    <t>BMAL</t>
  </si>
  <si>
    <t>ADDIND</t>
  </si>
  <si>
    <t>BPCAP</t>
  </si>
  <si>
    <t>ERIS</t>
  </si>
  <si>
    <t>GOLKONDA</t>
  </si>
  <si>
    <t>ARVIND</t>
  </si>
  <si>
    <t>BRIJLEAS</t>
  </si>
  <si>
    <t>EVERESTO</t>
  </si>
  <si>
    <t>HINDALCO</t>
  </si>
  <si>
    <t>BANG</t>
  </si>
  <si>
    <t>BRIPORT</t>
  </si>
  <si>
    <t>FABINO</t>
  </si>
  <si>
    <t>HINDALUMI</t>
  </si>
  <si>
    <t>BELLACASA</t>
  </si>
  <si>
    <t>CAPITALT</t>
  </si>
  <si>
    <t>FDC</t>
  </si>
  <si>
    <t>MAANALU</t>
  </si>
  <si>
    <t>CANTABIL</t>
  </si>
  <si>
    <t>CEEJAY</t>
  </si>
  <si>
    <t>FERMENTA</t>
  </si>
  <si>
    <t>MAITRI</t>
  </si>
  <si>
    <t>CELEBRITY</t>
  </si>
  <si>
    <t>CGCL</t>
  </si>
  <si>
    <t>FREDUN</t>
  </si>
  <si>
    <t>MNKALCOLTD</t>
  </si>
  <si>
    <t>DIGJAMLTD</t>
  </si>
  <si>
    <t>CHOLAFIN</t>
  </si>
  <si>
    <t>GANGAPHARM</t>
  </si>
  <si>
    <t>NATIONALUM</t>
  </si>
  <si>
    <t>DOLLAR</t>
  </si>
  <si>
    <t>CIFL</t>
  </si>
  <si>
    <t>GENNEX</t>
  </si>
  <si>
    <t>PALCO</t>
  </si>
  <si>
    <t>ESSENTIA</t>
  </si>
  <si>
    <t>CILSEC</t>
  </si>
  <si>
    <t>GLAND</t>
  </si>
  <si>
    <t>PGFOILQ</t>
  </si>
  <si>
    <t>GARMNTMNTR</t>
  </si>
  <si>
    <t>CINDRELL</t>
  </si>
  <si>
    <t>GLAXO</t>
  </si>
  <si>
    <t>SACHEMT</t>
  </si>
  <si>
    <t>GOKEX</t>
  </si>
  <si>
    <t>CITIPOR</t>
  </si>
  <si>
    <t>GLENMARK</t>
  </si>
  <si>
    <t>SUDAI</t>
  </si>
  <si>
    <t>INDTERRAIN</t>
  </si>
  <si>
    <t>COMFINCAP</t>
  </si>
  <si>
    <t>GLS</t>
  </si>
  <si>
    <t>SYNTHFO</t>
  </si>
  <si>
    <t>KITEX</t>
  </si>
  <si>
    <t>CREDITACC</t>
  </si>
  <si>
    <t>GODAVARI</t>
  </si>
  <si>
    <t>Aluminium, Copper &amp; Zinc Products</t>
  </si>
  <si>
    <t>AMCOIND</t>
  </si>
  <si>
    <t>KKCL</t>
  </si>
  <si>
    <t>CREST</t>
  </si>
  <si>
    <t>GRANULES</t>
  </si>
  <si>
    <t>BAROEXT</t>
  </si>
  <si>
    <t>KPRMILL</t>
  </si>
  <si>
    <t>CSL</t>
  </si>
  <si>
    <t>GUFICBIO</t>
  </si>
  <si>
    <t>CENTEXT</t>
  </si>
  <si>
    <t>LAL</t>
  </si>
  <si>
    <t>CSLFINANCE</t>
  </si>
  <si>
    <t>GUJTERC</t>
  </si>
  <si>
    <t>CUBEXTUB</t>
  </si>
  <si>
    <t>LOVABLE</t>
  </si>
  <si>
    <t>CTL</t>
  </si>
  <si>
    <t>GUJTHEM</t>
  </si>
  <si>
    <t>MSRINDIA</t>
  </si>
  <si>
    <t>LUXIND</t>
  </si>
  <si>
    <t>CUBIFIN</t>
  </si>
  <si>
    <t>HESTERBIO</t>
  </si>
  <si>
    <t>PRECWIRE</t>
  </si>
  <si>
    <t>MONTECARLO</t>
  </si>
  <si>
    <t>DAL</t>
  </si>
  <si>
    <t>HIKAL</t>
  </si>
  <si>
    <t>RCIIND</t>
  </si>
  <si>
    <t>PAGEIND</t>
  </si>
  <si>
    <t>DFL</t>
  </si>
  <si>
    <t>INDOCO</t>
  </si>
  <si>
    <t>SHILGRAVQ</t>
  </si>
  <si>
    <t>PGIL</t>
  </si>
  <si>
    <t>DHARFIN</t>
  </si>
  <si>
    <t>INDSWFTLAB</t>
  </si>
  <si>
    <t>Amusement Parks / Other Recreation</t>
  </si>
  <si>
    <t>AJWAFUN</t>
  </si>
  <si>
    <t>RAYMOND</t>
  </si>
  <si>
    <t>DHRUVCA</t>
  </si>
  <si>
    <t>INDSWFTLTD</t>
  </si>
  <si>
    <t>DELTACORP</t>
  </si>
  <si>
    <t>RUPA</t>
  </si>
  <si>
    <t>EASUN</t>
  </si>
  <si>
    <t>IOLCP</t>
  </si>
  <si>
    <t>HANMAN</t>
  </si>
  <si>
    <t>SAMTEX</t>
  </si>
  <si>
    <t>EASYFIN</t>
  </si>
  <si>
    <t>IPCALAB</t>
  </si>
  <si>
    <t>IMAGICAA</t>
  </si>
  <si>
    <t>SCOOBEEDAY</t>
  </si>
  <si>
    <t>EMERALD</t>
  </si>
  <si>
    <t>ISHITADR</t>
  </si>
  <si>
    <t>NICCOPAR</t>
  </si>
  <si>
    <t>SPAL</t>
  </si>
  <si>
    <t>EPIC</t>
  </si>
  <si>
    <t>JAGSNPHARM</t>
  </si>
  <si>
    <t>SAENTER</t>
  </si>
  <si>
    <t>TCNSBRANDS</t>
  </si>
  <si>
    <t>ETIL</t>
  </si>
  <si>
    <t>JBCHEPHARM</t>
  </si>
  <si>
    <t>WONDERLA</t>
  </si>
  <si>
    <t>THOMASCOTT</t>
  </si>
  <si>
    <t>FGP</t>
  </si>
  <si>
    <t>JENBURPH</t>
  </si>
  <si>
    <t>Animal Feed</t>
  </si>
  <si>
    <t>AVANTI</t>
  </si>
  <si>
    <t>VIPCLOTHNG</t>
  </si>
  <si>
    <t>FINKURVE</t>
  </si>
  <si>
    <t>JUBLPHARMA</t>
  </si>
  <si>
    <t>GODREJAGRO</t>
  </si>
  <si>
    <t>VIRAT</t>
  </si>
  <si>
    <t>FMEC</t>
  </si>
  <si>
    <t>KERALAYUR</t>
  </si>
  <si>
    <t>GODREJIND</t>
  </si>
  <si>
    <t>VISHAL</t>
  </si>
  <si>
    <t>FRANKLIN</t>
  </si>
  <si>
    <t>KILITCH</t>
  </si>
  <si>
    <t>SHINDL</t>
  </si>
  <si>
    <t>ZODIACLOTH</t>
  </si>
  <si>
    <t>FUTURSEC</t>
  </si>
  <si>
    <t>KIMIABL</t>
  </si>
  <si>
    <t>SIMRAN</t>
  </si>
  <si>
    <t>Gas Transmission / Marketing</t>
  </si>
  <si>
    <t>GAIL</t>
  </si>
  <si>
    <t>GALADAFIN</t>
  </si>
  <si>
    <t>KOPRAN</t>
  </si>
  <si>
    <t>ZEAL</t>
  </si>
  <si>
    <t>GSPL</t>
  </si>
  <si>
    <t>GARBIFIN</t>
  </si>
  <si>
    <t>KPL</t>
  </si>
  <si>
    <t>Asset Management Company</t>
  </si>
  <si>
    <t>ABSLAMC</t>
  </si>
  <si>
    <t>GUJGAS</t>
  </si>
  <si>
    <t>GBFL</t>
  </si>
  <si>
    <t>KREBSBIO</t>
  </si>
  <si>
    <t>HDFCAMC</t>
  </si>
  <si>
    <t>Gems, Jewellery &amp; Watches</t>
  </si>
  <si>
    <t>AGOL</t>
  </si>
  <si>
    <t>GDLLEAS</t>
  </si>
  <si>
    <t>LACTOSE</t>
  </si>
  <si>
    <t>IVC</t>
  </si>
  <si>
    <t>AJIL</t>
  </si>
  <si>
    <t>GILADAFINS</t>
  </si>
  <si>
    <t>LASA</t>
  </si>
  <si>
    <t>NAM-INDIA</t>
  </si>
  <si>
    <t>AKI</t>
  </si>
  <si>
    <t>GKCONS</t>
  </si>
  <si>
    <t>LAURUSLABS</t>
  </si>
  <si>
    <t>SRAMSET</t>
  </si>
  <si>
    <t>ANSHNCO</t>
  </si>
  <si>
    <t>GLANCE</t>
  </si>
  <si>
    <t>LINCOPH</t>
  </si>
  <si>
    <t>UTIAMC</t>
  </si>
  <si>
    <t>ASTAR</t>
  </si>
  <si>
    <t>GLOBALCA</t>
  </si>
  <si>
    <t>LUPIN</t>
  </si>
  <si>
    <t>Auto Components &amp; Equipments</t>
  </si>
  <si>
    <t>AAIL</t>
  </si>
  <si>
    <t>BANARBEADS</t>
  </si>
  <si>
    <t>GOWRALE</t>
  </si>
  <si>
    <t>LYKALABS</t>
  </si>
  <si>
    <t>ACGL</t>
  </si>
  <si>
    <t>BGJL</t>
  </si>
  <si>
    <t>GOYALASS</t>
  </si>
  <si>
    <t>MAKERSL</t>
  </si>
  <si>
    <t>ALICON</t>
  </si>
  <si>
    <t>BINDALEXPO</t>
  </si>
  <si>
    <t>GSBFIN</t>
  </si>
  <si>
    <t>MANGALAM</t>
  </si>
  <si>
    <t>AMFORG</t>
  </si>
  <si>
    <t>CEENIK</t>
  </si>
  <si>
    <t>GSLSEC</t>
  </si>
  <si>
    <t>MARKSANS*</t>
  </si>
  <si>
    <t>ASAHIINDIA</t>
  </si>
  <si>
    <t>CITYMAN</t>
  </si>
  <si>
    <t>GUJINV</t>
  </si>
  <si>
    <t>MEDICAMEQ</t>
  </si>
  <si>
    <t>ASAL</t>
  </si>
  <si>
    <t>DARSHANORNA</t>
  </si>
  <si>
    <t>HASTIFIN</t>
  </si>
  <si>
    <t>MEDICAPQ</t>
  </si>
  <si>
    <t>AUTOAXLES</t>
  </si>
  <si>
    <t>DDIL</t>
  </si>
  <si>
    <t>HBLEAS</t>
  </si>
  <si>
    <t>MEDICO</t>
  </si>
  <si>
    <t>AUTOIND</t>
  </si>
  <si>
    <t>DITCO</t>
  </si>
  <si>
    <t>HBSTOCK</t>
  </si>
  <si>
    <t>MERCURYLAB</t>
  </si>
  <si>
    <t>AUTOPINS</t>
  </si>
  <si>
    <t>EIGHTY</t>
  </si>
  <si>
    <t>HELPAGE</t>
  </si>
  <si>
    <t>MOREPENLAB</t>
  </si>
  <si>
    <t>BANCOINDIA</t>
  </si>
  <si>
    <t>ETHOSLTD</t>
  </si>
  <si>
    <t>IFINSEC</t>
  </si>
  <si>
    <t>NATCAPSUQ</t>
  </si>
  <si>
    <t>BHARATGEAR</t>
  </si>
  <si>
    <t>EUROLED</t>
  </si>
  <si>
    <t>IFINSER</t>
  </si>
  <si>
    <t>NATCOPHARM</t>
  </si>
  <si>
    <t>BHARATSE</t>
  </si>
  <si>
    <t>GGL</t>
  </si>
  <si>
    <t>IIFL</t>
  </si>
  <si>
    <t>NECLIFE</t>
  </si>
  <si>
    <t>BIMETAL</t>
  </si>
  <si>
    <t>GOBLIN</t>
  </si>
  <si>
    <t>IITL</t>
  </si>
  <si>
    <t>NEULANDLAB</t>
  </si>
  <si>
    <t>BOSCHLTD</t>
  </si>
  <si>
    <t>GOENKA</t>
  </si>
  <si>
    <t>IMCAP</t>
  </si>
  <si>
    <t>NGLFINE</t>
  </si>
  <si>
    <t>CRAFTSMAN</t>
  </si>
  <si>
    <t>GOLDIAM</t>
  </si>
  <si>
    <t>INDCEMCAP</t>
  </si>
  <si>
    <t>NOVARTIND</t>
  </si>
  <si>
    <t>DUNCANENG</t>
  </si>
  <si>
    <t>GOLKUNDIA</t>
  </si>
  <si>
    <t>INDIANVSH</t>
  </si>
  <si>
    <t>ORCHIDPHAR</t>
  </si>
  <si>
    <t>ENDURANCE</t>
  </si>
  <si>
    <t>HARIAEXPO</t>
  </si>
  <si>
    <t>INDLEASE</t>
  </si>
  <si>
    <t>ORTINLAABS</t>
  </si>
  <si>
    <t>ENKEIWHEL</t>
  </si>
  <si>
    <t>KALYANKJIL</t>
  </si>
  <si>
    <t>INDOASIAF</t>
  </si>
  <si>
    <t>OXYGENTAPH</t>
  </si>
  <si>
    <t>FIEMIND</t>
  </si>
  <si>
    <t>KANANIIND</t>
  </si>
  <si>
    <t>INDOSTAR</t>
  </si>
  <si>
    <t>PANACEABIO</t>
  </si>
  <si>
    <t>FMGOETZE</t>
  </si>
  <si>
    <t>KARANWO</t>
  </si>
  <si>
    <t>INDUSFINL</t>
  </si>
  <si>
    <t>PANCHSHEEL</t>
  </si>
  <si>
    <t>FRONTSP</t>
  </si>
  <si>
    <t>KDDL</t>
  </si>
  <si>
    <t>INTCAPM</t>
  </si>
  <si>
    <t>PARMAX</t>
  </si>
  <si>
    <t>GABRIEL</t>
  </si>
  <si>
    <t>KENVI</t>
  </si>
  <si>
    <t>INTECCAP</t>
  </si>
  <si>
    <t>PARNAXLAB</t>
  </si>
  <si>
    <t>GGAUTO</t>
  </si>
  <si>
    <t>LYPSAGEMS</t>
  </si>
  <si>
    <t>INTRGLB</t>
  </si>
  <si>
    <t>PFIZER</t>
  </si>
  <si>
    <t>GNA</t>
  </si>
  <si>
    <t>MAL</t>
  </si>
  <si>
    <t>ISFL</t>
  </si>
  <si>
    <t>PGHL</t>
  </si>
  <si>
    <t>GSAUTO</t>
  </si>
  <si>
    <t>MAYUR</t>
  </si>
  <si>
    <t>ISHWATR</t>
  </si>
  <si>
    <t>PHARMAID</t>
  </si>
  <si>
    <t>HIMTEK</t>
  </si>
  <si>
    <t>MINID</t>
  </si>
  <si>
    <t>JAGSONFI</t>
  </si>
  <si>
    <t>PHRMASI</t>
  </si>
  <si>
    <t>HINDCOMPOS</t>
  </si>
  <si>
    <t>MISHKA</t>
  </si>
  <si>
    <t>JAYBHCR</t>
  </si>
  <si>
    <t>RAJNISH</t>
  </si>
  <si>
    <t>HINDHARD</t>
  </si>
  <si>
    <t>NARBADA</t>
  </si>
  <si>
    <t>JJFINCOR</t>
  </si>
  <si>
    <t>ROOPAIND</t>
  </si>
  <si>
    <t>HITECHGEAR</t>
  </si>
  <si>
    <t>NUTRICIRCLE</t>
  </si>
  <si>
    <t>JPTRLES</t>
  </si>
  <si>
    <t>RPGLIFE</t>
  </si>
  <si>
    <t>IGARASHI</t>
  </si>
  <si>
    <t>OROSMITHS</t>
  </si>
  <si>
    <t>KAPILRAJ</t>
  </si>
  <si>
    <t>RUBRAME</t>
  </si>
  <si>
    <t>INDNIPPON</t>
  </si>
  <si>
    <t>OSCARGLO</t>
  </si>
  <si>
    <t>KARNAVATI</t>
  </si>
  <si>
    <t>SAMRATPH</t>
  </si>
  <si>
    <t>INRADIA</t>
  </si>
  <si>
    <t>PARMSILK</t>
  </si>
  <si>
    <t>KEYCORP</t>
  </si>
  <si>
    <t>SANDUPHQ</t>
  </si>
  <si>
    <t>IPRINGLTD</t>
  </si>
  <si>
    <t>PCJEWELLER</t>
  </si>
  <si>
    <t>KIDUJA</t>
  </si>
  <si>
    <t>SANJIVIN</t>
  </si>
  <si>
    <t>ISTLTD</t>
  </si>
  <si>
    <t>PJL</t>
  </si>
  <si>
    <t>KIFS</t>
  </si>
  <si>
    <t>SANOFI</t>
  </si>
  <si>
    <t>JAGANLAM</t>
  </si>
  <si>
    <t>PUNITCO</t>
  </si>
  <si>
    <t>KINETRU</t>
  </si>
  <si>
    <t>SDL</t>
  </si>
  <si>
    <t>JAINEX</t>
  </si>
  <si>
    <t>RADHIKAJWE</t>
  </si>
  <si>
    <t>KIRANVYPAR</t>
  </si>
  <si>
    <t>SEQUENT</t>
  </si>
  <si>
    <t>JAMNAAUTO</t>
  </si>
  <si>
    <t>RAHME</t>
  </si>
  <si>
    <t>KJMCFIN</t>
  </si>
  <si>
    <t>SGRL</t>
  </si>
  <si>
    <t>JAYBARMARU</t>
  </si>
  <si>
    <t>RAJESHEXPO</t>
  </si>
  <si>
    <t>KREONFIN</t>
  </si>
  <si>
    <t>SHILPAMED</t>
  </si>
  <si>
    <t>JAYUSH</t>
  </si>
  <si>
    <t>RGL</t>
  </si>
  <si>
    <t>KRISHNACAP</t>
  </si>
  <si>
    <t>SHUKRAPHAR</t>
  </si>
  <si>
    <t>JBMA</t>
  </si>
  <si>
    <t>ROJL</t>
  </si>
  <si>
    <t>KUBERJI</t>
  </si>
  <si>
    <t>SIGACHI</t>
  </si>
  <si>
    <t>JTEKTINDIA</t>
  </si>
  <si>
    <t>ROYALIND</t>
  </si>
  <si>
    <t>KZLFIN</t>
  </si>
  <si>
    <t>SMRUTHIORG</t>
  </si>
  <si>
    <t>KINETICENG</t>
  </si>
  <si>
    <t>SAGAR</t>
  </si>
  <si>
    <t>LADDERUP</t>
  </si>
  <si>
    <t>SMSLIFE</t>
  </si>
  <si>
    <t>KRANTI</t>
  </si>
  <si>
    <t>SARUPINDUS</t>
  </si>
  <si>
    <t>LEADFIN</t>
  </si>
  <si>
    <t>SMSPHARMA</t>
  </si>
  <si>
    <t>LGBBROSLTD</t>
  </si>
  <si>
    <t>SHEETAL</t>
  </si>
  <si>
    <t>LIBORDFIN</t>
  </si>
  <si>
    <t>SOLARA</t>
  </si>
  <si>
    <t>LGBFORGE</t>
  </si>
  <si>
    <t>SHUKJEW</t>
  </si>
  <si>
    <t>LLFICL</t>
  </si>
  <si>
    <t>SOURCENTRL</t>
  </si>
  <si>
    <t>LUMAXIND</t>
  </si>
  <si>
    <t>SJCORP</t>
  </si>
  <si>
    <t>M&amp;MFIN</t>
  </si>
  <si>
    <t>SPARC</t>
  </si>
  <si>
    <t>LUMAXTECH</t>
  </si>
  <si>
    <t>SKIEL</t>
  </si>
  <si>
    <t>MADHUSE</t>
  </si>
  <si>
    <t>STAR</t>
  </si>
  <si>
    <t>MAHINDCIE</t>
  </si>
  <si>
    <t>SKL</t>
  </si>
  <si>
    <t>MANAPPURAM</t>
  </si>
  <si>
    <t>SUNLOC</t>
  </si>
  <si>
    <t>MENNPIS</t>
  </si>
  <si>
    <t>SKYGOLD</t>
  </si>
  <si>
    <t>MANCREDIT</t>
  </si>
  <si>
    <t>SUNPHARMA</t>
  </si>
  <si>
    <t>MENONBE</t>
  </si>
  <si>
    <t>SMGOLD</t>
  </si>
  <si>
    <t>MANGIND</t>
  </si>
  <si>
    <t>SUPRIYA</t>
  </si>
  <si>
    <t>MINDACORP</t>
  </si>
  <si>
    <t>SOVERDIA</t>
  </si>
  <si>
    <t>MANSIFIN</t>
  </si>
  <si>
    <t>SUVENPHAR</t>
  </si>
  <si>
    <t>MINDAIND</t>
  </si>
  <si>
    <t>SPENTA</t>
  </si>
  <si>
    <t>MARGOFIN</t>
  </si>
  <si>
    <t>SYNCOMF</t>
  </si>
  <si>
    <t>MOTHERSON</t>
  </si>
  <si>
    <t>SPICEISL</t>
  </si>
  <si>
    <t>MARUTISE</t>
  </si>
  <si>
    <t>SYSCHEM</t>
  </si>
  <si>
    <t>MSUMI</t>
  </si>
  <si>
    <t>SUNRAJDI</t>
  </si>
  <si>
    <t>MASFIN</t>
  </si>
  <si>
    <t>THEMISMED</t>
  </si>
  <si>
    <t>MUNJALAU</t>
  </si>
  <si>
    <t>SWARNSAR</t>
  </si>
  <si>
    <t>MASTERTR</t>
  </si>
  <si>
    <t>TORNTPHARM</t>
  </si>
  <si>
    <t>MUNJALSHOW</t>
  </si>
  <si>
    <t>TBZ</t>
  </si>
  <si>
    <t>MATHEWE</t>
  </si>
  <si>
    <t>TRANSCHEM</t>
  </si>
  <si>
    <t>NDRAUTO</t>
  </si>
  <si>
    <t>THANGAMAYL</t>
  </si>
  <si>
    <t>MEGACOR</t>
  </si>
  <si>
    <t>TRIPR</t>
  </si>
  <si>
    <t>OMAXAUTO</t>
  </si>
  <si>
    <t>TIMEX</t>
  </si>
  <si>
    <t>MEHIF</t>
  </si>
  <si>
    <t>TYCHE</t>
  </si>
  <si>
    <t>PANKAJPIYUS</t>
  </si>
  <si>
    <t>TITAN</t>
  </si>
  <si>
    <t>MEL</t>
  </si>
  <si>
    <t>UNICHEMLAB</t>
  </si>
  <si>
    <t>PARTIND</t>
  </si>
  <si>
    <t>UDAYJEW</t>
  </si>
  <si>
    <t>MENAMANI</t>
  </si>
  <si>
    <t>UNJHAFOR</t>
  </si>
  <si>
    <t>PORWAL</t>
  </si>
  <si>
    <t>UHZAVERI</t>
  </si>
  <si>
    <t>MICROSE</t>
  </si>
  <si>
    <t>VEERHEALTH</t>
  </si>
  <si>
    <t>PPAP</t>
  </si>
  <si>
    <t>UNIMOVR</t>
  </si>
  <si>
    <t>MINOLTAF</t>
  </si>
  <si>
    <t>VENUSREM</t>
  </si>
  <si>
    <t>PRADPME</t>
  </si>
  <si>
    <t>VAIBHAVGBL</t>
  </si>
  <si>
    <t>MMLF</t>
  </si>
  <si>
    <t>VINEETLAB</t>
  </si>
  <si>
    <t>PRECAM</t>
  </si>
  <si>
    <t>VSL</t>
  </si>
  <si>
    <t>MNPLFIN</t>
  </si>
  <si>
    <t>VISTAPH</t>
  </si>
  <si>
    <t>PRICOLLTD</t>
  </si>
  <si>
    <t>YORKEXP</t>
  </si>
  <si>
    <t>MONEYBOXX</t>
  </si>
  <si>
    <t>VIVIMEDLAB</t>
  </si>
  <si>
    <t>PRITIKAUTO</t>
  </si>
  <si>
    <t>ZODJRDMKJ</t>
  </si>
  <si>
    <t>MONGIPA</t>
  </si>
  <si>
    <t>VRL</t>
  </si>
  <si>
    <t>RACLGEAR</t>
  </si>
  <si>
    <t>General Insurance</t>
  </si>
  <si>
    <t>GICRE</t>
  </si>
  <si>
    <t>MORARKFI</t>
  </si>
  <si>
    <t>WANBURY</t>
  </si>
  <si>
    <t>RAJGLOWIR</t>
  </si>
  <si>
    <t>ICICIGI</t>
  </si>
  <si>
    <t>MORGAN</t>
  </si>
  <si>
    <t>WELCURE</t>
  </si>
  <si>
    <t>RANEENGINE</t>
  </si>
  <si>
    <t>NIACL</t>
  </si>
  <si>
    <t>MRUTR</t>
  </si>
  <si>
    <t>WINDLAS</t>
  </si>
  <si>
    <t>RANEHOLDIN</t>
  </si>
  <si>
    <t>STARHEALTH</t>
  </si>
  <si>
    <t>MTPL</t>
  </si>
  <si>
    <t>WOCKPHARMA</t>
  </si>
  <si>
    <t>RASANDIK</t>
  </si>
  <si>
    <t>Glass - Consumer</t>
  </si>
  <si>
    <t>BOROLTD</t>
  </si>
  <si>
    <t>MUKESHB</t>
  </si>
  <si>
    <t>ZENITHHE</t>
  </si>
  <si>
    <t>RBL</t>
  </si>
  <si>
    <t>LAOPALA</t>
  </si>
  <si>
    <t>MUTHOOTFIN</t>
  </si>
  <si>
    <t>ZENOTECH</t>
  </si>
  <si>
    <t>REMSONSIND</t>
  </si>
  <si>
    <t>Glass - Industrial</t>
  </si>
  <si>
    <t>BORORENEW</t>
  </si>
  <si>
    <t>MUTHTFN</t>
  </si>
  <si>
    <t>ZIMLAB</t>
  </si>
  <si>
    <t>RICOAUTO</t>
  </si>
  <si>
    <t>SEJAL</t>
  </si>
  <si>
    <t>NAYSAA</t>
  </si>
  <si>
    <t>ZYDUSLIFE</t>
  </si>
  <si>
    <t>RML</t>
  </si>
  <si>
    <t>Healthcare Research, Analytics &amp; Technology</t>
  </si>
  <si>
    <t>ADESHWAR</t>
  </si>
  <si>
    <t>NCLRESE</t>
  </si>
  <si>
    <t>Private Sector Bank</t>
  </si>
  <si>
    <t>AXISBANK</t>
  </si>
  <si>
    <t>ROLEXRINGS</t>
  </si>
  <si>
    <t>BI</t>
  </si>
  <si>
    <t>NIKKIGL</t>
  </si>
  <si>
    <t>BANDHANBNK</t>
  </si>
  <si>
    <t>SAINTGOBAIN</t>
  </si>
  <si>
    <t>JSTL</t>
  </si>
  <si>
    <t>NIYOGIN</t>
  </si>
  <si>
    <t>CSBBANK</t>
  </si>
  <si>
    <t>SALAUTO</t>
  </si>
  <si>
    <t>SUVEN</t>
  </si>
  <si>
    <t>NLFL</t>
  </si>
  <si>
    <t>CUB</t>
  </si>
  <si>
    <t>SAMKRG</t>
  </si>
  <si>
    <t>SYNGENE</t>
  </si>
  <si>
    <t>NORTHLINK</t>
  </si>
  <si>
    <t>DCBBANK</t>
  </si>
  <si>
    <t>SANDHAR</t>
  </si>
  <si>
    <t>TAKE</t>
  </si>
  <si>
    <t>NSIL</t>
  </si>
  <si>
    <t>DHANBANK</t>
  </si>
  <si>
    <t>SANSERA</t>
  </si>
  <si>
    <t>VANTABIO</t>
  </si>
  <si>
    <t>OASISEC</t>
  </si>
  <si>
    <t>FEDERALBNK</t>
  </si>
  <si>
    <t>SAPL</t>
  </si>
  <si>
    <t>VIMTALABS</t>
  </si>
  <si>
    <t>OCTAL</t>
  </si>
  <si>
    <t>HDFCBANK</t>
  </si>
  <si>
    <t>SCHAEFFLER</t>
  </si>
  <si>
    <t>Healthcare Service Provider</t>
  </si>
  <si>
    <t>ADSDIAG</t>
  </si>
  <si>
    <t>ODYCORP</t>
  </si>
  <si>
    <t>ICICIBANK</t>
  </si>
  <si>
    <t>SETCO</t>
  </si>
  <si>
    <t>ASHRAM</t>
  </si>
  <si>
    <t>OPTIFIN</t>
  </si>
  <si>
    <t>IDBI</t>
  </si>
  <si>
    <t>SHARDA</t>
  </si>
  <si>
    <t>ASPIRA</t>
  </si>
  <si>
    <t>ORACLECR</t>
  </si>
  <si>
    <t>IDFCFIRSTB</t>
  </si>
  <si>
    <t>SHIVAMAUTO</t>
  </si>
  <si>
    <t>CHOKSILA</t>
  </si>
  <si>
    <t>PAISALO</t>
  </si>
  <si>
    <t>INDUSINDBK</t>
  </si>
  <si>
    <t>SIBARAUT</t>
  </si>
  <si>
    <t>CMMHOSP</t>
  </si>
  <si>
    <t>PANAFIC</t>
  </si>
  <si>
    <t>J&amp;KBANK</t>
  </si>
  <si>
    <t>SJS</t>
  </si>
  <si>
    <t>DECCAN</t>
  </si>
  <si>
    <t>PARAGONF</t>
  </si>
  <si>
    <t>KARURVYSYA</t>
  </si>
  <si>
    <t>SONACOMS</t>
  </si>
  <si>
    <t>DLCL</t>
  </si>
  <si>
    <t>PARIKSHA</t>
  </si>
  <si>
    <t>KOTAKBANK</t>
  </si>
  <si>
    <t>SPECTRA</t>
  </si>
  <si>
    <t>DRHABEEB</t>
  </si>
  <si>
    <t>PARSHINV</t>
  </si>
  <si>
    <t>KTKBANK</t>
  </si>
  <si>
    <t>SSWL</t>
  </si>
  <si>
    <t>GIANLIFE</t>
  </si>
  <si>
    <t>PFS</t>
  </si>
  <si>
    <t>RBLBANK</t>
  </si>
  <si>
    <t>SUBROS</t>
  </si>
  <si>
    <t>KRSNAA</t>
  </si>
  <si>
    <t>PIFL</t>
  </si>
  <si>
    <t>SOUTHBANK</t>
  </si>
  <si>
    <t>SUNCLAYLTD</t>
  </si>
  <si>
    <t>LALPATHLAB</t>
  </si>
  <si>
    <t>PMCFIN</t>
  </si>
  <si>
    <t>YESBANK</t>
  </si>
  <si>
    <t>SUNDRMBRAK</t>
  </si>
  <si>
    <t>LOOKS</t>
  </si>
  <si>
    <t>POLYTEX</t>
  </si>
  <si>
    <t>Ratings</t>
  </si>
  <si>
    <t>CARERATING</t>
  </si>
  <si>
    <t>SUPRAJIT</t>
  </si>
  <si>
    <t>MEDINOV</t>
  </si>
  <si>
    <t>POONAWALLA</t>
  </si>
  <si>
    <t>ICRA</t>
  </si>
  <si>
    <t>TALBROAUTO</t>
  </si>
  <si>
    <t>METROPOLIS</t>
  </si>
  <si>
    <t>PRISMFN</t>
  </si>
  <si>
    <t>Real Estate Investment Trusts</t>
  </si>
  <si>
    <t>BIRET</t>
  </si>
  <si>
    <t>TALBROSENG</t>
  </si>
  <si>
    <t>NGIND</t>
  </si>
  <si>
    <t>PRISMMEDI</t>
  </si>
  <si>
    <t>DATAINFRA</t>
  </si>
  <si>
    <t>TIINDIA</t>
  </si>
  <si>
    <t>ONEGLOBAL</t>
  </si>
  <si>
    <t>PURSHOTTAM</t>
  </si>
  <si>
    <t>EMBASSY</t>
  </si>
  <si>
    <t>TRITONV</t>
  </si>
  <si>
    <t>SASTASUNDR</t>
  </si>
  <si>
    <t>PYXISFIN</t>
  </si>
  <si>
    <t>INFRATRUST</t>
  </si>
  <si>
    <t>UCALFUEL</t>
  </si>
  <si>
    <t>SCANDENT</t>
  </si>
  <si>
    <t>QGO</t>
  </si>
  <si>
    <t>MINDSPACE</t>
  </si>
  <si>
    <t>UNIAUTO</t>
  </si>
  <si>
    <t>TEJNAKSH</t>
  </si>
  <si>
    <t>RAJATH</t>
  </si>
  <si>
    <t>Refineries &amp; Marketing</t>
  </si>
  <si>
    <t>BPCL</t>
  </si>
  <si>
    <t>VARROC</t>
  </si>
  <si>
    <t>THYROCARE</t>
  </si>
  <si>
    <t>RAJKOTINV</t>
  </si>
  <si>
    <t>CHENNPETRO</t>
  </si>
  <si>
    <t>VELJAN</t>
  </si>
  <si>
    <t>TRABI</t>
  </si>
  <si>
    <t>RAMAPETRO</t>
  </si>
  <si>
    <t>CONTPTR</t>
  </si>
  <si>
    <t>VISHALBL</t>
  </si>
  <si>
    <t>VIJAYA</t>
  </si>
  <si>
    <t>RAMSONS</t>
  </si>
  <si>
    <t>HINDPETRO</t>
  </si>
  <si>
    <t>WHEELS</t>
  </si>
  <si>
    <t>ZDHJERK</t>
  </si>
  <si>
    <t>RANDER</t>
  </si>
  <si>
    <t>IOC</t>
  </si>
  <si>
    <t>ZFCVINDIA</t>
  </si>
  <si>
    <t>Heavy Electrical Equipment</t>
  </si>
  <si>
    <t>AARTECH</t>
  </si>
  <si>
    <t>RAP</t>
  </si>
  <si>
    <t>MRPL</t>
  </si>
  <si>
    <t>ZFSTEERING</t>
  </si>
  <si>
    <t>ABB</t>
  </si>
  <si>
    <t>REGAL</t>
  </si>
  <si>
    <t>OMNIPOTENT</t>
  </si>
  <si>
    <t>Batteries</t>
  </si>
  <si>
    <t>EVEREADY</t>
  </si>
  <si>
    <t>BHEL</t>
  </si>
  <si>
    <t>REGTRUS</t>
  </si>
  <si>
    <t>REALECO</t>
  </si>
  <si>
    <t>HIGHENE</t>
  </si>
  <si>
    <t>CGPOWER</t>
  </si>
  <si>
    <t>RFLL</t>
  </si>
  <si>
    <t>RELIANCE</t>
  </si>
  <si>
    <t>NIPPOBATRY</t>
  </si>
  <si>
    <t>GEPIL</t>
  </si>
  <si>
    <t>RICHUNV</t>
  </si>
  <si>
    <t>SANINFRA</t>
  </si>
  <si>
    <t>PANAENERG</t>
  </si>
  <si>
    <t>GET&amp;D</t>
  </si>
  <si>
    <t>RKDAGRRTL</t>
  </si>
  <si>
    <t>Refractories</t>
  </si>
  <si>
    <t>IFGLEXPOR</t>
  </si>
  <si>
    <t>Batteries - Automobile</t>
  </si>
  <si>
    <t>AMARAJABAT</t>
  </si>
  <si>
    <t>GGENG</t>
  </si>
  <si>
    <t>RLFL</t>
  </si>
  <si>
    <t>MORGANITE</t>
  </si>
  <si>
    <t>EXIDEIND</t>
  </si>
  <si>
    <t>INDLMETER</t>
  </si>
  <si>
    <t>RSDFIN</t>
  </si>
  <si>
    <t>NILACHAL</t>
  </si>
  <si>
    <t>PAEL</t>
  </si>
  <si>
    <t>INDOTECH</t>
  </si>
  <si>
    <t>SAGARPROD</t>
  </si>
  <si>
    <t>ORIENTABRA</t>
  </si>
  <si>
    <t>STARLIT</t>
  </si>
  <si>
    <t>INOXWIND</t>
  </si>
  <si>
    <t>SAGARSYST</t>
  </si>
  <si>
    <t>RHIM</t>
  </si>
  <si>
    <t>Bearings</t>
  </si>
  <si>
    <t>GALXBRG</t>
  </si>
  <si>
    <t>IWEL</t>
  </si>
  <si>
    <t>SAHLIBHFI</t>
  </si>
  <si>
    <t>VESUVIUS</t>
  </si>
  <si>
    <t>NIBL</t>
  </si>
  <si>
    <t>JYOTI</t>
  </si>
  <si>
    <t>SALEM</t>
  </si>
  <si>
    <t>Residential, Commercial Projects</t>
  </si>
  <si>
    <t>ABHIINFRA</t>
  </si>
  <si>
    <t>NRBBEARING</t>
  </si>
  <si>
    <t>JYOTISTRUC</t>
  </si>
  <si>
    <t>SARVOTTAM</t>
  </si>
  <si>
    <t>AGIIL</t>
  </si>
  <si>
    <t>SKFINDIA</t>
  </si>
  <si>
    <t>KEC</t>
  </si>
  <si>
    <t>SATIN</t>
  </si>
  <si>
    <t>AJMERA</t>
  </si>
  <si>
    <t>SNL</t>
  </si>
  <si>
    <t>POWERINDIA</t>
  </si>
  <si>
    <t>SAUMYA</t>
  </si>
  <si>
    <t>ALEMBICLTD</t>
  </si>
  <si>
    <t>TIMKEN</t>
  </si>
  <si>
    <t>SCHNEIDER</t>
  </si>
  <si>
    <t>SAVFI</t>
  </si>
  <si>
    <t>ALPINEHOU</t>
  </si>
  <si>
    <t>Biotechnology</t>
  </si>
  <si>
    <t>GENESIS</t>
  </si>
  <si>
    <t>SIEMENS</t>
  </si>
  <si>
    <t>SBICARD</t>
  </si>
  <si>
    <t>AMJLAND</t>
  </si>
  <si>
    <t>GVBL</t>
  </si>
  <si>
    <t>SKIPPER</t>
  </si>
  <si>
    <t>SCC</t>
  </si>
  <si>
    <t>ANANTRAJ</t>
  </si>
  <si>
    <t>SHREEGANES</t>
  </si>
  <si>
    <t>STARDELTA</t>
  </si>
  <si>
    <t>SERA</t>
  </si>
  <si>
    <t>ANSALAPI</t>
  </si>
  <si>
    <t>VIVOBIOT</t>
  </si>
  <si>
    <t>SURANASOL</t>
  </si>
  <si>
    <t>SEVENHILL</t>
  </si>
  <si>
    <t>ANSALBU</t>
  </si>
  <si>
    <t>Breweries &amp; Distilleries</t>
  </si>
  <si>
    <t>ASALCBR</t>
  </si>
  <si>
    <t>SUZLON</t>
  </si>
  <si>
    <t>SHARPINV</t>
  </si>
  <si>
    <t>ANSALHSG</t>
  </si>
  <si>
    <t>COMFINTE</t>
  </si>
  <si>
    <t>SWELECTES</t>
  </si>
  <si>
    <t>SHIKHARLETR</t>
  </si>
  <si>
    <t>ANTARIKSH</t>
  </si>
  <si>
    <t>GLOBUSSPR</t>
  </si>
  <si>
    <t>TARAPUR</t>
  </si>
  <si>
    <t>SHIVKAMAL</t>
  </si>
  <si>
    <t>ARIHANT</t>
  </si>
  <si>
    <t>GMBREW</t>
  </si>
  <si>
    <t>TDPOWERSYS</t>
  </si>
  <si>
    <t>SHREMETAL</t>
  </si>
  <si>
    <t>ARVSMART</t>
  </si>
  <si>
    <t>IFBAGRO</t>
  </si>
  <si>
    <t>THERMAX</t>
  </si>
  <si>
    <t>SHRGLTR</t>
  </si>
  <si>
    <t>ASHIANA</t>
  </si>
  <si>
    <t>JAGAJITIND</t>
  </si>
  <si>
    <t>TRITURBINE</t>
  </si>
  <si>
    <t>SHRICON</t>
  </si>
  <si>
    <t>ASL</t>
  </si>
  <si>
    <t>KHODAY</t>
  </si>
  <si>
    <t>UJAAS</t>
  </si>
  <si>
    <t>SHRIRAMCIT</t>
  </si>
  <si>
    <t>ATHCON</t>
  </si>
  <si>
    <t>PIONDIST</t>
  </si>
  <si>
    <t>URJAGLOBA</t>
  </si>
  <si>
    <t>SHWL</t>
  </si>
  <si>
    <t>BHANDERI</t>
  </si>
  <si>
    <t>RADICO</t>
  </si>
  <si>
    <t>UVDRHOR</t>
  </si>
  <si>
    <t>SIDDHA</t>
  </si>
  <si>
    <t>BINNY</t>
  </si>
  <si>
    <t>RKDL</t>
  </si>
  <si>
    <t>VOLTAMP</t>
  </si>
  <si>
    <t>SILVERO</t>
  </si>
  <si>
    <t>BOMBPOT</t>
  </si>
  <si>
    <t>SDBL</t>
  </si>
  <si>
    <t>Holding Company</t>
  </si>
  <si>
    <t>BAJAJFINSV</t>
  </si>
  <si>
    <t>SKPSEC</t>
  </si>
  <si>
    <t>BRIGADE</t>
  </si>
  <si>
    <t>SILVOAK</t>
  </si>
  <si>
    <t>BAJAJHLDNG</t>
  </si>
  <si>
    <t>SMARTFIN</t>
  </si>
  <si>
    <t>BRRL</t>
  </si>
  <si>
    <t>TI</t>
  </si>
  <si>
    <t>BFINVEST</t>
  </si>
  <si>
    <t>SMCREDT</t>
  </si>
  <si>
    <t>BSELINFRA</t>
  </si>
  <si>
    <t>UBL</t>
  </si>
  <si>
    <t>CHOICEIN</t>
  </si>
  <si>
    <t>SODFC</t>
  </si>
  <si>
    <t>CCCL</t>
  </si>
  <si>
    <t>UNITDSPR</t>
  </si>
  <si>
    <t>EDELWEISS</t>
  </si>
  <si>
    <t>SONAL</t>
  </si>
  <si>
    <t>CINELINE</t>
  </si>
  <si>
    <t>WINSOMBR</t>
  </si>
  <si>
    <t>GFLLIMITED</t>
  </si>
  <si>
    <t>SPANDANA</t>
  </si>
  <si>
    <t>CITADEL</t>
  </si>
  <si>
    <t>Business Process Outsourcing &amp; Knowledge Process Outsourcing</t>
  </si>
  <si>
    <t>ALLSEC</t>
  </si>
  <si>
    <t>IDFC</t>
  </si>
  <si>
    <t>SPS</t>
  </si>
  <si>
    <t>COROENGG</t>
  </si>
  <si>
    <t>BNRUDY</t>
  </si>
  <si>
    <t>KAMAHOLD</t>
  </si>
  <si>
    <t>SPVGLOBAL</t>
  </si>
  <si>
    <t>COUNCODOS</t>
  </si>
  <si>
    <t>CESL</t>
  </si>
  <si>
    <t>MAXINDIA</t>
  </si>
  <si>
    <t>SRGSFL</t>
  </si>
  <si>
    <t>CRANEINFRA</t>
  </si>
  <si>
    <t>ECLERX</t>
  </si>
  <si>
    <t>MAXVIL</t>
  </si>
  <si>
    <t>SRTRANSFIN</t>
  </si>
  <si>
    <t>CROISSANCE</t>
  </si>
  <si>
    <t>HGS</t>
  </si>
  <si>
    <t>PILANIINVS</t>
  </si>
  <si>
    <t>STANCAP</t>
  </si>
  <si>
    <t>DBREALTY</t>
  </si>
  <si>
    <t>INFORTEC</t>
  </si>
  <si>
    <t>TAMBOLI</t>
  </si>
  <si>
    <t>STARTECK</t>
  </si>
  <si>
    <t>DCL</t>
  </si>
  <si>
    <t>POBS</t>
  </si>
  <si>
    <t>Hospital</t>
  </si>
  <si>
    <t>AASHKA</t>
  </si>
  <si>
    <t>STDBAT</t>
  </si>
  <si>
    <t>DLF</t>
  </si>
  <si>
    <t>QUESS</t>
  </si>
  <si>
    <t>APOLLOHOSP</t>
  </si>
  <si>
    <t>STRLGUA</t>
  </si>
  <si>
    <t>EASTBUILD</t>
  </si>
  <si>
    <t>RPSGVENT</t>
  </si>
  <si>
    <t>ARTEMISMED</t>
  </si>
  <si>
    <t>SUCHITRA</t>
  </si>
  <si>
    <t>ELDEHSG</t>
  </si>
  <si>
    <t>WEWIN</t>
  </si>
  <si>
    <t>ASTERDM</t>
  </si>
  <si>
    <t>SUGALDAM</t>
  </si>
  <si>
    <t>EMAMIREAL</t>
  </si>
  <si>
    <t>Cables - Electricals</t>
  </si>
  <si>
    <t>ADVAIT</t>
  </si>
  <si>
    <t>DRAGARWQ</t>
  </si>
  <si>
    <t>SUJALA</t>
  </si>
  <si>
    <t>ESPIRE</t>
  </si>
  <si>
    <t>BCP</t>
  </si>
  <si>
    <t>FORTIS</t>
  </si>
  <si>
    <t>SULABEN</t>
  </si>
  <si>
    <t>ETT</t>
  </si>
  <si>
    <t>CMI</t>
  </si>
  <si>
    <t>FORTISMLR</t>
  </si>
  <si>
    <t>SUMMITSEC</t>
  </si>
  <si>
    <t>GALLOPENT</t>
  </si>
  <si>
    <t>CORDSCABLE</t>
  </si>
  <si>
    <t>GLHRL</t>
  </si>
  <si>
    <t>SUNDARMFIN</t>
  </si>
  <si>
    <t>GANESHHOUC</t>
  </si>
  <si>
    <t>DYNAMIC</t>
  </si>
  <si>
    <t>HCG</t>
  </si>
  <si>
    <t>SUNGOLD</t>
  </si>
  <si>
    <t>GEECEE</t>
  </si>
  <si>
    <t>FINCABLES</t>
  </si>
  <si>
    <t>INDRAMEDCO</t>
  </si>
  <si>
    <t>SUPERIOR</t>
  </si>
  <si>
    <t>GENCON</t>
  </si>
  <si>
    <t>KEI</t>
  </si>
  <si>
    <t>KIMS</t>
  </si>
  <si>
    <t>SUPRAP</t>
  </si>
  <si>
    <t>GODREJPROP</t>
  </si>
  <si>
    <t>PARACABLES</t>
  </si>
  <si>
    <t>KMCSHIL</t>
  </si>
  <si>
    <t>SURYAINDIA</t>
  </si>
  <si>
    <t>GOLDCORP</t>
  </si>
  <si>
    <t>POLYCAB</t>
  </si>
  <si>
    <t>KOVAI</t>
  </si>
  <si>
    <t>SWRNASE</t>
  </si>
  <si>
    <t>GOLDENTOBC</t>
  </si>
  <si>
    <t>ULTRACAB</t>
  </si>
  <si>
    <t>LEHIL</t>
  </si>
  <si>
    <t>SYTIXSE</t>
  </si>
  <si>
    <t>GYTRIPA</t>
  </si>
  <si>
    <t>UNIVCABLES</t>
  </si>
  <si>
    <t>MAXHEALTH</t>
  </si>
  <si>
    <t>TCFCFINQ</t>
  </si>
  <si>
    <t>HAZOOR</t>
  </si>
  <si>
    <t>Castings &amp; Forgings</t>
  </si>
  <si>
    <t>AIAENG</t>
  </si>
  <si>
    <t>NH</t>
  </si>
  <si>
    <t>TFL</t>
  </si>
  <si>
    <t>HBESD</t>
  </si>
  <si>
    <t>BGWTATO</t>
  </si>
  <si>
    <t>RAINBOW</t>
  </si>
  <si>
    <t>TFSL</t>
  </si>
  <si>
    <t>HDIL</t>
  </si>
  <si>
    <t>BHARATFORG</t>
  </si>
  <si>
    <t>SHALBY</t>
  </si>
  <si>
    <t>THIRDFIN</t>
  </si>
  <si>
    <t>HEMIPROP</t>
  </si>
  <si>
    <t>CREATIVE</t>
  </si>
  <si>
    <t>SML</t>
  </si>
  <si>
    <t>TIMESGTY</t>
  </si>
  <si>
    <t>HUBTOWN</t>
  </si>
  <si>
    <t>ELECTCAST</t>
  </si>
  <si>
    <t>Hotels &amp; Resorts</t>
  </si>
  <si>
    <t>ADVANIHOTR</t>
  </si>
  <si>
    <t>TITANSEC</t>
  </si>
  <si>
    <t>IBREALEST</t>
  </si>
  <si>
    <t>GUJINTRX</t>
  </si>
  <si>
    <t>AHLEAST</t>
  </si>
  <si>
    <t>TOKYOFIN</t>
  </si>
  <si>
    <t>IITLPROJ</t>
  </si>
  <si>
    <t>HILTON</t>
  </si>
  <si>
    <t>ARUNAHTEL</t>
  </si>
  <si>
    <t>TPROJECT</t>
  </si>
  <si>
    <t>JAMSHRI</t>
  </si>
  <si>
    <t>INVPRECQ</t>
  </si>
  <si>
    <t>ASIANHOTNR</t>
  </si>
  <si>
    <t>TRANSFIN</t>
  </si>
  <si>
    <t>JETINFRA</t>
  </si>
  <si>
    <t>KALYANIFRG</t>
  </si>
  <si>
    <t>BENARAS</t>
  </si>
  <si>
    <t>TRCFIN</t>
  </si>
  <si>
    <t>JOYREALTY</t>
  </si>
  <si>
    <t>KIRLOSIND</t>
  </si>
  <si>
    <t>BESTEAST</t>
  </si>
  <si>
    <t>TRISHAKT</t>
  </si>
  <si>
    <t>KAMANWALA</t>
  </si>
  <si>
    <t>MAGNAELQ</t>
  </si>
  <si>
    <t>CCHHL</t>
  </si>
  <si>
    <t>TTIENT</t>
  </si>
  <si>
    <t>KBCGLOBAL</t>
  </si>
  <si>
    <t>METALFORGE</t>
  </si>
  <si>
    <t>CHALET</t>
  </si>
  <si>
    <t>UGROCAP</t>
  </si>
  <si>
    <t>KEDIACN</t>
  </si>
  <si>
    <t>MMFL</t>
  </si>
  <si>
    <t>CHLLTD</t>
  </si>
  <si>
    <t>UJJIVAN</t>
  </si>
  <si>
    <t>KESAR</t>
  </si>
  <si>
    <t>NELCAST</t>
  </si>
  <si>
    <t>CINDHO</t>
  </si>
  <si>
    <t>UNITDCR</t>
  </si>
  <si>
    <t>KINGSINFR</t>
  </si>
  <si>
    <t>NITINCAST</t>
  </si>
  <si>
    <t>DHANADACO</t>
  </si>
  <si>
    <t>UPSURGE</t>
  </si>
  <si>
    <t>KMFBLDR</t>
  </si>
  <si>
    <t>RJKMRFR</t>
  </si>
  <si>
    <t>EIHAHOTELS</t>
  </si>
  <si>
    <t>USHAKIRA</t>
  </si>
  <si>
    <t>KOLTEPATIL</t>
  </si>
  <si>
    <t>RKFORGE</t>
  </si>
  <si>
    <t>EIHOTEL</t>
  </si>
  <si>
    <t>UTIQUE</t>
  </si>
  <si>
    <t>KRETTOSYS</t>
  </si>
  <si>
    <t>SAMRATFORG</t>
  </si>
  <si>
    <t>EMERALL</t>
  </si>
  <si>
    <t>UYFINCORP</t>
  </si>
  <si>
    <t>KRISHNA</t>
  </si>
  <si>
    <t>SGIL</t>
  </si>
  <si>
    <t>GOEL</t>
  </si>
  <si>
    <t>VAARAD</t>
  </si>
  <si>
    <t>LAHL</t>
  </si>
  <si>
    <t>SMFIL</t>
  </si>
  <si>
    <t>GRAVISSHO</t>
  </si>
  <si>
    <t>VANICOM</t>
  </si>
  <si>
    <t>LANCORHOL</t>
  </si>
  <si>
    <t>STEELCAS</t>
  </si>
  <si>
    <t>GUJHOTE</t>
  </si>
  <si>
    <t>VARDHANCFL</t>
  </si>
  <si>
    <t>LODHA</t>
  </si>
  <si>
    <t>VASWANI</t>
  </si>
  <si>
    <t>HLVLTD</t>
  </si>
  <si>
    <t>VFL</t>
  </si>
  <si>
    <t>LPDC</t>
  </si>
  <si>
    <t>Cements &amp; Cement Products</t>
  </si>
  <si>
    <t>ACC</t>
  </si>
  <si>
    <t>HOTLSILV</t>
  </si>
  <si>
    <t>VGCL</t>
  </si>
  <si>
    <t>LUHARUKA</t>
  </si>
  <si>
    <t>AINFRA</t>
  </si>
  <si>
    <t>HOWARHO</t>
  </si>
  <si>
    <t>VHL</t>
  </si>
  <si>
    <t>MAHESH</t>
  </si>
  <si>
    <t>AMBUJACEM</t>
  </si>
  <si>
    <t>INDHOTEL</t>
  </si>
  <si>
    <t>VINTAGES</t>
  </si>
  <si>
    <t>MAHLIFE</t>
  </si>
  <si>
    <t>ANDHRACEMT</t>
  </si>
  <si>
    <t>ITDC</t>
  </si>
  <si>
    <t>VOLLF</t>
  </si>
  <si>
    <t>MANAS</t>
  </si>
  <si>
    <t>APCL</t>
  </si>
  <si>
    <t>JINDHOT</t>
  </si>
  <si>
    <t>WILLAMAGOR</t>
  </si>
  <si>
    <t>MANJEERA</t>
  </si>
  <si>
    <t>BIGBLOC</t>
  </si>
  <si>
    <t>KAMATHOTEL</t>
  </si>
  <si>
    <t>WILLIMFI</t>
  </si>
  <si>
    <t>MARATHON</t>
  </si>
  <si>
    <t>BIRLACORPN</t>
  </si>
  <si>
    <t>KHYATI</t>
  </si>
  <si>
    <t>WSFIN</t>
  </si>
  <si>
    <t>MARBU</t>
  </si>
  <si>
    <t>BURNPUR</t>
  </si>
  <si>
    <t>LEMONTREE</t>
  </si>
  <si>
    <t>ZSARACOM</t>
  </si>
  <si>
    <t>MAXHEIGHTS</t>
  </si>
  <si>
    <t>BVCL</t>
  </si>
  <si>
    <t>LORDSHOTL</t>
  </si>
  <si>
    <t>Other Financial Services</t>
  </si>
  <si>
    <t>ABVL</t>
  </si>
  <si>
    <t>MNIL</t>
  </si>
  <si>
    <t>DALBHARAT</t>
  </si>
  <si>
    <t>MACH</t>
  </si>
  <si>
    <t>AJCON</t>
  </si>
  <si>
    <t>MODIPON</t>
  </si>
  <si>
    <t>DECCANCE</t>
  </si>
  <si>
    <t>MCCHRLS-B</t>
  </si>
  <si>
    <t>ALSL</t>
  </si>
  <si>
    <t>MODIS</t>
  </si>
  <si>
    <t>EVERESTIND</t>
  </si>
  <si>
    <t>MHRIL</t>
  </si>
  <si>
    <t>APOORVA</t>
  </si>
  <si>
    <t>MOUNT</t>
  </si>
  <si>
    <t>GRASIM</t>
  </si>
  <si>
    <t>ORIENTHOT</t>
  </si>
  <si>
    <t>AQFINTECH</t>
  </si>
  <si>
    <t>MPDL</t>
  </si>
  <si>
    <t>GSCLCEMENT</t>
  </si>
  <si>
    <t>PHOENIXTN</t>
  </si>
  <si>
    <t>ARCFIN</t>
  </si>
  <si>
    <t>NARPROP</t>
  </si>
  <si>
    <t>HEIDELBERG</t>
  </si>
  <si>
    <t>RASRESOR</t>
  </si>
  <si>
    <t>ARUNIS</t>
  </si>
  <si>
    <t>NATIONSTD</t>
  </si>
  <si>
    <t>INDIACEM</t>
  </si>
  <si>
    <t>RAYALEMA</t>
  </si>
  <si>
    <t>ARYAN</t>
  </si>
  <si>
    <t>NAVKAR</t>
  </si>
  <si>
    <t>JKCEMENT</t>
  </si>
  <si>
    <t>RELIABVEN</t>
  </si>
  <si>
    <t>ASHCAP</t>
  </si>
  <si>
    <t>NEH</t>
  </si>
  <si>
    <t>JKLAKSHMI</t>
  </si>
  <si>
    <t>ROHLTD</t>
  </si>
  <si>
    <t>BERVINL</t>
  </si>
  <si>
    <t>NEOINFRA</t>
  </si>
  <si>
    <t>KAKATCEM</t>
  </si>
  <si>
    <t>ROOPSHRI</t>
  </si>
  <si>
    <t>BHARAT</t>
  </si>
  <si>
    <t>NILA</t>
  </si>
  <si>
    <t>KCP</t>
  </si>
  <si>
    <t>SAVERA</t>
  </si>
  <si>
    <t>BIOGEN</t>
  </si>
  <si>
    <t>NILASPACES</t>
  </si>
  <si>
    <t>KEERTHI</t>
  </si>
  <si>
    <t>SAYAJIHOTL</t>
  </si>
  <si>
    <t>BNRSEC</t>
  </si>
  <si>
    <t>NIMBSPROJ</t>
  </si>
  <si>
    <t>KESORAMIND</t>
  </si>
  <si>
    <t>SBRANDS</t>
  </si>
  <si>
    <t>BRIDGESE</t>
  </si>
  <si>
    <t>OBEROIRLTY</t>
  </si>
  <si>
    <t>MANGLMCEM</t>
  </si>
  <si>
    <t>SILVERPRL</t>
  </si>
  <si>
    <t>BVL</t>
  </si>
  <si>
    <t>OMAXE</t>
  </si>
  <si>
    <t>NCLIND</t>
  </si>
  <si>
    <t>SINCLAIR</t>
  </si>
  <si>
    <t>CANOPYFIN</t>
  </si>
  <si>
    <t>PARSHWANA</t>
  </si>
  <si>
    <t>NUVOCO</t>
  </si>
  <si>
    <t>STRGRENWO</t>
  </si>
  <si>
    <t>CASPIAN</t>
  </si>
  <si>
    <t>PARSVNATH</t>
  </si>
  <si>
    <t>ORIENTCEM</t>
  </si>
  <si>
    <t>TAJGVK</t>
  </si>
  <si>
    <t>CCFCL</t>
  </si>
  <si>
    <t>PATIDAR</t>
  </si>
  <si>
    <t>PRSMJOHNSN</t>
  </si>
  <si>
    <t>TGBHOTELS</t>
  </si>
  <si>
    <t>CENTRUM</t>
  </si>
  <si>
    <t>PENINLAND</t>
  </si>
  <si>
    <t>RAMCOCEM</t>
  </si>
  <si>
    <t>THEBYKE</t>
  </si>
  <si>
    <t>CHARMS</t>
  </si>
  <si>
    <t>PHOENIXLTD</t>
  </si>
  <si>
    <t>RAMCOIND</t>
  </si>
  <si>
    <t>UPHOT</t>
  </si>
  <si>
    <t>CHRTEDCA</t>
  </si>
  <si>
    <t>PODDAR</t>
  </si>
  <si>
    <t>SAGCEM</t>
  </si>
  <si>
    <t>VELHO</t>
  </si>
  <si>
    <t>CLFL</t>
  </si>
  <si>
    <t>PRAENG</t>
  </si>
  <si>
    <t>SAHYADRI</t>
  </si>
  <si>
    <t>VICEROY</t>
  </si>
  <si>
    <t>CMBL</t>
  </si>
  <si>
    <t>PRERINFRA</t>
  </si>
  <si>
    <t>SAINIK</t>
  </si>
  <si>
    <t>WESTLIFE</t>
  </si>
  <si>
    <t>CNIRESLTD</t>
  </si>
  <si>
    <t>PRESTIGE</t>
  </si>
  <si>
    <t>SANGHIIND</t>
  </si>
  <si>
    <t>WOODSVILA</t>
  </si>
  <si>
    <t>COMCL</t>
  </si>
  <si>
    <t>PRIMEPRO</t>
  </si>
  <si>
    <t>SAURASHCEM</t>
  </si>
  <si>
    <t>Household Appliances</t>
  </si>
  <si>
    <t>CARYSIL</t>
  </si>
  <si>
    <t>CONFINT</t>
  </si>
  <si>
    <t>PRIMEURB</t>
  </si>
  <si>
    <t>SCANPRO</t>
  </si>
  <si>
    <t>BAJAJELEC</t>
  </si>
  <si>
    <t>CRISIL</t>
  </si>
  <si>
    <t>PROZONINTU</t>
  </si>
  <si>
    <t>SHIVACEM</t>
  </si>
  <si>
    <t>BUTTERFLY</t>
  </si>
  <si>
    <t>DAULAT</t>
  </si>
  <si>
    <t>PUROHITCON</t>
  </si>
  <si>
    <t>SHREDIGCEM</t>
  </si>
  <si>
    <t>CROMPTON</t>
  </si>
  <si>
    <t>DELPHIFX</t>
  </si>
  <si>
    <t>PURVA</t>
  </si>
  <si>
    <t>SHREECEM</t>
  </si>
  <si>
    <t>EUREKAFORBE</t>
  </si>
  <si>
    <t>DEVITRD</t>
  </si>
  <si>
    <t>PVP</t>
  </si>
  <si>
    <t>SKCIL</t>
  </si>
  <si>
    <t>FORBESCO</t>
  </si>
  <si>
    <t>DHANI</t>
  </si>
  <si>
    <t>QUANTBUILD</t>
  </si>
  <si>
    <t>STARCEMENT</t>
  </si>
  <si>
    <t>HINDWAREAP</t>
  </si>
  <si>
    <t>DHANVARSHA</t>
  </si>
  <si>
    <t>RADHEDE</t>
  </si>
  <si>
    <t>UDAICEMENT</t>
  </si>
  <si>
    <t>IFBIND</t>
  </si>
  <si>
    <t>ELIXIR</t>
  </si>
  <si>
    <t>RAGHUTOB</t>
  </si>
  <si>
    <t>ULTRACEMCO</t>
  </si>
  <si>
    <t>JAIPAN</t>
  </si>
  <si>
    <t>ESCORP</t>
  </si>
  <si>
    <t>RAINBOWF</t>
  </si>
  <si>
    <t>VARDHMAN</t>
  </si>
  <si>
    <t>SINGER</t>
  </si>
  <si>
    <t>ESSARSEC</t>
  </si>
  <si>
    <t>RAJABAH</t>
  </si>
  <si>
    <t>VISAKAIND</t>
  </si>
  <si>
    <t>STOVEKRAFT</t>
  </si>
  <si>
    <t>FUTSOL</t>
  </si>
  <si>
    <t>RAJINFRA</t>
  </si>
  <si>
    <t>Cigarettes &amp; Tobacco Products</t>
  </si>
  <si>
    <t>GODFRYPHLP</t>
  </si>
  <si>
    <t>TTKPRESTIG</t>
  </si>
  <si>
    <t>GAJANANSEC</t>
  </si>
  <si>
    <t>RATNABHUMI</t>
  </si>
  <si>
    <t>NTCIND</t>
  </si>
  <si>
    <t>VGUARD</t>
  </si>
  <si>
    <t>GCMCAPI</t>
  </si>
  <si>
    <t>RDBRIL</t>
  </si>
  <si>
    <t>RAGHUNAT</t>
  </si>
  <si>
    <t>WEL</t>
  </si>
  <si>
    <t>GCMCOMM</t>
  </si>
  <si>
    <t>RJSHAH</t>
  </si>
  <si>
    <t>SINNAR</t>
  </si>
  <si>
    <t>WHIRLPOOL</t>
  </si>
  <si>
    <t>GDTRAGN</t>
  </si>
  <si>
    <t>RODIUM</t>
  </si>
  <si>
    <t>VSTIND</t>
  </si>
  <si>
    <t>Household Products</t>
  </si>
  <si>
    <t>AMBICAAGAR</t>
  </si>
  <si>
    <t>GLFL</t>
  </si>
  <si>
    <t>RPIL</t>
  </si>
  <si>
    <t>Civil Construction</t>
  </si>
  <si>
    <t>AHLUCONT</t>
  </si>
  <si>
    <t>HIPOLIN</t>
  </si>
  <si>
    <t>GUJCRED</t>
  </si>
  <si>
    <t>RVHL</t>
  </si>
  <si>
    <t>AML</t>
  </si>
  <si>
    <t>JYOTHYLAB</t>
  </si>
  <si>
    <t>HBPOR</t>
  </si>
  <si>
    <t>SAMOR</t>
  </si>
  <si>
    <t>ANANDPROJ</t>
  </si>
  <si>
    <t>PCCOSMA</t>
  </si>
  <si>
    <t>HIKLASS</t>
  </si>
  <si>
    <t>SATRAPROP</t>
  </si>
  <si>
    <t>ARSSINFRA</t>
  </si>
  <si>
    <t>Houseware</t>
  </si>
  <si>
    <t>GORANIN</t>
  </si>
  <si>
    <t>IDINFO</t>
  </si>
  <si>
    <t>SBGLP</t>
  </si>
  <si>
    <t>ASHOKA</t>
  </si>
  <si>
    <t>GOTHIPL</t>
  </si>
  <si>
    <t>360ONE</t>
  </si>
  <si>
    <t>SBLI</t>
  </si>
  <si>
    <t>ATLANTA</t>
  </si>
  <si>
    <t>HAWKINCOOK</t>
  </si>
  <si>
    <t>INANISEC</t>
  </si>
  <si>
    <t>SEL</t>
  </si>
  <si>
    <t>BFUTILITIE</t>
  </si>
  <si>
    <t>INFLAME</t>
  </si>
  <si>
    <t>INDICAP</t>
  </si>
  <si>
    <t>SHAHCON</t>
  </si>
  <si>
    <t>BLKASHYAP</t>
  </si>
  <si>
    <t>SPITZE</t>
  </si>
  <si>
    <t>ISLCONSUL</t>
  </si>
  <si>
    <t>SHERVANI</t>
  </si>
  <si>
    <t>BRNL</t>
  </si>
  <si>
    <t>VIAANINDUS</t>
  </si>
  <si>
    <t>JHACC</t>
  </si>
  <si>
    <t>SHRIKRISH</t>
  </si>
  <si>
    <t>CANDC</t>
  </si>
  <si>
    <t>Housing Finance Company</t>
  </si>
  <si>
    <t>AAVAS</t>
  </si>
  <si>
    <t>JINDCAP</t>
  </si>
  <si>
    <t>SHRIRAMPPS</t>
  </si>
  <si>
    <t>CCLINTER</t>
  </si>
  <si>
    <t>APTUS</t>
  </si>
  <si>
    <t>JSGLEASING</t>
  </si>
  <si>
    <t>SHRISTI</t>
  </si>
  <si>
    <t>CONART</t>
  </si>
  <si>
    <t>CANFINHOME</t>
  </si>
  <si>
    <t>JYOTIN</t>
  </si>
  <si>
    <t>SICL</t>
  </si>
  <si>
    <t>DBL</t>
  </si>
  <si>
    <t>GICHSGFIN</t>
  </si>
  <si>
    <t>KANUNGO</t>
  </si>
  <si>
    <t>SIKOZY</t>
  </si>
  <si>
    <t>DUGARHOU</t>
  </si>
  <si>
    <t>HDFC</t>
  </si>
  <si>
    <t>KBSINDIA</t>
  </si>
  <si>
    <t>SIMPLXREA</t>
  </si>
  <si>
    <t>GARNET</t>
  </si>
  <si>
    <t>HOMEFIRST</t>
  </si>
  <si>
    <t>KEYFINSER</t>
  </si>
  <si>
    <t>SKIFL</t>
  </si>
  <si>
    <t>GAYAHWS</t>
  </si>
  <si>
    <t>IBULHSGFIN</t>
  </si>
  <si>
    <t>KJMCCORP</t>
  </si>
  <si>
    <t>SKYLMILAR</t>
  </si>
  <si>
    <t>GAYAPROJ</t>
  </si>
  <si>
    <t>INDBNK</t>
  </si>
  <si>
    <t>KSHITIJ</t>
  </si>
  <si>
    <t>SOBHA</t>
  </si>
  <si>
    <t>GPTINFRA</t>
  </si>
  <si>
    <t>INDIAHOME</t>
  </si>
  <si>
    <t>LIBORD</t>
  </si>
  <si>
    <t>SSPDL</t>
  </si>
  <si>
    <t>GRINFRA</t>
  </si>
  <si>
    <t>LICHSGFIN</t>
  </si>
  <si>
    <t>LKPFIN</t>
  </si>
  <si>
    <t>STLSTRINF</t>
  </si>
  <si>
    <t>IL&amp;FSTRANS</t>
  </si>
  <si>
    <t>MANRAJH</t>
  </si>
  <si>
    <t>MAHAPEXLTD</t>
  </si>
  <si>
    <t>SUNTECK</t>
  </si>
  <si>
    <t>INDINFR</t>
  </si>
  <si>
    <t>MEHTAHG</t>
  </si>
  <si>
    <t>MEHSECU</t>
  </si>
  <si>
    <t>SUPREME</t>
  </si>
  <si>
    <t>IRB</t>
  </si>
  <si>
    <t>PNBHOUSING</t>
  </si>
  <si>
    <t>MIDEASTP</t>
  </si>
  <si>
    <t>SVGLOBAL</t>
  </si>
  <si>
    <t>IRBINVIT</t>
  </si>
  <si>
    <t>RELHOME</t>
  </si>
  <si>
    <t>MIL</t>
  </si>
  <si>
    <t>TARC</t>
  </si>
  <si>
    <t>ITDCEM</t>
  </si>
  <si>
    <t>REPCOHOME</t>
  </si>
  <si>
    <t>MKTCREAT</t>
  </si>
  <si>
    <t>TATIAGLOB</t>
  </si>
  <si>
    <t>JKIL</t>
  </si>
  <si>
    <t>SAHARAHOUS</t>
  </si>
  <si>
    <t>MODRNSH</t>
  </si>
  <si>
    <t>TCIDEVELOP</t>
  </si>
  <si>
    <t>JMCPROJECT</t>
  </si>
  <si>
    <t>SRGHFL</t>
  </si>
  <si>
    <t>MOONGIPASEC</t>
  </si>
  <si>
    <t>TECHIN</t>
  </si>
  <si>
    <t>JPASSOCIAT</t>
  </si>
  <si>
    <t>STARHFL</t>
  </si>
  <si>
    <t>MPILCORPL</t>
  </si>
  <si>
    <t>TEXINFRA</t>
  </si>
  <si>
    <t>JPINFRATEC</t>
  </si>
  <si>
    <t>ZHINDHSG</t>
  </si>
  <si>
    <t>MUDRA</t>
  </si>
  <si>
    <t>THAKDEV</t>
  </si>
  <si>
    <t>KAUSHALYA</t>
  </si>
  <si>
    <t>Industrial Electronics</t>
  </si>
  <si>
    <t>CENTUM</t>
  </si>
  <si>
    <t>MUNOTHFI</t>
  </si>
  <si>
    <t>TIRSARJ</t>
  </si>
  <si>
    <t>KCLINFRA</t>
  </si>
  <si>
    <t>COSMOFE</t>
  </si>
  <si>
    <t>NAM</t>
  </si>
  <si>
    <t>TRESCON</t>
  </si>
  <si>
    <t>KNRCON</t>
  </si>
  <si>
    <t>DANLAW</t>
  </si>
  <si>
    <t>NAVIGANT</t>
  </si>
  <si>
    <t>TVOLCON</t>
  </si>
  <si>
    <t>LIKHITHA</t>
  </si>
  <si>
    <t>HONAUT</t>
  </si>
  <si>
    <t>NDASEC</t>
  </si>
  <si>
    <t>UNISHIRE</t>
  </si>
  <si>
    <t>MADHAVIPL</t>
  </si>
  <si>
    <t>METSL</t>
  </si>
  <si>
    <t>NEXUSSURGL</t>
  </si>
  <si>
    <t>UNITECH</t>
  </si>
  <si>
    <t>MADHUCON</t>
  </si>
  <si>
    <t>MIC</t>
  </si>
  <si>
    <t>NPRFIN</t>
  </si>
  <si>
    <t>UTLINDS</t>
  </si>
  <si>
    <t>MAINFRA</t>
  </si>
  <si>
    <t>Industrial Equipments</t>
  </si>
  <si>
    <t>ADORFO</t>
  </si>
  <si>
    <t>ONELIFECAP</t>
  </si>
  <si>
    <t>VASINFRA</t>
  </si>
  <si>
    <t>MBLINFRA</t>
  </si>
  <si>
    <t>AFFORDABLE</t>
  </si>
  <si>
    <t>ONTIC</t>
  </si>
  <si>
    <t>VGIL</t>
  </si>
  <si>
    <t>MODULEX</t>
  </si>
  <si>
    <t>ANUP</t>
  </si>
  <si>
    <t>PEL</t>
  </si>
  <si>
    <t>VICTMILL</t>
  </si>
  <si>
    <t>MTCL</t>
  </si>
  <si>
    <t>ATVPR</t>
  </si>
  <si>
    <t>PIONRINV</t>
  </si>
  <si>
    <t>VIPUL</t>
  </si>
  <si>
    <t>NCC</t>
  </si>
  <si>
    <t>BATLIBOI</t>
  </si>
  <si>
    <t>PML</t>
  </si>
  <si>
    <t>VIVIDM</t>
  </si>
  <si>
    <t>NHIT</t>
  </si>
  <si>
    <t>BEMHY</t>
  </si>
  <si>
    <t>PRIMESECU</t>
  </si>
  <si>
    <t>Restaurants</t>
  </si>
  <si>
    <t>BARBEQUE</t>
  </si>
  <si>
    <t>NIRAJ</t>
  </si>
  <si>
    <t>BENARA</t>
  </si>
  <si>
    <t>PRITHVIEXCH</t>
  </si>
  <si>
    <t>COFFEEDAY</t>
  </si>
  <si>
    <t>PATELENG</t>
  </si>
  <si>
    <t>CTCL</t>
  </si>
  <si>
    <t>RBGUPTA</t>
  </si>
  <si>
    <t>DEVYANI</t>
  </si>
  <si>
    <t>PBAINFRA</t>
  </si>
  <si>
    <t>DHINDIA</t>
  </si>
  <si>
    <t>REGENCY</t>
  </si>
  <si>
    <t>JUBLFOOD</t>
  </si>
  <si>
    <t>PNCINFRA</t>
  </si>
  <si>
    <t>DYNAMATECH</t>
  </si>
  <si>
    <t>RELICTEC</t>
  </si>
  <si>
    <t>PECOS</t>
  </si>
  <si>
    <t>PSPPROJECT</t>
  </si>
  <si>
    <t>EIMCOELECO</t>
  </si>
  <si>
    <t>RFSL</t>
  </si>
  <si>
    <t>RBA</t>
  </si>
  <si>
    <t>PVVINFRA</t>
  </si>
  <si>
    <t>EKC</t>
  </si>
  <si>
    <t>RIDHISYN</t>
  </si>
  <si>
    <t>SAPPHIRE</t>
  </si>
  <si>
    <t>RAMKY</t>
  </si>
  <si>
    <t>ELECON</t>
  </si>
  <si>
    <t>ROSELABS</t>
  </si>
  <si>
    <t>SPECIALITY</t>
  </si>
  <si>
    <t>RANJEET</t>
  </si>
  <si>
    <t>FLUIDOM</t>
  </si>
  <si>
    <t>RTFL</t>
  </si>
  <si>
    <t>VIDLI</t>
  </si>
  <si>
    <t>RAUNAQEPC</t>
  </si>
  <si>
    <t>GMM</t>
  </si>
  <si>
    <t>SALSAIN</t>
  </si>
  <si>
    <t>Road Transport</t>
  </si>
  <si>
    <t>ABCINDQ</t>
  </si>
  <si>
    <t>RPPINFRA</t>
  </si>
  <si>
    <t>HERCULES</t>
  </si>
  <si>
    <t>SHIVA</t>
  </si>
  <si>
    <t>BALTE</t>
  </si>
  <si>
    <t>SAB</t>
  </si>
  <si>
    <t>HIRECT</t>
  </si>
  <si>
    <t>SIELFNS</t>
  </si>
  <si>
    <t>COARO</t>
  </si>
  <si>
    <t>SETUINFRA</t>
  </si>
  <si>
    <t>HLEGLAS</t>
  </si>
  <si>
    <t>SMIFS</t>
  </si>
  <si>
    <t>FRONTCORP</t>
  </si>
  <si>
    <t>SGFRL</t>
  </si>
  <si>
    <t>HONDAPOWER</t>
  </si>
  <si>
    <t>SPACAPS</t>
  </si>
  <si>
    <t>INTSTOIL</t>
  </si>
  <si>
    <t>SHASHIJIT</t>
  </si>
  <si>
    <t>INTLCONV</t>
  </si>
  <si>
    <t>SSPNFIN</t>
  </si>
  <si>
    <t>MHSGRMS</t>
  </si>
  <si>
    <t>SHREESHAY</t>
  </si>
  <si>
    <t>IYKOTHITE</t>
  </si>
  <si>
    <t>STELLANT</t>
  </si>
  <si>
    <t>Rubber</t>
  </si>
  <si>
    <t>APCOTEXIND</t>
  </si>
  <si>
    <t>SIMPLEXINF</t>
  </si>
  <si>
    <t>JOSTS</t>
  </si>
  <si>
    <t>STELLAR</t>
  </si>
  <si>
    <t>GRPLTD</t>
  </si>
  <si>
    <t>SIPL</t>
  </si>
  <si>
    <t>KABRAEXTRU</t>
  </si>
  <si>
    <t>STEP2COR</t>
  </si>
  <si>
    <t>PIXTRANS</t>
  </si>
  <si>
    <t>SPMLINFRA</t>
  </si>
  <si>
    <t>KENNAMET</t>
  </si>
  <si>
    <t>STEPHANOTIS</t>
  </si>
  <si>
    <t>RISHIROOP</t>
  </si>
  <si>
    <t>TANTIACONS</t>
  </si>
  <si>
    <t>LLOYDSTEEL</t>
  </si>
  <si>
    <t>SUMEDHA</t>
  </si>
  <si>
    <t>SEPOWER</t>
  </si>
  <si>
    <t>TARMAT</t>
  </si>
  <si>
    <t>LOKESHMACH</t>
  </si>
  <si>
    <t>SUNRINV</t>
  </si>
  <si>
    <t>Ship Building</t>
  </si>
  <si>
    <t>COCHINSHIP</t>
  </si>
  <si>
    <t>VIVANTA</t>
  </si>
  <si>
    <t>LOYAL</t>
  </si>
  <si>
    <t>SUPRATRE</t>
  </si>
  <si>
    <t>HRYNSHP</t>
  </si>
  <si>
    <t>VSFPROJ</t>
  </si>
  <si>
    <t>MAHEPC</t>
  </si>
  <si>
    <t>SYMBIOX</t>
  </si>
  <si>
    <t>LAXMIPATI</t>
  </si>
  <si>
    <t>YURANUS</t>
  </si>
  <si>
    <t>MANUGRAPH</t>
  </si>
  <si>
    <t>TERRAFORM</t>
  </si>
  <si>
    <t>MAZDOCK</t>
  </si>
  <si>
    <t>Coal</t>
  </si>
  <si>
    <t>ANMOL</t>
  </si>
  <si>
    <t>MAZDALTD</t>
  </si>
  <si>
    <t>THACKER</t>
  </si>
  <si>
    <t>RNAVAL</t>
  </si>
  <si>
    <t>COALINDIA</t>
  </si>
  <si>
    <t>MIVENMACH</t>
  </si>
  <si>
    <t>THEINVEST</t>
  </si>
  <si>
    <t>Shipping</t>
  </si>
  <si>
    <t>CHOWGULSTM</t>
  </si>
  <si>
    <t>KCL</t>
  </si>
  <si>
    <t>PANELEC</t>
  </si>
  <si>
    <t>TOYAMIND</t>
  </si>
  <si>
    <t>DATIWARE</t>
  </si>
  <si>
    <t>MERCATOR</t>
  </si>
  <si>
    <t>PATELSAI</t>
  </si>
  <si>
    <t>TRANSCOR</t>
  </si>
  <si>
    <t>ESSARSHPNG</t>
  </si>
  <si>
    <t>Commercial Vehicles</t>
  </si>
  <si>
    <t>ASHOKLEY</t>
  </si>
  <si>
    <t>PITTIENG</t>
  </si>
  <si>
    <t>TRINITYLEA</t>
  </si>
  <si>
    <t>GESHIP</t>
  </si>
  <si>
    <t>ATULAUTO</t>
  </si>
  <si>
    <t>PRECISIO</t>
  </si>
  <si>
    <t>TRIOMERC</t>
  </si>
  <si>
    <t>GLOBOFFS</t>
  </si>
  <si>
    <t>JWL</t>
  </si>
  <si>
    <t>RASIELEC</t>
  </si>
  <si>
    <t>UNIJOLL</t>
  </si>
  <si>
    <t>KMEW</t>
  </si>
  <si>
    <t>SMLISUZU</t>
  </si>
  <si>
    <t>REVATHI</t>
  </si>
  <si>
    <t>VBDESAI</t>
  </si>
  <si>
    <t>SCI</t>
  </si>
  <si>
    <t>Commodity Chemicals</t>
  </si>
  <si>
    <t>ADVPETR-B</t>
  </si>
  <si>
    <t>REXNORD</t>
  </si>
  <si>
    <t>VERTEX</t>
  </si>
  <si>
    <t>SEAMECLTD</t>
  </si>
  <si>
    <t>ALUFLUOR</t>
  </si>
  <si>
    <t>SHANTIGEAR</t>
  </si>
  <si>
    <t>VISAGAR</t>
  </si>
  <si>
    <t>SHREYAS</t>
  </si>
  <si>
    <t>AMNPLST</t>
  </si>
  <si>
    <t>SMAUTO</t>
  </si>
  <si>
    <t>VISCO</t>
  </si>
  <si>
    <t>Software</t>
  </si>
  <si>
    <t>4THGEN</t>
  </si>
  <si>
    <t>ANDHRAPET</t>
  </si>
  <si>
    <t>SOMICONV</t>
  </si>
  <si>
    <t>WELLNESS</t>
  </si>
  <si>
    <t>ABMKNO</t>
  </si>
  <si>
    <t>ANDHRSUGAR</t>
  </si>
  <si>
    <t>TEGA</t>
  </si>
  <si>
    <t>WESTLEIRES</t>
  </si>
  <si>
    <t>ACESOFT</t>
  </si>
  <si>
    <t>ARCHITORG</t>
  </si>
  <si>
    <t>TEXRAIL</t>
  </si>
  <si>
    <t>WINROC</t>
  </si>
  <si>
    <t>ATISHAY</t>
  </si>
  <si>
    <t>ASINPET</t>
  </si>
  <si>
    <t>TULIVE</t>
  </si>
  <si>
    <t>YASTF</t>
  </si>
  <si>
    <t>B2BSOFT</t>
  </si>
  <si>
    <t>BHAGWOX</t>
  </si>
  <si>
    <t>UNIDT</t>
  </si>
  <si>
    <t>YOGISUNG</t>
  </si>
  <si>
    <t>BLSINFOTE</t>
  </si>
  <si>
    <t>CAMEXLTD</t>
  </si>
  <si>
    <t>WALCHANNAG</t>
  </si>
  <si>
    <t>ZSATYASL</t>
  </si>
  <si>
    <t>BLUECLOUDS</t>
  </si>
  <si>
    <t>CAPRO</t>
  </si>
  <si>
    <t>Industrial Gases</t>
  </si>
  <si>
    <t>LINDEINDIA</t>
  </si>
  <si>
    <t>ZSHERAPR</t>
  </si>
  <si>
    <t>CLIOINFO</t>
  </si>
  <si>
    <t>CHEMFABALKA</t>
  </si>
  <si>
    <t>NOL</t>
  </si>
  <si>
    <t>ZSPEEDCO</t>
  </si>
  <si>
    <t>CONTCHM</t>
  </si>
  <si>
    <t>CHEMPLASTS</t>
  </si>
  <si>
    <t>REFEX</t>
  </si>
  <si>
    <t>ZSVARAJT</t>
  </si>
  <si>
    <t>COSYN</t>
  </si>
  <si>
    <t>CLEAN</t>
  </si>
  <si>
    <t>Industrial Machinery</t>
  </si>
  <si>
    <t>ARTSONEN</t>
  </si>
  <si>
    <t>ZSVTRADI</t>
  </si>
  <si>
    <t>CRANESSOFT</t>
  </si>
  <si>
    <t>DECOMIC</t>
  </si>
  <si>
    <t>ATAM</t>
  </si>
  <si>
    <t>ZSWASTSA</t>
  </si>
  <si>
    <t>FIRSTFIN</t>
  </si>
  <si>
    <t>DEEPAKFERT</t>
  </si>
  <si>
    <t>AUSTENG</t>
  </si>
  <si>
    <t>Other Industrial Products</t>
  </si>
  <si>
    <t>CARNATIN</t>
  </si>
  <si>
    <t>HINDBIO</t>
  </si>
  <si>
    <t>EMMESSA</t>
  </si>
  <si>
    <t>AXTEL</t>
  </si>
  <si>
    <t>DELTAMAGNT</t>
  </si>
  <si>
    <t>INDOCITY</t>
  </si>
  <si>
    <t>FISCHER</t>
  </si>
  <si>
    <t>BAJAJST</t>
  </si>
  <si>
    <t>ESABINDIA</t>
  </si>
  <si>
    <t>INTENTECH</t>
  </si>
  <si>
    <t>GAYATRIBI</t>
  </si>
  <si>
    <t>BALUFORGE</t>
  </si>
  <si>
    <t>EXPOGAS</t>
  </si>
  <si>
    <t>MAPMYINDIA</t>
  </si>
  <si>
    <t>GENUSPRIME</t>
  </si>
  <si>
    <t>BIRLAPREC</t>
  </si>
  <si>
    <t>INLCM</t>
  </si>
  <si>
    <t>MOSCHIP</t>
  </si>
  <si>
    <t>GHCL</t>
  </si>
  <si>
    <t>CENLUB</t>
  </si>
  <si>
    <t>MALLCOM</t>
  </si>
  <si>
    <t>NETLINK</t>
  </si>
  <si>
    <t>GNFC</t>
  </si>
  <si>
    <t>CHEMTECH</t>
  </si>
  <si>
    <t>MUL</t>
  </si>
  <si>
    <t>NEWMKTADV</t>
  </si>
  <si>
    <t>GRAUWEIL</t>
  </si>
  <si>
    <t>COCKERILL</t>
  </si>
  <si>
    <t>ORIRAIL</t>
  </si>
  <si>
    <t>NIHARINF</t>
  </si>
  <si>
    <t>GUJALKALI</t>
  </si>
  <si>
    <t>COSPOWER</t>
  </si>
  <si>
    <t>POOJA</t>
  </si>
  <si>
    <t>NUCLEUS</t>
  </si>
  <si>
    <t>GUJCMDS</t>
  </si>
  <si>
    <t>DECANBRG</t>
  </si>
  <si>
    <t>PTCIL</t>
  </si>
  <si>
    <t>ODYSSEY</t>
  </si>
  <si>
    <t>GULPOLY</t>
  </si>
  <si>
    <t>DISAQ</t>
  </si>
  <si>
    <t>ROLCOEN</t>
  </si>
  <si>
    <t>OFSS</t>
  </si>
  <si>
    <t>HARLETH</t>
  </si>
  <si>
    <t>DUCON</t>
  </si>
  <si>
    <t>RPEL</t>
  </si>
  <si>
    <t>OMNIAX</t>
  </si>
  <si>
    <t>HINFLUR</t>
  </si>
  <si>
    <t>EMAINDIA</t>
  </si>
  <si>
    <t>SIMPLEXCAS</t>
  </si>
  <si>
    <t>QUICKHEAL</t>
  </si>
  <si>
    <t>HOCL</t>
  </si>
  <si>
    <t>ENVAIREL</t>
  </si>
  <si>
    <t>SPRAYKING</t>
  </si>
  <si>
    <t>RAMCOSYS</t>
  </si>
  <si>
    <t>IGPL</t>
  </si>
  <si>
    <t>GALAGEX</t>
  </si>
  <si>
    <t>WHBRADY</t>
  </si>
  <si>
    <t>RESPONSINF</t>
  </si>
  <si>
    <t>INDIAGLYCO</t>
  </si>
  <si>
    <t>GGDANDE</t>
  </si>
  <si>
    <t>ZWELCAST</t>
  </si>
  <si>
    <t>SANKHYAIN</t>
  </si>
  <si>
    <t>INDOAMIN</t>
  </si>
  <si>
    <t>GTV</t>
  </si>
  <si>
    <t>Other Telecom Services</t>
  </si>
  <si>
    <t>GTL</t>
  </si>
  <si>
    <t>SSLFINANCE</t>
  </si>
  <si>
    <t>INDOBORAX</t>
  </si>
  <si>
    <t>HARISH</t>
  </si>
  <si>
    <t>MEGASOFT</t>
  </si>
  <si>
    <t>SUBEX</t>
  </si>
  <si>
    <t>IVP</t>
  </si>
  <si>
    <t>HAWAENG</t>
  </si>
  <si>
    <t>NETTLINX</t>
  </si>
  <si>
    <t>SVAMSOF</t>
  </si>
  <si>
    <t>JAYCH</t>
  </si>
  <si>
    <t>HITTCO</t>
  </si>
  <si>
    <t>ONMOBILE</t>
  </si>
  <si>
    <t>TANLA</t>
  </si>
  <si>
    <t>KANCHI</t>
  </si>
  <si>
    <t>HMT</t>
  </si>
  <si>
    <t>RAILTEL</t>
  </si>
  <si>
    <t>TECHNVISN</t>
  </si>
  <si>
    <t>KANORICHEM</t>
  </si>
  <si>
    <t>INCON</t>
  </si>
  <si>
    <t>ROUTE*</t>
  </si>
  <si>
    <t>TELECANOR</t>
  </si>
  <si>
    <t>KOBO</t>
  </si>
  <si>
    <t>INTEGRAEN</t>
  </si>
  <si>
    <t>STLTECH</t>
  </si>
  <si>
    <t>TSPIRITUAL</t>
  </si>
  <si>
    <t>KUWERIN</t>
  </si>
  <si>
    <t>INTLCOMBQ</t>
  </si>
  <si>
    <t>VISESHINFO</t>
  </si>
  <si>
    <t>VIRINCHI</t>
  </si>
  <si>
    <t>LIMECHM</t>
  </si>
  <si>
    <t>ITL</t>
  </si>
  <si>
    <t>Other Textile Products</t>
  </si>
  <si>
    <t>AANANDALAK</t>
  </si>
  <si>
    <t>VIRTUALS</t>
  </si>
  <si>
    <t>LINKPH</t>
  </si>
  <si>
    <t>KLBRENG-B</t>
  </si>
  <si>
    <t>AARVEEDEN</t>
  </si>
  <si>
    <t>WOMENNET</t>
  </si>
  <si>
    <t>LORDSCHLO</t>
  </si>
  <si>
    <t>KPT</t>
  </si>
  <si>
    <t>AARVINFRA</t>
  </si>
  <si>
    <t>XELPMOC</t>
  </si>
  <si>
    <t>MANORG</t>
  </si>
  <si>
    <t>LAXMIMACH</t>
  </si>
  <si>
    <t>ACKNIT</t>
  </si>
  <si>
    <t>Special Retail</t>
  </si>
  <si>
    <t>7NR</t>
  </si>
  <si>
    <t>NATPEROX</t>
  </si>
  <si>
    <t>LIPPISYS</t>
  </si>
  <si>
    <t>ADINATH</t>
  </si>
  <si>
    <t>ABFRL</t>
  </si>
  <si>
    <t>NAVINFLUOR</t>
  </si>
  <si>
    <t>LXMIATO</t>
  </si>
  <si>
    <t>ADITYASP</t>
  </si>
  <si>
    <t>ARVINDFASN</t>
  </si>
  <si>
    <t>OMKARPH</t>
  </si>
  <si>
    <t>LYNMC</t>
  </si>
  <si>
    <t>ADVLIFE</t>
  </si>
  <si>
    <t>AVL</t>
  </si>
  <si>
    <t>ORIENTCQ</t>
  </si>
  <si>
    <t>MASL</t>
  </si>
  <si>
    <t>AKM</t>
  </si>
  <si>
    <t>BCONCEPTS</t>
  </si>
  <si>
    <t>PACL</t>
  </si>
  <si>
    <t>MEERA</t>
  </si>
  <si>
    <t>AKSHAR</t>
  </si>
  <si>
    <t>BHATIA</t>
  </si>
  <si>
    <t>PADMAIND</t>
  </si>
  <si>
    <t>MIRCH</t>
  </si>
  <si>
    <t>AKSPINTEX</t>
  </si>
  <si>
    <t>CPML</t>
  </si>
  <si>
    <t>POEL</t>
  </si>
  <si>
    <t>MISQUITA</t>
  </si>
  <si>
    <t>ALOKTEXT</t>
  </si>
  <si>
    <t>GFIL</t>
  </si>
  <si>
    <t>POLYCHEM</t>
  </si>
  <si>
    <t>POLYCHMP</t>
  </si>
  <si>
    <t>ALPSINDUS</t>
  </si>
  <si>
    <t>GOCOLORS</t>
  </si>
  <si>
    <t>REFNOL</t>
  </si>
  <si>
    <t>QRIL</t>
  </si>
  <si>
    <t>AMARJOTHI</t>
  </si>
  <si>
    <t>MANYAVAR</t>
  </si>
  <si>
    <t>RITESHIN</t>
  </si>
  <si>
    <t>RAJOOENG</t>
  </si>
  <si>
    <t>AMBIKCO</t>
  </si>
  <si>
    <t>PRAXIS</t>
  </si>
  <si>
    <t>SADHNANIQ</t>
  </si>
  <si>
    <t>RAPICUT</t>
  </si>
  <si>
    <t>AMITINT</t>
  </si>
  <si>
    <t>PTIL</t>
  </si>
  <si>
    <t>SFPIL</t>
  </si>
  <si>
    <t>RISHILASE</t>
  </si>
  <si>
    <t>AMRAAGRI</t>
  </si>
  <si>
    <t>SHANKARA</t>
  </si>
  <si>
    <t>SHHARICH</t>
  </si>
  <si>
    <t>SABOOBR</t>
  </si>
  <si>
    <t>ANGEL</t>
  </si>
  <si>
    <t>TRENT</t>
  </si>
  <si>
    <t>SHREYASI</t>
  </si>
  <si>
    <t>SHANTAI</t>
  </si>
  <si>
    <t>ANJANI</t>
  </si>
  <si>
    <t>V2RETAIL</t>
  </si>
  <si>
    <t>SONALAD</t>
  </si>
  <si>
    <t>SHIVAGR</t>
  </si>
  <si>
    <t>APMIN</t>
  </si>
  <si>
    <t>Specialty Chemicals</t>
  </si>
  <si>
    <t>AARTIIND</t>
  </si>
  <si>
    <t>SRECR</t>
  </si>
  <si>
    <t>SOLIMAC</t>
  </si>
  <si>
    <t>AREXMIS</t>
  </si>
  <si>
    <t>AARTISURF</t>
  </si>
  <si>
    <t>SRHHYPOLTD</t>
  </si>
  <si>
    <t>STOVACQ</t>
  </si>
  <si>
    <t>ASAHIIND</t>
  </si>
  <si>
    <t>AETHER</t>
  </si>
  <si>
    <t>STDSFAC</t>
  </si>
  <si>
    <t>TIGLOB</t>
  </si>
  <si>
    <t>ASHIMASYN</t>
  </si>
  <si>
    <t>ALKALI</t>
  </si>
  <si>
    <t>TANFACIND</t>
  </si>
  <si>
    <t>TMTIND-B1</t>
  </si>
  <si>
    <t>ASHNOOR</t>
  </si>
  <si>
    <t>ALKYLAMINE</t>
  </si>
  <si>
    <t>TATACHEM</t>
  </si>
  <si>
    <t>TRL</t>
  </si>
  <si>
    <t>ASIAPAK</t>
  </si>
  <si>
    <t>AMAL</t>
  </si>
  <si>
    <t>TCMLMTD</t>
  </si>
  <si>
    <t>VJLAXMIE</t>
  </si>
  <si>
    <t>AXITA</t>
  </si>
  <si>
    <t>AMS</t>
  </si>
  <si>
    <t>TGVSL</t>
  </si>
  <si>
    <t>WINDMACHIN</t>
  </si>
  <si>
    <t>AYMSYNTEX</t>
  </si>
  <si>
    <t>ANURAS</t>
  </si>
  <si>
    <t>TIRUMALCHM</t>
  </si>
  <si>
    <t>WPIL</t>
  </si>
  <si>
    <t>BANSWRAS</t>
  </si>
  <si>
    <t>ATUL</t>
  </si>
  <si>
    <t>TRANSPEK</t>
  </si>
  <si>
    <t>ZHINUDYP</t>
  </si>
  <si>
    <t>BARODARY</t>
  </si>
  <si>
    <t>AVI</t>
  </si>
  <si>
    <t>TULASEEBIOE</t>
  </si>
  <si>
    <t>Industrial Minerals</t>
  </si>
  <si>
    <t>20MICRONS</t>
  </si>
  <si>
    <t>BASML</t>
  </si>
  <si>
    <t>BALAMINES</t>
  </si>
  <si>
    <t>TUTIALKA</t>
  </si>
  <si>
    <t>ASHAPURMIN</t>
  </si>
  <si>
    <t>BETXIND</t>
  </si>
  <si>
    <t>BASF</t>
  </si>
  <si>
    <t>VENLONENT</t>
  </si>
  <si>
    <t>ASIIL</t>
  </si>
  <si>
    <t>BHANDHOS</t>
  </si>
  <si>
    <t>BCCL</t>
  </si>
  <si>
    <t>VIKRAMTH</t>
  </si>
  <si>
    <t>GMDCLTD</t>
  </si>
  <si>
    <t>BHILSPIN</t>
  </si>
  <si>
    <t>BEPL</t>
  </si>
  <si>
    <t>VINYOFL</t>
  </si>
  <si>
    <t>GOACARBON</t>
  </si>
  <si>
    <t>BLUECHIPT</t>
  </si>
  <si>
    <t>BLACKROSE</t>
  </si>
  <si>
    <t>VIVIDIND</t>
  </si>
  <si>
    <t>GRAVITA</t>
  </si>
  <si>
    <t>BOMDYEING</t>
  </si>
  <si>
    <t>CAMLINFINE</t>
  </si>
  <si>
    <t>ZSOUTGAS</t>
  </si>
  <si>
    <t>INSILCO</t>
  </si>
  <si>
    <t>BSL</t>
  </si>
  <si>
    <t>CHEMBOND</t>
  </si>
  <si>
    <t>Compressors &amp; Pumps</t>
  </si>
  <si>
    <t>ELGIEQUIP</t>
  </si>
  <si>
    <t>KACHCHH</t>
  </si>
  <si>
    <t>CENTENKA</t>
  </si>
  <si>
    <t>CHEMCON</t>
  </si>
  <si>
    <t>INGERRAND</t>
  </si>
  <si>
    <t>MOIL</t>
  </si>
  <si>
    <t>CFL</t>
  </si>
  <si>
    <t>CHEMCRUX</t>
  </si>
  <si>
    <t>KIRLOSBROS</t>
  </si>
  <si>
    <t>NILE</t>
  </si>
  <si>
    <t>CNOVAPETRO</t>
  </si>
  <si>
    <t>CHEMIESYNT</t>
  </si>
  <si>
    <t>KIRLPNU</t>
  </si>
  <si>
    <t>NMDC</t>
  </si>
  <si>
    <t>DAMOINDUS</t>
  </si>
  <si>
    <t>CJGEL</t>
  </si>
  <si>
    <t>KSB</t>
  </si>
  <si>
    <t>ORISSAMINE</t>
  </si>
  <si>
    <t>DCMNVL</t>
  </si>
  <si>
    <t>COCHINM</t>
  </si>
  <si>
    <t>ROTO</t>
  </si>
  <si>
    <t>RAWEDGE</t>
  </si>
  <si>
    <t>DEEPAKSP</t>
  </si>
  <si>
    <t>CRSTCHM</t>
  </si>
  <si>
    <t>SHAKTIPUMP</t>
  </si>
  <si>
    <t>SANDUMA</t>
  </si>
  <si>
    <t>DHANFAB</t>
  </si>
  <si>
    <t>DAICHI</t>
  </si>
  <si>
    <t>YUKEN</t>
  </si>
  <si>
    <t>SOUTHMG</t>
  </si>
  <si>
    <t>DHANROTO</t>
  </si>
  <si>
    <t>DAIKAFFI</t>
  </si>
  <si>
    <t>Computers - Software &amp; Consulting</t>
  </si>
  <si>
    <t>3IINFOTECH</t>
  </si>
  <si>
    <t>Internet &amp; Catalogue Retail</t>
  </si>
  <si>
    <t>INDIAMART</t>
  </si>
  <si>
    <t>DONEAR</t>
  </si>
  <si>
    <t>DEEP</t>
  </si>
  <si>
    <t>63MOONS</t>
  </si>
  <si>
    <t>JSHL</t>
  </si>
  <si>
    <t>EASTSILK</t>
  </si>
  <si>
    <t>DEEPAKNI</t>
  </si>
  <si>
    <t>ACCEL</t>
  </si>
  <si>
    <t>JUPITERIN</t>
  </si>
  <si>
    <t>ELAND</t>
  </si>
  <si>
    <t>DHARAMSI</t>
  </si>
  <si>
    <t>ACCELYA</t>
  </si>
  <si>
    <t>JUSTDIAL</t>
  </si>
  <si>
    <t>EUREKAI</t>
  </si>
  <si>
    <t>DIAMINESQ</t>
  </si>
  <si>
    <t>ADJIA</t>
  </si>
  <si>
    <t>MATRIMONY</t>
  </si>
  <si>
    <t>EUROTEXIND</t>
  </si>
  <si>
    <t>DYNAMIND</t>
  </si>
  <si>
    <t>AJEL</t>
  </si>
  <si>
    <t>NAUKRI</t>
  </si>
  <si>
    <t>EVERLON</t>
  </si>
  <si>
    <t>DYNPRO</t>
  </si>
  <si>
    <t>ALPHALOGIC</t>
  </si>
  <si>
    <t>OLYMPTX</t>
  </si>
  <si>
    <t>EVERTEX</t>
  </si>
  <si>
    <t>EIKO</t>
  </si>
  <si>
    <t>ARISINT</t>
  </si>
  <si>
    <t>Investment Company</t>
  </si>
  <si>
    <t>3PLAND</t>
  </si>
  <si>
    <t>FAZE3AUTO</t>
  </si>
  <si>
    <t>ELANTAS</t>
  </si>
  <si>
    <t>ASMTEC</t>
  </si>
  <si>
    <t>ADIEXRE</t>
  </si>
  <si>
    <t>FAZE3Q</t>
  </si>
  <si>
    <t>EXCELINDUS</t>
  </si>
  <si>
    <t>ATHENAGLO</t>
  </si>
  <si>
    <t>AMRAFIN</t>
  </si>
  <si>
    <t>FIBERWEB</t>
  </si>
  <si>
    <t>FAIRCHEMOR</t>
  </si>
  <si>
    <t>AURIONPRO</t>
  </si>
  <si>
    <t>ARMAN</t>
  </si>
  <si>
    <t>FILATEX</t>
  </si>
  <si>
    <t>FCL</t>
  </si>
  <si>
    <t>BSOFT</t>
  </si>
  <si>
    <t>ARYACAPM</t>
  </si>
  <si>
    <t>FILATFASH</t>
  </si>
  <si>
    <t>FINEORG</t>
  </si>
  <si>
    <t>CALSOFT</t>
  </si>
  <si>
    <t>BANASFN</t>
  </si>
  <si>
    <t>FLEXITUFF</t>
  </si>
  <si>
    <t>FLUOROCHEM</t>
  </si>
  <si>
    <t>CEINSYSTECH</t>
  </si>
  <si>
    <t>BINDALAGRO</t>
  </si>
  <si>
    <t>FLORATX</t>
  </si>
  <si>
    <t>FOSECOIND</t>
  </si>
  <si>
    <t>CGVAK</t>
  </si>
  <si>
    <t>BLBLIMITED</t>
  </si>
  <si>
    <t>GANECOS</t>
  </si>
  <si>
    <t>GALAXYSURF</t>
  </si>
  <si>
    <t>COFORGE</t>
  </si>
  <si>
    <t>CHOLAHLDNG</t>
  </si>
  <si>
    <t>GARFIBRES</t>
  </si>
  <si>
    <t>HARDCAS</t>
  </si>
  <si>
    <t>CTE</t>
  </si>
  <si>
    <t>CITL</t>
  </si>
  <si>
    <t>GARWAMAR</t>
  </si>
  <si>
    <t>HPAL</t>
  </si>
  <si>
    <t>CYBERTECH</t>
  </si>
  <si>
    <t>DCMFINSERV</t>
  </si>
  <si>
    <t>GEMSPIN</t>
  </si>
  <si>
    <t>HSCL</t>
  </si>
  <si>
    <t>DRCSYSTEMS</t>
  </si>
  <si>
    <t>DHUNINV</t>
  </si>
  <si>
    <t>GILLANDERS</t>
  </si>
  <si>
    <t>IGLFXPL-B</t>
  </si>
  <si>
    <t>ECOM</t>
  </si>
  <si>
    <t>DSINVEST</t>
  </si>
  <si>
    <t>GINNIFILA</t>
  </si>
  <si>
    <t>INDGELA</t>
  </si>
  <si>
    <t>FOCUS</t>
  </si>
  <si>
    <t>DVL</t>
  </si>
  <si>
    <t>GOKAKTEX</t>
  </si>
  <si>
    <t>INDOEURO</t>
  </si>
  <si>
    <t>GOLDTECH</t>
  </si>
  <si>
    <t>EQUITAS</t>
  </si>
  <si>
    <t>GRAVITY</t>
  </si>
  <si>
    <t>INDOKEM</t>
  </si>
  <si>
    <t>GSTL</t>
  </si>
  <si>
    <t>FUNDVISER</t>
  </si>
  <si>
    <t>GTNINDS</t>
  </si>
  <si>
    <t>INDTONER</t>
  </si>
  <si>
    <t>HAPPSTMNDS</t>
  </si>
  <si>
    <t>GANGESSEC</t>
  </si>
  <si>
    <t>GTNTEX</t>
  </si>
  <si>
    <t>INEOSSTYRO</t>
  </si>
  <si>
    <t>HCLTECH</t>
  </si>
  <si>
    <t>GARNETINT</t>
  </si>
  <si>
    <t>GUJCOTEX</t>
  </si>
  <si>
    <t>ISHANCH</t>
  </si>
  <si>
    <t>INFY</t>
  </si>
  <si>
    <t>GOLDLINE</t>
  </si>
  <si>
    <t>GUJHYSPIN</t>
  </si>
  <si>
    <t>JAYAGROGN</t>
  </si>
  <si>
    <t>INTELLECT</t>
  </si>
  <si>
    <t>GROVY</t>
  </si>
  <si>
    <t>HARIAAPL</t>
  </si>
  <si>
    <t>JAYSYN</t>
  </si>
  <si>
    <t>JOINTECAED</t>
  </si>
  <si>
    <t>HARYNACAP</t>
  </si>
  <si>
    <t>HARIGOV</t>
  </si>
  <si>
    <t>JDORGOCHEM</t>
  </si>
  <si>
    <t>KELLTONTEC</t>
  </si>
  <si>
    <t>HILIKS</t>
  </si>
  <si>
    <t>HIGHSTREE</t>
  </si>
  <si>
    <t>JUBLINDS</t>
  </si>
  <si>
    <t>KPITTECH</t>
  </si>
  <si>
    <t>IKAB</t>
  </si>
  <si>
    <t>HIMATSEIDE</t>
  </si>
  <si>
    <t>JUBLINGREA</t>
  </si>
  <si>
    <t>LATENTVIEW</t>
  </si>
  <si>
    <t>INDINFO</t>
  </si>
  <si>
    <t>HIMFIBP</t>
  </si>
  <si>
    <t>JYOTIRES</t>
  </si>
  <si>
    <t>LTIMINDTREE</t>
  </si>
  <si>
    <t>INDPRUD</t>
  </si>
  <si>
    <t>HINDMILL</t>
  </si>
  <si>
    <t>KEMISTAR</t>
  </si>
  <si>
    <t>MASTEK</t>
  </si>
  <si>
    <t>INOVSYNTH</t>
  </si>
  <si>
    <t>HISARSP</t>
  </si>
  <si>
    <t>KKALPANAIND</t>
  </si>
  <si>
    <t>MCLOUD</t>
  </si>
  <si>
    <t>JLL</t>
  </si>
  <si>
    <t>HPCOTTON</t>
  </si>
  <si>
    <t>LXCHEM</t>
  </si>
  <si>
    <t>MINDTECK</t>
  </si>
  <si>
    <t>JMFINANCIL</t>
  </si>
  <si>
    <t>ICIL</t>
  </si>
  <si>
    <t>MFL</t>
  </si>
  <si>
    <t>MINDTREE</t>
  </si>
  <si>
    <t>JPOLYINVST</t>
  </si>
  <si>
    <t>ICL</t>
  </si>
  <si>
    <t>MULTIBASE</t>
  </si>
  <si>
    <t>MPHASIS</t>
  </si>
  <si>
    <t>JSWHL</t>
  </si>
  <si>
    <t>INDIANCARD</t>
  </si>
  <si>
    <t>NEOGEN</t>
  </si>
  <si>
    <t>NBL</t>
  </si>
  <si>
    <t>JTAPARIA</t>
  </si>
  <si>
    <t>INDORAMA</t>
  </si>
  <si>
    <t>NIKHILAD</t>
  </si>
  <si>
    <t>NETRIPPLES</t>
  </si>
  <si>
    <t>KICL</t>
  </si>
  <si>
    <t>JAIHINDS</t>
  </si>
  <si>
    <t>NITTAGELA</t>
  </si>
  <si>
    <t>NIKSTECH</t>
  </si>
  <si>
    <t>L&amp;TFH</t>
  </si>
  <si>
    <t>JASCH</t>
  </si>
  <si>
    <t>NOCIL</t>
  </si>
  <si>
    <t>NINSYS</t>
  </si>
  <si>
    <t>MAHSCOOTER</t>
  </si>
  <si>
    <t>JATTAINDUS</t>
  </si>
  <si>
    <t>OAL</t>
  </si>
  <si>
    <t>OONE</t>
  </si>
  <si>
    <t>NAGREEKCAP</t>
  </si>
  <si>
    <t>JAYIND</t>
  </si>
  <si>
    <t>OMKARCHEM</t>
  </si>
  <si>
    <t>ORCHASP</t>
  </si>
  <si>
    <t>NAHARCAP</t>
  </si>
  <si>
    <t>JCTLTD</t>
  </si>
  <si>
    <t>ORGCOAT</t>
  </si>
  <si>
    <t>PERSISTENT</t>
  </si>
  <si>
    <t>PANINDIAC</t>
  </si>
  <si>
    <t>JINDWORLD</t>
  </si>
  <si>
    <t>PAUSHAKLTD</t>
  </si>
  <si>
    <t>QUEST</t>
  </si>
  <si>
    <t>PHCAP</t>
  </si>
  <si>
    <t>KAKTEX</t>
  </si>
  <si>
    <t>PIDILITIND</t>
  </si>
  <si>
    <t>RATEGAIN</t>
  </si>
  <si>
    <t>PNBGILTS</t>
  </si>
  <si>
    <t>KALLAM</t>
  </si>
  <si>
    <t>PLASTIBLEN</t>
  </si>
  <si>
    <t>RSSOFTWARE</t>
  </si>
  <si>
    <t>RELCAPITAL</t>
  </si>
  <si>
    <t>KAMADGIRI</t>
  </si>
  <si>
    <t>POLSON</t>
  </si>
  <si>
    <t>SAGARSOFT</t>
  </si>
  <si>
    <t>RELIGARE</t>
  </si>
  <si>
    <t>KANDAGIRI</t>
  </si>
  <si>
    <t>PRATIKSH</t>
  </si>
  <si>
    <t>SAKSOFT</t>
  </si>
  <si>
    <t>SAKTHIFIN</t>
  </si>
  <si>
    <t>KAPILCO</t>
  </si>
  <si>
    <t>PRIVISCL</t>
  </si>
  <si>
    <t>SECMARK</t>
  </si>
  <si>
    <t>SAMINDUS</t>
  </si>
  <si>
    <t>KATRSPG</t>
  </si>
  <si>
    <t>RESONANCE</t>
  </si>
  <si>
    <t>SENINFO</t>
  </si>
  <si>
    <t>SATINDLTD</t>
  </si>
  <si>
    <t>KGDENIM</t>
  </si>
  <si>
    <t>ROSSARI</t>
  </si>
  <si>
    <t>SINDUVA</t>
  </si>
  <si>
    <t>SILINV</t>
  </si>
  <si>
    <t>KGPETRO</t>
  </si>
  <si>
    <t>SEYAIND</t>
  </si>
  <si>
    <t>SOFCOM</t>
  </si>
  <si>
    <t>SRESTHA</t>
  </si>
  <si>
    <t>KHOOBSURAT</t>
  </si>
  <si>
    <t>SHAWGELTIN</t>
  </si>
  <si>
    <t>SOFTBPO</t>
  </si>
  <si>
    <t>STANROS</t>
  </si>
  <si>
    <t>KIRANSY-B</t>
  </si>
  <si>
    <t>SRF</t>
  </si>
  <si>
    <t>SOFTSOL</t>
  </si>
  <si>
    <t>STEL</t>
  </si>
  <si>
    <t>KONARKSY</t>
  </si>
  <si>
    <t>STDSHOE</t>
  </si>
  <si>
    <t>SOFTTECH</t>
  </si>
  <si>
    <t>TATAINVEST</t>
  </si>
  <si>
    <t>KUSHIND</t>
  </si>
  <si>
    <t>SUNSHIEL</t>
  </si>
  <si>
    <t>SONATSOFTW</t>
  </si>
  <si>
    <t>TFLL</t>
  </si>
  <si>
    <t>LAKHOTIA</t>
  </si>
  <si>
    <t>TATVA</t>
  </si>
  <si>
    <t>SOUTHERNIN</t>
  </si>
  <si>
    <t>TILAK</t>
  </si>
  <si>
    <t>LAKSHMIMIL</t>
  </si>
  <si>
    <t>TINNARUBR</t>
  </si>
  <si>
    <t>SPACEINCUBA</t>
  </si>
  <si>
    <t>VALLEY</t>
  </si>
  <si>
    <t>LAMBODHARA</t>
  </si>
  <si>
    <t>TITANBIO</t>
  </si>
  <si>
    <t>SPAR</t>
  </si>
  <si>
    <t>VBIND</t>
  </si>
  <si>
    <t>LOYALTEX</t>
  </si>
  <si>
    <t>UNITINT</t>
  </si>
  <si>
    <t>STARCOM</t>
  </si>
  <si>
    <t>VLSFINANCE</t>
  </si>
  <si>
    <t>MAFATIND</t>
  </si>
  <si>
    <t>VALIANTORG</t>
  </si>
  <si>
    <t>TATAELXSI</t>
  </si>
  <si>
    <t>WELINV</t>
  </si>
  <si>
    <t>MANOMAY</t>
  </si>
  <si>
    <t>VIDHIING</t>
  </si>
  <si>
    <t>TCS</t>
  </si>
  <si>
    <t>WORTH</t>
  </si>
  <si>
    <t>MARALOVER</t>
  </si>
  <si>
    <t>VIKASECO</t>
  </si>
  <si>
    <t>TECHM</t>
  </si>
  <si>
    <t>YAMNINV</t>
  </si>
  <si>
    <t>MARIS</t>
  </si>
  <si>
    <t>VINATIORGA</t>
  </si>
  <si>
    <t>TRANWAY</t>
  </si>
  <si>
    <t>Iron &amp; Steel</t>
  </si>
  <si>
    <t>ANKITMETAL</t>
  </si>
  <si>
    <t>MASCH</t>
  </si>
  <si>
    <t>VIPULORG</t>
  </si>
  <si>
    <t>TREJHARA</t>
  </si>
  <si>
    <t>JINDALSTEL</t>
  </si>
  <si>
    <t>MHLXMIRU</t>
  </si>
  <si>
    <t>VISHNU</t>
  </si>
  <si>
    <t>TRIGYN</t>
  </si>
  <si>
    <t>JSL</t>
  </si>
  <si>
    <t>MIDINDIA</t>
  </si>
  <si>
    <t>YASHO</t>
  </si>
  <si>
    <t>WIPRO</t>
  </si>
  <si>
    <t>JSWSTEEL</t>
  </si>
  <si>
    <t>MINAXI</t>
  </si>
  <si>
    <t>YUG</t>
  </si>
  <si>
    <t>WITS</t>
  </si>
  <si>
    <t>KAJARIR</t>
  </si>
  <si>
    <t>MOHITE</t>
  </si>
  <si>
    <t>Sponge Iron</t>
  </si>
  <si>
    <t>BIHSPONG</t>
  </si>
  <si>
    <t>XCHANGING</t>
  </si>
  <si>
    <t>KSL</t>
  </si>
  <si>
    <t>MOHITIND</t>
  </si>
  <si>
    <t>JSWISPL</t>
  </si>
  <si>
    <t>XTGLOBAL</t>
  </si>
  <si>
    <t>LLOYDSME</t>
  </si>
  <si>
    <t>MORARJEE</t>
  </si>
  <si>
    <t>KIOCL</t>
  </si>
  <si>
    <t>ZENSARTECH</t>
  </si>
  <si>
    <t>MUKANDLTD</t>
  </si>
  <si>
    <t>NAGREEKEXP</t>
  </si>
  <si>
    <t>SALSTEEL</t>
  </si>
  <si>
    <t>Computers Hardware &amp; Equipment</t>
  </si>
  <si>
    <t>ACIIN</t>
  </si>
  <si>
    <t>PRAKASH</t>
  </si>
  <si>
    <t>NAHARINDUS</t>
  </si>
  <si>
    <t>Stationary</t>
  </si>
  <si>
    <t>ALKOSIGN</t>
  </si>
  <si>
    <t>BCCFUBA</t>
  </si>
  <si>
    <t>SAIL</t>
  </si>
  <si>
    <t>NAHARSPING</t>
  </si>
  <si>
    <t>GGPL</t>
  </si>
  <si>
    <t>CEREBRAINT</t>
  </si>
  <si>
    <t>SARDAEN</t>
  </si>
  <si>
    <t>NDL</t>
  </si>
  <si>
    <t>KOKUYOCMLN</t>
  </si>
  <si>
    <t>COMPUAGE</t>
  </si>
  <si>
    <t>SCANSTL</t>
  </si>
  <si>
    <t>NITINSPIN</t>
  </si>
  <si>
    <t>LINC</t>
  </si>
  <si>
    <t>CONTROLPR</t>
  </si>
  <si>
    <t>SHYAMMETL</t>
  </si>
  <si>
    <t>NUTECGLOB</t>
  </si>
  <si>
    <t>SUNDARAM</t>
  </si>
  <si>
    <t>DLINKINDIA</t>
  </si>
  <si>
    <t>SUNFLAG</t>
  </si>
  <si>
    <t>ORBTEXP</t>
  </si>
  <si>
    <t>Stockbroking &amp; Allied</t>
  </si>
  <si>
    <t>5PAISA</t>
  </si>
  <si>
    <t>FINELINE</t>
  </si>
  <si>
    <t>TATASTEEL</t>
  </si>
  <si>
    <t>OSIAJEE</t>
  </si>
  <si>
    <t>ALMONDZ</t>
  </si>
  <si>
    <t>HCL-INSYS</t>
  </si>
  <si>
    <t>VISASTEEL</t>
  </si>
  <si>
    <t>PADAMCO</t>
  </si>
  <si>
    <t>ANGELONE</t>
  </si>
  <si>
    <t>MRO-TEK</t>
  </si>
  <si>
    <t>Iron &amp; Steel Products</t>
  </si>
  <si>
    <t>AANCHALISP</t>
  </si>
  <si>
    <t>PASARI</t>
  </si>
  <si>
    <t>ARIHCAPM</t>
  </si>
  <si>
    <t>NELCO</t>
  </si>
  <si>
    <t>ACROW</t>
  </si>
  <si>
    <t>PASUSPG</t>
  </si>
  <si>
    <t>ASITCFIN</t>
  </si>
  <si>
    <t>SMARTLINK</t>
  </si>
  <si>
    <t>ADISHAKTI</t>
  </si>
  <si>
    <t>PATSPINLTD</t>
  </si>
  <si>
    <t>BIRLAMONEY</t>
  </si>
  <si>
    <t>TVSELECT</t>
  </si>
  <si>
    <t>ADITYA</t>
  </si>
  <si>
    <t>PBMPOLY</t>
  </si>
  <si>
    <t>DBSTOCKBRO</t>
  </si>
  <si>
    <t>VAMA</t>
  </si>
  <si>
    <t>AHMDSTE</t>
  </si>
  <si>
    <t>PEETISEC</t>
  </si>
  <si>
    <t>DOLATALGO</t>
  </si>
  <si>
    <t>VCU</t>
  </si>
  <si>
    <t>AIML</t>
  </si>
  <si>
    <t>PIONEEREMB</t>
  </si>
  <si>
    <t>EMKAY</t>
  </si>
  <si>
    <t>Construction Vehicles</t>
  </si>
  <si>
    <t>ACE</t>
  </si>
  <si>
    <t>APLAPOLLO</t>
  </si>
  <si>
    <t>PRAGBOS</t>
  </si>
  <si>
    <t>GCMSECU</t>
  </si>
  <si>
    <t>BEML</t>
  </si>
  <si>
    <t>APOLLOTRI</t>
  </si>
  <si>
    <t>PRANAVSP</t>
  </si>
  <si>
    <t>GEOJITFSL</t>
  </si>
  <si>
    <t>BRADYM</t>
  </si>
  <si>
    <t>ARYAVAN</t>
  </si>
  <si>
    <t>PREMCO</t>
  </si>
  <si>
    <t>GOGIACAP</t>
  </si>
  <si>
    <t>CRANEX</t>
  </si>
  <si>
    <t>ASHIS</t>
  </si>
  <si>
    <t>PREMSYN</t>
  </si>
  <si>
    <t>IIFLSEC</t>
  </si>
  <si>
    <t>SANGHVIMOV</t>
  </si>
  <si>
    <t>ASHSI</t>
  </si>
  <si>
    <t>PRESSURS</t>
  </si>
  <si>
    <t>INDBANK</t>
  </si>
  <si>
    <t>TIL</t>
  </si>
  <si>
    <t>BEDMUTHA</t>
  </si>
  <si>
    <t>PRSNTIN</t>
  </si>
  <si>
    <t>INDOTHAI</t>
  </si>
  <si>
    <t>Consulting Services</t>
  </si>
  <si>
    <t>ABHIFIN</t>
  </si>
  <si>
    <t>BEEKAY</t>
  </si>
  <si>
    <t>PUSHPIN</t>
  </si>
  <si>
    <t>INVENTURE</t>
  </si>
  <si>
    <t>ARTEFACT</t>
  </si>
  <si>
    <t>BENGALS</t>
  </si>
  <si>
    <t>PWASML</t>
  </si>
  <si>
    <t>ISEC</t>
  </si>
  <si>
    <t>DHRUV</t>
  </si>
  <si>
    <t>BHARATWIRE</t>
  </si>
  <si>
    <t>RAGHUSYN</t>
  </si>
  <si>
    <t>JOINDRE</t>
  </si>
  <si>
    <t>DMR</t>
  </si>
  <si>
    <t>BLOIN</t>
  </si>
  <si>
    <t>RAINBOWDQ</t>
  </si>
  <si>
    <t>KHANDSE</t>
  </si>
  <si>
    <t>DRA</t>
  </si>
  <si>
    <t>BMW</t>
  </si>
  <si>
    <t>RAJKSYN</t>
  </si>
  <si>
    <t>LKPSEC</t>
  </si>
  <si>
    <t>EKI</t>
  </si>
  <si>
    <t>BOMBWIR</t>
  </si>
  <si>
    <t>RAJPALAYAM</t>
  </si>
  <si>
    <t>LOHIASEC</t>
  </si>
  <si>
    <t>GENSOL</t>
  </si>
  <si>
    <t>BRPL</t>
  </si>
  <si>
    <t>RAJSPTR</t>
  </si>
  <si>
    <t>MONARCH</t>
  </si>
  <si>
    <t>ICSL</t>
  </si>
  <si>
    <t>BWLLTD</t>
  </si>
  <si>
    <t>RELCHEMQ</t>
  </si>
  <si>
    <t>MOTILALOFS</t>
  </si>
  <si>
    <t>IDM</t>
  </si>
  <si>
    <t>CRIMSON</t>
  </si>
  <si>
    <t>RIBATEX</t>
  </si>
  <si>
    <t>MUNCAPM</t>
  </si>
  <si>
    <t>IMEC</t>
  </si>
  <si>
    <t>ECSTSTL</t>
  </si>
  <si>
    <t>RISHYRN</t>
  </si>
  <si>
    <t>MYMONEY</t>
  </si>
  <si>
    <t>JONJUA</t>
  </si>
  <si>
    <t>ELANGO</t>
  </si>
  <si>
    <t>RLF</t>
  </si>
  <si>
    <t>SCAPDVR</t>
  </si>
  <si>
    <t>KRATOSENER</t>
  </si>
  <si>
    <t>ELECTHERM</t>
  </si>
  <si>
    <t>RNBDENIMS</t>
  </si>
  <si>
    <t>SHARDUL</t>
  </si>
  <si>
    <t>LEX</t>
  </si>
  <si>
    <t>GAL</t>
  </si>
  <si>
    <t>RRIL</t>
  </si>
  <si>
    <t>SHAREINDIA</t>
  </si>
  <si>
    <t>LIKHAMI</t>
  </si>
  <si>
    <t>GALLANTT</t>
  </si>
  <si>
    <t>RSCINT</t>
  </si>
  <si>
    <t>SMCGLOBAL*</t>
  </si>
  <si>
    <t>NAVODAYENT</t>
  </si>
  <si>
    <t>GANDHITUBE</t>
  </si>
  <si>
    <t>RSWM</t>
  </si>
  <si>
    <t>STAMPEDE</t>
  </si>
  <si>
    <t>OTCO</t>
  </si>
  <si>
    <t>GARGFUR</t>
  </si>
  <si>
    <t>RUBYMILLS</t>
  </si>
  <si>
    <t>SWASTIKA</t>
  </si>
  <si>
    <t>PARAMONE</t>
  </si>
  <si>
    <t>GOODLUCK</t>
  </si>
  <si>
    <t>SALONACOT</t>
  </si>
  <si>
    <t>SYSTMTXC</t>
  </si>
  <si>
    <t>PROCLB</t>
  </si>
  <si>
    <t>GOPAIST</t>
  </si>
  <si>
    <t>SAMBANDAM</t>
  </si>
  <si>
    <t>WALLFORT</t>
  </si>
  <si>
    <t>RIDINGS</t>
  </si>
  <si>
    <t>GPIL</t>
  </si>
  <si>
    <t>SANGAMIND</t>
  </si>
  <si>
    <t>Sugar</t>
  </si>
  <si>
    <t>AVADHSUGAR</t>
  </si>
  <si>
    <t>TARINI</t>
  </si>
  <si>
    <t>GRANDFONRY</t>
  </si>
  <si>
    <t>SANTETX</t>
  </si>
  <si>
    <t>BAJAJHIND</t>
  </si>
  <si>
    <t>TECHCON</t>
  </si>
  <si>
    <t>GUJCONT</t>
  </si>
  <si>
    <t>SANTOSHF</t>
  </si>
  <si>
    <t>BALRAMCHIN</t>
  </si>
  <si>
    <t>TRADEWELL</t>
  </si>
  <si>
    <t>HARIOMPIPE</t>
  </si>
  <si>
    <t>SARLAPOLY</t>
  </si>
  <si>
    <t>BANARISUG</t>
  </si>
  <si>
    <t>WALCHPF</t>
  </si>
  <si>
    <t>HEERAISP</t>
  </si>
  <si>
    <t>SBFL</t>
  </si>
  <si>
    <t>DALMIASUG</t>
  </si>
  <si>
    <t>ZODIACVEN</t>
  </si>
  <si>
    <t>HISARMET</t>
  </si>
  <si>
    <t>SCARNOSE</t>
  </si>
  <si>
    <t>DAVANGERE</t>
  </si>
  <si>
    <t>Consumer Electronics</t>
  </si>
  <si>
    <t>BPL</t>
  </si>
  <si>
    <t>HITECH</t>
  </si>
  <si>
    <t>SEASONST</t>
  </si>
  <si>
    <t>DCMSRMIND</t>
  </si>
  <si>
    <t>CALCOM</t>
  </si>
  <si>
    <t>HVL</t>
  </si>
  <si>
    <t>SGL</t>
  </si>
  <si>
    <t>DHAMPURE</t>
  </si>
  <si>
    <t>CWD</t>
  </si>
  <si>
    <t>IBRIGST</t>
  </si>
  <si>
    <t>SHAHLON</t>
  </si>
  <si>
    <t>DHAMPURSUG</t>
  </si>
  <si>
    <t>DIXON</t>
  </si>
  <si>
    <t>INCREDIBLE</t>
  </si>
  <si>
    <t>SHARDFI</t>
  </si>
  <si>
    <t>DHARSUGAR</t>
  </si>
  <si>
    <t>HAVELLS</t>
  </si>
  <si>
    <t>INDCTST</t>
  </si>
  <si>
    <t>SHESHAINDS</t>
  </si>
  <si>
    <t>DWARKESH</t>
  </si>
  <si>
    <t>HPL</t>
  </si>
  <si>
    <t>ISMTLTD</t>
  </si>
  <si>
    <t>SHINEFASH</t>
  </si>
  <si>
    <t>HANSUGAR</t>
  </si>
  <si>
    <t>KHAITANLTD</t>
  </si>
  <si>
    <t>ISWL</t>
  </si>
  <si>
    <t>SHIVAMILLS</t>
  </si>
  <si>
    <t>INDSUCR</t>
  </si>
  <si>
    <t>MIRCELECTR</t>
  </si>
  <si>
    <t>JAYNECOIND</t>
  </si>
  <si>
    <t>SHIVTEX</t>
  </si>
  <si>
    <t>KCPSUGIND</t>
  </si>
  <si>
    <t>ORIENTELEC</t>
  </si>
  <si>
    <t>JINDALSAW</t>
  </si>
  <si>
    <t>SHRIDINE</t>
  </si>
  <si>
    <t>KESARENT</t>
  </si>
  <si>
    <t>PGEL</t>
  </si>
  <si>
    <t>JSLHISAR</t>
  </si>
  <si>
    <t>SHRMFGC</t>
  </si>
  <si>
    <t>KMSUGAR</t>
  </si>
  <si>
    <t>SHARP</t>
  </si>
  <si>
    <t>JTLINFRA</t>
  </si>
  <si>
    <t>SHUBHAM</t>
  </si>
  <si>
    <t>MAGADHSUGAR</t>
  </si>
  <si>
    <t>SYMPHONY</t>
  </si>
  <si>
    <t>KAMDHENU</t>
  </si>
  <si>
    <t>SIMPLXMIL</t>
  </si>
  <si>
    <t>MAWANASUG</t>
  </si>
  <si>
    <t>VETO</t>
  </si>
  <si>
    <t>KANSHST</t>
  </si>
  <si>
    <t>SIYSIL</t>
  </si>
  <si>
    <t>OSWALOR</t>
  </si>
  <si>
    <t>VXLINSTR</t>
  </si>
  <si>
    <t>MAHALXSE</t>
  </si>
  <si>
    <t>SKYIND</t>
  </si>
  <si>
    <t>PARVATI</t>
  </si>
  <si>
    <t>Copper</t>
  </si>
  <si>
    <t>ABCGAS</t>
  </si>
  <si>
    <t>MAHASTEEL</t>
  </si>
  <si>
    <t>SLSTLQ</t>
  </si>
  <si>
    <t>PICCADIL</t>
  </si>
  <si>
    <t>BHAGYNAGAR</t>
  </si>
  <si>
    <t>MAHSEAMLES</t>
  </si>
  <si>
    <t>SOMATEX</t>
  </si>
  <si>
    <t>PICCASUG</t>
  </si>
  <si>
    <t>HINDCOPPER</t>
  </si>
  <si>
    <t>MANAKSIA</t>
  </si>
  <si>
    <t>SOURCEIND</t>
  </si>
  <si>
    <t>PONNIERODE</t>
  </si>
  <si>
    <t>NDMETAL</t>
  </si>
  <si>
    <t>MANAKSTELTD</t>
  </si>
  <si>
    <t>SOUTLAT</t>
  </si>
  <si>
    <t>RAJSREESUG</t>
  </si>
  <si>
    <t>SHALIWIR</t>
  </si>
  <si>
    <t>MANINDS</t>
  </si>
  <si>
    <t>SPENTEX</t>
  </si>
  <si>
    <t>RANASUG</t>
  </si>
  <si>
    <t>Dairy Products</t>
  </si>
  <si>
    <t>DODLA</t>
  </si>
  <si>
    <t>MDRNSTL</t>
  </si>
  <si>
    <t>SPORTKING</t>
  </si>
  <si>
    <t>RAVALSUGAR</t>
  </si>
  <si>
    <t>HATSUN</t>
  </si>
  <si>
    <t>MEENST</t>
  </si>
  <si>
    <t>SREEJAYA</t>
  </si>
  <si>
    <t>RENUKA</t>
  </si>
  <si>
    <t>HERITGFOOD</t>
  </si>
  <si>
    <t>METALCO</t>
  </si>
  <si>
    <t>SRINACHA</t>
  </si>
  <si>
    <t>RIGASUG</t>
  </si>
  <si>
    <t>MLKFOOD</t>
  </si>
  <si>
    <t>MFSINTRCRP</t>
  </si>
  <si>
    <t>SRIND</t>
  </si>
  <si>
    <t>SAKHTISUG</t>
  </si>
  <si>
    <t>PARAGMILK</t>
  </si>
  <si>
    <t>MNKCMILTD</t>
  </si>
  <si>
    <t>SRMCL</t>
  </si>
  <si>
    <t>SBECSUG</t>
  </si>
  <si>
    <t>SCPL</t>
  </si>
  <si>
    <t>MONIND</t>
  </si>
  <si>
    <t>STCORP</t>
  </si>
  <si>
    <t>SIMBHALS</t>
  </si>
  <si>
    <t>TDSL</t>
  </si>
  <si>
    <t>MSPL</t>
  </si>
  <si>
    <t>SUBSM</t>
  </si>
  <si>
    <t>SSLEL</t>
  </si>
  <si>
    <t>UMANGDAIR</t>
  </si>
  <si>
    <t>MUKATPIP</t>
  </si>
  <si>
    <t>SUDTIND-B</t>
  </si>
  <si>
    <t>TRIVENI</t>
  </si>
  <si>
    <t>VADILALIND</t>
  </si>
  <si>
    <t>NATFIT</t>
  </si>
  <si>
    <t>SUERYAAKNI</t>
  </si>
  <si>
    <t>UGARSUGAR</t>
  </si>
  <si>
    <t>VADILENT</t>
  </si>
  <si>
    <t>NATGENI</t>
  </si>
  <si>
    <t>SUMEETINDS</t>
  </si>
  <si>
    <t>UTTAMSUGAR</t>
  </si>
  <si>
    <t>VIRATCRA</t>
  </si>
  <si>
    <t>PANCHMAHQ</t>
  </si>
  <si>
    <t>SUNCITYSY</t>
  </si>
  <si>
    <t>VISHWARAJ</t>
  </si>
  <si>
    <t>Depositories, Clearing Houses and Other Intermediaries</t>
  </si>
  <si>
    <t>CAMS</t>
  </si>
  <si>
    <t>PMTELELIN</t>
  </si>
  <si>
    <t>SUPER</t>
  </si>
  <si>
    <t>ZUARIIND</t>
  </si>
  <si>
    <t>JAYKAY</t>
  </si>
  <si>
    <t>PRADHIN</t>
  </si>
  <si>
    <t>SUPERSPIN</t>
  </si>
  <si>
    <t>Tea &amp; Coffee</t>
  </si>
  <si>
    <t>ANDREWYU</t>
  </si>
  <si>
    <t>Diesel Engines</t>
  </si>
  <si>
    <t>CUMMINSIND</t>
  </si>
  <si>
    <t>PRAKASHSTL</t>
  </si>
  <si>
    <t>SUPERTEX</t>
  </si>
  <si>
    <t>BANSTEA</t>
  </si>
  <si>
    <t>GREAVESCOT</t>
  </si>
  <si>
    <t>RAJTUBE</t>
  </si>
  <si>
    <t>SURATEX</t>
  </si>
  <si>
    <t>BENGALT</t>
  </si>
  <si>
    <t>KIRLOSENG</t>
  </si>
  <si>
    <t>RAMASTEEL</t>
  </si>
  <si>
    <t>SURBHIN</t>
  </si>
  <si>
    <t>BNALTD</t>
  </si>
  <si>
    <t>SWARAJENG</t>
  </si>
  <si>
    <t>RATHIBAR</t>
  </si>
  <si>
    <t>SURYAAMBA</t>
  </si>
  <si>
    <t>CCL</t>
  </si>
  <si>
    <t>Distributors</t>
  </si>
  <si>
    <t>ACEMEN</t>
  </si>
  <si>
    <t>RATNAMANI</t>
  </si>
  <si>
    <t>SURYALA</t>
  </si>
  <si>
    <t>DHUNTEAIND</t>
  </si>
  <si>
    <t>ALSTONE</t>
  </si>
  <si>
    <t>REMIEDEL</t>
  </si>
  <si>
    <t>SURYALAXMI</t>
  </si>
  <si>
    <t>DIANATEA</t>
  </si>
  <si>
    <t>KDML</t>
  </si>
  <si>
    <t>RISHDIGA</t>
  </si>
  <si>
    <t>SURYVANSP</t>
  </si>
  <si>
    <t>GOODRICKE</t>
  </si>
  <si>
    <t>KEL</t>
  </si>
  <si>
    <t>RSTL</t>
  </si>
  <si>
    <t>SUTLEJTEX</t>
  </si>
  <si>
    <t>HARRMALAYA</t>
  </si>
  <si>
    <t>MAYUKH</t>
  </si>
  <si>
    <t>RUDRA</t>
  </si>
  <si>
    <t>SUUMAYA</t>
  </si>
  <si>
    <t>JAMESWARREN</t>
  </si>
  <si>
    <t>MKEXIM</t>
  </si>
  <si>
    <t>SHAHALLOYS</t>
  </si>
  <si>
    <t>SVPGLOB</t>
  </si>
  <si>
    <t>JAYSHREETEA</t>
  </si>
  <si>
    <t>MRP</t>
  </si>
  <si>
    <t>SHBAJRG</t>
  </si>
  <si>
    <t>SWADPOL</t>
  </si>
  <si>
    <t>JOONKTOLL</t>
  </si>
  <si>
    <t>RCL</t>
  </si>
  <si>
    <t>SHBCLQ</t>
  </si>
  <si>
    <t>SWANENERGY</t>
  </si>
  <si>
    <t>KANCOTEA</t>
  </si>
  <si>
    <t>Diversified</t>
  </si>
  <si>
    <t>3MINDIA</t>
  </si>
  <si>
    <t>SHRDAIS</t>
  </si>
  <si>
    <t>SWASTIVI</t>
  </si>
  <si>
    <t>LONTE</t>
  </si>
  <si>
    <t>ALEXANDER</t>
  </si>
  <si>
    <t>SMLT</t>
  </si>
  <si>
    <t>SYBLY</t>
  </si>
  <si>
    <t>MCLEODRUSS</t>
  </si>
  <si>
    <t>BALMLAWRIE</t>
  </si>
  <si>
    <t>SPSL</t>
  </si>
  <si>
    <t>TEJASSVI</t>
  </si>
  <si>
    <t>NEAGI</t>
  </si>
  <si>
    <t>DCMSHRIRAM</t>
  </si>
  <si>
    <t>SSWRL</t>
  </si>
  <si>
    <t>TITAANIUM</t>
  </si>
  <si>
    <t>OCTAVIUSPL</t>
  </si>
  <si>
    <t>EMPIND</t>
  </si>
  <si>
    <t>STEELXIND</t>
  </si>
  <si>
    <t>TITANIN</t>
  </si>
  <si>
    <t>RGRL</t>
  </si>
  <si>
    <t>GALACTICO</t>
  </si>
  <si>
    <t>SUPERSHAKT</t>
  </si>
  <si>
    <t>TRIDENT</t>
  </si>
  <si>
    <t>TATACOFFEE</t>
  </si>
  <si>
    <t>HCKKVENTURE</t>
  </si>
  <si>
    <t>SUPREMEX</t>
  </si>
  <si>
    <t>TTFL</t>
  </si>
  <si>
    <t>TATACONSUM</t>
  </si>
  <si>
    <t>JANUSCORP</t>
  </si>
  <si>
    <t>SURAJ</t>
  </si>
  <si>
    <t>TTL</t>
  </si>
  <si>
    <t>TERAI</t>
  </si>
  <si>
    <t>KRYPTONQ</t>
  </si>
  <si>
    <t>SURAJLTD</t>
  </si>
  <si>
    <t>TUNITEX</t>
  </si>
  <si>
    <t>TYROON</t>
  </si>
  <si>
    <t>PANTH</t>
  </si>
  <si>
    <t>SURYAROSNI</t>
  </si>
  <si>
    <t>UNIROYAL</t>
  </si>
  <si>
    <t>WARRENTEA</t>
  </si>
  <si>
    <t>SORILINFRA</t>
  </si>
  <si>
    <t>TAPARIA</t>
  </si>
  <si>
    <t>UNITEDTE</t>
  </si>
  <si>
    <t>Telecom - Equipment &amp; Accesories</t>
  </si>
  <si>
    <t>ADCINDIA</t>
  </si>
  <si>
    <t>SVARTCORP</t>
  </si>
  <si>
    <t>TATASTLLP</t>
  </si>
  <si>
    <t>UNIWSEC</t>
  </si>
  <si>
    <t>AISHWARYA</t>
  </si>
  <si>
    <t>TTKHEALTH</t>
  </si>
  <si>
    <t>TATAYODOGA</t>
  </si>
  <si>
    <t>UNTTEMI</t>
  </si>
  <si>
    <t>AKSHOPTFBR</t>
  </si>
  <si>
    <t>Diversified Commercial Services</t>
  </si>
  <si>
    <t>AGSTRA</t>
  </si>
  <si>
    <t>TIIL</t>
  </si>
  <si>
    <t>VALSONQ</t>
  </si>
  <si>
    <t>AVANTEL</t>
  </si>
  <si>
    <t>ALANKIT</t>
  </si>
  <si>
    <t>TNSTLTU</t>
  </si>
  <si>
    <t>VANDANA</t>
  </si>
  <si>
    <t>BIRLACABLE</t>
  </si>
  <si>
    <t>AMALGAM</t>
  </si>
  <si>
    <t>TRANSFRE</t>
  </si>
  <si>
    <t>VARDMNPOLY</t>
  </si>
  <si>
    <t>ITI</t>
  </si>
  <si>
    <t>ARISE</t>
  </si>
  <si>
    <t>UMIYA</t>
  </si>
  <si>
    <t>VENTURA</t>
  </si>
  <si>
    <t>KAVVERITEL</t>
  </si>
  <si>
    <t>BENTCOM</t>
  </si>
  <si>
    <t>UNIABEXAL</t>
  </si>
  <si>
    <t>VIJAYTX</t>
  </si>
  <si>
    <t>OPTIEMUS</t>
  </si>
  <si>
    <t>BHAGYAPROP</t>
  </si>
  <si>
    <t>UNISON</t>
  </si>
  <si>
    <t>VIPPYSP</t>
  </si>
  <si>
    <t>PUNJCOMMU</t>
  </si>
  <si>
    <t>CAPRICORN</t>
  </si>
  <si>
    <t>USHAMART</t>
  </si>
  <si>
    <t>VIVIDHA</t>
  </si>
  <si>
    <t>TEJASNET</t>
  </si>
  <si>
    <t>CMSINFO</t>
  </si>
  <si>
    <t>UTTAMSTL</t>
  </si>
  <si>
    <t>VOITHPAPR</t>
  </si>
  <si>
    <t>TNTELE</t>
  </si>
  <si>
    <t>CORALFINAC</t>
  </si>
  <si>
    <t>VALLABHSQ</t>
  </si>
  <si>
    <t>VTL</t>
  </si>
  <si>
    <t>VALIANT</t>
  </si>
  <si>
    <t>DRL</t>
  </si>
  <si>
    <t>VBCFERROQ</t>
  </si>
  <si>
    <t>VTMLTD</t>
  </si>
  <si>
    <t>Telecom - Cellular &amp; Fixedline Services</t>
  </si>
  <si>
    <t>BHARTIARTL</t>
  </si>
  <si>
    <t>DYNAVSN</t>
  </si>
  <si>
    <t>VENUSPIPES</t>
  </si>
  <si>
    <t>WELSPUNIND</t>
  </si>
  <si>
    <t>CITYONLINE</t>
  </si>
  <si>
    <t>EKAMLEA</t>
  </si>
  <si>
    <t>VSSL</t>
  </si>
  <si>
    <t>WINSOMTX</t>
  </si>
  <si>
    <t>IDEA</t>
  </si>
  <si>
    <t>ELCIDIN</t>
  </si>
  <si>
    <t>WELCORP</t>
  </si>
  <si>
    <t>WIREFABR</t>
  </si>
  <si>
    <t>MTNL</t>
  </si>
  <si>
    <t>ENBETRD</t>
  </si>
  <si>
    <t>WELSPLSOL</t>
  </si>
  <si>
    <t>ZBINTXPP</t>
  </si>
  <si>
    <t>QUADRANT</t>
  </si>
  <si>
    <t>ERPSOFT</t>
  </si>
  <si>
    <t>WMINIMT</t>
  </si>
  <si>
    <t>ZENIFIB</t>
  </si>
  <si>
    <t>RCOM</t>
  </si>
  <si>
    <t>ESARIND</t>
  </si>
  <si>
    <t>ZENITHSTL</t>
  </si>
  <si>
    <t>ZGAEKWAR</t>
  </si>
  <si>
    <t>TATACOMM</t>
  </si>
  <si>
    <t>EVANS</t>
  </si>
  <si>
    <t>ZPRBHSTE</t>
  </si>
  <si>
    <t>Other Utilities</t>
  </si>
  <si>
    <t>FILTRA</t>
  </si>
  <si>
    <t>TTML</t>
  </si>
  <si>
    <t>EXPLICITFIN</t>
  </si>
  <si>
    <t>IT Enabled Services</t>
  </si>
  <si>
    <t>7TEC</t>
  </si>
  <si>
    <t>Packaged Foods</t>
  </si>
  <si>
    <t>AAYUSH</t>
  </si>
  <si>
    <t>Telecom - Infrastructure</t>
  </si>
  <si>
    <t>GTLINFRA</t>
  </si>
  <si>
    <t>FMNL</t>
  </si>
  <si>
    <t>ACEENGITEC</t>
  </si>
  <si>
    <t>ADFFOODS</t>
  </si>
  <si>
    <t>HFCL</t>
  </si>
  <si>
    <t>FRONTCAP</t>
  </si>
  <si>
    <t>ADROITINFO</t>
  </si>
  <si>
    <t>ANJANIFOODS</t>
  </si>
  <si>
    <t>INDUSTOWER</t>
  </si>
  <si>
    <t>GANHOLD</t>
  </si>
  <si>
    <t>ADSL</t>
  </si>
  <si>
    <t>APEX</t>
  </si>
  <si>
    <t>SUYOG</t>
  </si>
  <si>
    <t>GEMSI</t>
  </si>
  <si>
    <t>AFFLE</t>
  </si>
  <si>
    <t>BAMBINO</t>
  </si>
  <si>
    <t>VINDHYATEL</t>
  </si>
  <si>
    <t>GOLECHA</t>
  </si>
  <si>
    <t>AURUM</t>
  </si>
  <si>
    <t>BBTC</t>
  </si>
  <si>
    <t>Toll Bridge Operator</t>
  </si>
  <si>
    <t>MEP</t>
  </si>
  <si>
    <t>GREENCREST</t>
  </si>
  <si>
    <t>AXISCADES</t>
  </si>
  <si>
    <t>BECTORFOOD</t>
  </si>
  <si>
    <t>NOIDATOLL</t>
  </si>
  <si>
    <t>HEALINV</t>
  </si>
  <si>
    <t>BARTRONICS</t>
  </si>
  <si>
    <t>BKV</t>
  </si>
  <si>
    <t>Tour, Travel Related Services</t>
  </si>
  <si>
    <t>BLS</t>
  </si>
  <si>
    <t>HRMNYCP</t>
  </si>
  <si>
    <t>BBOX</t>
  </si>
  <si>
    <t>BRITANNIA</t>
  </si>
  <si>
    <t>EASEMYTRIP</t>
  </si>
  <si>
    <t>ICDSLTD</t>
  </si>
  <si>
    <t>BCG</t>
  </si>
  <si>
    <t>CHORDIA</t>
  </si>
  <si>
    <t>IRCTC</t>
  </si>
  <si>
    <t>INDINFRA</t>
  </si>
  <si>
    <t>BODHTREE</t>
  </si>
  <si>
    <t>CHOTHANI</t>
  </si>
  <si>
    <t>ITHL</t>
  </si>
  <si>
    <t>INDSOYA</t>
  </si>
  <si>
    <t>CIGNITI</t>
  </si>
  <si>
    <t>DAAWAT</t>
  </si>
  <si>
    <t>SAILANI</t>
  </si>
  <si>
    <t>INERTIAST</t>
  </si>
  <si>
    <t>CRESSAN</t>
  </si>
  <si>
    <t>DFM</t>
  </si>
  <si>
    <t>THOMASCOOK</t>
  </si>
  <si>
    <t>INNOVATIVE</t>
  </si>
  <si>
    <t>CYIENT</t>
  </si>
  <si>
    <t>DIAMONDYD</t>
  </si>
  <si>
    <t>YAANENT</t>
  </si>
  <si>
    <t>JAYATMA</t>
  </si>
  <si>
    <t>DATAMATICS</t>
  </si>
  <si>
    <t>FOODSIN</t>
  </si>
  <si>
    <t>Tractors</t>
  </si>
  <si>
    <t>ESCORTS</t>
  </si>
  <si>
    <t>JOHNPHARMA</t>
  </si>
  <si>
    <t>DCM</t>
  </si>
  <si>
    <t>GCKL</t>
  </si>
  <si>
    <t>VSTTILLERS</t>
  </si>
  <si>
    <t>JUMBFNL</t>
  </si>
  <si>
    <t>DEVIT</t>
  </si>
  <si>
    <t>GOLDCOINHF</t>
  </si>
  <si>
    <t>Trading - Automobiles</t>
  </si>
  <si>
    <t>COMPEAU</t>
  </si>
  <si>
    <t>KAARYAFSL</t>
  </si>
  <si>
    <t>DIGISPICE</t>
  </si>
  <si>
    <t>ICLORGANIC</t>
  </si>
  <si>
    <t>VAL</t>
  </si>
  <si>
    <t>KCSL</t>
  </si>
  <si>
    <t>DSSL</t>
  </si>
  <si>
    <t>KMGMILK</t>
  </si>
  <si>
    <t>Trading - Chemicals</t>
  </si>
  <si>
    <t>AAL</t>
  </si>
  <si>
    <t>KEMP</t>
  </si>
  <si>
    <t>EKENNIS</t>
  </si>
  <si>
    <t>KSE</t>
  </si>
  <si>
    <t>CHDCHEM</t>
  </si>
  <si>
    <t>KKFIN</t>
  </si>
  <si>
    <t>ELNET</t>
  </si>
  <si>
    <t>LOTUSCHO</t>
  </si>
  <si>
    <t>LAFFANSQ</t>
  </si>
  <si>
    <t>MAGANTR</t>
  </si>
  <si>
    <t>EMUDHRA</t>
  </si>
  <si>
    <t>MAHAANF</t>
  </si>
  <si>
    <t>MYSORPETRO</t>
  </si>
  <si>
    <t>MAJESAUT</t>
  </si>
  <si>
    <t>EXPLEOSOL</t>
  </si>
  <si>
    <t>MISHTANN</t>
  </si>
  <si>
    <t>SRD</t>
  </si>
  <si>
    <t>MEGFI</t>
  </si>
  <si>
    <t>FCSSOFT</t>
  </si>
  <si>
    <t>MODAIRY</t>
  </si>
  <si>
    <t>UNIPHOS</t>
  </si>
  <si>
    <t>MERCANTILE</t>
  </si>
  <si>
    <t>FSL</t>
  </si>
  <si>
    <t>NCCBLUE</t>
  </si>
  <si>
    <t>VINYLINDIA</t>
  </si>
  <si>
    <t>MERCTRD</t>
  </si>
  <si>
    <t>GENESYS</t>
  </si>
  <si>
    <t>NESTLEIND</t>
  </si>
  <si>
    <t>YASHCHEM</t>
  </si>
  <si>
    <t>MILLENNIUM</t>
  </si>
  <si>
    <t>GSS</t>
  </si>
  <si>
    <t>NGIL</t>
  </si>
  <si>
    <t>Trading - Metals</t>
  </si>
  <si>
    <t>ABANSENT</t>
  </si>
  <si>
    <t>MLINDLTD</t>
  </si>
  <si>
    <t>HOVS</t>
  </si>
  <si>
    <t>PALASHSEC</t>
  </si>
  <si>
    <t>CHENFERRO</t>
  </si>
  <si>
    <t>MOTOGENFIN</t>
  </si>
  <si>
    <t>INFIBEAM</t>
  </si>
  <si>
    <t>PANJON</t>
  </si>
  <si>
    <t>EMERGENT</t>
  </si>
  <si>
    <t>MULTIIN</t>
  </si>
  <si>
    <t>INSPIRISYS</t>
  </si>
  <si>
    <t>SAMPRE</t>
  </si>
  <si>
    <t>LATIMMETAL</t>
  </si>
  <si>
    <t>NESCO</t>
  </si>
  <si>
    <t>INTELSOFT</t>
  </si>
  <si>
    <t>SCAGRO</t>
  </si>
  <si>
    <t>RRMETAL</t>
  </si>
  <si>
    <t>NIRLON</t>
  </si>
  <si>
    <t>IRIS</t>
  </si>
  <si>
    <t>SHAHFOOD</t>
  </si>
  <si>
    <t>USHDI</t>
  </si>
  <si>
    <t>NIRMITEE</t>
  </si>
  <si>
    <t>IZMO</t>
  </si>
  <si>
    <t>SHAQUAK</t>
  </si>
  <si>
    <t>Trading - Minerals</t>
  </si>
  <si>
    <t>ADANIENT</t>
  </si>
  <si>
    <t>NNTL</t>
  </si>
  <si>
    <t>JATALIA</t>
  </si>
  <si>
    <t>SUPERBAK</t>
  </si>
  <si>
    <t>ASHOKALC</t>
  </si>
  <si>
    <t>OSEASPR</t>
  </si>
  <si>
    <t>LEENEE</t>
  </si>
  <si>
    <t>SURFI</t>
  </si>
  <si>
    <t>STARLENT</t>
  </si>
  <si>
    <t>OSWALEA</t>
  </si>
  <si>
    <t>LTTS</t>
  </si>
  <si>
    <t>TANVI</t>
  </si>
  <si>
    <t>Trading - Textile Products</t>
  </si>
  <si>
    <t>AARNAV</t>
  </si>
  <si>
    <t>PARLEIND</t>
  </si>
  <si>
    <t>MELSTAR</t>
  </si>
  <si>
    <t>TASTYBIT</t>
  </si>
  <si>
    <t>ARL</t>
  </si>
  <si>
    <t>PEOPLIN</t>
  </si>
  <si>
    <t>MOLDTEK</t>
  </si>
  <si>
    <t>UNRYLMA</t>
  </si>
  <si>
    <t>BTTL</t>
  </si>
  <si>
    <t>PHOENXINTL</t>
  </si>
  <si>
    <t>NEWGEN</t>
  </si>
  <si>
    <t>VAGHANI</t>
  </si>
  <si>
    <t>GETALONG</t>
  </si>
  <si>
    <t>PHOTON</t>
  </si>
  <si>
    <t>OCTAWARE</t>
  </si>
  <si>
    <t>VENKYS</t>
  </si>
  <si>
    <t>HEADSUP</t>
  </si>
  <si>
    <t>PROFINC</t>
  </si>
  <si>
    <t>ONWARDTEC</t>
  </si>
  <si>
    <t>ZYDUSWELL</t>
  </si>
  <si>
    <t>NIVAKA</t>
  </si>
  <si>
    <t>PTL</t>
  </si>
  <si>
    <t>PALRED</t>
  </si>
  <si>
    <t>Packaging</t>
  </si>
  <si>
    <t>AGI</t>
  </si>
  <si>
    <t>PDSL</t>
  </si>
  <si>
    <t>PUNCTRD</t>
  </si>
  <si>
    <t>PCS</t>
  </si>
  <si>
    <t>AMDIND</t>
  </si>
  <si>
    <t>SANBLUE</t>
  </si>
  <si>
    <t>RAPIDIN</t>
  </si>
  <si>
    <t>RAMINFO</t>
  </si>
  <si>
    <t>ANUROOP</t>
  </si>
  <si>
    <t>SIL</t>
  </si>
  <si>
    <t>RITHWIKFMS</t>
  </si>
  <si>
    <t>RIDDHICORP</t>
  </si>
  <si>
    <t>ARROWGREEN</t>
  </si>
  <si>
    <t>SPLIL</t>
  </si>
  <si>
    <t>RRSECUR</t>
  </si>
  <si>
    <t>ROLTA</t>
  </si>
  <si>
    <t>ASYL</t>
  </si>
  <si>
    <t>WEIZMANIND</t>
  </si>
  <si>
    <t>RTNINDIA</t>
  </si>
  <si>
    <t>RSYSTEMINT</t>
  </si>
  <si>
    <t>BAPACK</t>
  </si>
  <si>
    <t>Trading &amp; Distributors</t>
  </si>
  <si>
    <t>AAPLUSTRAD</t>
  </si>
  <si>
    <t>RUCHINFRA</t>
  </si>
  <si>
    <t>SASKEN</t>
  </si>
  <si>
    <t>BEARDSELL</t>
  </si>
  <si>
    <t>ADARSH</t>
  </si>
  <si>
    <t>SAICAPI</t>
  </si>
  <si>
    <t>SCANPGEOM</t>
  </si>
  <si>
    <t>BKMINDST</t>
  </si>
  <si>
    <t>AFEL</t>
  </si>
  <si>
    <t>SAMYAKINT</t>
  </si>
  <si>
    <t>SECURKLOUD</t>
  </si>
  <si>
    <t>CLARA</t>
  </si>
  <si>
    <t>AGRIMONY</t>
  </si>
  <si>
    <t>SAWABUSI</t>
  </si>
  <si>
    <t>SILVERTUC</t>
  </si>
  <si>
    <t>COMSYN</t>
  </si>
  <si>
    <t>AIHL</t>
  </si>
  <si>
    <t>SBC</t>
  </si>
  <si>
    <t>SYLPH</t>
  </si>
  <si>
    <t>COSMOFIRST</t>
  </si>
  <si>
    <t>ALNATRD</t>
  </si>
  <si>
    <t>SELLWIN</t>
  </si>
  <si>
    <t>TERASOFT</t>
  </si>
  <si>
    <t>EMMBI</t>
  </si>
  <si>
    <t>AMANITRA</t>
  </si>
  <si>
    <t>SHKALYN</t>
  </si>
  <si>
    <t>UNITEDINT</t>
  </si>
  <si>
    <t>EPL</t>
  </si>
  <si>
    <t>AMRAPLIN</t>
  </si>
  <si>
    <t>SHRENTI</t>
  </si>
  <si>
    <t>USGTECH</t>
  </si>
  <si>
    <t>ESTER</t>
  </si>
  <si>
    <t>ANIKINDS</t>
  </si>
  <si>
    <t>SHVFL</t>
  </si>
  <si>
    <t>VAKRANGEE</t>
  </si>
  <si>
    <t>GKP</t>
  </si>
  <si>
    <t>APIL</t>
  </si>
  <si>
    <t>SHYAM</t>
  </si>
  <si>
    <t>VEDAVAAG</t>
  </si>
  <si>
    <t>GUJCRAFT</t>
  </si>
  <si>
    <t>ARAVALIS</t>
  </si>
  <si>
    <t>SICAPIT</t>
  </si>
  <si>
    <t>WEPSOLN</t>
  </si>
  <si>
    <t>GUJRAFIA</t>
  </si>
  <si>
    <t>ARENTERP</t>
  </si>
  <si>
    <t>SINDHUTRAD</t>
  </si>
  <si>
    <t>Jute &amp; Jute Products</t>
  </si>
  <si>
    <t>AICHAMP</t>
  </si>
  <si>
    <t>HALDYNGL</t>
  </si>
  <si>
    <t>ARHNTTO</t>
  </si>
  <si>
    <t>SIS</t>
  </si>
  <si>
    <t>BFFL</t>
  </si>
  <si>
    <t>HINDTIN</t>
  </si>
  <si>
    <t>ASHNI</t>
  </si>
  <si>
    <t>SKRABUL</t>
  </si>
  <si>
    <t>BUDGE BUDGE</t>
  </si>
  <si>
    <t>HITECHCORP</t>
  </si>
  <si>
    <t>ASIANTNE</t>
  </si>
  <si>
    <t>SOBME</t>
  </si>
  <si>
    <t>CHEVIOT</t>
  </si>
  <si>
    <t>HPBL</t>
  </si>
  <si>
    <t>ASUTENT</t>
  </si>
  <si>
    <t>SPCAPIT</t>
  </si>
  <si>
    <t>GLOSTERLTD</t>
  </si>
  <si>
    <t>HUHTAMAKI</t>
  </si>
  <si>
    <t>ASWTR</t>
  </si>
  <si>
    <t>SVCIND</t>
  </si>
  <si>
    <t>LUDLOWJUT</t>
  </si>
  <si>
    <t>INNOVTEC</t>
  </si>
  <si>
    <t>AUSOMENT</t>
  </si>
  <si>
    <t>SW1</t>
  </si>
  <si>
    <t>Leather &amp; Leather Products</t>
  </si>
  <si>
    <t>AMINTAN</t>
  </si>
  <si>
    <t>JAUSPOL</t>
  </si>
  <si>
    <t>AVIVA</t>
  </si>
  <si>
    <t>TASHIND</t>
  </si>
  <si>
    <t>ANKIN</t>
  </si>
  <si>
    <t>JINDALPOLY</t>
  </si>
  <si>
    <t>AYOME</t>
  </si>
  <si>
    <t>TCIIND</t>
  </si>
  <si>
    <t>BIL</t>
  </si>
  <si>
    <t>JUMBO</t>
  </si>
  <si>
    <t>BAJGLOB</t>
  </si>
  <si>
    <t>TEAMLEASE</t>
  </si>
  <si>
    <t>LEHAR</t>
  </si>
  <si>
    <t>KAIRA</t>
  </si>
  <si>
    <t>BALGOPAL</t>
  </si>
  <si>
    <t>TERRAREAL</t>
  </si>
  <si>
    <t>MAYURUNIQ</t>
  </si>
  <si>
    <t>KANPRPLA</t>
  </si>
  <si>
    <t>BEEYU</t>
  </si>
  <si>
    <t>TRANOCE</t>
  </si>
  <si>
    <t>MIRZAINT</t>
  </si>
  <si>
    <t>MITSU</t>
  </si>
  <si>
    <t>BHATEXT</t>
  </si>
  <si>
    <t>TWIROST</t>
  </si>
  <si>
    <t>NBFOOT</t>
  </si>
  <si>
    <t>MOLDTKPAC</t>
  </si>
  <si>
    <t>BIJHANS</t>
  </si>
  <si>
    <t>VARUNME</t>
  </si>
  <si>
    <t>SUPERHOUSE</t>
  </si>
  <si>
    <t>MPL</t>
  </si>
  <si>
    <t>BINNYMILLS</t>
  </si>
  <si>
    <t>VIKALPS</t>
  </si>
  <si>
    <t>SUPTANERY</t>
  </si>
  <si>
    <t>NAHARPOLY</t>
  </si>
  <si>
    <t>BNL</t>
  </si>
  <si>
    <t>VISVEN</t>
  </si>
  <si>
    <t>WELTI</t>
  </si>
  <si>
    <t>ORICON</t>
  </si>
  <si>
    <t>BOMBCYC</t>
  </si>
  <si>
    <t>WAGEND</t>
  </si>
  <si>
    <t>ZENITHEXPO</t>
  </si>
  <si>
    <t>ORIENTLTD</t>
  </si>
  <si>
    <t>CATVISION</t>
  </si>
  <si>
    <t>YAARI</t>
  </si>
  <si>
    <t>Leisure Products</t>
  </si>
  <si>
    <t>ARCHIES</t>
  </si>
  <si>
    <t>PANKAJPO</t>
  </si>
  <si>
    <t>CFEL</t>
  </si>
  <si>
    <t>YASHINNO</t>
  </si>
  <si>
    <t>COSCO</t>
  </si>
  <si>
    <t>POLYCON</t>
  </si>
  <si>
    <t>CHAMAK</t>
  </si>
  <si>
    <t>ZENLABS</t>
  </si>
  <si>
    <t>OKPLA</t>
  </si>
  <si>
    <t>POLYPLEX</t>
  </si>
  <si>
    <t>CHANDNIMACH</t>
  </si>
  <si>
    <t>ZHEMHOLD</t>
  </si>
  <si>
    <t>OLPCL</t>
  </si>
  <si>
    <t>POLYSPIN</t>
  </si>
  <si>
    <t>CHANDRAP</t>
  </si>
  <si>
    <t>ZKOVALIN</t>
  </si>
  <si>
    <t>Life Insurance</t>
  </si>
  <si>
    <t>ABCAPITAL</t>
  </si>
  <si>
    <t>PROMACT</t>
  </si>
  <si>
    <t>CHANDRIMA</t>
  </si>
  <si>
    <t>ZLEENCON</t>
  </si>
  <si>
    <t>HDFCLIFE</t>
  </si>
  <si>
    <t>QUANTDIA</t>
  </si>
  <si>
    <t>CHMBBRW</t>
  </si>
  <si>
    <t>ZMANSOON</t>
  </si>
  <si>
    <t>ICICIPRULI</t>
  </si>
  <si>
    <t>RAAJMEDI</t>
  </si>
  <si>
    <t>CISTRO</t>
  </si>
  <si>
    <t>ZMULTIPU</t>
  </si>
  <si>
    <t>LICI</t>
  </si>
  <si>
    <t>RAJPACK</t>
  </si>
  <si>
    <t>CLASELE</t>
  </si>
  <si>
    <t>ZNILKENG</t>
  </si>
  <si>
    <t>MFSL</t>
  </si>
  <si>
    <t>RCAN</t>
  </si>
  <si>
    <t>CONSTRONIC</t>
  </si>
  <si>
    <t>ZNIVITRD</t>
  </si>
  <si>
    <t>SBILIFE</t>
  </si>
  <si>
    <t>RCCL</t>
  </si>
  <si>
    <t>CONTILI</t>
  </si>
  <si>
    <t>ZSANMCOM</t>
  </si>
  <si>
    <t>Logistics Solution Provider</t>
  </si>
  <si>
    <t>ALLCARGO</t>
  </si>
  <si>
    <t>RDBRL</t>
  </si>
  <si>
    <t>CRAVATEX</t>
  </si>
  <si>
    <t>ZSARVAMA</t>
  </si>
  <si>
    <t>ARSHIYA</t>
  </si>
  <si>
    <t>RISHITECH</t>
  </si>
  <si>
    <t>DANUBE</t>
  </si>
  <si>
    <t>Diversified FMCG</t>
  </si>
  <si>
    <t>HINDUNILVR</t>
  </si>
  <si>
    <t>AUTOINT</t>
  </si>
  <si>
    <t>RMCL</t>
  </si>
  <si>
    <t>DEVHARI</t>
  </si>
  <si>
    <t>HNDFDS</t>
  </si>
  <si>
    <t>BLUEDART</t>
  </si>
  <si>
    <t>ROLLT</t>
  </si>
  <si>
    <t>DEVINE</t>
  </si>
  <si>
    <t>ITC</t>
  </si>
  <si>
    <t>CHLOGIST</t>
  </si>
  <si>
    <t>SHETR</t>
  </si>
  <si>
    <t>DGL</t>
  </si>
  <si>
    <t>Diversified Metals</t>
  </si>
  <si>
    <t>BONLON</t>
  </si>
  <si>
    <t>CONCOR</t>
  </si>
  <si>
    <t>SHREERAMA</t>
  </si>
  <si>
    <t>DHANCOT</t>
  </si>
  <si>
    <t>VEDL</t>
  </si>
  <si>
    <t>CONTAINER</t>
  </si>
  <si>
    <t>SHRJAGP</t>
  </si>
  <si>
    <t>DHOOTIN</t>
  </si>
  <si>
    <t>Diversified Retail</t>
  </si>
  <si>
    <t>ACML</t>
  </si>
  <si>
    <t>CORPOCO</t>
  </si>
  <si>
    <t>STANPACK</t>
  </si>
  <si>
    <t>DHYAANI</t>
  </si>
  <si>
    <t>DMART</t>
  </si>
  <si>
    <t>DELHIVERY</t>
  </si>
  <si>
    <t>TCPLPACK</t>
  </si>
  <si>
    <t>DML</t>
  </si>
  <si>
    <t>FCONSUMER</t>
  </si>
  <si>
    <t>DJML</t>
  </si>
  <si>
    <t>TINPLATE</t>
  </si>
  <si>
    <t>DWL</t>
  </si>
  <si>
    <t>FEL</t>
  </si>
  <si>
    <t>EASTWEST</t>
  </si>
  <si>
    <t>TPLPLAST</t>
  </si>
  <si>
    <t>EDSL</t>
  </si>
  <si>
    <t>FELDVR</t>
  </si>
  <si>
    <t>FLOMIC</t>
  </si>
  <si>
    <t>UFLEX</t>
  </si>
  <si>
    <t>ELITECON</t>
  </si>
  <si>
    <t>FLFL</t>
  </si>
  <si>
    <t>FSC</t>
  </si>
  <si>
    <t>UNQTYMI</t>
  </si>
  <si>
    <t>ELLORATRAD</t>
  </si>
  <si>
    <t>FRETAIL</t>
  </si>
  <si>
    <t>GATEWAY</t>
  </si>
  <si>
    <t>VINAYAKPOL</t>
  </si>
  <si>
    <t>ENTRINT</t>
  </si>
  <si>
    <t>RCRL</t>
  </si>
  <si>
    <t>GATI</t>
  </si>
  <si>
    <t>XPROINDIA</t>
  </si>
  <si>
    <t>EQUIPPP</t>
  </si>
  <si>
    <t>SHOPERSTOP</t>
  </si>
  <si>
    <t>JETFREIGHT</t>
  </si>
  <si>
    <t>YASHRAJC</t>
  </si>
  <si>
    <t>EUROASIA</t>
  </si>
  <si>
    <t>SPENCER</t>
  </si>
  <si>
    <t>KTIL</t>
  </si>
  <si>
    <t>ZPPOLYSA</t>
  </si>
  <si>
    <t>EVOQ</t>
  </si>
  <si>
    <t>TAAZAINT</t>
  </si>
  <si>
    <t>LANCER</t>
  </si>
  <si>
    <t>Paints</t>
  </si>
  <si>
    <t>AKZOINDIA</t>
  </si>
  <si>
    <t>EXCEL</t>
  </si>
  <si>
    <t>VMART</t>
  </si>
  <si>
    <t>MAHLOG</t>
  </si>
  <si>
    <t>ASIANPAINT</t>
  </si>
  <si>
    <t>FERVENTSYN</t>
  </si>
  <si>
    <t>Dyes and Pigments</t>
  </si>
  <si>
    <t>AKSCHEM</t>
  </si>
  <si>
    <t>MFLINDIA</t>
  </si>
  <si>
    <t>BERGEPAINT</t>
  </si>
  <si>
    <t>FORINTL</t>
  </si>
  <si>
    <t>ASAHISONG</t>
  </si>
  <si>
    <t>NAVKARCORP</t>
  </si>
  <si>
    <t>INDIGOPNTS</t>
  </si>
  <si>
    <t>FRANKLININD</t>
  </si>
  <si>
    <t>BHAGIL</t>
  </si>
  <si>
    <t>NECCLTD</t>
  </si>
  <si>
    <t>KANSAINER</t>
  </si>
  <si>
    <t>FRASER</t>
  </si>
  <si>
    <t>BODALCHEM</t>
  </si>
  <si>
    <t>OBCL</t>
  </si>
  <si>
    <t>SHALPAINTS</t>
  </si>
  <si>
    <t>FRUTION</t>
  </si>
  <si>
    <t>HEUBACHIND</t>
  </si>
  <si>
    <t>PATINTLOG</t>
  </si>
  <si>
    <t>Paper</t>
  </si>
  <si>
    <t>AGIOPAPER</t>
  </si>
  <si>
    <t>GAGANPO</t>
  </si>
  <si>
    <t>KIRIINDUS</t>
  </si>
  <si>
    <t>RIIL</t>
  </si>
  <si>
    <t>ANDHRAPAP</t>
  </si>
  <si>
    <t>GANONPRO</t>
  </si>
  <si>
    <t>PODARPIGQ</t>
  </si>
  <si>
    <t>RITCO</t>
  </si>
  <si>
    <t>ASTRON</t>
  </si>
  <si>
    <t>GARODCH</t>
  </si>
  <si>
    <t>SHREEPUSHK</t>
  </si>
  <si>
    <t>SANCTRN</t>
  </si>
  <si>
    <t>BALKRISHNA</t>
  </si>
  <si>
    <t>GARWSYN</t>
  </si>
  <si>
    <t>SUDARSCHEM</t>
  </si>
  <si>
    <t>SEACOAST</t>
  </si>
  <si>
    <t>CELLA</t>
  </si>
  <si>
    <t>GEL</t>
  </si>
  <si>
    <t>ULTRAMAR</t>
  </si>
  <si>
    <t>SICAL</t>
  </si>
  <si>
    <t>CENTURYTEX</t>
  </si>
  <si>
    <t>GENPHARMA</t>
  </si>
  <si>
    <t>Edible Oil</t>
  </si>
  <si>
    <t>AJANTSOY</t>
  </si>
  <si>
    <t>SNOWMAN</t>
  </si>
  <si>
    <t>CHADPAP</t>
  </si>
  <si>
    <t>GINISILK</t>
  </si>
  <si>
    <t>AMBARPIL</t>
  </si>
  <si>
    <t>STL</t>
  </si>
  <si>
    <t>CORNE</t>
  </si>
  <si>
    <t>GLCL</t>
  </si>
  <si>
    <t>ASHAI</t>
  </si>
  <si>
    <t>SURYAKR</t>
  </si>
  <si>
    <t>EMAMIPAP</t>
  </si>
  <si>
    <t>GMETCOAL</t>
  </si>
  <si>
    <t>ATFL</t>
  </si>
  <si>
    <t>TCI</t>
  </si>
  <si>
    <t>GANGAPA</t>
  </si>
  <si>
    <t>GOYALALUM</t>
  </si>
  <si>
    <t>AWL</t>
  </si>
  <si>
    <t>TCIEXP</t>
  </si>
  <si>
    <t>GENUSPAPER</t>
  </si>
  <si>
    <t>GROWINGTON</t>
  </si>
  <si>
    <t>BCLIL</t>
  </si>
  <si>
    <t>TIGERLOGS</t>
  </si>
  <si>
    <t>GRATEXI</t>
  </si>
  <si>
    <t>HARDWYN</t>
  </si>
  <si>
    <t>CIANAGRO</t>
  </si>
  <si>
    <t>VRLLOG</t>
  </si>
  <si>
    <t>JKPAPER</t>
  </si>
  <si>
    <t>HCLTD</t>
  </si>
  <si>
    <t>CORAGRO</t>
  </si>
  <si>
    <t>LPG/CNG/PNG/LNG Supplier</t>
  </si>
  <si>
    <t>ATGL</t>
  </si>
  <si>
    <t>KAYPOWR</t>
  </si>
  <si>
    <t>HEMANG</t>
  </si>
  <si>
    <t>DILIGENT</t>
  </si>
  <si>
    <t>CONFIPET</t>
  </si>
  <si>
    <t>KONNDOR</t>
  </si>
  <si>
    <t>HEMORGANIC</t>
  </si>
  <si>
    <t>EVEXIA</t>
  </si>
  <si>
    <t>HAVISHA</t>
  </si>
  <si>
    <t>KUANTUM</t>
  </si>
  <si>
    <t>HEXATRADEX</t>
  </si>
  <si>
    <t>GOKUL</t>
  </si>
  <si>
    <t>IGL</t>
  </si>
  <si>
    <t>MAGNUM</t>
  </si>
  <si>
    <t>HINDAPL</t>
  </si>
  <si>
    <t>GOKULAGRO</t>
  </si>
  <si>
    <t>MGL</t>
  </si>
  <si>
    <t>MALUPAPER</t>
  </si>
  <si>
    <t>HIRAUTO</t>
  </si>
  <si>
    <t>INTEGFD</t>
  </si>
  <si>
    <t>PETRONET</t>
  </si>
  <si>
    <t>MOHITPPR</t>
  </si>
  <si>
    <t>HKG</t>
  </si>
  <si>
    <t>JRFOODS</t>
  </si>
  <si>
    <t>Lubricants</t>
  </si>
  <si>
    <t>CASTROLIND</t>
  </si>
  <si>
    <t>NATHIND</t>
  </si>
  <si>
    <t>IFL</t>
  </si>
  <si>
    <t>KRITINUT</t>
  </si>
  <si>
    <t>GULFOILLUB</t>
  </si>
  <si>
    <t>NRAGRINDQ</t>
  </si>
  <si>
    <t>IGCIL</t>
  </si>
  <si>
    <t>MADHUDIN</t>
  </si>
  <si>
    <t>GULFPETRO</t>
  </si>
  <si>
    <t>ORIENTPPR</t>
  </si>
  <si>
    <t>INCEPTUM</t>
  </si>
  <si>
    <t>NATRAJPR</t>
  </si>
  <si>
    <t>PANAMAPET</t>
  </si>
  <si>
    <t>PDMJEPAPER</t>
  </si>
  <si>
    <t>INDAGIV</t>
  </si>
  <si>
    <t>NKIND</t>
  </si>
  <si>
    <t>SOTL</t>
  </si>
  <si>
    <t>PERFEPA</t>
  </si>
  <si>
    <t>JAINCO</t>
  </si>
  <si>
    <t>PAOS</t>
  </si>
  <si>
    <t>TIDEWATER</t>
  </si>
  <si>
    <t>PURITY</t>
  </si>
  <si>
    <t>JEL</t>
  </si>
  <si>
    <t>PATANJALI</t>
  </si>
  <si>
    <t>Media &amp; Entertainment</t>
  </si>
  <si>
    <t>BALAJITELE</t>
  </si>
  <si>
    <t>RAMANEWS</t>
  </si>
  <si>
    <t>JIKIND</t>
  </si>
  <si>
    <t>PIONAGR</t>
  </si>
  <si>
    <t>CINEVISTA</t>
  </si>
  <si>
    <t>RAMAPPR-B</t>
  </si>
  <si>
    <t>KABSON</t>
  </si>
  <si>
    <t>POONADAL</t>
  </si>
  <si>
    <t>CREATIVEYE</t>
  </si>
  <si>
    <t>RUCHIRA</t>
  </si>
  <si>
    <t>KACL</t>
  </si>
  <si>
    <t>PRIMAIN</t>
  </si>
  <si>
    <t>ENIL</t>
  </si>
  <si>
    <t>SAFFRON</t>
  </si>
  <si>
    <t>KANELIND</t>
  </si>
  <si>
    <t>PRIMIND</t>
  </si>
  <si>
    <t>NETWORK18</t>
  </si>
  <si>
    <t>SANPA</t>
  </si>
  <si>
    <t>KCDGROUP</t>
  </si>
  <si>
    <t>RAJOIL</t>
  </si>
  <si>
    <t>RADAAN</t>
  </si>
  <si>
    <t>SAPPL</t>
  </si>
  <si>
    <t>KOTHARIPRO</t>
  </si>
  <si>
    <t>SAGRSOY-B</t>
  </si>
  <si>
    <t>RADIOCITY</t>
  </si>
  <si>
    <t>SATIA</t>
  </si>
  <si>
    <t>KUSUMEL</t>
  </si>
  <si>
    <t>SHRIGANG</t>
  </si>
  <si>
    <t>SAREGAMA</t>
  </si>
  <si>
    <t>SESHAPAPER</t>
  </si>
  <si>
    <t>LAHOTIOV</t>
  </si>
  <si>
    <t>SIEL</t>
  </si>
  <si>
    <t>SHALPRO</t>
  </si>
  <si>
    <t>SHBHAWPA</t>
  </si>
  <si>
    <t>LELAVOIR</t>
  </si>
  <si>
    <t>SRDAPRT</t>
  </si>
  <si>
    <t>SHEMAROO</t>
  </si>
  <si>
    <t>SHKARTP</t>
  </si>
  <si>
    <t>LESHAIND</t>
  </si>
  <si>
    <t>SURJIND</t>
  </si>
  <si>
    <t>TIPSINDLTD</t>
  </si>
  <si>
    <t>SHREYANIND</t>
  </si>
  <si>
    <t>LWSKNIT</t>
  </si>
  <si>
    <t>SVRL</t>
  </si>
  <si>
    <t>UNISTRMU</t>
  </si>
  <si>
    <t>SIMPLXPAP</t>
  </si>
  <si>
    <t>LYKISLTD</t>
  </si>
  <si>
    <t>VEGETABLE</t>
  </si>
  <si>
    <t>Medical Equipment &amp; Supplies</t>
  </si>
  <si>
    <t>CSURGSU</t>
  </si>
  <si>
    <t>SKPMIL</t>
  </si>
  <si>
    <t>MACINTR</t>
  </si>
  <si>
    <t>VIJSOLX</t>
  </si>
  <si>
    <t>GKB</t>
  </si>
  <si>
    <t>STARPAPER</t>
  </si>
  <si>
    <t>MAHACORP</t>
  </si>
  <si>
    <t>Education</t>
  </si>
  <si>
    <t>APTECHT</t>
  </si>
  <si>
    <t>KMSMEDI</t>
  </si>
  <si>
    <t>STHINPA</t>
  </si>
  <si>
    <t>MAHANIN</t>
  </si>
  <si>
    <t>ASCENSIVE</t>
  </si>
  <si>
    <t>NURECA</t>
  </si>
  <si>
    <t>STRAEXPO</t>
  </si>
  <si>
    <t>MAHSHRE</t>
  </si>
  <si>
    <t>CAREERP</t>
  </si>
  <si>
    <t>POLYMED</t>
  </si>
  <si>
    <t>SUPRBPA</t>
  </si>
  <si>
    <t>MAXIMUS</t>
  </si>
  <si>
    <t>CLEDUCATE*</t>
  </si>
  <si>
    <t>PREVEST</t>
  </si>
  <si>
    <t>TNPL</t>
  </si>
  <si>
    <t>MEHAI</t>
  </si>
  <si>
    <t>COMPUSOFT</t>
  </si>
  <si>
    <t>SHREEPAC</t>
  </si>
  <si>
    <t>VAPIPPR</t>
  </si>
  <si>
    <t>MERMETL</t>
  </si>
  <si>
    <t>EDUCOMP</t>
  </si>
  <si>
    <t>TARSONS</t>
  </si>
  <si>
    <t>WSTCSTPAPR</t>
  </si>
  <si>
    <t>METROGLOBL</t>
  </si>
  <si>
    <t>GOLDENCREST</t>
  </si>
  <si>
    <t>TRANSPACT</t>
  </si>
  <si>
    <t>YASHPAKKA</t>
  </si>
  <si>
    <t>MIHIKA</t>
  </si>
  <si>
    <t>HBEL</t>
  </si>
  <si>
    <t>Mutual Fund Scheme - ETF</t>
  </si>
  <si>
    <t>AXISGOLD</t>
  </si>
  <si>
    <t>Change in Mutual Funds NAVs</t>
  </si>
  <si>
    <t>Passenger Cars &amp; Utility Vehicles</t>
  </si>
  <si>
    <t>FORCEMOT</t>
  </si>
  <si>
    <t>MITSHI</t>
  </si>
  <si>
    <t>IRONWOOD</t>
  </si>
  <si>
    <t>BANKBEES</t>
  </si>
  <si>
    <t>HINDMOTORS</t>
  </si>
  <si>
    <t>MMTC</t>
  </si>
  <si>
    <t>KEEPLEARN</t>
  </si>
  <si>
    <t>BSLGOLDETF</t>
  </si>
  <si>
    <t>M&amp;M</t>
  </si>
  <si>
    <t>MODWOOL</t>
  </si>
  <si>
    <t>KGES</t>
  </si>
  <si>
    <t>GOLDBEES</t>
  </si>
  <si>
    <t>MARUTI</t>
  </si>
  <si>
    <t>MRCEXIM</t>
  </si>
  <si>
    <t>LUCENT</t>
  </si>
  <si>
    <t>GOLDSHARE</t>
  </si>
  <si>
    <t>OLECTRA</t>
  </si>
  <si>
    <t>MSTC</t>
  </si>
  <si>
    <t>MTEDUCARE</t>
  </si>
  <si>
    <t>HDFCMFGETF</t>
  </si>
  <si>
    <t>TATAMOTORS</t>
  </si>
  <si>
    <t>MUKTA</t>
  </si>
  <si>
    <t>MUKTAARTS</t>
  </si>
  <si>
    <t>HNGSNGBEES</t>
  </si>
  <si>
    <t>TATAMTRDVR</t>
  </si>
  <si>
    <t>MULLER</t>
  </si>
  <si>
    <t>NIITLTD</t>
  </si>
  <si>
    <t>ICICIGOLD</t>
  </si>
  <si>
    <t>Personal Care</t>
  </si>
  <si>
    <t>ADORMUL</t>
  </si>
  <si>
    <t>MUZALI</t>
  </si>
  <si>
    <t>SEIL</t>
  </si>
  <si>
    <t>ICICISENSX</t>
  </si>
  <si>
    <t>BAJAJCON</t>
  </si>
  <si>
    <t>MYSTICELE</t>
  </si>
  <si>
    <t>TREEHOUSE</t>
  </si>
  <si>
    <t>IDBIGOLD</t>
  </si>
  <si>
    <t>COLPAL</t>
  </si>
  <si>
    <t>NEERAJ</t>
  </si>
  <si>
    <t>VIRTUALG</t>
  </si>
  <si>
    <t>IVZINGOLD</t>
  </si>
  <si>
    <t>CUPID</t>
  </si>
  <si>
    <t>NEGOTIUM</t>
  </si>
  <si>
    <t>VJTFEDU</t>
  </si>
  <si>
    <t>JUNIORBEES</t>
  </si>
  <si>
    <t>DABUR</t>
  </si>
  <si>
    <t>NEWLIGHT</t>
  </si>
  <si>
    <t>ZEELEARN</t>
  </si>
  <si>
    <t>KOTAKGOLD</t>
  </si>
  <si>
    <t>EMAMILTD</t>
  </si>
  <si>
    <t>NIBE</t>
  </si>
  <si>
    <t>E - Learning</t>
  </si>
  <si>
    <t>JETKINGQ</t>
  </si>
  <si>
    <t>KOTAKPSUBK</t>
  </si>
  <si>
    <t>GILLETTE</t>
  </si>
  <si>
    <t>NIRAVCOM</t>
  </si>
  <si>
    <t>LCCINFOTEC</t>
  </si>
  <si>
    <t>KTKSENSEX</t>
  </si>
  <si>
    <t>GODREJCP</t>
  </si>
  <si>
    <t>NMSRESRC</t>
  </si>
  <si>
    <t>MPSLTD</t>
  </si>
  <si>
    <t>LIQUIDBEES</t>
  </si>
  <si>
    <t>JHS</t>
  </si>
  <si>
    <t>NORRIS</t>
  </si>
  <si>
    <t>UMESLTD</t>
  </si>
  <si>
    <t>MOM50</t>
  </si>
  <si>
    <t>JLMORI</t>
  </si>
  <si>
    <t>NOUVEAU</t>
  </si>
  <si>
    <t>VERANDA</t>
  </si>
  <si>
    <t>MON100</t>
  </si>
  <si>
    <t>MARICO</t>
  </si>
  <si>
    <t>NSL</t>
  </si>
  <si>
    <t>Electric Utilities</t>
  </si>
  <si>
    <t>ADANIGREEN</t>
  </si>
  <si>
    <t>NIFTYBEES</t>
  </si>
  <si>
    <t>NOVATEOR</t>
  </si>
  <si>
    <t>NUWAY</t>
  </si>
  <si>
    <t>ADANIPOWER</t>
  </si>
  <si>
    <t>PSUBNKBEES</t>
  </si>
  <si>
    <t>PARMCOS-B</t>
  </si>
  <si>
    <t>NYSSACORP</t>
  </si>
  <si>
    <t>AMTL</t>
  </si>
  <si>
    <t>QGOLDHALF</t>
  </si>
  <si>
    <t>PGHH</t>
  </si>
  <si>
    <t>OMANSH</t>
  </si>
  <si>
    <t>CESC</t>
  </si>
  <si>
    <t>QNIFTY</t>
  </si>
  <si>
    <t>RADIXIND</t>
  </si>
  <si>
    <t>OPCHAINS</t>
  </si>
  <si>
    <t>ENERGYDEV</t>
  </si>
  <si>
    <t>SBIGETS</t>
  </si>
  <si>
    <t>SHK</t>
  </si>
  <si>
    <t>OSWALAGRO</t>
  </si>
  <si>
    <t>GIPCL</t>
  </si>
  <si>
    <t>SHARIABEES</t>
  </si>
  <si>
    <t>TIAANC</t>
  </si>
  <si>
    <t>OSWAYRN</t>
  </si>
  <si>
    <t>GITARENEW</t>
  </si>
  <si>
    <t>Offshore Support Solution Drilling</t>
  </si>
  <si>
    <t>ABAN</t>
  </si>
  <si>
    <t>Pesticides &amp; Agrochemicals</t>
  </si>
  <si>
    <t>ADARSHPL</t>
  </si>
  <si>
    <t>PALMJEWELS</t>
  </si>
  <si>
    <t>GLOBUSCON</t>
  </si>
  <si>
    <t>ALPHAGEO</t>
  </si>
  <si>
    <t>AIMCOPEST</t>
  </si>
  <si>
    <t>PANACHE</t>
  </si>
  <si>
    <t>GREENPOWER</t>
  </si>
  <si>
    <t>DEEPIND</t>
  </si>
  <si>
    <t>ASTEC</t>
  </si>
  <si>
    <t>PARKERAC</t>
  </si>
  <si>
    <t>INDOWIND</t>
  </si>
  <si>
    <t>JINDRILL</t>
  </si>
  <si>
    <t>BAYERCROP</t>
  </si>
  <si>
    <t>PARSHVA</t>
  </si>
  <si>
    <t>INDRENEW</t>
  </si>
  <si>
    <t>Oil Equipment &amp; Services</t>
  </si>
  <si>
    <t>ASIANENE</t>
  </si>
  <si>
    <t>BESTAGRO</t>
  </si>
  <si>
    <t>PERVASIVE</t>
  </si>
  <si>
    <t>JPPOWER</t>
  </si>
  <si>
    <t>DHPIND</t>
  </si>
  <si>
    <t>BHAGCHEM</t>
  </si>
  <si>
    <t>PHTRADING</t>
  </si>
  <si>
    <t>JSWENERGY</t>
  </si>
  <si>
    <t>DUKEOFS</t>
  </si>
  <si>
    <t>BHARATRAS</t>
  </si>
  <si>
    <t>PQIF</t>
  </si>
  <si>
    <t>KARMAENG</t>
  </si>
  <si>
    <t>OILCOUNTUB</t>
  </si>
  <si>
    <t>BHASKAGR</t>
  </si>
  <si>
    <t>PRECISION</t>
  </si>
  <si>
    <t>KPEL</t>
  </si>
  <si>
    <t>Oil Exploration &amp; Production</t>
  </si>
  <si>
    <t>DEEPENR</t>
  </si>
  <si>
    <t>DHANUKA</t>
  </si>
  <si>
    <t>PRISMX</t>
  </si>
  <si>
    <t>KPIGREEN</t>
  </si>
  <si>
    <t>GNRL</t>
  </si>
  <si>
    <t>HERANBA</t>
  </si>
  <si>
    <t>PRIYALT</t>
  </si>
  <si>
    <t>NAVA</t>
  </si>
  <si>
    <t>HINDOILEXP</t>
  </si>
  <si>
    <t>INSECTICID</t>
  </si>
  <si>
    <t>PROCAL</t>
  </si>
  <si>
    <t>NHPC</t>
  </si>
  <si>
    <t>OIL</t>
  </si>
  <si>
    <t>IPL</t>
  </si>
  <si>
    <t>PULSRIN</t>
  </si>
  <si>
    <t>NLCINDIA</t>
  </si>
  <si>
    <t>ONGC</t>
  </si>
  <si>
    <t>KILPEST</t>
  </si>
  <si>
    <t>QUASAR</t>
  </si>
  <si>
    <t>NTPC</t>
  </si>
  <si>
    <t>SELAN</t>
  </si>
  <si>
    <t>MOL</t>
  </si>
  <si>
    <t>RAIDEEPIND</t>
  </si>
  <si>
    <t>RELINFRA</t>
  </si>
  <si>
    <t>Other Agricultural Products</t>
  </si>
  <si>
    <t>ADVENZYMES</t>
  </si>
  <si>
    <t>NACLIND</t>
  </si>
  <si>
    <t>RAMASIGNS</t>
  </si>
  <si>
    <t>RELTD</t>
  </si>
  <si>
    <t>AGRITECH</t>
  </si>
  <si>
    <t>NATURAL</t>
  </si>
  <si>
    <t>RAMAVISION</t>
  </si>
  <si>
    <t>RPOWER</t>
  </si>
  <si>
    <t>ALFAVIO</t>
  </si>
  <si>
    <t>PBGLOBAL</t>
  </si>
  <si>
    <t>RAMGOPOLY</t>
  </si>
  <si>
    <t>RTNPOWER</t>
  </si>
  <si>
    <t>ASFLORA</t>
  </si>
  <si>
    <t>PHYTO</t>
  </si>
  <si>
    <t>REDINGTON</t>
  </si>
  <si>
    <t>SJVN</t>
  </si>
  <si>
    <t>ASHOKRE</t>
  </si>
  <si>
    <t>PIIND</t>
  </si>
  <si>
    <t>REGENTRP</t>
  </si>
  <si>
    <t>SRMENERGY</t>
  </si>
  <si>
    <t>AVTNPL</t>
  </si>
  <si>
    <t>PUNJABCHEM</t>
  </si>
  <si>
    <t>REMLIFE</t>
  </si>
  <si>
    <t>SURANAT&amp;P</t>
  </si>
  <si>
    <t>CHAMANSEQ</t>
  </si>
  <si>
    <t>RALLIS</t>
  </si>
  <si>
    <t>RGIL</t>
  </si>
  <si>
    <t>SURYACHAKRA</t>
  </si>
  <si>
    <t>EIDPARRY</t>
  </si>
  <si>
    <t>SHARDACROP</t>
  </si>
  <si>
    <t>RICHIRICH</t>
  </si>
  <si>
    <t>TATAPOWER</t>
  </si>
  <si>
    <t>ELEFLOR</t>
  </si>
  <si>
    <t>SHIVALIK</t>
  </si>
  <si>
    <t>RIDDHI</t>
  </si>
  <si>
    <t>TORNTPOWER</t>
  </si>
  <si>
    <t>FLEXFO</t>
  </si>
  <si>
    <t>SUCROSA</t>
  </si>
  <si>
    <t>RISAINTL</t>
  </si>
  <si>
    <t>VEERENRGY</t>
  </si>
  <si>
    <t>FRSHTRP</t>
  </si>
  <si>
    <t>SUMICHEM</t>
  </si>
  <si>
    <t>RONI</t>
  </si>
  <si>
    <t>WAA</t>
  </si>
  <si>
    <t>GAEL</t>
  </si>
  <si>
    <t>UPL</t>
  </si>
  <si>
    <t>ROSEMER</t>
  </si>
  <si>
    <t>WAAREE</t>
  </si>
  <si>
    <t>GENERAAGRI</t>
  </si>
  <si>
    <t>Petrochemicals</t>
  </si>
  <si>
    <t>AADIIND</t>
  </si>
  <si>
    <t>RTEXPO</t>
  </si>
  <si>
    <t>WAAREERTL</t>
  </si>
  <si>
    <t>GRMOVER</t>
  </si>
  <si>
    <t>AGARIND</t>
  </si>
  <si>
    <t>SAICOM</t>
  </si>
  <si>
    <t>Electrodes</t>
  </si>
  <si>
    <t>ADORWELD</t>
  </si>
  <si>
    <t>HALDER</t>
  </si>
  <si>
    <t>DCW</t>
  </si>
  <si>
    <t>SAKUMA</t>
  </si>
  <si>
    <t>DENORA</t>
  </si>
  <si>
    <t>IBINFO</t>
  </si>
  <si>
    <t>GUJPETR</t>
  </si>
  <si>
    <t>SALORAINTL</t>
  </si>
  <si>
    <t>GRAPHITE</t>
  </si>
  <si>
    <t>INDOUS</t>
  </si>
  <si>
    <t>INDIANACRY</t>
  </si>
  <si>
    <t>SARTHAKGL</t>
  </si>
  <si>
    <t>HEG</t>
  </si>
  <si>
    <t>INDRANIB</t>
  </si>
  <si>
    <t>JBFIND</t>
  </si>
  <si>
    <t>SARTHAKIND</t>
  </si>
  <si>
    <t>PANCARBON</t>
  </si>
  <si>
    <t>JK AGRI</t>
  </si>
  <si>
    <t>MANALIPETC</t>
  </si>
  <si>
    <t>SBECSYS</t>
  </si>
  <si>
    <t>Electronic Media</t>
  </si>
  <si>
    <t>CYBERMEDIA</t>
  </si>
  <si>
    <t>KOHINOOR</t>
  </si>
  <si>
    <t>PASUPTAC</t>
  </si>
  <si>
    <t>SCTL</t>
  </si>
  <si>
    <t>GOVNOW</t>
  </si>
  <si>
    <t>KRBL</t>
  </si>
  <si>
    <t>POLYLINK</t>
  </si>
  <si>
    <t>SEASONF</t>
  </si>
  <si>
    <t>QUINT</t>
  </si>
  <si>
    <t>KSCL</t>
  </si>
  <si>
    <t>RAIN</t>
  </si>
  <si>
    <t>SEML</t>
  </si>
  <si>
    <t>Engineering &amp; Construction Products</t>
  </si>
  <si>
    <t>GUJAPOLLO</t>
  </si>
  <si>
    <t>MADHURIND</t>
  </si>
  <si>
    <t>SPLPETRO</t>
  </si>
  <si>
    <t>SFTL</t>
  </si>
  <si>
    <t>INDIANHUME</t>
  </si>
  <si>
    <t>MODCL</t>
  </si>
  <si>
    <t>TNPETRO</t>
  </si>
  <si>
    <t>SHAMROIN</t>
  </si>
  <si>
    <t>INNOVATORS</t>
  </si>
  <si>
    <t>MODINATUR</t>
  </si>
  <si>
    <t>Pharmacy Retail</t>
  </si>
  <si>
    <t>MEDPLUS</t>
  </si>
  <si>
    <t>SHARIKA</t>
  </si>
  <si>
    <t>PENIND*</t>
  </si>
  <si>
    <t>MSL</t>
  </si>
  <si>
    <t>TRIMURTHI</t>
  </si>
  <si>
    <t>SHASHANK</t>
  </si>
  <si>
    <t>PRAJIND</t>
  </si>
  <si>
    <t>NAGTECH</t>
  </si>
  <si>
    <t>Photographic Products</t>
  </si>
  <si>
    <t>CHOKSI</t>
  </si>
  <si>
    <t>SHGANEL</t>
  </si>
  <si>
    <t>PREMIER</t>
  </si>
  <si>
    <t>NAPL</t>
  </si>
  <si>
    <t>JINDALPHOT</t>
  </si>
  <si>
    <t>SHVSUIT</t>
  </si>
  <si>
    <t>SALASAR</t>
  </si>
  <si>
    <t>NATHBIOGEN</t>
  </si>
  <si>
    <t>PHOTOQUP</t>
  </si>
  <si>
    <t>SHYAMTEL</t>
  </si>
  <si>
    <t>Engineering, Designing &amp; Construction</t>
  </si>
  <si>
    <t>A2ZINFRA</t>
  </si>
  <si>
    <t>NATHUEC</t>
  </si>
  <si>
    <t>UNIVPHOTO</t>
  </si>
  <si>
    <t>SICAGEN</t>
  </si>
  <si>
    <t>AJRINFRA</t>
  </si>
  <si>
    <t>OLYOI</t>
  </si>
  <si>
    <t>Pig Iron</t>
  </si>
  <si>
    <t>JAIBALAJI</t>
  </si>
  <si>
    <t>SIDDHEGA</t>
  </si>
  <si>
    <t>BCPL</t>
  </si>
  <si>
    <t>OZONEWORLD</t>
  </si>
  <si>
    <t>KIRLFER</t>
  </si>
  <si>
    <t>SIGNETIND</t>
  </si>
  <si>
    <t>BGRENERGY</t>
  </si>
  <si>
    <t>PGCRL</t>
  </si>
  <si>
    <t>SATHAISPAT</t>
  </si>
  <si>
    <t>SIIL</t>
  </si>
  <si>
    <t>BRAHMINFRA</t>
  </si>
  <si>
    <t>PRIMAGR</t>
  </si>
  <si>
    <t>TATAMETALI</t>
  </si>
  <si>
    <t>SIPTL</t>
  </si>
  <si>
    <t>CAPACITE</t>
  </si>
  <si>
    <t>PRIMEFRESH</t>
  </si>
  <si>
    <t>Plastic Products - Consumer</t>
  </si>
  <si>
    <t>AVROIND</t>
  </si>
  <si>
    <t>SIROHIA</t>
  </si>
  <si>
    <t>ENGINERSIN</t>
  </si>
  <si>
    <t>RAFL</t>
  </si>
  <si>
    <t>NILKAMAL</t>
  </si>
  <si>
    <t>SITAENT</t>
  </si>
  <si>
    <t>GMRP&amp;UI</t>
  </si>
  <si>
    <t>RJBIOTECH</t>
  </si>
  <si>
    <t>PEARLPOLY</t>
  </si>
  <si>
    <t>SOLISMAR</t>
  </si>
  <si>
    <t>HCC</t>
  </si>
  <si>
    <t>SAYAJIIND</t>
  </si>
  <si>
    <t>PILITA</t>
  </si>
  <si>
    <t>SPSINT</t>
  </si>
  <si>
    <t>HGINFRA</t>
  </si>
  <si>
    <t>SPTRSHI</t>
  </si>
  <si>
    <t>PRIMAPLA</t>
  </si>
  <si>
    <t>SRUSTEELS</t>
  </si>
  <si>
    <t>IL&amp;FSENGG</t>
  </si>
  <si>
    <t>SUKHJITS</t>
  </si>
  <si>
    <t>SAFARIND</t>
  </si>
  <si>
    <t>SSTL</t>
  </si>
  <si>
    <t>IONEXCHANG</t>
  </si>
  <si>
    <t>SUNILAGR</t>
  </si>
  <si>
    <t>TOKYOPLAST</t>
  </si>
  <si>
    <t>STARLITE</t>
  </si>
  <si>
    <t>IRCON</t>
  </si>
  <si>
    <t>TARAI</t>
  </si>
  <si>
    <t>VIPIND</t>
  </si>
  <si>
    <t>STCINDIA</t>
  </si>
  <si>
    <t>ISGEC</t>
  </si>
  <si>
    <t>TIERRA</t>
  </si>
  <si>
    <t>WIMPLAST</t>
  </si>
  <si>
    <t>STRATMONT</t>
  </si>
  <si>
    <t>JAYANT</t>
  </si>
  <si>
    <t>TIMESGREEN</t>
  </si>
  <si>
    <t>Plastic Products - Industrial</t>
  </si>
  <si>
    <t>ALFAICA</t>
  </si>
  <si>
    <t>SUMERUIND</t>
  </si>
  <si>
    <t>KALPATPOWR</t>
  </si>
  <si>
    <t>UNIQUEO</t>
  </si>
  <si>
    <t>AMERISE</t>
  </si>
  <si>
    <t>SUNILTX</t>
  </si>
  <si>
    <t>KRIINFRA</t>
  </si>
  <si>
    <t>UNIVSTAR</t>
  </si>
  <si>
    <t>APOLLOPIPES</t>
  </si>
  <si>
    <t>SUNRETAIL</t>
  </si>
  <si>
    <t>SGMART</t>
  </si>
  <si>
    <t>VIKASPROP</t>
  </si>
  <si>
    <t>ARCEEIN</t>
  </si>
  <si>
    <t>SVAINDIA</t>
  </si>
  <si>
    <t>KRRAIL</t>
  </si>
  <si>
    <t>VIKASWSP</t>
  </si>
  <si>
    <t>ASHISHPO</t>
  </si>
  <si>
    <t>SVPHOUSING</t>
  </si>
  <si>
    <t>LT</t>
  </si>
  <si>
    <t>WHITEORG</t>
  </si>
  <si>
    <t>ASTRAL</t>
  </si>
  <si>
    <t>SWAGTAM</t>
  </si>
  <si>
    <t>MANINFRA</t>
  </si>
  <si>
    <t>ZKHANDEN</t>
  </si>
  <si>
    <t>AXELPOLY</t>
  </si>
  <si>
    <t>SWORDEDGE</t>
  </si>
  <si>
    <t>MBECL</t>
  </si>
  <si>
    <t>Other Bank</t>
  </si>
  <si>
    <t>AUBANK</t>
  </si>
  <si>
    <t>BLOOM</t>
  </si>
  <si>
    <t>TAIIND</t>
  </si>
  <si>
    <t>NBCC</t>
  </si>
  <si>
    <t>EQUITASBNK</t>
  </si>
  <si>
    <t>BRIGHTBR</t>
  </si>
  <si>
    <t>TAVERNIER</t>
  </si>
  <si>
    <t>OMINFRAL</t>
  </si>
  <si>
    <t>FINOPB</t>
  </si>
  <si>
    <t>CANDOUR</t>
  </si>
  <si>
    <t>TINEAGRO</t>
  </si>
  <si>
    <t>POWERMECH</t>
  </si>
  <si>
    <t>SURYODAY</t>
  </si>
  <si>
    <t>CAPPIPES</t>
  </si>
  <si>
    <t>TINNATFL</t>
  </si>
  <si>
    <t>PROMAX</t>
  </si>
  <si>
    <t>UJJIVANSFB</t>
  </si>
  <si>
    <t>CAPRIHANS</t>
  </si>
  <si>
    <t>TRIVENIENT</t>
  </si>
  <si>
    <t>PUNJLLOYD</t>
  </si>
  <si>
    <t>Other Beverages</t>
  </si>
  <si>
    <t>ANSINDUS</t>
  </si>
  <si>
    <t>CDG</t>
  </si>
  <si>
    <t>TRIVIKRAMA</t>
  </si>
  <si>
    <t>RITES</t>
  </si>
  <si>
    <t>ORIBEVER</t>
  </si>
  <si>
    <t>CPL</t>
  </si>
  <si>
    <t>TTLEL</t>
  </si>
  <si>
    <t>RVNL</t>
  </si>
  <si>
    <t>TRANSFD</t>
  </si>
  <si>
    <t>DHABRIYA</t>
  </si>
  <si>
    <t>UMAEXPORTS</t>
  </si>
  <si>
    <t>SADBHAV</t>
  </si>
  <si>
    <t>VALENCIA</t>
  </si>
  <si>
    <t>DUROPACK</t>
  </si>
  <si>
    <t>UNIOFFICE</t>
  </si>
  <si>
    <t>SADBHIN</t>
  </si>
  <si>
    <t>VBL</t>
  </si>
  <si>
    <t>DUTRON</t>
  </si>
  <si>
    <t>VARIMAN</t>
  </si>
  <si>
    <t>SEPC</t>
  </si>
  <si>
    <t>Other Capital Market related Services</t>
  </si>
  <si>
    <t>21STCENMGM</t>
  </si>
  <si>
    <t>ECOPLAST</t>
  </si>
  <si>
    <t>VERITAS</t>
  </si>
  <si>
    <t>SUNEDISON</t>
  </si>
  <si>
    <t>GCSL</t>
  </si>
  <si>
    <t>FINOLEXIND</t>
  </si>
  <si>
    <t>VIKASLIFE</t>
  </si>
  <si>
    <t>SUPREMEINF</t>
  </si>
  <si>
    <t>MEFCOMCAP</t>
  </si>
  <si>
    <t>GMPL</t>
  </si>
  <si>
    <t>VIKSHEN</t>
  </si>
  <si>
    <t>SWSOLAR</t>
  </si>
  <si>
    <t>QUESTCAP</t>
  </si>
  <si>
    <t>GRWRHITECH</t>
  </si>
  <si>
    <t>VINCOFE</t>
  </si>
  <si>
    <t>TECHNOE</t>
  </si>
  <si>
    <t>Other Construction Materials</t>
  </si>
  <si>
    <t>CEETAIN</t>
  </si>
  <si>
    <t>HINDADH</t>
  </si>
  <si>
    <t>VITESSE</t>
  </si>
  <si>
    <t>VASCONEQ</t>
  </si>
  <si>
    <t>DIVSHKT</t>
  </si>
  <si>
    <t>INNOCORP</t>
  </si>
  <si>
    <t>WORL</t>
  </si>
  <si>
    <t>WELENT</t>
  </si>
  <si>
    <t>GLITTEKG</t>
  </si>
  <si>
    <t>JAICORPLTD</t>
  </si>
  <si>
    <t>WWALUM</t>
  </si>
  <si>
    <t>ZODIAC</t>
  </si>
  <si>
    <t>INANI</t>
  </si>
  <si>
    <t>JISLDVREQS</t>
  </si>
  <si>
    <t>YARNSYN</t>
  </si>
  <si>
    <t>E - Retail / E - Commerce</t>
  </si>
  <si>
    <t>ASRL</t>
  </si>
  <si>
    <t>JAIMATAG</t>
  </si>
  <si>
    <t>JISLJALEQS</t>
  </si>
  <si>
    <t>YASHMGM</t>
  </si>
  <si>
    <t>CARTRADE</t>
  </si>
  <si>
    <t>JAINMARMO</t>
  </si>
  <si>
    <t>JMGCORP</t>
  </si>
  <si>
    <t>YSL</t>
  </si>
  <si>
    <t>FONE4</t>
  </si>
  <si>
    <t>LERTHAI</t>
  </si>
  <si>
    <t>KINGFA</t>
  </si>
  <si>
    <t>ZGOLDINV</t>
  </si>
  <si>
    <t>ISFT</t>
  </si>
  <si>
    <t>MARBLE</t>
  </si>
  <si>
    <t>KISAN</t>
  </si>
  <si>
    <t>ZKHATAUE</t>
  </si>
  <si>
    <t>NYKAA</t>
  </si>
  <si>
    <t>MAYURFL</t>
  </si>
  <si>
    <t>KKPLASTICK</t>
  </si>
  <si>
    <t>Transport Related Services</t>
  </si>
  <si>
    <t>KERNEX</t>
  </si>
  <si>
    <t>ZOMATO</t>
  </si>
  <si>
    <t>MILESTONE</t>
  </si>
  <si>
    <t>KRIFILIND</t>
  </si>
  <si>
    <t>TV Broadcasting</t>
  </si>
  <si>
    <t>BAGFILMS</t>
  </si>
  <si>
    <t>Exchange &amp; Data Platform</t>
  </si>
  <si>
    <t>IEX</t>
  </si>
  <si>
    <t>NEELKAN</t>
  </si>
  <si>
    <t>KRITIIND</t>
  </si>
  <si>
    <t>COLORCHIPS</t>
  </si>
  <si>
    <t>MCX</t>
  </si>
  <si>
    <t>NIDHGRN</t>
  </si>
  <si>
    <t>KUNSTOFF</t>
  </si>
  <si>
    <t>DEN</t>
  </si>
  <si>
    <t>Explosives</t>
  </si>
  <si>
    <t>GOCLCORP</t>
  </si>
  <si>
    <t>RALEGRA</t>
  </si>
  <si>
    <t>MACPLASQ</t>
  </si>
  <si>
    <t>DISHTV</t>
  </si>
  <si>
    <t>KELENRG</t>
  </si>
  <si>
    <t>SASHWAT</t>
  </si>
  <si>
    <t>NARMP</t>
  </si>
  <si>
    <t>GTPL</t>
  </si>
  <si>
    <t>PREMEXPLQ</t>
  </si>
  <si>
    <t>SHIVAEXPO</t>
  </si>
  <si>
    <t>NATPLAS</t>
  </si>
  <si>
    <t>HATHWAY</t>
  </si>
  <si>
    <t>SOLARINDS</t>
  </si>
  <si>
    <t>SOLIDSTON</t>
  </si>
  <si>
    <t>NATPLASTI</t>
  </si>
  <si>
    <t>HATHWAYB</t>
  </si>
  <si>
    <t>Fastener</t>
  </si>
  <si>
    <t>LAKPRE</t>
  </si>
  <si>
    <t>TRIVENIGQ</t>
  </si>
  <si>
    <t>PETPLST</t>
  </si>
  <si>
    <t>JAINSTUDIO</t>
  </si>
  <si>
    <t>SIMMOND</t>
  </si>
  <si>
    <t>Other Electrical Equipment</t>
  </si>
  <si>
    <t>AEL</t>
  </si>
  <si>
    <t>POLYMAC</t>
  </si>
  <si>
    <t>NDTV</t>
  </si>
  <si>
    <t>STERTOOLS</t>
  </si>
  <si>
    <t>AEPL</t>
  </si>
  <si>
    <t>PPL</t>
  </si>
  <si>
    <t>NXTDIGITAL</t>
  </si>
  <si>
    <t>SUNDRMFAST</t>
  </si>
  <si>
    <t>ALFATRAN</t>
  </si>
  <si>
    <t>PREMIERPOL</t>
  </si>
  <si>
    <t>OCTAVE</t>
  </si>
  <si>
    <t>Ferro &amp; Silica Manganese</t>
  </si>
  <si>
    <t>FACORALL</t>
  </si>
  <si>
    <t>APARINDS</t>
  </si>
  <si>
    <t>PRINCEPIPE</t>
  </si>
  <si>
    <t>ORTEL</t>
  </si>
  <si>
    <t>IMFA</t>
  </si>
  <si>
    <t>APLAB</t>
  </si>
  <si>
    <t>RUNGTAIR</t>
  </si>
  <si>
    <t>RAJTV</t>
  </si>
  <si>
    <t>IMPEXFERRO</t>
  </si>
  <si>
    <t>BBL</t>
  </si>
  <si>
    <t>SHAILY</t>
  </si>
  <si>
    <t>SABTN</t>
  </si>
  <si>
    <t>INDSILHYD</t>
  </si>
  <si>
    <t>CONTICON</t>
  </si>
  <si>
    <t>SHISHIND</t>
  </si>
  <si>
    <t>SADHNA</t>
  </si>
  <si>
    <t>MAITHANALL</t>
  </si>
  <si>
    <t>CYBELEIND</t>
  </si>
  <si>
    <t>SINTEXPLAST</t>
  </si>
  <si>
    <t>SAHARA</t>
  </si>
  <si>
    <t>NAGPI</t>
  </si>
  <si>
    <t>DEL</t>
  </si>
  <si>
    <t>SRIKPRIND</t>
  </si>
  <si>
    <t>SEATV</t>
  </si>
  <si>
    <t>PONDYOXIDE</t>
  </si>
  <si>
    <t>DLTNCBL</t>
  </si>
  <si>
    <t>STURDY</t>
  </si>
  <si>
    <t>SITINET</t>
  </si>
  <si>
    <t>SCFL</t>
  </si>
  <si>
    <t>EASUNREYRL</t>
  </si>
  <si>
    <t>SUPREMEIND</t>
  </si>
  <si>
    <t>SUNTV</t>
  </si>
  <si>
    <t>Fertilizers</t>
  </si>
  <si>
    <t>ARIES</t>
  </si>
  <si>
    <t>ELPROINTL</t>
  </si>
  <si>
    <t>TAINWALCHM</t>
  </si>
  <si>
    <t>TV18BRDCST</t>
  </si>
  <si>
    <t>BASANTGL</t>
  </si>
  <si>
    <t>GEE</t>
  </si>
  <si>
    <t>TEXELIN</t>
  </si>
  <si>
    <t>TVTODAY</t>
  </si>
  <si>
    <t>BHARATAGRI</t>
  </si>
  <si>
    <t>GENUSPOWER</t>
  </si>
  <si>
    <t>TEXMOPIPES</t>
  </si>
  <si>
    <t>TVVISION</t>
  </si>
  <si>
    <t>CHAMBLFERT</t>
  </si>
  <si>
    <t>GUJARATPOLY</t>
  </si>
  <si>
    <t>TIJARIA</t>
  </si>
  <si>
    <t>ZEEL</t>
  </si>
  <si>
    <t>COROMANDEL</t>
  </si>
  <si>
    <t>HBLPOWER</t>
  </si>
  <si>
    <t>TIMETECHNO</t>
  </si>
  <si>
    <t>ZEEMEDIA</t>
  </si>
  <si>
    <t>FACT</t>
  </si>
  <si>
    <t>HUIL</t>
  </si>
  <si>
    <t>Plywood Boards / Laminates</t>
  </si>
  <si>
    <t>ADL</t>
  </si>
  <si>
    <t>Tyres &amp; Rubber Products</t>
  </si>
  <si>
    <t>APOLLOTYRE</t>
  </si>
  <si>
    <t>GSFC</t>
  </si>
  <si>
    <t>INCAP</t>
  </si>
  <si>
    <t>AMBITION</t>
  </si>
  <si>
    <t>BALKRISIND</t>
  </si>
  <si>
    <t>KHAICHEM</t>
  </si>
  <si>
    <t>INTEGSW</t>
  </si>
  <si>
    <t>ARCHIDPLY</t>
  </si>
  <si>
    <t>BIRLATYRES</t>
  </si>
  <si>
    <t>MADRASFERT</t>
  </si>
  <si>
    <t>JIGAR</t>
  </si>
  <si>
    <t>CENTURYPLY</t>
  </si>
  <si>
    <t>CEATLTD</t>
  </si>
  <si>
    <t>MANGCHEFER</t>
  </si>
  <si>
    <t>JSLINDL</t>
  </si>
  <si>
    <t>DUROPLY</t>
  </si>
  <si>
    <t>COCHMAL</t>
  </si>
  <si>
    <t>MPAGI</t>
  </si>
  <si>
    <t>KAYCEEI</t>
  </si>
  <si>
    <t>ECOBOAR</t>
  </si>
  <si>
    <t>DOLFIN</t>
  </si>
  <si>
    <t>NAGARFERT</t>
  </si>
  <si>
    <t>KECL</t>
  </si>
  <si>
    <t>GREENPANEL</t>
  </si>
  <si>
    <t>EASTRED</t>
  </si>
  <si>
    <t>NFL</t>
  </si>
  <si>
    <t>KLKELEC</t>
  </si>
  <si>
    <t>GREENPLY</t>
  </si>
  <si>
    <t>GOODYEAR</t>
  </si>
  <si>
    <t>PARADEEP</t>
  </si>
  <si>
    <t>LAKSELEC</t>
  </si>
  <si>
    <t>GRNLAMIND</t>
  </si>
  <si>
    <t>INDAG</t>
  </si>
  <si>
    <t>PHOSPHATE</t>
  </si>
  <si>
    <t>MARSONS</t>
  </si>
  <si>
    <t>RUSHIL</t>
  </si>
  <si>
    <t>JKTYRE</t>
  </si>
  <si>
    <t>RAMAPHO</t>
  </si>
  <si>
    <t>MODINSU</t>
  </si>
  <si>
    <t>Ports &amp; Port Services</t>
  </si>
  <si>
    <t>ADANIPORTS</t>
  </si>
  <si>
    <t>MMRUBBR-B</t>
  </si>
  <si>
    <t>RCF</t>
  </si>
  <si>
    <t>MODISNME</t>
  </si>
  <si>
    <t>GPPL</t>
  </si>
  <si>
    <t>MODIRUBBER</t>
  </si>
  <si>
    <t>SHIVAAGRO</t>
  </si>
  <si>
    <t>PERMAGN</t>
  </si>
  <si>
    <t>STARLOG</t>
  </si>
  <si>
    <t>MRF</t>
  </si>
  <si>
    <t>SPIC</t>
  </si>
  <si>
    <t>PREMCAP</t>
  </si>
  <si>
    <t>VMS</t>
  </si>
  <si>
    <t>RUBFILA</t>
  </si>
  <si>
    <t>ZUARI</t>
  </si>
  <si>
    <t>RAMRAT</t>
  </si>
  <si>
    <t>Power - Transmission</t>
  </si>
  <si>
    <t>ADANITRANS</t>
  </si>
  <si>
    <t>TTIL</t>
  </si>
  <si>
    <t>Film Production, Distribution &amp; Exhibition</t>
  </si>
  <si>
    <t>7SEASL</t>
  </si>
  <si>
    <t>RELICAB</t>
  </si>
  <si>
    <t>INDIGRID</t>
  </si>
  <si>
    <t>TVSSRICHAK</t>
  </si>
  <si>
    <t>ALAN SCOTT</t>
  </si>
  <si>
    <t>RIR</t>
  </si>
  <si>
    <t>PGINVIT</t>
  </si>
  <si>
    <t>VAMSHIRU</t>
  </si>
  <si>
    <t>BABA</t>
  </si>
  <si>
    <t>RMC</t>
  </si>
  <si>
    <t>POWERGRID</t>
  </si>
  <si>
    <t>VRWODAR</t>
  </si>
  <si>
    <t>BMBMUMG</t>
  </si>
  <si>
    <t>RTSPOWR</t>
  </si>
  <si>
    <t>Power Trading</t>
  </si>
  <si>
    <t>PTC</t>
  </si>
  <si>
    <t>Waste Management</t>
  </si>
  <si>
    <t>AWHCL</t>
  </si>
  <si>
    <t>CINERAD</t>
  </si>
  <si>
    <t>SALZER</t>
  </si>
  <si>
    <t>Precious Metals</t>
  </si>
  <si>
    <t>DECNGOLD</t>
  </si>
  <si>
    <t>ECORECO</t>
  </si>
  <si>
    <t>DIKSAT</t>
  </si>
  <si>
    <t>SAVINFOCO</t>
  </si>
  <si>
    <t>NVENTURES</t>
  </si>
  <si>
    <t>RACE</t>
  </si>
  <si>
    <t>EROSMEDIA</t>
  </si>
  <si>
    <t>SGNTE</t>
  </si>
  <si>
    <t>Print Media</t>
  </si>
  <si>
    <t>CIL</t>
  </si>
  <si>
    <t>Water Supply &amp; Management</t>
  </si>
  <si>
    <t>JITFINFRA</t>
  </si>
  <si>
    <t>GVFILM</t>
  </si>
  <si>
    <t>SHILCTECH</t>
  </si>
  <si>
    <t>DBCORP</t>
  </si>
  <si>
    <t>WABAG</t>
  </si>
  <si>
    <t>INOXLEISUR</t>
  </si>
  <si>
    <t>SPELS</t>
  </si>
  <si>
    <t>DNAMEDIA</t>
  </si>
  <si>
    <t>Wellness</t>
  </si>
  <si>
    <t>KAYA</t>
  </si>
  <si>
    <t>JMDVL</t>
  </si>
  <si>
    <t>SWITCHTE</t>
  </si>
  <si>
    <t>ENCODE</t>
  </si>
  <si>
    <t>Zinc</t>
  </si>
  <si>
    <t>HINDZINC</t>
  </si>
  <si>
    <t>KOCL</t>
  </si>
  <si>
    <t>TRIL</t>
  </si>
  <si>
    <t>HMVL</t>
  </si>
  <si>
    <t>MEWATZI</t>
  </si>
  <si>
    <t>MADHUVEER</t>
  </si>
  <si>
    <t>WEBELSOLAR</t>
  </si>
  <si>
    <t>HTMEDIA</t>
  </si>
  <si>
    <t>Industrial Electronics (Contd.)</t>
  </si>
  <si>
    <t>SYRMA</t>
  </si>
  <si>
    <t>MEDIAONE</t>
  </si>
  <si>
    <t>Other Food Products</t>
  </si>
  <si>
    <t>ABHIJIT</t>
  </si>
  <si>
    <t>JAGRAN</t>
  </si>
  <si>
    <t>Gems, Jewellery And Watches (Contd.)</t>
  </si>
  <si>
    <t>VEERKRUPA</t>
  </si>
  <si>
    <t>MMWL</t>
  </si>
  <si>
    <t>APIS</t>
  </si>
  <si>
    <t>SAMBHAAV</t>
  </si>
  <si>
    <t>Dairy Products (Contd.)</t>
  </si>
  <si>
    <t>HEALTHYLIFE</t>
  </si>
  <si>
    <t>NETPIX</t>
  </si>
  <si>
    <t>COASTCORP</t>
  </si>
  <si>
    <t>SANDESH</t>
  </si>
  <si>
    <t>Software (Contd.)</t>
  </si>
  <si>
    <t>OLATECH</t>
  </si>
  <si>
    <t>ORIENTTR</t>
  </si>
  <si>
    <t>INDXTRA</t>
  </si>
  <si>
    <t>Printing &amp; Publication</t>
  </si>
  <si>
    <t>INFOMEDIA</t>
  </si>
  <si>
    <t>Private Sector Bank (Contd.)</t>
  </si>
  <si>
    <t>TMB</t>
  </si>
  <si>
    <t>PADMALAYAT</t>
  </si>
  <si>
    <t>JETMALL</t>
  </si>
  <si>
    <t>INLANPR</t>
  </si>
  <si>
    <t>Other Industrial Products (Contd.)</t>
  </si>
  <si>
    <t>HARSHA</t>
  </si>
  <si>
    <t>PANORAMA</t>
  </si>
  <si>
    <t>KFBL</t>
  </si>
  <si>
    <t>KIRANPR</t>
  </si>
  <si>
    <t>Iron &amp; Steel Products (Contd.)</t>
  </si>
  <si>
    <t>RHETAN</t>
  </si>
  <si>
    <t>PFOCUS</t>
  </si>
  <si>
    <t>KLRFM</t>
  </si>
  <si>
    <t>NAVNETEDUL</t>
  </si>
  <si>
    <t>Airport &amp; Airport Services</t>
  </si>
  <si>
    <t>DREAMFOLKS</t>
  </si>
  <si>
    <t>PNC</t>
  </si>
  <si>
    <t>KORE</t>
  </si>
  <si>
    <t>REPRO</t>
  </si>
  <si>
    <t>Diversified Consumer Products</t>
  </si>
  <si>
    <t>VOEPL</t>
  </si>
  <si>
    <t>POOJAENT</t>
  </si>
  <si>
    <t>MANORAMA</t>
  </si>
  <si>
    <t>SCHAND</t>
  </si>
  <si>
    <t>EMIL</t>
  </si>
  <si>
    <t>PURPLE</t>
  </si>
  <si>
    <t>MEGASTAR</t>
  </si>
  <si>
    <t>UNICK</t>
  </si>
  <si>
    <t>SISL</t>
  </si>
  <si>
    <t>PVR</t>
  </si>
  <si>
    <t>NHCFOODS</t>
  </si>
  <si>
    <t>Public Sector Banks</t>
  </si>
  <si>
    <t>BANKBARODA</t>
  </si>
  <si>
    <t>CONTAINE</t>
  </si>
  <si>
    <t>SDC</t>
  </si>
  <si>
    <t>OCEANIC</t>
  </si>
  <si>
    <t>BANKINDIA</t>
  </si>
  <si>
    <t>MAFIA</t>
  </si>
  <si>
    <t>SPICY</t>
  </si>
  <si>
    <t>OVOBELE</t>
  </si>
  <si>
    <t>CANBK</t>
  </si>
  <si>
    <t>INA</t>
  </si>
  <si>
    <t>UFO</t>
  </si>
  <si>
    <t>PROGREXV</t>
  </si>
  <si>
    <t>CENTRALBK</t>
  </si>
  <si>
    <t>EPBIO</t>
  </si>
  <si>
    <t>VISIONCO</t>
  </si>
  <si>
    <t>SABOOSOD</t>
  </si>
  <si>
    <t>INDIANB</t>
  </si>
  <si>
    <t>STML</t>
  </si>
  <si>
    <t>VRFILMS</t>
  </si>
  <si>
    <t>SANWARIA</t>
  </si>
  <si>
    <t>IOB</t>
  </si>
  <si>
    <t>TLL</t>
  </si>
  <si>
    <t>Financial Products Distributor</t>
  </si>
  <si>
    <t>ANANDRATHI</t>
  </si>
  <si>
    <t>SKMEGGPROD</t>
  </si>
  <si>
    <t>MAHABANK</t>
  </si>
  <si>
    <t>CNCRD</t>
  </si>
  <si>
    <t>PRUDENT</t>
  </si>
  <si>
    <t>TIRUSTA</t>
  </si>
  <si>
    <t>PNB</t>
  </si>
  <si>
    <t>CARGOTRANS</t>
  </si>
  <si>
    <t>Microfinance Institutions</t>
  </si>
  <si>
    <t>FUSION</t>
  </si>
  <si>
    <t>TRICOMFRU</t>
  </si>
  <si>
    <t>PSB</t>
  </si>
  <si>
    <t>REETECH</t>
  </si>
  <si>
    <t>BIKAJI</t>
  </si>
  <si>
    <t>VISTARAMAR</t>
  </si>
  <si>
    <t>SBIN</t>
  </si>
  <si>
    <t>SRSOLTD</t>
  </si>
  <si>
    <t>MEDANTA</t>
  </si>
  <si>
    <t>WATERBASE</t>
  </si>
  <si>
    <t>UCOBANK</t>
  </si>
  <si>
    <t>CARGOSOL</t>
  </si>
  <si>
    <t>FIVESTAR</t>
  </si>
  <si>
    <t>Data Processing Services</t>
  </si>
  <si>
    <t>TRACXN</t>
  </si>
  <si>
    <t>UNIONBANK</t>
  </si>
  <si>
    <t>Advertising &amp; Media Agencies</t>
  </si>
  <si>
    <t>MAAGHADV</t>
  </si>
  <si>
    <t>ACI</t>
  </si>
  <si>
    <t xml:space="preserve">DCXINDIA </t>
  </si>
  <si>
    <t>PACE</t>
  </si>
  <si>
    <t>VEDANTASSET</t>
  </si>
  <si>
    <t>Industrial Products</t>
  </si>
  <si>
    <t>KAYNES</t>
  </si>
  <si>
    <t>INOXGREEN</t>
  </si>
  <si>
    <t>RUSTOMJEE</t>
  </si>
  <si>
    <t>DAPS</t>
  </si>
  <si>
    <t>TECHNOPACK</t>
  </si>
  <si>
    <t>DHARMAJ</t>
  </si>
  <si>
    <t>UNIPARTS</t>
  </si>
  <si>
    <t>AHL</t>
  </si>
  <si>
    <t>SULA</t>
  </si>
  <si>
    <t>Auto - Dealer</t>
  </si>
  <si>
    <t>LANDMARK</t>
  </si>
  <si>
    <t>KFINTECH</t>
  </si>
  <si>
    <t>ELIN</t>
  </si>
  <si>
    <t>AMBOAGRI</t>
  </si>
  <si>
    <t>Gems, Jewellery And Watches</t>
  </si>
  <si>
    <t>GARGI</t>
  </si>
  <si>
    <t>DRONACHRYA</t>
  </si>
  <si>
    <t>REXSEAL</t>
  </si>
  <si>
    <t>SVS</t>
  </si>
  <si>
    <t>RADIANTCMS</t>
  </si>
  <si>
    <t>SAH</t>
  </si>
  <si>
    <t>Speciality Retail</t>
  </si>
  <si>
    <t>ELIL</t>
  </si>
  <si>
    <t>DHARNI</t>
  </si>
  <si>
    <t>TRANSVOY</t>
  </si>
  <si>
    <t>EARTH</t>
  </si>
  <si>
    <t>INDONG</t>
  </si>
  <si>
    <t>SEALMATIC</t>
  </si>
  <si>
    <t>DIVGIITTS</t>
  </si>
  <si>
    <t>Granites &amp; Marbles</t>
  </si>
  <si>
    <t>GSLSU</t>
  </si>
  <si>
    <t>AMANAYA</t>
  </si>
  <si>
    <t>ROBU</t>
  </si>
  <si>
    <t>PATRON</t>
  </si>
  <si>
    <t>Paper &amp; Paper Products</t>
  </si>
  <si>
    <t>SVJ</t>
  </si>
  <si>
    <t>SUDARSHAN</t>
  </si>
  <si>
    <t>RESGEN</t>
  </si>
  <si>
    <t>ITCONS</t>
  </si>
  <si>
    <t>PCL</t>
  </si>
  <si>
    <t>DEVLAB</t>
  </si>
  <si>
    <t>LABELKRAFT</t>
  </si>
  <si>
    <t>BRIGHT</t>
  </si>
  <si>
    <t>COMMAND</t>
  </si>
  <si>
    <t>Other Consumer Services</t>
  </si>
  <si>
    <t>EXHICON</t>
  </si>
  <si>
    <t>USK</t>
  </si>
  <si>
    <t>AVALON</t>
  </si>
  <si>
    <t>MAIDEN</t>
  </si>
  <si>
    <t>INNOKAIZ</t>
  </si>
  <si>
    <t>SANCODE</t>
  </si>
  <si>
    <t>RETINA</t>
  </si>
  <si>
    <t>IKIO</t>
  </si>
  <si>
    <t>MANKIND</t>
  </si>
  <si>
    <t>COMRADE</t>
  </si>
  <si>
    <t>HSIL</t>
  </si>
  <si>
    <t>CFF</t>
  </si>
  <si>
    <t>SONALIS</t>
  </si>
  <si>
    <t>BIZOTIC</t>
  </si>
  <si>
    <t>COSMICCRF</t>
  </si>
  <si>
    <t>Meat Products including Poultry</t>
  </si>
  <si>
    <t>HMAAGRO</t>
  </si>
  <si>
    <t>IDEAFORGE</t>
  </si>
  <si>
    <t>CYIENTDLM</t>
  </si>
  <si>
    <t>SENCO</t>
  </si>
  <si>
    <t>UTKARSHBNK</t>
  </si>
  <si>
    <t>Computers Hardware &amp; Equipments</t>
  </si>
  <si>
    <t>NETWEB</t>
  </si>
  <si>
    <t>VEEFIN</t>
  </si>
  <si>
    <t>ALPHAIND</t>
  </si>
  <si>
    <t>ACCELERATE</t>
  </si>
  <si>
    <t>KAKA</t>
  </si>
  <si>
    <t>AHASOLAR</t>
  </si>
  <si>
    <t>ASARFI</t>
  </si>
  <si>
    <t>PYRAMID</t>
  </si>
  <si>
    <t>YATHARTH</t>
  </si>
  <si>
    <t>SBFC</t>
  </si>
  <si>
    <t>CONCORDBIO</t>
  </si>
  <si>
    <t>TVSSCS</t>
  </si>
  <si>
    <t>AEROFLEX</t>
  </si>
  <si>
    <t>KHAZANCHI</t>
  </si>
  <si>
    <t>INNOVATUS</t>
  </si>
  <si>
    <t>VPRPL</t>
  </si>
  <si>
    <t>SHOORA</t>
  </si>
  <si>
    <t>BONDADA</t>
  </si>
  <si>
    <t>RISHABH</t>
  </si>
  <si>
    <t>RATNAVEER</t>
  </si>
  <si>
    <t>JLHL</t>
  </si>
  <si>
    <t>MESON</t>
  </si>
  <si>
    <t>RRKABEL</t>
  </si>
  <si>
    <t>ZAGGLE</t>
  </si>
  <si>
    <t>SAMHI</t>
  </si>
  <si>
    <t>YATRA</t>
  </si>
  <si>
    <t>TECHKGREEN</t>
  </si>
  <si>
    <t>KALAMANDIR</t>
  </si>
  <si>
    <t>SIGNATURE</t>
  </si>
  <si>
    <t>ORGANICREC</t>
  </si>
  <si>
    <t>MVGJL</t>
  </si>
  <si>
    <t>Port &amp; Port services</t>
  </si>
  <si>
    <t>JSWINFRA</t>
  </si>
  <si>
    <t>PLAZACABLE</t>
  </si>
  <si>
    <t>JIOFIN</t>
  </si>
  <si>
    <t>UDS</t>
  </si>
  <si>
    <t>VALIANTLAB</t>
  </si>
  <si>
    <t>IRMENERGY</t>
  </si>
  <si>
    <t>BLUEJET</t>
  </si>
  <si>
    <t>CCAL</t>
  </si>
  <si>
    <t>SUNITATOOL</t>
  </si>
  <si>
    <t>VIVAA</t>
  </si>
  <si>
    <t>KKSHL</t>
  </si>
  <si>
    <t>VPL</t>
  </si>
  <si>
    <t>CELLO</t>
  </si>
  <si>
    <t>MISHDESIGN</t>
  </si>
  <si>
    <t>HONASA</t>
  </si>
  <si>
    <t>ESAFSFB</t>
  </si>
  <si>
    <t>ASKAUTOLTD</t>
  </si>
  <si>
    <t>PROTEEAN</t>
  </si>
  <si>
    <t>KALYANI</t>
  </si>
  <si>
    <t>ARROWHEAD</t>
  </si>
  <si>
    <t>IREDA</t>
  </si>
  <si>
    <t>TATATECH</t>
  </si>
  <si>
    <t>FLAIR</t>
  </si>
  <si>
    <t>FEDFINA</t>
  </si>
  <si>
    <t>GANDHAR</t>
  </si>
  <si>
    <t>SPL</t>
  </si>
  <si>
    <t>AMIC</t>
  </si>
  <si>
    <t>DEEPAKCHEM</t>
  </si>
  <si>
    <t xml:space="preserve">Housing Finance Company
</t>
  </si>
  <si>
    <t>INDIASHLTR</t>
  </si>
  <si>
    <t>DOMS</t>
  </si>
  <si>
    <t>INOXINDIA</t>
  </si>
  <si>
    <t>SIYARAM</t>
  </si>
  <si>
    <t>BENCHMARK</t>
  </si>
  <si>
    <t>SMARITIME</t>
  </si>
  <si>
    <t>SURAJEST</t>
  </si>
  <si>
    <t>MOTISONS</t>
  </si>
  <si>
    <t>MUTHOOTMF</t>
  </si>
  <si>
    <t>MUFTI</t>
  </si>
  <si>
    <t>RBZJEWEL</t>
  </si>
  <si>
    <t>HAPPYFORGE</t>
  </si>
  <si>
    <t>SHANTIDENM</t>
  </si>
  <si>
    <t>AZAD</t>
  </si>
  <si>
    <t>INNOVACAP</t>
  </si>
  <si>
    <t>AIKPIPES</t>
  </si>
  <si>
    <t>Ceramics</t>
  </si>
  <si>
    <t>MCPL</t>
  </si>
  <si>
    <t>SBVCL</t>
  </si>
  <si>
    <t>JYOTICNC</t>
  </si>
  <si>
    <t>SWANAGRO</t>
  </si>
  <si>
    <t>SHREE</t>
  </si>
  <si>
    <t>Insurance Distributors</t>
  </si>
  <si>
    <t>MEDIASSIST</t>
  </si>
  <si>
    <t>QLL</t>
  </si>
  <si>
    <t>Month Starting m-cap</t>
  </si>
  <si>
    <t>Current m-cap</t>
  </si>
  <si>
    <t>Positive</t>
  </si>
  <si>
    <t>Negative</t>
  </si>
  <si>
    <t>At Par</t>
  </si>
  <si>
    <t>Positive %</t>
  </si>
  <si>
    <t>Negative %</t>
  </si>
  <si>
    <t>New Sector was added. MEDIASSIST was added</t>
  </si>
  <si>
    <t>New sector added. MCPL was added.</t>
  </si>
  <si>
    <t>SBVCL and JYOTICNC was added</t>
  </si>
  <si>
    <t>QLL was added</t>
  </si>
  <si>
    <t>SWANAGRO was added</t>
  </si>
  <si>
    <t>SHREE was added</t>
  </si>
  <si>
    <t>SPL was added</t>
  </si>
  <si>
    <t>KALYANI was added</t>
  </si>
  <si>
    <t>INNOKAIZ was added</t>
  </si>
  <si>
    <t>AZAD was added</t>
  </si>
  <si>
    <t>SURAJEST was added</t>
  </si>
  <si>
    <t>INOXINDIA and SIYARAM was added</t>
  </si>
  <si>
    <t>SHANTIDENM was added</t>
  </si>
  <si>
    <t>INNOVACAP was added</t>
  </si>
  <si>
    <t>SMARITIME was added</t>
  </si>
  <si>
    <t>MUFTI was added</t>
  </si>
  <si>
    <t>MOTISONS and RBZJEWEL was added</t>
  </si>
  <si>
    <t>BENCHMARK was added</t>
  </si>
  <si>
    <t>DOMS was added</t>
  </si>
  <si>
    <t>AMIC and HAPPYFORGE was added</t>
  </si>
  <si>
    <t>INDIASHLTR was added</t>
  </si>
  <si>
    <t>MUTHOOTMF was added</t>
  </si>
  <si>
    <t>IREDA was added</t>
  </si>
  <si>
    <t>GANDHAR was added</t>
  </si>
  <si>
    <t>ESAFSFB was added</t>
  </si>
  <si>
    <t>ARROWHEAD was added</t>
  </si>
  <si>
    <t>HONASA was added</t>
  </si>
  <si>
    <t>PROTEAN was added</t>
  </si>
  <si>
    <t>ASKAUTOLTD was added</t>
  </si>
  <si>
    <t>CELLO was added</t>
  </si>
  <si>
    <t>FEDFINA was added</t>
  </si>
  <si>
    <t>MISHDESIGN was added</t>
  </si>
  <si>
    <t>VPL was added</t>
  </si>
  <si>
    <t>KKSHL was added</t>
  </si>
  <si>
    <t>FLAIR was added</t>
  </si>
  <si>
    <t>IRMENERGY was added</t>
  </si>
  <si>
    <t>BLUEJET was added</t>
  </si>
  <si>
    <t>SUNITATOOL was added</t>
  </si>
  <si>
    <t>VALIANTLAB was added</t>
  </si>
  <si>
    <t>PLAZACABLE was added</t>
  </si>
  <si>
    <t>UDS was added</t>
  </si>
  <si>
    <t>RISHABH was added</t>
  </si>
  <si>
    <t>MVGJL was added</t>
  </si>
  <si>
    <t>TECHKGREEN was added</t>
  </si>
  <si>
    <t>MESON was added</t>
  </si>
  <si>
    <t>MAIDEN and RATNAVEER was added</t>
  </si>
  <si>
    <t>VPRPL was added</t>
  </si>
  <si>
    <t>ZAGGLE was added</t>
  </si>
  <si>
    <t>SIGNATURE was added</t>
  </si>
  <si>
    <t>JSWINFRA was added</t>
  </si>
  <si>
    <t>YATRA was added</t>
  </si>
  <si>
    <t>CONCORDBIO was added</t>
  </si>
  <si>
    <t>KALAMANDIR was added</t>
  </si>
  <si>
    <t>COMRADE was added</t>
  </si>
  <si>
    <t>JLHL and SAMHI was added</t>
  </si>
  <si>
    <t>RRKABEL was added</t>
  </si>
  <si>
    <t>HSIL was added</t>
  </si>
  <si>
    <t>SHOORA and KHAZANCHI were added</t>
  </si>
  <si>
    <t>TVSSCS was added</t>
  </si>
  <si>
    <t>SBFC was added</t>
  </si>
  <si>
    <t>PYRAMID was added</t>
  </si>
  <si>
    <t>AEROFLEX was added</t>
  </si>
  <si>
    <t>ASARFI and YATHARTH were added</t>
  </si>
  <si>
    <t>INNOVATUS was added</t>
  </si>
  <si>
    <t>New sector added. HMAAGRO was added.</t>
  </si>
  <si>
    <t>IDEAFORGE was added.</t>
  </si>
  <si>
    <t>ALPHAIND was added.</t>
  </si>
  <si>
    <t>AHASOLAR was added.</t>
  </si>
  <si>
    <t>CYIENTDLM was added.</t>
  </si>
  <si>
    <t>KAKA was added.</t>
  </si>
  <si>
    <t>ACCELERATE was added.</t>
  </si>
  <si>
    <t>VEEFIN was added.</t>
  </si>
  <si>
    <t>NETWEB was added.</t>
  </si>
  <si>
    <t>SENCO was added.</t>
  </si>
  <si>
    <t>UTKARSHBNK was added.</t>
  </si>
  <si>
    <t>CFF was added</t>
  </si>
  <si>
    <t>MANKIND was added</t>
  </si>
  <si>
    <t>COSMICCRF was added</t>
  </si>
  <si>
    <t>BIZOTIC was added</t>
  </si>
  <si>
    <t>SONALIS was added</t>
  </si>
  <si>
    <t>IKIO was added</t>
  </si>
  <si>
    <t>RETINA was added.</t>
  </si>
  <si>
    <t>New Sector added. EXHICON was added.</t>
  </si>
  <si>
    <t>New Sector added. LABELKRAFT &amp; SVJ were added.</t>
  </si>
  <si>
    <t>RESGEN was added.</t>
  </si>
  <si>
    <t>AVALON was added</t>
  </si>
  <si>
    <t>SANCODE was added.</t>
  </si>
  <si>
    <t>COMMAND was added.</t>
  </si>
  <si>
    <t>DHARNI &amp; VEDANTASSET were added.</t>
  </si>
  <si>
    <t>USK was added</t>
  </si>
  <si>
    <t>AMBOAGRI was added.</t>
  </si>
  <si>
    <t>DEVLAB was added.</t>
  </si>
  <si>
    <t>SUDARSHAN was added.</t>
  </si>
  <si>
    <t>REXSEAL was added.</t>
  </si>
  <si>
    <t>TRANSVOY &amp; CARGOSOL were added.</t>
  </si>
  <si>
    <t>AMANAYA was added.</t>
  </si>
  <si>
    <t>PCL was added.</t>
  </si>
  <si>
    <t>New Sector added. GSLSU was added.</t>
  </si>
  <si>
    <t>ROBU was added.</t>
  </si>
  <si>
    <t>INDONG was added.</t>
  </si>
  <si>
    <t>DIVGIITTS was added.</t>
  </si>
  <si>
    <t>SEALMATIC was added.</t>
  </si>
  <si>
    <t>ITCONS was added.</t>
  </si>
  <si>
    <t>PATRON was added.</t>
  </si>
  <si>
    <t>CNCRD was added</t>
  </si>
  <si>
    <t>ELIL was added</t>
  </si>
  <si>
    <t>SAH was added</t>
  </si>
  <si>
    <t>RADIANTCMS was added</t>
  </si>
  <si>
    <t>New sector added. LANDMARK was added.</t>
  </si>
  <si>
    <t>UNIPARTS was added</t>
  </si>
  <si>
    <t>STML was added</t>
  </si>
  <si>
    <t>KFINTECH was added</t>
  </si>
  <si>
    <t>DRONACHRYA was added</t>
  </si>
  <si>
    <t>TLL was added</t>
  </si>
  <si>
    <t>RUSTOMJEE was added</t>
  </si>
  <si>
    <t>ELIN was added</t>
  </si>
  <si>
    <t>DHARMAJ was added</t>
  </si>
  <si>
    <t>SULA was added</t>
  </si>
  <si>
    <t>FIVESTAR was added</t>
  </si>
  <si>
    <t>AHL was added</t>
  </si>
  <si>
    <t>CARGOTRANS was added</t>
  </si>
  <si>
    <t>PACE was added</t>
  </si>
  <si>
    <t>MAAGHADV was added</t>
  </si>
  <si>
    <t>New sector added. TRACXN was added.</t>
  </si>
  <si>
    <t>UTTAMSTL was delisted.</t>
  </si>
  <si>
    <t>New sector added. KAYNES was added.</t>
  </si>
  <si>
    <t>REETECH was added.</t>
  </si>
  <si>
    <t>New sector added. FUSION was added.</t>
  </si>
  <si>
    <t>PRANAVSP was delisted.</t>
  </si>
  <si>
    <t>BIKAJI was added.</t>
  </si>
  <si>
    <t>MEDANTA was added.</t>
  </si>
  <si>
    <t>TECHNOPACK was added.</t>
  </si>
  <si>
    <t>TCIDEVELOP was delisted.</t>
  </si>
  <si>
    <t>SRSOLTD was added. BHAGYAPROP was delisted.</t>
  </si>
  <si>
    <t>DCXINDIA was added.</t>
  </si>
  <si>
    <t>ACI was added.</t>
  </si>
  <si>
    <t>New sector added. DAPS was added.</t>
  </si>
  <si>
    <t>INOXGREEN was added.</t>
  </si>
  <si>
    <t>EMIL and MAFIA were added</t>
  </si>
  <si>
    <t>New Sector added. DREAMFOLKS was added.</t>
  </si>
  <si>
    <t>New Sector added. VOEPL was added.</t>
  </si>
  <si>
    <t>TMB was added.</t>
  </si>
  <si>
    <t>RHETAN was added.</t>
  </si>
  <si>
    <t>HARSHA was added.</t>
  </si>
  <si>
    <t>Month Ending m-cap</t>
  </si>
  <si>
    <t>HEALTHYLIFE was added</t>
  </si>
  <si>
    <t>VEERKRUPA was added</t>
  </si>
  <si>
    <t>OLATECH was added</t>
  </si>
  <si>
    <t>SYRMA was added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</si>
</sst>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&gt;9999999]##\,##\,##\,##0;[&gt;99999]##\,##\,##0;##,##0"/>
  </numFmts>
  <fonts count="9" x14ac:knownFonts="1">
    <font>
      <sz val="10"/>
      <color rgb="FF000000"/>
      <name val="Arial"/>
      <scheme val="minor"/>
    </font>
    <font>
      <b/>
      <sz val="11"/>
      <color theme="1"/>
      <name val="Calibri"/>
    </font>
    <font>
      <sz val="11"/>
      <color theme="1"/>
      <name val="Calibri"/>
    </font>
    <font>
      <sz val="10"/>
      <name val="Arial"/>
    </font>
    <font>
      <sz val="10"/>
      <color theme="1"/>
      <name val="Arial"/>
    </font>
    <font>
      <sz val="10"/>
      <color theme="1"/>
      <name val="Arial"/>
      <scheme val="minor"/>
    </font>
    <font>
      <sz val="11"/>
      <color rgb="FF000000"/>
      <name val="Calibri"/>
    </font>
    <font>
      <b/>
      <sz val="10"/>
      <color theme="1"/>
      <name val="Arial"/>
      <scheme val="minor"/>
    </font>
    <font>
      <b/>
      <sz val="10"/>
      <color theme="1"/>
      <name val="Arial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F1C232"/>
        <bgColor rgb="FFF1C232"/>
      </patternFill>
    </fill>
    <fill>
      <patternFill patternType="solid">
        <fgColor rgb="FFFFFF00"/>
        <bgColor rgb="FFFFFF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64" fontId="1" fillId="0" borderId="2" xfId="0" applyNumberFormat="1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4" fontId="2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4" fontId="2" fillId="0" borderId="9" xfId="0" applyNumberFormat="1" applyFont="1" applyBorder="1" applyAlignment="1">
      <alignment horizontal="center" vertical="center"/>
    </xf>
    <xf numFmtId="164" fontId="2" fillId="3" borderId="4" xfId="0" applyNumberFormat="1" applyFont="1" applyFill="1" applyBorder="1" applyAlignment="1">
      <alignment horizontal="center" vertical="center"/>
    </xf>
    <xf numFmtId="4" fontId="2" fillId="0" borderId="4" xfId="0" applyNumberFormat="1" applyFont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164" fontId="2" fillId="3" borderId="9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3" borderId="0" xfId="0" applyFont="1" applyFill="1" applyAlignment="1">
      <alignment horizontal="center"/>
    </xf>
    <xf numFmtId="164" fontId="4" fillId="0" borderId="0" xfId="0" applyNumberFormat="1" applyFont="1"/>
    <xf numFmtId="164" fontId="4" fillId="0" borderId="7" xfId="0" applyNumberFormat="1" applyFont="1" applyBorder="1"/>
    <xf numFmtId="0" fontId="2" fillId="2" borderId="9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/>
    </xf>
    <xf numFmtId="164" fontId="2" fillId="0" borderId="12" xfId="0" applyNumberFormat="1" applyFont="1" applyBorder="1" applyAlignment="1">
      <alignment horizontal="center" vertical="center"/>
    </xf>
    <xf numFmtId="164" fontId="2" fillId="0" borderId="13" xfId="0" applyNumberFormat="1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164" fontId="2" fillId="0" borderId="12" xfId="0" applyNumberFormat="1" applyFont="1" applyBorder="1" applyAlignment="1">
      <alignment horizontal="center"/>
    </xf>
    <xf numFmtId="164" fontId="2" fillId="0" borderId="13" xfId="0" applyNumberFormat="1" applyFont="1" applyBorder="1" applyAlignment="1">
      <alignment horizontal="center"/>
    </xf>
    <xf numFmtId="4" fontId="2" fillId="0" borderId="12" xfId="0" applyNumberFormat="1" applyFont="1" applyBorder="1" applyAlignment="1">
      <alignment horizontal="center" vertical="center"/>
    </xf>
    <xf numFmtId="164" fontId="5" fillId="0" borderId="0" xfId="0" applyNumberFormat="1" applyFont="1"/>
    <xf numFmtId="0" fontId="1" fillId="0" borderId="0" xfId="0" applyFont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164" fontId="2" fillId="4" borderId="0" xfId="0" applyNumberFormat="1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164" fontId="2" fillId="5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164" fontId="6" fillId="5" borderId="0" xfId="0" applyNumberFormat="1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164" fontId="2" fillId="6" borderId="0" xfId="0" applyNumberFormat="1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164" fontId="6" fillId="3" borderId="0" xfId="0" applyNumberFormat="1" applyFont="1" applyFill="1" applyAlignment="1">
      <alignment horizontal="center" vertical="center"/>
    </xf>
    <xf numFmtId="0" fontId="5" fillId="3" borderId="0" xfId="0" applyFont="1" applyFill="1"/>
    <xf numFmtId="0" fontId="1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7" fillId="0" borderId="0" xfId="0" applyFont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5" fillId="0" borderId="0" xfId="0" applyFont="1"/>
    <xf numFmtId="0" fontId="8" fillId="0" borderId="0" xfId="0" applyFont="1"/>
    <xf numFmtId="0" fontId="2" fillId="0" borderId="3" xfId="0" applyFont="1" applyBorder="1" applyAlignment="1">
      <alignment horizontal="center" vertical="center" wrapText="1"/>
    </xf>
    <xf numFmtId="0" fontId="3" fillId="0" borderId="6" xfId="0" applyFont="1" applyBorder="1"/>
    <xf numFmtId="0" fontId="3" fillId="0" borderId="8" xfId="0" applyFont="1" applyBorder="1"/>
    <xf numFmtId="0" fontId="2" fillId="0" borderId="3" xfId="0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 wrapText="1"/>
    </xf>
    <xf numFmtId="0" fontId="0" fillId="0" borderId="0" xfId="0"/>
    <xf numFmtId="0" fontId="3" fillId="0" borderId="9" xfId="0" applyFont="1" applyBorder="1"/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1">
    <cellStyle name="Normal" xfId="0" builtinId="0"/>
  </cellStyles>
  <dxfs count="2"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FF00"/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J1051"/>
  <sheetViews>
    <sheetView tabSelected="1" workbookViewId="0">
      <pane ySplit="1" topLeftCell="A2" activePane="bottomLeft" state="frozen"/>
      <selection pane="bottomLeft" activeCell="D8" sqref="D8"/>
    </sheetView>
  </sheetViews>
  <sheetFormatPr defaultColWidth="12.6640625" defaultRowHeight="15.75" customHeight="1" x14ac:dyDescent="0.25"/>
  <cols>
    <col min="1" max="1" width="25.33203125" customWidth="1"/>
    <col min="8" max="8" width="20" bestFit="1" customWidth="1"/>
    <col min="9" max="9" width="16.44140625" bestFit="1" customWidth="1"/>
    <col min="10" max="10" width="25.33203125" customWidth="1"/>
    <col min="13" max="13" width="13.44140625" bestFit="1" customWidth="1"/>
    <col min="17" max="17" width="25.44140625" bestFit="1" customWidth="1"/>
    <col min="18" max="18" width="15.44140625" bestFit="1" customWidth="1"/>
    <col min="19" max="19" width="25.44140625" customWidth="1"/>
    <col min="26" max="26" width="20" bestFit="1" customWidth="1"/>
    <col min="27" max="27" width="15.44140625" bestFit="1" customWidth="1"/>
    <col min="28" max="28" width="25.44140625" customWidth="1"/>
    <col min="35" max="35" width="20" bestFit="1" customWidth="1"/>
    <col min="36" max="36" width="16.44140625" bestFit="1" customWidth="1"/>
  </cols>
  <sheetData>
    <row r="1" spans="1:36" ht="43.2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3" t="s">
        <v>0</v>
      </c>
      <c r="K1" s="3" t="s">
        <v>1</v>
      </c>
      <c r="L1" s="3" t="s">
        <v>2</v>
      </c>
      <c r="M1" s="4" t="s">
        <v>3</v>
      </c>
      <c r="N1" s="3" t="s">
        <v>4</v>
      </c>
      <c r="O1" s="3" t="s">
        <v>5</v>
      </c>
      <c r="P1" s="3" t="s">
        <v>6</v>
      </c>
      <c r="Q1" s="2" t="s">
        <v>7</v>
      </c>
      <c r="R1" s="4" t="s">
        <v>8</v>
      </c>
      <c r="S1" s="3" t="s">
        <v>0</v>
      </c>
      <c r="T1" s="3" t="s">
        <v>1</v>
      </c>
      <c r="U1" s="3" t="s">
        <v>2</v>
      </c>
      <c r="V1" s="4" t="s">
        <v>3</v>
      </c>
      <c r="W1" s="1" t="s">
        <v>4</v>
      </c>
      <c r="X1" s="5" t="s">
        <v>5</v>
      </c>
      <c r="Y1" s="3" t="s">
        <v>6</v>
      </c>
      <c r="Z1" s="2" t="s">
        <v>7</v>
      </c>
      <c r="AA1" s="4" t="s">
        <v>8</v>
      </c>
      <c r="AB1" s="3" t="s">
        <v>0</v>
      </c>
      <c r="AC1" s="3" t="s">
        <v>1</v>
      </c>
      <c r="AD1" s="3" t="s">
        <v>2</v>
      </c>
      <c r="AE1" s="4" t="s">
        <v>3</v>
      </c>
      <c r="AF1" s="1" t="s">
        <v>4</v>
      </c>
      <c r="AG1" s="1" t="s">
        <v>5</v>
      </c>
      <c r="AH1" s="3" t="s">
        <v>6</v>
      </c>
      <c r="AI1" s="2" t="s">
        <v>7</v>
      </c>
      <c r="AJ1" s="4" t="s">
        <v>8</v>
      </c>
    </row>
    <row r="2" spans="1:36" x14ac:dyDescent="0.25">
      <c r="A2" s="62" t="s">
        <v>9</v>
      </c>
      <c r="B2" s="6">
        <v>532977</v>
      </c>
      <c r="C2" s="6" t="s">
        <v>10</v>
      </c>
      <c r="D2" s="7">
        <v>272563287</v>
      </c>
      <c r="E2" s="6">
        <v>8039</v>
      </c>
      <c r="F2" s="8">
        <f ca="1">IFERROR(__xludf.DUMMYFUNCTION("GOOGLEFINANCE(""BOM:"" &amp; B2,""price"")"),9144.9)</f>
        <v>9144.9</v>
      </c>
      <c r="G2" s="8">
        <f t="shared" ref="G2:G14" ca="1" si="0">((F2-E2)/E2)*100</f>
        <v>13.756686154994396</v>
      </c>
      <c r="H2" s="7">
        <f t="shared" ref="H2:H14" si="1">D2*E2</f>
        <v>2191136264193</v>
      </c>
      <c r="I2" s="9">
        <f t="shared" ref="I2:I14" ca="1" si="2">D2*F2</f>
        <v>2492564003286.2998</v>
      </c>
      <c r="J2" s="62" t="s">
        <v>11</v>
      </c>
      <c r="K2" s="6">
        <v>532160</v>
      </c>
      <c r="L2" s="6" t="s">
        <v>12</v>
      </c>
      <c r="M2" s="7">
        <v>10252240</v>
      </c>
      <c r="N2" s="10">
        <v>30.26</v>
      </c>
      <c r="O2" s="10">
        <f ca="1">IFERROR(__xludf.DUMMYFUNCTION("GOOGLEFINANCE(""BOM:"" &amp; K2,""price"")"),25.98)</f>
        <v>25.98</v>
      </c>
      <c r="P2" s="8">
        <f ca="1">((O2-N2)/N2)*100</f>
        <v>-14.144084600132189</v>
      </c>
      <c r="Q2" s="7">
        <f t="shared" ref="Q2:Q8" si="3">M2*N2</f>
        <v>310232782.40000004</v>
      </c>
      <c r="R2" s="9">
        <f t="shared" ref="R2:R8" ca="1" si="4">M2*O2</f>
        <v>266353195.20000002</v>
      </c>
      <c r="S2" s="62" t="s">
        <v>13</v>
      </c>
      <c r="T2" s="6">
        <v>511122</v>
      </c>
      <c r="U2" s="6" t="s">
        <v>14</v>
      </c>
      <c r="V2" s="7">
        <v>1109155</v>
      </c>
      <c r="W2" s="6">
        <v>58.8</v>
      </c>
      <c r="X2" s="11">
        <f ca="1">IFERROR(__xludf.DUMMYFUNCTION("GOOGLEFINANCE(""BOM:"" &amp; T2,""price"")"),50.2)</f>
        <v>50.2</v>
      </c>
      <c r="Y2" s="8">
        <f t="shared" ref="Y2:Y11" ca="1" si="5">((X2-W2)/W2)*100</f>
        <v>-14.625850340136045</v>
      </c>
      <c r="Z2" s="7">
        <f t="shared" ref="Z2:Z11" si="6">V2*W2</f>
        <v>65218314</v>
      </c>
      <c r="AA2" s="9">
        <f t="shared" ref="AA2:AA11" ca="1" si="7">V2*X2</f>
        <v>55679581</v>
      </c>
      <c r="AB2" s="65" t="s">
        <v>15</v>
      </c>
      <c r="AC2" s="6">
        <v>524348</v>
      </c>
      <c r="AD2" s="6" t="s">
        <v>16</v>
      </c>
      <c r="AE2" s="7">
        <v>91735736</v>
      </c>
      <c r="AF2" s="6">
        <v>502</v>
      </c>
      <c r="AG2" s="6">
        <f ca="1">IFERROR(__xludf.DUMMYFUNCTION("GOOGLEFINANCE(""BOM:"" &amp; AC2,""price"")"),430)</f>
        <v>430</v>
      </c>
      <c r="AH2" s="8">
        <f t="shared" ref="AH2:AH151" ca="1" si="8">((AG2-AF2)/AF2)*100</f>
        <v>-14.342629482071715</v>
      </c>
      <c r="AI2" s="7">
        <f t="shared" ref="AI2:AI151" si="9">AE2*AF2</f>
        <v>46051339472</v>
      </c>
      <c r="AJ2" s="9">
        <f t="shared" ref="AJ2:AJ151" ca="1" si="10">AE2*AG2</f>
        <v>39446366480</v>
      </c>
    </row>
    <row r="3" spans="1:36" x14ac:dyDescent="0.25">
      <c r="A3" s="63"/>
      <c r="B3" s="8">
        <v>505200</v>
      </c>
      <c r="C3" s="8" t="s">
        <v>17</v>
      </c>
      <c r="D3" s="12">
        <v>271037592</v>
      </c>
      <c r="E3" s="8">
        <v>3846.9</v>
      </c>
      <c r="F3" s="8">
        <f ca="1">IFERROR(__xludf.DUMMYFUNCTION("GOOGLEFINANCE(""BOM:"" &amp; B3,""price"")"),4024.25)</f>
        <v>4024.25</v>
      </c>
      <c r="G3" s="8">
        <f t="shared" ca="1" si="0"/>
        <v>4.6102056201096957</v>
      </c>
      <c r="H3" s="12">
        <f t="shared" si="1"/>
        <v>1042654512664.8</v>
      </c>
      <c r="I3" s="13">
        <f t="shared" ca="1" si="2"/>
        <v>1090723029606</v>
      </c>
      <c r="J3" s="63"/>
      <c r="K3" s="8">
        <v>530927</v>
      </c>
      <c r="L3" s="8" t="s">
        <v>18</v>
      </c>
      <c r="M3" s="12">
        <v>207658100</v>
      </c>
      <c r="N3" s="10">
        <v>0</v>
      </c>
      <c r="O3" s="10">
        <f ca="1">IFERROR(__xludf.DUMMYFUNCTION("GOOGLEFINANCE(""BOM:"" &amp; K3,""price"")"),0)</f>
        <v>0</v>
      </c>
      <c r="P3" s="8">
        <v>0</v>
      </c>
      <c r="Q3" s="12">
        <f t="shared" si="3"/>
        <v>0</v>
      </c>
      <c r="R3" s="13">
        <f t="shared" ca="1" si="4"/>
        <v>0</v>
      </c>
      <c r="S3" s="63"/>
      <c r="T3" s="8">
        <v>542377</v>
      </c>
      <c r="U3" s="8" t="s">
        <v>19</v>
      </c>
      <c r="V3" s="12">
        <v>2985000</v>
      </c>
      <c r="W3" s="8">
        <v>9.41</v>
      </c>
      <c r="X3" s="11">
        <f ca="1">IFERROR(__xludf.DUMMYFUNCTION("GOOGLEFINANCE(""BOM:"" &amp; T3,""price"")"),9.41)</f>
        <v>9.41</v>
      </c>
      <c r="Y3" s="8">
        <f t="shared" ca="1" si="5"/>
        <v>0</v>
      </c>
      <c r="Z3" s="12">
        <f t="shared" si="6"/>
        <v>28088850</v>
      </c>
      <c r="AA3" s="13">
        <f t="shared" ca="1" si="7"/>
        <v>28088850</v>
      </c>
      <c r="AB3" s="63"/>
      <c r="AC3" s="8">
        <v>500488</v>
      </c>
      <c r="AD3" s="8" t="s">
        <v>20</v>
      </c>
      <c r="AE3" s="12">
        <v>20963361</v>
      </c>
      <c r="AF3" s="8">
        <v>28179.1</v>
      </c>
      <c r="AG3" s="8">
        <f ca="1">IFERROR(__xludf.DUMMYFUNCTION("GOOGLEFINANCE(""BOM:"" &amp; AC3,""price"")"),26663.8)</f>
        <v>26663.8</v>
      </c>
      <c r="AH3" s="8">
        <f t="shared" ca="1" si="8"/>
        <v>-5.3773896256445362</v>
      </c>
      <c r="AI3" s="12">
        <f t="shared" si="9"/>
        <v>590728645955.09998</v>
      </c>
      <c r="AJ3" s="13">
        <f t="shared" ca="1" si="10"/>
        <v>558962865031.79993</v>
      </c>
    </row>
    <row r="4" spans="1:36" x14ac:dyDescent="0.25">
      <c r="A4" s="63"/>
      <c r="B4" s="8">
        <v>500182</v>
      </c>
      <c r="C4" s="8" t="s">
        <v>21</v>
      </c>
      <c r="D4" s="12">
        <v>198778953</v>
      </c>
      <c r="E4" s="8">
        <v>4504.3999999999996</v>
      </c>
      <c r="F4" s="8">
        <f ca="1">IFERROR(__xludf.DUMMYFUNCTION("GOOGLEFINANCE(""BOM:"" &amp; B4,""price"")"),4717.2)</f>
        <v>4717.2</v>
      </c>
      <c r="G4" s="8">
        <f t="shared" ca="1" si="0"/>
        <v>4.724269603054795</v>
      </c>
      <c r="H4" s="12">
        <f t="shared" si="1"/>
        <v>895379915893.19995</v>
      </c>
      <c r="I4" s="13">
        <f t="shared" ca="1" si="2"/>
        <v>937680077091.59998</v>
      </c>
      <c r="J4" s="63"/>
      <c r="K4" s="8">
        <v>540530</v>
      </c>
      <c r="L4" s="8" t="s">
        <v>22</v>
      </c>
      <c r="M4" s="12">
        <v>2001897515</v>
      </c>
      <c r="N4" s="10">
        <v>194.4</v>
      </c>
      <c r="O4" s="10">
        <f ca="1">IFERROR(__xludf.DUMMYFUNCTION("GOOGLEFINANCE(""BOM:"" &amp; K4,""price"")"),187.3)</f>
        <v>187.3</v>
      </c>
      <c r="P4" s="8">
        <f t="shared" ref="P4:P8" ca="1" si="11">((O4-N4)/N4)*100</f>
        <v>-3.6522633744855941</v>
      </c>
      <c r="Q4" s="12">
        <f t="shared" si="3"/>
        <v>389168876916</v>
      </c>
      <c r="R4" s="13">
        <f t="shared" ca="1" si="4"/>
        <v>374955404559.5</v>
      </c>
      <c r="S4" s="63"/>
      <c r="T4" s="8">
        <v>511764</v>
      </c>
      <c r="U4" s="8" t="s">
        <v>23</v>
      </c>
      <c r="V4" s="12">
        <v>3698507</v>
      </c>
      <c r="W4" s="8">
        <v>48.99</v>
      </c>
      <c r="X4" s="11">
        <f ca="1">IFERROR(__xludf.DUMMYFUNCTION("GOOGLEFINANCE(""BOM:"" &amp; T4,""price"")"),46.01)</f>
        <v>46.01</v>
      </c>
      <c r="Y4" s="8">
        <f t="shared" ca="1" si="5"/>
        <v>-6.0828740559297891</v>
      </c>
      <c r="Z4" s="12">
        <f t="shared" si="6"/>
        <v>181189857.93000001</v>
      </c>
      <c r="AA4" s="13">
        <f t="shared" ca="1" si="7"/>
        <v>170168307.06999999</v>
      </c>
      <c r="AB4" s="63"/>
      <c r="AC4" s="8">
        <v>543499</v>
      </c>
      <c r="AD4" s="8" t="s">
        <v>24</v>
      </c>
      <c r="AE4" s="12">
        <v>14011160</v>
      </c>
      <c r="AF4" s="8">
        <v>57.1</v>
      </c>
      <c r="AG4" s="8">
        <f ca="1">IFERROR(__xludf.DUMMYFUNCTION("GOOGLEFINANCE(""BOM:"" &amp; AC4,""price"")"),51.99)</f>
        <v>51.99</v>
      </c>
      <c r="AH4" s="8">
        <f t="shared" ca="1" si="8"/>
        <v>-8.9492119089316979</v>
      </c>
      <c r="AI4" s="12">
        <f t="shared" si="9"/>
        <v>800037236</v>
      </c>
      <c r="AJ4" s="13">
        <f t="shared" ca="1" si="10"/>
        <v>728440208.39999998</v>
      </c>
    </row>
    <row r="5" spans="1:36" x14ac:dyDescent="0.25">
      <c r="A5" s="63"/>
      <c r="B5" s="8">
        <v>531035</v>
      </c>
      <c r="C5" s="8" t="s">
        <v>25</v>
      </c>
      <c r="D5" s="12">
        <v>1134561</v>
      </c>
      <c r="E5" s="8">
        <v>270.95</v>
      </c>
      <c r="F5" s="8">
        <f ca="1">IFERROR(__xludf.DUMMYFUNCTION("GOOGLEFINANCE(""BOM:"" &amp; B5,""price"")"),386.35)</f>
        <v>386.35</v>
      </c>
      <c r="G5" s="8">
        <f t="shared" ca="1" si="0"/>
        <v>42.590883926923802</v>
      </c>
      <c r="H5" s="12">
        <f t="shared" si="1"/>
        <v>307409302.94999999</v>
      </c>
      <c r="I5" s="13">
        <f t="shared" ca="1" si="2"/>
        <v>438337642.35000002</v>
      </c>
      <c r="J5" s="63"/>
      <c r="K5" s="8">
        <v>500106</v>
      </c>
      <c r="L5" s="8" t="s">
        <v>26</v>
      </c>
      <c r="M5" s="12">
        <v>2092973071</v>
      </c>
      <c r="N5" s="10">
        <v>45.54</v>
      </c>
      <c r="O5" s="10">
        <f ca="1">IFERROR(__xludf.DUMMYFUNCTION("GOOGLEFINANCE(""BOM:"" &amp; K5,""price"")"),39.7)</f>
        <v>39.700000000000003</v>
      </c>
      <c r="P5" s="8">
        <f t="shared" ca="1" si="11"/>
        <v>-12.823891084760641</v>
      </c>
      <c r="Q5" s="12">
        <f t="shared" si="3"/>
        <v>95313993653.339996</v>
      </c>
      <c r="R5" s="13">
        <f t="shared" ca="1" si="4"/>
        <v>83091030918.700012</v>
      </c>
      <c r="S5" s="63"/>
      <c r="T5" s="8">
        <v>531658</v>
      </c>
      <c r="U5" s="8" t="s">
        <v>27</v>
      </c>
      <c r="V5" s="12">
        <v>5015100</v>
      </c>
      <c r="W5" s="8">
        <v>24.8</v>
      </c>
      <c r="X5" s="11">
        <f ca="1">IFERROR(__xludf.DUMMYFUNCTION("GOOGLEFINANCE(""BOM:"" &amp; T5,""price"")"),26.04)</f>
        <v>26.04</v>
      </c>
      <c r="Y5" s="8">
        <f t="shared" ca="1" si="5"/>
        <v>4.9999999999999929</v>
      </c>
      <c r="Z5" s="12">
        <f t="shared" si="6"/>
        <v>124374480</v>
      </c>
      <c r="AA5" s="13">
        <f t="shared" ca="1" si="7"/>
        <v>130593204</v>
      </c>
      <c r="AB5" s="63"/>
      <c r="AC5" s="8">
        <v>524604</v>
      </c>
      <c r="AD5" s="8" t="s">
        <v>28</v>
      </c>
      <c r="AE5" s="12">
        <v>1416490</v>
      </c>
      <c r="AF5" s="8">
        <v>28.7</v>
      </c>
      <c r="AG5" s="8">
        <f ca="1">IFERROR(__xludf.DUMMYFUNCTION("GOOGLEFINANCE(""BOM:"" &amp; AC5,""price"")"),28.7)</f>
        <v>28.7</v>
      </c>
      <c r="AH5" s="8">
        <f t="shared" ca="1" si="8"/>
        <v>0</v>
      </c>
      <c r="AI5" s="12">
        <f t="shared" si="9"/>
        <v>40653263</v>
      </c>
      <c r="AJ5" s="13">
        <f t="shared" ca="1" si="10"/>
        <v>40653263</v>
      </c>
    </row>
    <row r="6" spans="1:36" x14ac:dyDescent="0.25">
      <c r="A6" s="63"/>
      <c r="B6" s="8">
        <v>505141</v>
      </c>
      <c r="C6" s="8" t="s">
        <v>29</v>
      </c>
      <c r="D6" s="12">
        <v>42340900</v>
      </c>
      <c r="E6" s="8">
        <v>67.59</v>
      </c>
      <c r="F6" s="8">
        <f ca="1">IFERROR(__xludf.DUMMYFUNCTION("GOOGLEFINANCE(""BOM:"" &amp; B6,""price"")"),50.1)</f>
        <v>50.1</v>
      </c>
      <c r="G6" s="8">
        <f t="shared" ca="1" si="0"/>
        <v>-25.876608965823351</v>
      </c>
      <c r="H6" s="12">
        <f t="shared" si="1"/>
        <v>2861821431</v>
      </c>
      <c r="I6" s="13">
        <f t="shared" ca="1" si="2"/>
        <v>2121279090</v>
      </c>
      <c r="J6" s="63"/>
      <c r="K6" s="8">
        <v>543257</v>
      </c>
      <c r="L6" s="8" t="s">
        <v>30</v>
      </c>
      <c r="M6" s="12">
        <v>13068504375</v>
      </c>
      <c r="N6" s="10">
        <v>147.35</v>
      </c>
      <c r="O6" s="10">
        <f ca="1">IFERROR(__xludf.DUMMYFUNCTION("GOOGLEFINANCE(""BOM:"" &amp; K6,""price"")"),142.4)</f>
        <v>142.4</v>
      </c>
      <c r="P6" s="8">
        <f t="shared" ca="1" si="11"/>
        <v>-3.3593484899898129</v>
      </c>
      <c r="Q6" s="12">
        <f t="shared" si="3"/>
        <v>1925644119656.25</v>
      </c>
      <c r="R6" s="13">
        <f t="shared" ca="1" si="4"/>
        <v>1860955023000</v>
      </c>
      <c r="S6" s="63"/>
      <c r="T6" s="8">
        <v>532057</v>
      </c>
      <c r="U6" s="8" t="s">
        <v>31</v>
      </c>
      <c r="V6" s="12">
        <v>6894785</v>
      </c>
      <c r="W6" s="8">
        <v>185.55</v>
      </c>
      <c r="X6" s="11">
        <f ca="1">IFERROR(__xludf.DUMMYFUNCTION("GOOGLEFINANCE(""BOM:"" &amp; T6,""price"")"),167.2)</f>
        <v>167.2</v>
      </c>
      <c r="Y6" s="8">
        <f t="shared" ca="1" si="5"/>
        <v>-9.8895176502290596</v>
      </c>
      <c r="Z6" s="12">
        <f t="shared" si="6"/>
        <v>1279327356.75</v>
      </c>
      <c r="AA6" s="13">
        <f t="shared" ca="1" si="7"/>
        <v>1152808052</v>
      </c>
      <c r="AB6" s="63"/>
      <c r="AC6" s="8">
        <v>532331</v>
      </c>
      <c r="AD6" s="8" t="s">
        <v>32</v>
      </c>
      <c r="AE6" s="12">
        <v>127783799</v>
      </c>
      <c r="AF6" s="8">
        <v>2127.25</v>
      </c>
      <c r="AG6" s="8">
        <f ca="1">IFERROR(__xludf.DUMMYFUNCTION("GOOGLEFINANCE(""BOM:"" &amp; AC6,""price"")"),2240)</f>
        <v>2240</v>
      </c>
      <c r="AH6" s="8">
        <f t="shared" ca="1" si="8"/>
        <v>5.3002703020331419</v>
      </c>
      <c r="AI6" s="12">
        <f t="shared" si="9"/>
        <v>271828086422.75</v>
      </c>
      <c r="AJ6" s="13">
        <f t="shared" ca="1" si="10"/>
        <v>286235709760</v>
      </c>
    </row>
    <row r="7" spans="1:36" x14ac:dyDescent="0.25">
      <c r="A7" s="63"/>
      <c r="B7" s="8">
        <v>532343</v>
      </c>
      <c r="C7" s="8" t="s">
        <v>33</v>
      </c>
      <c r="D7" s="12">
        <v>472628112</v>
      </c>
      <c r="E7" s="8">
        <v>2242.4499999999998</v>
      </c>
      <c r="F7" s="8">
        <f ca="1">IFERROR(__xludf.DUMMYFUNCTION("GOOGLEFINANCE(""BOM:"" &amp; B7,""price"")"),2151.45)</f>
        <v>2151.4499999999998</v>
      </c>
      <c r="G7" s="8">
        <f t="shared" ca="1" si="0"/>
        <v>-4.0580614952395822</v>
      </c>
      <c r="H7" s="12">
        <f t="shared" si="1"/>
        <v>1059844909754.3999</v>
      </c>
      <c r="I7" s="13">
        <f t="shared" ca="1" si="2"/>
        <v>1016835751562.3999</v>
      </c>
      <c r="J7" s="63"/>
      <c r="K7" s="8">
        <v>532810</v>
      </c>
      <c r="L7" s="8" t="s">
        <v>34</v>
      </c>
      <c r="M7" s="12">
        <v>4124930022</v>
      </c>
      <c r="N7" s="10">
        <v>413.1</v>
      </c>
      <c r="O7" s="10">
        <f ca="1">IFERROR(__xludf.DUMMYFUNCTION("GOOGLEFINANCE(""BOM:"" &amp; K7,""price"")"),390.2)</f>
        <v>390.2</v>
      </c>
      <c r="P7" s="8">
        <f t="shared" ca="1" si="11"/>
        <v>-5.5434519486807146</v>
      </c>
      <c r="Q7" s="12">
        <f t="shared" si="3"/>
        <v>1704008592088.2002</v>
      </c>
      <c r="R7" s="13">
        <f t="shared" ca="1" si="4"/>
        <v>1609547694584.3999</v>
      </c>
      <c r="S7" s="63"/>
      <c r="T7" s="8">
        <v>511756</v>
      </c>
      <c r="U7" s="8" t="s">
        <v>35</v>
      </c>
      <c r="V7" s="12">
        <v>5672317</v>
      </c>
      <c r="W7" s="8">
        <v>34.78</v>
      </c>
      <c r="X7" s="11">
        <f ca="1">IFERROR(__xludf.DUMMYFUNCTION("GOOGLEFINANCE(""BOM:"" &amp; T7,""price"")"),39.4)</f>
        <v>39.4</v>
      </c>
      <c r="Y7" s="8">
        <f t="shared" ca="1" si="5"/>
        <v>13.283496262219661</v>
      </c>
      <c r="Z7" s="12">
        <f t="shared" si="6"/>
        <v>197283185.26000002</v>
      </c>
      <c r="AA7" s="13">
        <f t="shared" ca="1" si="7"/>
        <v>223489289.79999998</v>
      </c>
      <c r="AB7" s="63"/>
      <c r="AC7" s="8">
        <v>524075</v>
      </c>
      <c r="AD7" s="8" t="s">
        <v>36</v>
      </c>
      <c r="AE7" s="12">
        <v>5641952</v>
      </c>
      <c r="AF7" s="8">
        <v>1287.95</v>
      </c>
      <c r="AG7" s="8">
        <f ca="1">IFERROR(__xludf.DUMMYFUNCTION("GOOGLEFINANCE(""BOM:"" &amp; AC7,""price"")"),1079)</f>
        <v>1079</v>
      </c>
      <c r="AH7" s="8">
        <f t="shared" ca="1" si="8"/>
        <v>-16.223455879498431</v>
      </c>
      <c r="AI7" s="12">
        <f t="shared" si="9"/>
        <v>7266552078.4000006</v>
      </c>
      <c r="AJ7" s="13">
        <f t="shared" ca="1" si="10"/>
        <v>6087666208</v>
      </c>
    </row>
    <row r="8" spans="1:36" x14ac:dyDescent="0.25">
      <c r="A8" s="64"/>
      <c r="B8" s="14">
        <v>538970</v>
      </c>
      <c r="C8" s="14" t="s">
        <v>37</v>
      </c>
      <c r="D8" s="15">
        <v>260926303</v>
      </c>
      <c r="E8" s="8">
        <v>70.45</v>
      </c>
      <c r="F8" s="14">
        <f ca="1">IFERROR(__xludf.DUMMYFUNCTION("GOOGLEFINANCE(""BOM:"" &amp; B8,""price"")"),56.82)</f>
        <v>56.82</v>
      </c>
      <c r="G8" s="14">
        <f t="shared" ca="1" si="0"/>
        <v>-19.347054648687013</v>
      </c>
      <c r="H8" s="15">
        <f t="shared" si="1"/>
        <v>18382258046.350002</v>
      </c>
      <c r="I8" s="16">
        <f t="shared" ca="1" si="2"/>
        <v>14825832536.460001</v>
      </c>
      <c r="J8" s="63"/>
      <c r="K8" s="8">
        <v>532955</v>
      </c>
      <c r="L8" s="8" t="s">
        <v>38</v>
      </c>
      <c r="M8" s="12">
        <v>2633192840</v>
      </c>
      <c r="N8" s="10">
        <v>459.65</v>
      </c>
      <c r="O8" s="10">
        <f ca="1">IFERROR(__xludf.DUMMYFUNCTION("GOOGLEFINANCE(""BOM:"" &amp; K8,""price"")"),452.7)</f>
        <v>452.7</v>
      </c>
      <c r="P8" s="8">
        <f t="shared" ca="1" si="11"/>
        <v>-1.512020015228976</v>
      </c>
      <c r="Q8" s="12">
        <f t="shared" si="3"/>
        <v>1210347088906</v>
      </c>
      <c r="R8" s="13">
        <f t="shared" ca="1" si="4"/>
        <v>1192046398668</v>
      </c>
      <c r="S8" s="63"/>
      <c r="T8" s="8">
        <v>541133</v>
      </c>
      <c r="U8" s="8" t="s">
        <v>39</v>
      </c>
      <c r="V8" s="12">
        <v>5184462</v>
      </c>
      <c r="W8" s="8">
        <v>45.6</v>
      </c>
      <c r="X8" s="11">
        <f ca="1">IFERROR(__xludf.DUMMYFUNCTION("GOOGLEFINANCE(""BOM:"" &amp; T8,""price"")"),45.6)</f>
        <v>45.6</v>
      </c>
      <c r="Y8" s="8">
        <f t="shared" ca="1" si="5"/>
        <v>0</v>
      </c>
      <c r="Z8" s="12">
        <f t="shared" si="6"/>
        <v>236411467.20000002</v>
      </c>
      <c r="AA8" s="13">
        <f t="shared" ca="1" si="7"/>
        <v>236411467.20000002</v>
      </c>
      <c r="AB8" s="63"/>
      <c r="AC8" s="8">
        <v>539523</v>
      </c>
      <c r="AD8" s="8" t="s">
        <v>40</v>
      </c>
      <c r="AE8" s="12">
        <v>119564999</v>
      </c>
      <c r="AF8" s="8">
        <v>5124.8500000000004</v>
      </c>
      <c r="AG8" s="8">
        <f ca="1">IFERROR(__xludf.DUMMYFUNCTION("GOOGLEFINANCE(""BOM:"" &amp; AC8,""price"")"),4906.35)</f>
        <v>4906.3500000000004</v>
      </c>
      <c r="AH8" s="8">
        <f t="shared" ca="1" si="8"/>
        <v>-4.2635394206659702</v>
      </c>
      <c r="AI8" s="12">
        <f t="shared" si="9"/>
        <v>612752685125.15002</v>
      </c>
      <c r="AJ8" s="13">
        <f t="shared" ca="1" si="10"/>
        <v>586627732843.65002</v>
      </c>
    </row>
    <row r="9" spans="1:36" x14ac:dyDescent="0.25">
      <c r="A9" s="62" t="s">
        <v>41</v>
      </c>
      <c r="B9" s="6">
        <v>513375</v>
      </c>
      <c r="C9" s="6" t="s">
        <v>42</v>
      </c>
      <c r="D9" s="7">
        <v>188141092</v>
      </c>
      <c r="E9" s="6">
        <v>1069.2</v>
      </c>
      <c r="F9" s="8">
        <f ca="1">IFERROR(__xludf.DUMMYFUNCTION("GOOGLEFINANCE(""BOM:"" &amp; B9,""price"")"),1255)</f>
        <v>1255</v>
      </c>
      <c r="G9" s="8">
        <f t="shared" ca="1" si="0"/>
        <v>17.377478488589595</v>
      </c>
      <c r="H9" s="7">
        <f t="shared" si="1"/>
        <v>201160455566.39999</v>
      </c>
      <c r="I9" s="9">
        <f t="shared" ca="1" si="2"/>
        <v>236117070460</v>
      </c>
      <c r="J9" s="63"/>
      <c r="K9" s="8">
        <v>523756</v>
      </c>
      <c r="L9" s="8" t="s">
        <v>43</v>
      </c>
      <c r="M9" s="12">
        <v>500430967</v>
      </c>
      <c r="N9" s="8" t="s">
        <v>44</v>
      </c>
      <c r="O9" s="8" t="s">
        <v>44</v>
      </c>
      <c r="P9" s="8"/>
      <c r="Q9" s="12"/>
      <c r="R9" s="13"/>
      <c r="S9" s="63"/>
      <c r="T9" s="8">
        <v>536737</v>
      </c>
      <c r="U9" s="8" t="s">
        <v>45</v>
      </c>
      <c r="V9" s="12">
        <v>9028600</v>
      </c>
      <c r="W9" s="8">
        <v>17.329999999999998</v>
      </c>
      <c r="X9" s="11">
        <f ca="1">IFERROR(__xludf.DUMMYFUNCTION("GOOGLEFINANCE(""BOM:"" &amp; T9,""price"")"),18.19)</f>
        <v>18.190000000000001</v>
      </c>
      <c r="Y9" s="8">
        <f t="shared" ca="1" si="5"/>
        <v>4.9624927870744555</v>
      </c>
      <c r="Z9" s="12">
        <f t="shared" si="6"/>
        <v>156465637.99999997</v>
      </c>
      <c r="AA9" s="13">
        <f t="shared" ca="1" si="7"/>
        <v>164230234</v>
      </c>
      <c r="AB9" s="63"/>
      <c r="AC9" s="8">
        <v>532878</v>
      </c>
      <c r="AD9" s="8" t="s">
        <v>46</v>
      </c>
      <c r="AE9" s="12">
        <v>13061000</v>
      </c>
      <c r="AF9" s="8">
        <v>101.32</v>
      </c>
      <c r="AG9" s="8">
        <f ca="1">IFERROR(__xludf.DUMMYFUNCTION("GOOGLEFINANCE(""BOM:"" &amp; AC9,""price"")"),83.2)</f>
        <v>83.2</v>
      </c>
      <c r="AH9" s="8">
        <f t="shared" ca="1" si="8"/>
        <v>-17.883932096328454</v>
      </c>
      <c r="AI9" s="12">
        <f t="shared" si="9"/>
        <v>1323340520</v>
      </c>
      <c r="AJ9" s="13">
        <f t="shared" ca="1" si="10"/>
        <v>1086675200</v>
      </c>
    </row>
    <row r="10" spans="1:36" x14ac:dyDescent="0.25">
      <c r="A10" s="63"/>
      <c r="B10" s="8">
        <v>506076</v>
      </c>
      <c r="C10" s="8" t="s">
        <v>47</v>
      </c>
      <c r="D10" s="12">
        <v>110019248</v>
      </c>
      <c r="E10" s="8">
        <v>2105</v>
      </c>
      <c r="F10" s="8">
        <f ca="1">IFERROR(__xludf.DUMMYFUNCTION("GOOGLEFINANCE(""BOM:"" &amp; B10,""price"")"),1902.45)</f>
        <v>1902.45</v>
      </c>
      <c r="G10" s="8">
        <f t="shared" ca="1" si="0"/>
        <v>-9.6223277909738698</v>
      </c>
      <c r="H10" s="12">
        <f t="shared" si="1"/>
        <v>231590517040</v>
      </c>
      <c r="I10" s="13">
        <f t="shared" ca="1" si="2"/>
        <v>209306118357.60001</v>
      </c>
      <c r="J10" s="64"/>
      <c r="K10" s="14">
        <v>526650</v>
      </c>
      <c r="L10" s="14" t="s">
        <v>48</v>
      </c>
      <c r="M10" s="15">
        <v>89254381</v>
      </c>
      <c r="N10" s="17">
        <v>251.9</v>
      </c>
      <c r="O10" s="17">
        <f ca="1">IFERROR(__xludf.DUMMYFUNCTION("GOOGLEFINANCE(""BOM:"" &amp; K10,""price"")"),174.3)</f>
        <v>174.3</v>
      </c>
      <c r="P10" s="14">
        <f t="shared" ref="P10:P43" ca="1" si="12">((O10-N10)/N10)*100</f>
        <v>-30.805875347360061</v>
      </c>
      <c r="Q10" s="15">
        <f t="shared" ref="Q10:Q43" si="13">M10*N10</f>
        <v>22483178573.900002</v>
      </c>
      <c r="R10" s="16">
        <f t="shared" ref="R10:R43" ca="1" si="14">M10*O10</f>
        <v>15557038608.300001</v>
      </c>
      <c r="S10" s="63"/>
      <c r="T10" s="8">
        <v>539391</v>
      </c>
      <c r="U10" s="8" t="s">
        <v>49</v>
      </c>
      <c r="V10" s="12">
        <v>24079633</v>
      </c>
      <c r="W10" s="8">
        <v>48.16</v>
      </c>
      <c r="X10" s="11">
        <f ca="1">IFERROR(__xludf.DUMMYFUNCTION("GOOGLEFINANCE(""BOM:"" &amp; T10,""price"")"),42.84)</f>
        <v>42.84</v>
      </c>
      <c r="Y10" s="8">
        <f t="shared" ca="1" si="5"/>
        <v>-11.046511627906963</v>
      </c>
      <c r="Z10" s="12">
        <f t="shared" si="6"/>
        <v>1159675125.28</v>
      </c>
      <c r="AA10" s="13">
        <f t="shared" ca="1" si="7"/>
        <v>1031571477.72</v>
      </c>
      <c r="AB10" s="63"/>
      <c r="AC10" s="8">
        <v>500009</v>
      </c>
      <c r="AD10" s="8" t="s">
        <v>50</v>
      </c>
      <c r="AE10" s="12">
        <v>63921987</v>
      </c>
      <c r="AF10" s="8">
        <v>54.64</v>
      </c>
      <c r="AG10" s="8">
        <f ca="1">IFERROR(__xludf.DUMMYFUNCTION("GOOGLEFINANCE(""BOM:"" &amp; AC10,""price"")"),45.48)</f>
        <v>45.48</v>
      </c>
      <c r="AH10" s="8">
        <f t="shared" ca="1" si="8"/>
        <v>-16.764275256222554</v>
      </c>
      <c r="AI10" s="12">
        <f t="shared" si="9"/>
        <v>3492697369.6799998</v>
      </c>
      <c r="AJ10" s="13">
        <f t="shared" ca="1" si="10"/>
        <v>2907171968.7599998</v>
      </c>
    </row>
    <row r="11" spans="1:36" x14ac:dyDescent="0.25">
      <c r="A11" s="64"/>
      <c r="B11" s="14">
        <v>505412</v>
      </c>
      <c r="C11" s="14" t="s">
        <v>51</v>
      </c>
      <c r="D11" s="15">
        <v>1977710</v>
      </c>
      <c r="E11" s="8">
        <v>12531.65</v>
      </c>
      <c r="F11" s="14">
        <f ca="1">IFERROR(__xludf.DUMMYFUNCTION("GOOGLEFINANCE(""BOM:"" &amp; B11,""price"")"),11350.95)</f>
        <v>11350.95</v>
      </c>
      <c r="G11" s="14">
        <f t="shared" ca="1" si="0"/>
        <v>-9.4217441438278193</v>
      </c>
      <c r="H11" s="15">
        <f t="shared" si="1"/>
        <v>24783969521.5</v>
      </c>
      <c r="I11" s="16">
        <f t="shared" ca="1" si="2"/>
        <v>22448887324.5</v>
      </c>
      <c r="J11" s="62" t="s">
        <v>52</v>
      </c>
      <c r="K11" s="6">
        <v>543396</v>
      </c>
      <c r="L11" s="6" t="s">
        <v>53</v>
      </c>
      <c r="M11" s="7">
        <v>646060477</v>
      </c>
      <c r="N11" s="10">
        <v>425.45</v>
      </c>
      <c r="O11" s="10">
        <f ca="1">IFERROR(__xludf.DUMMYFUNCTION("GOOGLEFINANCE(""BOM:"" &amp; K11,""price"")"),402.75)</f>
        <v>402.75</v>
      </c>
      <c r="P11" s="8">
        <f t="shared" ca="1" si="12"/>
        <v>-5.3355270889646231</v>
      </c>
      <c r="Q11" s="7">
        <f t="shared" si="13"/>
        <v>274866429939.64999</v>
      </c>
      <c r="R11" s="9">
        <f t="shared" ca="1" si="14"/>
        <v>260200857111.75</v>
      </c>
      <c r="S11" s="63"/>
      <c r="T11" s="8">
        <v>539506</v>
      </c>
      <c r="U11" s="8" t="s">
        <v>54</v>
      </c>
      <c r="V11" s="12">
        <v>17533000</v>
      </c>
      <c r="W11" s="8">
        <v>1.1000000000000001</v>
      </c>
      <c r="X11" s="11">
        <f ca="1">IFERROR(__xludf.DUMMYFUNCTION("GOOGLEFINANCE(""BOM:"" &amp; T11,""price"")"),0.83)</f>
        <v>0.83</v>
      </c>
      <c r="Y11" s="8">
        <f t="shared" ca="1" si="5"/>
        <v>-24.545454545454557</v>
      </c>
      <c r="Z11" s="12">
        <f t="shared" si="6"/>
        <v>19286300</v>
      </c>
      <c r="AA11" s="13">
        <f t="shared" ca="1" si="7"/>
        <v>14552390</v>
      </c>
      <c r="AB11" s="63"/>
      <c r="AC11" s="8">
        <v>543349</v>
      </c>
      <c r="AD11" s="8" t="s">
        <v>55</v>
      </c>
      <c r="AE11" s="12">
        <v>36437062</v>
      </c>
      <c r="AF11" s="8">
        <v>1115</v>
      </c>
      <c r="AG11" s="8">
        <f ca="1">IFERROR(__xludf.DUMMYFUNCTION("GOOGLEFINANCE(""BOM:"" &amp; AC11,""price"")"),1095.2)</f>
        <v>1095.2</v>
      </c>
      <c r="AH11" s="8">
        <f t="shared" ca="1" si="8"/>
        <v>-1.7757847533632247</v>
      </c>
      <c r="AI11" s="12">
        <f t="shared" si="9"/>
        <v>40627324130</v>
      </c>
      <c r="AJ11" s="13">
        <f t="shared" ca="1" si="10"/>
        <v>39905870302.400002</v>
      </c>
    </row>
    <row r="12" spans="1:36" x14ac:dyDescent="0.25">
      <c r="A12" s="62" t="s">
        <v>56</v>
      </c>
      <c r="B12" s="6">
        <v>543439</v>
      </c>
      <c r="C12" s="6" t="s">
        <v>57</v>
      </c>
      <c r="D12" s="7">
        <v>3153000</v>
      </c>
      <c r="E12" s="6">
        <v>16.29</v>
      </c>
      <c r="F12" s="8">
        <f ca="1">IFERROR(__xludf.DUMMYFUNCTION("GOOGLEFINANCE(""BOM:"" &amp; B12,""price"")"),11.65)</f>
        <v>11.65</v>
      </c>
      <c r="G12" s="8">
        <f t="shared" ca="1" si="0"/>
        <v>-28.483732351135661</v>
      </c>
      <c r="H12" s="7">
        <f t="shared" si="1"/>
        <v>51362370</v>
      </c>
      <c r="I12" s="9">
        <f t="shared" ca="1" si="2"/>
        <v>36732450</v>
      </c>
      <c r="J12" s="63"/>
      <c r="K12" s="8">
        <v>543390</v>
      </c>
      <c r="L12" s="8" t="s">
        <v>58</v>
      </c>
      <c r="M12" s="12">
        <v>449499806</v>
      </c>
      <c r="N12" s="10">
        <v>1116.6500000000001</v>
      </c>
      <c r="O12" s="10">
        <f ca="1">IFERROR(__xludf.DUMMYFUNCTION("GOOGLEFINANCE(""BOM:"" &amp; K12,""price"")"),1132)</f>
        <v>1132</v>
      </c>
      <c r="P12" s="8">
        <f t="shared" ca="1" si="12"/>
        <v>1.3746473827967498</v>
      </c>
      <c r="Q12" s="12">
        <f t="shared" si="13"/>
        <v>501933958369.90002</v>
      </c>
      <c r="R12" s="13">
        <f t="shared" ca="1" si="14"/>
        <v>508833780392</v>
      </c>
      <c r="S12" s="63"/>
      <c r="T12" s="8">
        <v>539493</v>
      </c>
      <c r="U12" s="8" t="s">
        <v>59</v>
      </c>
      <c r="V12" s="12">
        <v>3647200</v>
      </c>
      <c r="W12" s="8" t="s">
        <v>60</v>
      </c>
      <c r="X12" s="8" t="s">
        <v>60</v>
      </c>
      <c r="Y12" s="8"/>
      <c r="Z12" s="12"/>
      <c r="AA12" s="13"/>
      <c r="AB12" s="63"/>
      <c r="AC12" s="8">
        <v>590006</v>
      </c>
      <c r="AD12" s="8" t="s">
        <v>61</v>
      </c>
      <c r="AE12" s="12">
        <v>28290372</v>
      </c>
      <c r="AF12" s="8">
        <v>666.35</v>
      </c>
      <c r="AG12" s="8">
        <f ca="1">IFERROR(__xludf.DUMMYFUNCTION("GOOGLEFINANCE(""BOM:"" &amp; AC12,""price"")"),625.35)</f>
        <v>625.35</v>
      </c>
      <c r="AH12" s="8">
        <f t="shared" ca="1" si="8"/>
        <v>-6.1529226382531697</v>
      </c>
      <c r="AI12" s="12">
        <f t="shared" si="9"/>
        <v>18851289382.200001</v>
      </c>
      <c r="AJ12" s="13">
        <f t="shared" ca="1" si="10"/>
        <v>17691384130.200001</v>
      </c>
    </row>
    <row r="13" spans="1:36" x14ac:dyDescent="0.25">
      <c r="A13" s="63"/>
      <c r="B13" s="8">
        <v>542685</v>
      </c>
      <c r="C13" s="8" t="s">
        <v>62</v>
      </c>
      <c r="D13" s="12">
        <v>58186259</v>
      </c>
      <c r="E13" s="8">
        <v>21.36</v>
      </c>
      <c r="F13" s="8">
        <f ca="1">IFERROR(__xludf.DUMMYFUNCTION("GOOGLEFINANCE(""BOM:"" &amp; B13,""price"")"),21.42)</f>
        <v>21.42</v>
      </c>
      <c r="G13" s="8">
        <f t="shared" ca="1" si="0"/>
        <v>0.28089887640450506</v>
      </c>
      <c r="H13" s="12">
        <f t="shared" si="1"/>
        <v>1242858492.24</v>
      </c>
      <c r="I13" s="13">
        <f t="shared" ca="1" si="2"/>
        <v>1246349667.7800002</v>
      </c>
      <c r="J13" s="64"/>
      <c r="K13" s="14">
        <v>543281</v>
      </c>
      <c r="L13" s="14" t="s">
        <v>63</v>
      </c>
      <c r="M13" s="15">
        <v>193687773</v>
      </c>
      <c r="N13" s="17">
        <v>6.61</v>
      </c>
      <c r="O13" s="17">
        <f ca="1">IFERROR(__xludf.DUMMYFUNCTION("GOOGLEFINANCE(""BOM:"" &amp; K13,""price"")"),5.69)</f>
        <v>5.69</v>
      </c>
      <c r="P13" s="14">
        <f t="shared" ca="1" si="12"/>
        <v>-13.918305597579423</v>
      </c>
      <c r="Q13" s="15">
        <f t="shared" si="13"/>
        <v>1280276179.53</v>
      </c>
      <c r="R13" s="16">
        <f t="shared" ca="1" si="14"/>
        <v>1102083428.3700001</v>
      </c>
      <c r="S13" s="63"/>
      <c r="T13" s="8">
        <v>511359</v>
      </c>
      <c r="U13" s="8" t="s">
        <v>64</v>
      </c>
      <c r="V13" s="12">
        <v>7378593</v>
      </c>
      <c r="W13" s="8">
        <v>67.08</v>
      </c>
      <c r="X13" s="11">
        <f ca="1">IFERROR(__xludf.DUMMYFUNCTION("GOOGLEFINANCE(""BOM:"" &amp; T13,""price"")"),55)</f>
        <v>55</v>
      </c>
      <c r="Y13" s="8">
        <f t="shared" ref="Y13:Y30" ca="1" si="15">((X13-W13)/W13)*100</f>
        <v>-18.008348240906376</v>
      </c>
      <c r="Z13" s="12">
        <f t="shared" ref="Z13:Z30" si="16">V13*W13</f>
        <v>494956018.44</v>
      </c>
      <c r="AA13" s="13">
        <f t="shared" ref="AA13:AA30" ca="1" si="17">V13*X13</f>
        <v>405822615</v>
      </c>
      <c r="AB13" s="63"/>
      <c r="AC13" s="8">
        <v>540694</v>
      </c>
      <c r="AD13" s="8" t="s">
        <v>65</v>
      </c>
      <c r="AE13" s="12">
        <v>10362630</v>
      </c>
      <c r="AF13" s="8">
        <v>61.7</v>
      </c>
      <c r="AG13" s="8">
        <f ca="1">IFERROR(__xludf.DUMMYFUNCTION("GOOGLEFINANCE(""BOM:"" &amp; AC13,""price"")"),45.08)</f>
        <v>45.08</v>
      </c>
      <c r="AH13" s="8">
        <f t="shared" ca="1" si="8"/>
        <v>-26.936790923824965</v>
      </c>
      <c r="AI13" s="12">
        <f t="shared" si="9"/>
        <v>639374271</v>
      </c>
      <c r="AJ13" s="13">
        <f t="shared" ca="1" si="10"/>
        <v>467147360.39999998</v>
      </c>
    </row>
    <row r="14" spans="1:36" x14ac:dyDescent="0.25">
      <c r="A14" s="63"/>
      <c r="B14" s="8">
        <v>531259</v>
      </c>
      <c r="C14" s="8" t="s">
        <v>66</v>
      </c>
      <c r="D14" s="12">
        <v>7297720</v>
      </c>
      <c r="E14" s="8">
        <v>6.85</v>
      </c>
      <c r="F14" s="8">
        <f ca="1">IFERROR(__xludf.DUMMYFUNCTION("GOOGLEFINANCE(""BOM:"" &amp; B14,""price"")"),5.99)</f>
        <v>5.99</v>
      </c>
      <c r="G14" s="8">
        <f t="shared" ca="1" si="0"/>
        <v>-12.554744525547438</v>
      </c>
      <c r="H14" s="12">
        <f t="shared" si="1"/>
        <v>49989382</v>
      </c>
      <c r="I14" s="13">
        <f t="shared" ca="1" si="2"/>
        <v>43713342.800000004</v>
      </c>
      <c r="J14" s="62" t="s">
        <v>67</v>
      </c>
      <c r="K14" s="6">
        <v>500043</v>
      </c>
      <c r="L14" s="6" t="s">
        <v>68</v>
      </c>
      <c r="M14" s="7">
        <v>127685105</v>
      </c>
      <c r="N14" s="10">
        <v>1437.45</v>
      </c>
      <c r="O14" s="10">
        <f ca="1">IFERROR(__xludf.DUMMYFUNCTION("GOOGLEFINANCE(""BOM:"" &amp; K14,""price"")"),1363.6)</f>
        <v>1363.6</v>
      </c>
      <c r="P14" s="8">
        <f t="shared" ca="1" si="12"/>
        <v>-5.1375700024348774</v>
      </c>
      <c r="Q14" s="7">
        <f t="shared" si="13"/>
        <v>183540954182.25</v>
      </c>
      <c r="R14" s="9">
        <f t="shared" ca="1" si="14"/>
        <v>174111409178</v>
      </c>
      <c r="S14" s="63"/>
      <c r="T14" s="8">
        <v>539773</v>
      </c>
      <c r="U14" s="8" t="s">
        <v>69</v>
      </c>
      <c r="V14" s="12">
        <v>220175280</v>
      </c>
      <c r="W14" s="8">
        <v>3.07</v>
      </c>
      <c r="X14" s="11">
        <f ca="1">IFERROR(__xludf.DUMMYFUNCTION("GOOGLEFINANCE(""BOM:"" &amp; T14,""price"")"),2.51)</f>
        <v>2.5099999999999998</v>
      </c>
      <c r="Y14" s="8">
        <f t="shared" ca="1" si="15"/>
        <v>-18.241042345276874</v>
      </c>
      <c r="Z14" s="12">
        <f t="shared" si="16"/>
        <v>675938109.60000002</v>
      </c>
      <c r="AA14" s="13">
        <f t="shared" ca="1" si="17"/>
        <v>552639952.79999995</v>
      </c>
      <c r="AB14" s="63"/>
      <c r="AC14" s="8">
        <v>506260</v>
      </c>
      <c r="AD14" s="8" t="s">
        <v>70</v>
      </c>
      <c r="AE14" s="12">
        <v>49776282</v>
      </c>
      <c r="AF14" s="8">
        <v>221.65</v>
      </c>
      <c r="AG14" s="8">
        <f ca="1">IFERROR(__xludf.DUMMYFUNCTION("GOOGLEFINANCE(""BOM:"" &amp; AC14,""price"")"),247)</f>
        <v>247</v>
      </c>
      <c r="AH14" s="8">
        <f t="shared" ca="1" si="8"/>
        <v>11.436950146627563</v>
      </c>
      <c r="AI14" s="12">
        <f t="shared" si="9"/>
        <v>11032912905.300001</v>
      </c>
      <c r="AJ14" s="13">
        <f t="shared" ca="1" si="10"/>
        <v>12294741654</v>
      </c>
    </row>
    <row r="15" spans="1:36" x14ac:dyDescent="0.25">
      <c r="A15" s="63"/>
      <c r="B15" s="8">
        <v>590126</v>
      </c>
      <c r="C15" s="8" t="s">
        <v>71</v>
      </c>
      <c r="D15" s="12">
        <v>21990300</v>
      </c>
      <c r="E15" s="8" t="s">
        <v>44</v>
      </c>
      <c r="F15" s="8" t="s">
        <v>44</v>
      </c>
      <c r="G15" s="8"/>
      <c r="H15" s="12"/>
      <c r="I15" s="13"/>
      <c r="J15" s="63"/>
      <c r="K15" s="8">
        <v>543523</v>
      </c>
      <c r="L15" s="8" t="s">
        <v>72</v>
      </c>
      <c r="M15" s="12">
        <v>304326004</v>
      </c>
      <c r="N15" s="10">
        <v>245.05</v>
      </c>
      <c r="O15" s="10">
        <f ca="1">IFERROR(__xludf.DUMMYFUNCTION("GOOGLEFINANCE(""BOM:"" &amp; K15,""price"")"),214.65)</f>
        <v>214.65</v>
      </c>
      <c r="P15" s="8">
        <f t="shared" ca="1" si="12"/>
        <v>-12.405631503774742</v>
      </c>
      <c r="Q15" s="12">
        <f t="shared" si="13"/>
        <v>74575087280.199997</v>
      </c>
      <c r="R15" s="13">
        <f t="shared" ca="1" si="14"/>
        <v>65323576758.599998</v>
      </c>
      <c r="S15" s="63"/>
      <c r="T15" s="8">
        <v>539177</v>
      </c>
      <c r="U15" s="8" t="s">
        <v>73</v>
      </c>
      <c r="V15" s="12">
        <v>169845100</v>
      </c>
      <c r="W15" s="8">
        <v>843</v>
      </c>
      <c r="X15" s="11">
        <f ca="1">IFERROR(__xludf.DUMMYFUNCTION("GOOGLEFINANCE(""BOM:"" &amp; T15,""price"")"),734.5)</f>
        <v>734.5</v>
      </c>
      <c r="Y15" s="8">
        <f t="shared" ca="1" si="15"/>
        <v>-12.870699881376039</v>
      </c>
      <c r="Z15" s="12">
        <f t="shared" si="16"/>
        <v>143179419300</v>
      </c>
      <c r="AA15" s="13">
        <f t="shared" ca="1" si="17"/>
        <v>124751225950</v>
      </c>
      <c r="AB15" s="63"/>
      <c r="AC15" s="8">
        <v>533573</v>
      </c>
      <c r="AD15" s="8" t="s">
        <v>74</v>
      </c>
      <c r="AE15" s="12">
        <v>194993983</v>
      </c>
      <c r="AF15" s="8">
        <v>1051.05</v>
      </c>
      <c r="AG15" s="8">
        <f ca="1">IFERROR(__xludf.DUMMYFUNCTION("GOOGLEFINANCE(""BOM:"" &amp; AC15,""price"")"),979.4)</f>
        <v>979.4</v>
      </c>
      <c r="AH15" s="8">
        <f t="shared" ca="1" si="8"/>
        <v>-6.8169925312782436</v>
      </c>
      <c r="AI15" s="12">
        <f t="shared" si="9"/>
        <v>204948425832.14999</v>
      </c>
      <c r="AJ15" s="13">
        <f t="shared" ca="1" si="10"/>
        <v>190977106950.19998</v>
      </c>
    </row>
    <row r="16" spans="1:36" x14ac:dyDescent="0.25">
      <c r="A16" s="63"/>
      <c r="B16" s="8">
        <v>532416</v>
      </c>
      <c r="C16" s="8" t="s">
        <v>75</v>
      </c>
      <c r="D16" s="12">
        <v>66891019</v>
      </c>
      <c r="E16" s="8">
        <v>6.65</v>
      </c>
      <c r="F16" s="8">
        <f ca="1">IFERROR(__xludf.DUMMYFUNCTION("GOOGLEFINANCE(""BOM:"" &amp; B16,""price"")"),6.48)</f>
        <v>6.48</v>
      </c>
      <c r="G16" s="8">
        <f t="shared" ref="G16:G17" ca="1" si="18">((F16-E16)/E16)*100</f>
        <v>-2.5563909774436078</v>
      </c>
      <c r="H16" s="12">
        <f t="shared" ref="H16:H17" si="19">D16*E16</f>
        <v>444825276.35000002</v>
      </c>
      <c r="I16" s="13">
        <f t="shared" ref="I16:I17" ca="1" si="20">D16*F16</f>
        <v>433453803.12</v>
      </c>
      <c r="J16" s="63"/>
      <c r="K16" s="8">
        <v>540775</v>
      </c>
      <c r="L16" s="8" t="s">
        <v>76</v>
      </c>
      <c r="M16" s="12">
        <v>17969614</v>
      </c>
      <c r="N16" s="10">
        <v>351.9</v>
      </c>
      <c r="O16" s="10">
        <f ca="1">IFERROR(__xludf.DUMMYFUNCTION("GOOGLEFINANCE(""BOM:"" &amp; K16,""price"")"),305.4)</f>
        <v>305.39999999999998</v>
      </c>
      <c r="P16" s="8">
        <f t="shared" ca="1" si="12"/>
        <v>-13.213981244671782</v>
      </c>
      <c r="Q16" s="12">
        <f t="shared" si="13"/>
        <v>6323507166.5999994</v>
      </c>
      <c r="R16" s="13">
        <f t="shared" ca="1" si="14"/>
        <v>5487920115.5999994</v>
      </c>
      <c r="S16" s="63"/>
      <c r="T16" s="8">
        <v>538778</v>
      </c>
      <c r="U16" s="8" t="s">
        <v>77</v>
      </c>
      <c r="V16" s="12">
        <v>52513105</v>
      </c>
      <c r="W16" s="8">
        <v>23</v>
      </c>
      <c r="X16" s="11">
        <f ca="1">IFERROR(__xludf.DUMMYFUNCTION("GOOGLEFINANCE(""BOM:"" &amp; T16,""price"")"),18.9)</f>
        <v>18.899999999999999</v>
      </c>
      <c r="Y16" s="8">
        <f t="shared" ca="1" si="15"/>
        <v>-17.826086956521745</v>
      </c>
      <c r="Z16" s="12">
        <f t="shared" si="16"/>
        <v>1207801415</v>
      </c>
      <c r="AA16" s="13">
        <f t="shared" ca="1" si="17"/>
        <v>992497684.49999988</v>
      </c>
      <c r="AB16" s="63"/>
      <c r="AC16" s="8">
        <v>524412</v>
      </c>
      <c r="AD16" s="8" t="s">
        <v>78</v>
      </c>
      <c r="AE16" s="12">
        <v>24861725</v>
      </c>
      <c r="AF16" s="8">
        <v>46.7</v>
      </c>
      <c r="AG16" s="8">
        <f ca="1">IFERROR(__xludf.DUMMYFUNCTION("GOOGLEFINANCE(""BOM:"" &amp; AC16,""price"")"),44)</f>
        <v>44</v>
      </c>
      <c r="AH16" s="8">
        <f t="shared" ca="1" si="8"/>
        <v>-5.7815845824411189</v>
      </c>
      <c r="AI16" s="12">
        <f t="shared" si="9"/>
        <v>1161042557.5</v>
      </c>
      <c r="AJ16" s="13">
        <f t="shared" ca="1" si="10"/>
        <v>1093915900</v>
      </c>
    </row>
    <row r="17" spans="1:36" x14ac:dyDescent="0.25">
      <c r="A17" s="63"/>
      <c r="B17" s="8">
        <v>531637</v>
      </c>
      <c r="C17" s="8" t="s">
        <v>79</v>
      </c>
      <c r="D17" s="12">
        <v>18484000</v>
      </c>
      <c r="E17" s="8">
        <v>886.55</v>
      </c>
      <c r="F17" s="8">
        <f ca="1">IFERROR(__xludf.DUMMYFUNCTION("GOOGLEFINANCE(""BOM:"" &amp; B17,""price"")"),990.45)</f>
        <v>990.45</v>
      </c>
      <c r="G17" s="8">
        <f t="shared" ca="1" si="18"/>
        <v>11.719587163724562</v>
      </c>
      <c r="H17" s="12">
        <f t="shared" si="19"/>
        <v>16386990200</v>
      </c>
      <c r="I17" s="13">
        <f t="shared" ca="1" si="20"/>
        <v>18307477800</v>
      </c>
      <c r="J17" s="63"/>
      <c r="K17" s="8">
        <v>526596</v>
      </c>
      <c r="L17" s="8" t="s">
        <v>80</v>
      </c>
      <c r="M17" s="12">
        <v>16871211</v>
      </c>
      <c r="N17" s="10">
        <v>298.45</v>
      </c>
      <c r="O17" s="10">
        <f ca="1">IFERROR(__xludf.DUMMYFUNCTION("GOOGLEFINANCE(""BOM:"" &amp; K17,""price"")"),283.95)</f>
        <v>283.95</v>
      </c>
      <c r="P17" s="8">
        <f t="shared" ca="1" si="12"/>
        <v>-4.8584352487853915</v>
      </c>
      <c r="Q17" s="12">
        <f t="shared" si="13"/>
        <v>5035212922.9499998</v>
      </c>
      <c r="R17" s="13">
        <f t="shared" ca="1" si="14"/>
        <v>4790580363.4499998</v>
      </c>
      <c r="S17" s="63"/>
      <c r="T17" s="8">
        <v>530499</v>
      </c>
      <c r="U17" s="8" t="s">
        <v>81</v>
      </c>
      <c r="V17" s="12">
        <v>6579780</v>
      </c>
      <c r="W17" s="8">
        <v>1038.2</v>
      </c>
      <c r="X17" s="11">
        <f ca="1">IFERROR(__xludf.DUMMYFUNCTION("GOOGLEFINANCE(""BOM:"" &amp; T17,""price"")"),912.45)</f>
        <v>912.45</v>
      </c>
      <c r="Y17" s="8">
        <f t="shared" ca="1" si="15"/>
        <v>-12.112309766904257</v>
      </c>
      <c r="Z17" s="12">
        <f t="shared" si="16"/>
        <v>6831127596</v>
      </c>
      <c r="AA17" s="13">
        <f t="shared" ca="1" si="17"/>
        <v>6003720261</v>
      </c>
      <c r="AB17" s="63"/>
      <c r="AC17" s="8">
        <v>506820</v>
      </c>
      <c r="AD17" s="8" t="s">
        <v>82</v>
      </c>
      <c r="AE17" s="12">
        <v>24834485</v>
      </c>
      <c r="AF17" s="8">
        <v>5449.35</v>
      </c>
      <c r="AG17" s="8">
        <f ca="1">IFERROR(__xludf.DUMMYFUNCTION("GOOGLEFINANCE(""BOM:"" &amp; AC17,""price"")"),5271)</f>
        <v>5271</v>
      </c>
      <c r="AH17" s="8">
        <f t="shared" ca="1" si="8"/>
        <v>-3.2728674062044161</v>
      </c>
      <c r="AI17" s="12">
        <f t="shared" si="9"/>
        <v>135331800834.75002</v>
      </c>
      <c r="AJ17" s="13">
        <f t="shared" ca="1" si="10"/>
        <v>130902570435</v>
      </c>
    </row>
    <row r="18" spans="1:36" x14ac:dyDescent="0.25">
      <c r="A18" s="63"/>
      <c r="B18" s="8">
        <v>509077</v>
      </c>
      <c r="C18" s="8" t="s">
        <v>83</v>
      </c>
      <c r="D18" s="12">
        <v>22169769</v>
      </c>
      <c r="E18" s="8" t="s">
        <v>44</v>
      </c>
      <c r="F18" s="8" t="s">
        <v>44</v>
      </c>
      <c r="G18" s="8"/>
      <c r="H18" s="12"/>
      <c r="I18" s="13"/>
      <c r="J18" s="63"/>
      <c r="K18" s="8">
        <v>543426</v>
      </c>
      <c r="L18" s="8" t="s">
        <v>84</v>
      </c>
      <c r="M18" s="12">
        <v>271507424</v>
      </c>
      <c r="N18" s="10">
        <v>1140</v>
      </c>
      <c r="O18" s="10">
        <f ca="1">IFERROR(__xludf.DUMMYFUNCTION("GOOGLEFINANCE(""BOM:"" &amp; K18,""price"")"),1136.25)</f>
        <v>1136.25</v>
      </c>
      <c r="P18" s="8">
        <f t="shared" ca="1" si="12"/>
        <v>-0.3289473684210526</v>
      </c>
      <c r="Q18" s="12">
        <f t="shared" si="13"/>
        <v>309518463360</v>
      </c>
      <c r="R18" s="13">
        <f t="shared" ca="1" si="14"/>
        <v>308500310520</v>
      </c>
      <c r="S18" s="63"/>
      <c r="T18" s="8">
        <v>538952</v>
      </c>
      <c r="U18" s="8" t="s">
        <v>85</v>
      </c>
      <c r="V18" s="12">
        <v>46083000</v>
      </c>
      <c r="W18" s="8">
        <v>2.23</v>
      </c>
      <c r="X18" s="11">
        <f ca="1">IFERROR(__xludf.DUMMYFUNCTION("GOOGLEFINANCE(""BOM:"" &amp; T18,""price"")"),2.02)</f>
        <v>2.02</v>
      </c>
      <c r="Y18" s="8">
        <f t="shared" ca="1" si="15"/>
        <v>-9.4170403587443925</v>
      </c>
      <c r="Z18" s="12">
        <f t="shared" si="16"/>
        <v>102765090</v>
      </c>
      <c r="AA18" s="13">
        <f t="shared" ca="1" si="17"/>
        <v>93087660</v>
      </c>
      <c r="AB18" s="63"/>
      <c r="AC18" s="8">
        <v>530233</v>
      </c>
      <c r="AD18" s="8" t="s">
        <v>86</v>
      </c>
      <c r="AE18" s="12">
        <v>5274582</v>
      </c>
      <c r="AF18" s="8">
        <v>159.15</v>
      </c>
      <c r="AG18" s="8">
        <f ca="1">IFERROR(__xludf.DUMMYFUNCTION("GOOGLEFINANCE(""BOM:"" &amp; AC18,""price"")"),161.15)</f>
        <v>161.15</v>
      </c>
      <c r="AH18" s="8">
        <f t="shared" ca="1" si="8"/>
        <v>1.2566760917373547</v>
      </c>
      <c r="AI18" s="12">
        <f t="shared" si="9"/>
        <v>839449725.30000007</v>
      </c>
      <c r="AJ18" s="13">
        <f t="shared" ca="1" si="10"/>
        <v>849998889.30000007</v>
      </c>
    </row>
    <row r="19" spans="1:36" x14ac:dyDescent="0.25">
      <c r="A19" s="63"/>
      <c r="B19" s="8">
        <v>543341</v>
      </c>
      <c r="C19" s="8" t="s">
        <v>87</v>
      </c>
      <c r="D19" s="12">
        <v>11093595</v>
      </c>
      <c r="E19" s="8">
        <v>7.83</v>
      </c>
      <c r="F19" s="8">
        <f ca="1">IFERROR(__xludf.DUMMYFUNCTION("GOOGLEFINANCE(""BOM:"" &amp; B19,""price"")"),6.5)</f>
        <v>6.5</v>
      </c>
      <c r="G19" s="8">
        <f t="shared" ref="G19:G218" ca="1" si="21">((F19-E19)/E19)*100</f>
        <v>-16.985951468710088</v>
      </c>
      <c r="H19" s="12">
        <f t="shared" ref="H19:H218" si="22">D19*E19</f>
        <v>86862848.849999994</v>
      </c>
      <c r="I19" s="13">
        <f t="shared" ref="I19:I218" ca="1" si="23">D19*F19</f>
        <v>72108367.5</v>
      </c>
      <c r="J19" s="63"/>
      <c r="K19" s="8">
        <v>530517</v>
      </c>
      <c r="L19" s="8" t="s">
        <v>88</v>
      </c>
      <c r="M19" s="12">
        <v>248354021</v>
      </c>
      <c r="N19" s="10">
        <v>836.85</v>
      </c>
      <c r="O19" s="10">
        <f ca="1">IFERROR(__xludf.DUMMYFUNCTION("GOOGLEFINANCE(""BOM:"" &amp; K19,""price"")"),820)</f>
        <v>820</v>
      </c>
      <c r="P19" s="8">
        <f t="shared" ca="1" si="12"/>
        <v>-2.0135030172671353</v>
      </c>
      <c r="Q19" s="12">
        <f t="shared" si="13"/>
        <v>207835062473.85001</v>
      </c>
      <c r="R19" s="13">
        <f t="shared" ca="1" si="14"/>
        <v>203650297220</v>
      </c>
      <c r="S19" s="63"/>
      <c r="T19" s="8">
        <v>505216</v>
      </c>
      <c r="U19" s="8" t="s">
        <v>89</v>
      </c>
      <c r="V19" s="12">
        <v>735255</v>
      </c>
      <c r="W19" s="8">
        <v>1772</v>
      </c>
      <c r="X19" s="11">
        <f ca="1">IFERROR(__xludf.DUMMYFUNCTION("GOOGLEFINANCE(""BOM:"" &amp; T19,""price"")"),1465)</f>
        <v>1465</v>
      </c>
      <c r="Y19" s="8">
        <f t="shared" ca="1" si="15"/>
        <v>-17.325056433408577</v>
      </c>
      <c r="Z19" s="12">
        <f t="shared" si="16"/>
        <v>1302871860</v>
      </c>
      <c r="AA19" s="13">
        <f t="shared" ca="1" si="17"/>
        <v>1077148575</v>
      </c>
      <c r="AB19" s="63"/>
      <c r="AC19" s="8">
        <v>524804</v>
      </c>
      <c r="AD19" s="8" t="s">
        <v>90</v>
      </c>
      <c r="AE19" s="12">
        <v>584866452</v>
      </c>
      <c r="AF19" s="8">
        <v>1026.5</v>
      </c>
      <c r="AG19" s="8">
        <f ca="1">IFERROR(__xludf.DUMMYFUNCTION("GOOGLEFINANCE(""BOM:"" &amp; AC19,""price"")"),1089.45)</f>
        <v>1089.45</v>
      </c>
      <c r="AH19" s="8">
        <f t="shared" ca="1" si="8"/>
        <v>6.132489040428645</v>
      </c>
      <c r="AI19" s="12">
        <f t="shared" si="9"/>
        <v>600365412978</v>
      </c>
      <c r="AJ19" s="13">
        <f t="shared" ca="1" si="10"/>
        <v>637182756131.40002</v>
      </c>
    </row>
    <row r="20" spans="1:36" x14ac:dyDescent="0.25">
      <c r="A20" s="63"/>
      <c r="B20" s="8">
        <v>541799</v>
      </c>
      <c r="C20" s="8" t="s">
        <v>91</v>
      </c>
      <c r="D20" s="12">
        <v>500000</v>
      </c>
      <c r="E20" s="8">
        <v>18.45</v>
      </c>
      <c r="F20" s="8">
        <f ca="1">IFERROR(__xludf.DUMMYFUNCTION("GOOGLEFINANCE(""BOM:"" &amp; B20,""price"")"),19.95)</f>
        <v>19.95</v>
      </c>
      <c r="G20" s="8">
        <f t="shared" ca="1" si="21"/>
        <v>8.1300813008130071</v>
      </c>
      <c r="H20" s="12">
        <f t="shared" si="22"/>
        <v>9225000</v>
      </c>
      <c r="I20" s="13">
        <f t="shared" ca="1" si="23"/>
        <v>9975000</v>
      </c>
      <c r="J20" s="64"/>
      <c r="K20" s="14">
        <v>535601</v>
      </c>
      <c r="L20" s="14" t="s">
        <v>92</v>
      </c>
      <c r="M20" s="15">
        <v>23129599</v>
      </c>
      <c r="N20" s="17">
        <v>309.89999999999998</v>
      </c>
      <c r="O20" s="17">
        <f ca="1">IFERROR(__xludf.DUMMYFUNCTION("GOOGLEFINANCE(""BOM:"" &amp; K20,""price"")"),276)</f>
        <v>276</v>
      </c>
      <c r="P20" s="14">
        <f t="shared" ca="1" si="12"/>
        <v>-10.939012584704736</v>
      </c>
      <c r="Q20" s="15">
        <f t="shared" si="13"/>
        <v>7167862730.0999994</v>
      </c>
      <c r="R20" s="16">
        <f t="shared" ca="1" si="14"/>
        <v>6383769324</v>
      </c>
      <c r="S20" s="63"/>
      <c r="T20" s="8">
        <v>538863</v>
      </c>
      <c r="U20" s="8" t="s">
        <v>93</v>
      </c>
      <c r="V20" s="12">
        <v>6785540</v>
      </c>
      <c r="W20" s="8">
        <v>7.77</v>
      </c>
      <c r="X20" s="11">
        <f ca="1">IFERROR(__xludf.DUMMYFUNCTION("GOOGLEFINANCE(""BOM:"" &amp; T20,""price"")"),7.77)</f>
        <v>7.77</v>
      </c>
      <c r="Y20" s="8">
        <f t="shared" ca="1" si="15"/>
        <v>0</v>
      </c>
      <c r="Z20" s="12">
        <f t="shared" si="16"/>
        <v>52723645.799999997</v>
      </c>
      <c r="AA20" s="13">
        <f t="shared" ca="1" si="17"/>
        <v>52723645.799999997</v>
      </c>
      <c r="AB20" s="63"/>
      <c r="AC20" s="8">
        <v>532989</v>
      </c>
      <c r="AD20" s="8" t="s">
        <v>94</v>
      </c>
      <c r="AE20" s="12">
        <v>23648295</v>
      </c>
      <c r="AF20" s="8">
        <v>88</v>
      </c>
      <c r="AG20" s="8">
        <f ca="1">IFERROR(__xludf.DUMMYFUNCTION("GOOGLEFINANCE(""BOM:"" &amp; AC20,""price"")"),76.5)</f>
        <v>76.5</v>
      </c>
      <c r="AH20" s="8">
        <f t="shared" ca="1" si="8"/>
        <v>-13.068181818181818</v>
      </c>
      <c r="AI20" s="12">
        <f t="shared" si="9"/>
        <v>2081049960</v>
      </c>
      <c r="AJ20" s="13">
        <f t="shared" ca="1" si="10"/>
        <v>1809094567.5</v>
      </c>
    </row>
    <row r="21" spans="1:36" x14ac:dyDescent="0.25">
      <c r="A21" s="63"/>
      <c r="B21" s="8">
        <v>539310</v>
      </c>
      <c r="C21" s="8" t="s">
        <v>95</v>
      </c>
      <c r="D21" s="12">
        <v>29627955</v>
      </c>
      <c r="E21" s="8">
        <v>73.599999999999994</v>
      </c>
      <c r="F21" s="8">
        <f ca="1">IFERROR(__xludf.DUMMYFUNCTION("GOOGLEFINANCE(""BOM:"" &amp; B21,""price"")"),34.99)</f>
        <v>34.99</v>
      </c>
      <c r="G21" s="8">
        <f t="shared" ca="1" si="21"/>
        <v>-52.459239130434774</v>
      </c>
      <c r="H21" s="12">
        <f t="shared" si="22"/>
        <v>2180617488</v>
      </c>
      <c r="I21" s="13">
        <f t="shared" ca="1" si="23"/>
        <v>1036682145.45</v>
      </c>
      <c r="J21" s="62" t="s">
        <v>96</v>
      </c>
      <c r="K21" s="6">
        <v>540954</v>
      </c>
      <c r="L21" s="6" t="s">
        <v>97</v>
      </c>
      <c r="M21" s="7">
        <v>59930294</v>
      </c>
      <c r="N21" s="10">
        <v>34</v>
      </c>
      <c r="O21" s="10">
        <f ca="1">IFERROR(__xludf.DUMMYFUNCTION("GOOGLEFINANCE(""BOM:"" &amp; K21,""price"")"),28.15)</f>
        <v>28.15</v>
      </c>
      <c r="P21" s="8">
        <f t="shared" ca="1" si="12"/>
        <v>-17.205882352941181</v>
      </c>
      <c r="Q21" s="7">
        <f t="shared" si="13"/>
        <v>2037629996</v>
      </c>
      <c r="R21" s="9">
        <f t="shared" ca="1" si="14"/>
        <v>1687037776.0999999</v>
      </c>
      <c r="S21" s="63"/>
      <c r="T21" s="8">
        <v>538465</v>
      </c>
      <c r="U21" s="8" t="s">
        <v>98</v>
      </c>
      <c r="V21" s="12">
        <v>2724026</v>
      </c>
      <c r="W21" s="8">
        <v>50.35</v>
      </c>
      <c r="X21" s="11">
        <f ca="1">IFERROR(__xludf.DUMMYFUNCTION("GOOGLEFINANCE(""BOM:"" &amp; T21,""price"")"),56.44)</f>
        <v>56.44</v>
      </c>
      <c r="Y21" s="8">
        <f t="shared" ca="1" si="15"/>
        <v>12.095332671300886</v>
      </c>
      <c r="Z21" s="12">
        <f t="shared" si="16"/>
        <v>137154709.09999999</v>
      </c>
      <c r="AA21" s="13">
        <f t="shared" ca="1" si="17"/>
        <v>153744027.44</v>
      </c>
      <c r="AB21" s="63"/>
      <c r="AC21" s="8">
        <v>539872</v>
      </c>
      <c r="AD21" s="8" t="s">
        <v>99</v>
      </c>
      <c r="AE21" s="12">
        <v>27598400</v>
      </c>
      <c r="AF21" s="8">
        <v>336</v>
      </c>
      <c r="AG21" s="8">
        <f ca="1">IFERROR(__xludf.DUMMYFUNCTION("GOOGLEFINANCE(""BOM:"" &amp; AC21,""price"")"),292.5)</f>
        <v>292.5</v>
      </c>
      <c r="AH21" s="8">
        <f t="shared" ca="1" si="8"/>
        <v>-12.946428571428573</v>
      </c>
      <c r="AI21" s="12">
        <f t="shared" si="9"/>
        <v>9273062400</v>
      </c>
      <c r="AJ21" s="13">
        <f t="shared" ca="1" si="10"/>
        <v>8072532000</v>
      </c>
    </row>
    <row r="22" spans="1:36" x14ac:dyDescent="0.25">
      <c r="A22" s="63"/>
      <c r="B22" s="8">
        <v>526441</v>
      </c>
      <c r="C22" s="8" t="s">
        <v>100</v>
      </c>
      <c r="D22" s="12">
        <v>67686209</v>
      </c>
      <c r="E22" s="8">
        <v>2.4300000000000002</v>
      </c>
      <c r="F22" s="8">
        <f ca="1">IFERROR(__xludf.DUMMYFUNCTION("GOOGLEFINANCE(""BOM:"" &amp; B22,""price"")"),1.84)</f>
        <v>1.84</v>
      </c>
      <c r="G22" s="8">
        <f t="shared" ca="1" si="21"/>
        <v>-24.279835390946502</v>
      </c>
      <c r="H22" s="12">
        <f t="shared" si="22"/>
        <v>164477487.87</v>
      </c>
      <c r="I22" s="13">
        <f t="shared" ca="1" si="23"/>
        <v>124542624.56</v>
      </c>
      <c r="J22" s="63"/>
      <c r="K22" s="8">
        <v>516062</v>
      </c>
      <c r="L22" s="8" t="s">
        <v>101</v>
      </c>
      <c r="M22" s="12">
        <v>23723820</v>
      </c>
      <c r="N22" s="10">
        <v>5.98</v>
      </c>
      <c r="O22" s="10">
        <f ca="1">IFERROR(__xludf.DUMMYFUNCTION("GOOGLEFINANCE(""BOM:"" &amp; K22,""price"")"),4.1)</f>
        <v>4.0999999999999996</v>
      </c>
      <c r="P22" s="8">
        <f t="shared" ca="1" si="12"/>
        <v>-31.438127090301016</v>
      </c>
      <c r="Q22" s="12">
        <f t="shared" si="13"/>
        <v>141868443.60000002</v>
      </c>
      <c r="R22" s="13">
        <f t="shared" ca="1" si="14"/>
        <v>97267661.999999985</v>
      </c>
      <c r="S22" s="63"/>
      <c r="T22" s="8">
        <v>531252</v>
      </c>
      <c r="U22" s="8" t="s">
        <v>102</v>
      </c>
      <c r="V22" s="12">
        <v>2461310</v>
      </c>
      <c r="W22" s="8">
        <v>7.56</v>
      </c>
      <c r="X22" s="11">
        <f ca="1">IFERROR(__xludf.DUMMYFUNCTION("GOOGLEFINANCE(""BOM:"" &amp; T22,""price"")"),7.19)</f>
        <v>7.19</v>
      </c>
      <c r="Y22" s="8">
        <f t="shared" ca="1" si="15"/>
        <v>-4.8941798941798842</v>
      </c>
      <c r="Z22" s="12">
        <f t="shared" si="16"/>
        <v>18607503.599999998</v>
      </c>
      <c r="AA22" s="13">
        <f t="shared" ca="1" si="17"/>
        <v>17696818.900000002</v>
      </c>
      <c r="AB22" s="63"/>
      <c r="AC22" s="8">
        <v>524824</v>
      </c>
      <c r="AD22" s="8" t="s">
        <v>103</v>
      </c>
      <c r="AE22" s="12">
        <v>15438463</v>
      </c>
      <c r="AF22" s="8">
        <v>112.15</v>
      </c>
      <c r="AG22" s="8">
        <f ca="1">IFERROR(__xludf.DUMMYFUNCTION("GOOGLEFINANCE(""BOM:"" &amp; AC22,""price"")"),91.05)</f>
        <v>91.05</v>
      </c>
      <c r="AH22" s="8">
        <f t="shared" ca="1" si="8"/>
        <v>-18.814088274632194</v>
      </c>
      <c r="AI22" s="12">
        <f t="shared" si="9"/>
        <v>1731423625.45</v>
      </c>
      <c r="AJ22" s="13">
        <f t="shared" ca="1" si="10"/>
        <v>1405672056.1499999</v>
      </c>
    </row>
    <row r="23" spans="1:36" x14ac:dyDescent="0.25">
      <c r="A23" s="64"/>
      <c r="B23" s="14">
        <v>531337</v>
      </c>
      <c r="C23" s="14" t="s">
        <v>104</v>
      </c>
      <c r="D23" s="15">
        <v>99113160</v>
      </c>
      <c r="E23" s="8">
        <v>3.08</v>
      </c>
      <c r="F23" s="14">
        <f ca="1">IFERROR(__xludf.DUMMYFUNCTION("GOOGLEFINANCE(""BOM:"" &amp; B23,""price"")"),2.29)</f>
        <v>2.29</v>
      </c>
      <c r="G23" s="14">
        <f t="shared" ca="1" si="21"/>
        <v>-25.649350649350648</v>
      </c>
      <c r="H23" s="15">
        <f t="shared" si="22"/>
        <v>305268532.80000001</v>
      </c>
      <c r="I23" s="16">
        <f t="shared" ca="1" si="23"/>
        <v>226969136.40000001</v>
      </c>
      <c r="J23" s="64"/>
      <c r="K23" s="14">
        <v>526951</v>
      </c>
      <c r="L23" s="14" t="s">
        <v>105</v>
      </c>
      <c r="M23" s="15">
        <v>16530940</v>
      </c>
      <c r="N23" s="17">
        <v>1557.95</v>
      </c>
      <c r="O23" s="17">
        <f ca="1">IFERROR(__xludf.DUMMYFUNCTION("GOOGLEFINANCE(""BOM:"" &amp; K23,""price"")"),1560.9)</f>
        <v>1560.9</v>
      </c>
      <c r="P23" s="14">
        <f t="shared" ca="1" si="12"/>
        <v>0.18935139125132677</v>
      </c>
      <c r="Q23" s="15">
        <f t="shared" si="13"/>
        <v>25754377973</v>
      </c>
      <c r="R23" s="16">
        <f t="shared" ca="1" si="14"/>
        <v>25803144246</v>
      </c>
      <c r="S23" s="63"/>
      <c r="T23" s="8">
        <v>531878</v>
      </c>
      <c r="U23" s="8" t="s">
        <v>106</v>
      </c>
      <c r="V23" s="12">
        <v>9456595</v>
      </c>
      <c r="W23" s="8">
        <v>14.29</v>
      </c>
      <c r="X23" s="11">
        <f ca="1">IFERROR(__xludf.DUMMYFUNCTION("GOOGLEFINANCE(""BOM:"" &amp; T23,""price"")"),12.48)</f>
        <v>12.48</v>
      </c>
      <c r="Y23" s="8">
        <f t="shared" ca="1" si="15"/>
        <v>-12.666200139958002</v>
      </c>
      <c r="Z23" s="12">
        <f t="shared" si="16"/>
        <v>135134742.54999998</v>
      </c>
      <c r="AA23" s="13">
        <f t="shared" ca="1" si="17"/>
        <v>118018305.60000001</v>
      </c>
      <c r="AB23" s="63"/>
      <c r="AC23" s="8">
        <v>524828</v>
      </c>
      <c r="AD23" s="8" t="s">
        <v>107</v>
      </c>
      <c r="AE23" s="12">
        <v>5639890</v>
      </c>
      <c r="AF23" s="8">
        <v>301.25</v>
      </c>
      <c r="AG23" s="8">
        <f ca="1">IFERROR(__xludf.DUMMYFUNCTION("GOOGLEFINANCE(""BOM:"" &amp; AC23,""price"")"),287.95)</f>
        <v>287.95</v>
      </c>
      <c r="AH23" s="8">
        <f t="shared" ca="1" si="8"/>
        <v>-4.4149377593361034</v>
      </c>
      <c r="AI23" s="12">
        <f t="shared" si="9"/>
        <v>1699016862.5</v>
      </c>
      <c r="AJ23" s="13">
        <f t="shared" ca="1" si="10"/>
        <v>1624006325.5</v>
      </c>
    </row>
    <row r="24" spans="1:36" x14ac:dyDescent="0.25">
      <c r="A24" s="62" t="s">
        <v>108</v>
      </c>
      <c r="B24" s="6">
        <v>540879</v>
      </c>
      <c r="C24" s="6" t="s">
        <v>109</v>
      </c>
      <c r="D24" s="7">
        <v>207638780</v>
      </c>
      <c r="E24" s="6">
        <v>134</v>
      </c>
      <c r="F24" s="8">
        <f ca="1">IFERROR(__xludf.DUMMYFUNCTION("GOOGLEFINANCE(""BOM:"" &amp; B24,""price"")"),95.3)</f>
        <v>95.3</v>
      </c>
      <c r="G24" s="8">
        <f t="shared" ca="1" si="21"/>
        <v>-28.880597014925375</v>
      </c>
      <c r="H24" s="7">
        <f t="shared" si="22"/>
        <v>27823596520</v>
      </c>
      <c r="I24" s="9">
        <f t="shared" ca="1" si="23"/>
        <v>19787975734</v>
      </c>
      <c r="J24" s="62" t="s">
        <v>110</v>
      </c>
      <c r="K24" s="6">
        <v>513729</v>
      </c>
      <c r="L24" s="6" t="s">
        <v>111</v>
      </c>
      <c r="M24" s="7">
        <v>14997213</v>
      </c>
      <c r="N24" s="10">
        <v>55.2</v>
      </c>
      <c r="O24" s="10">
        <f ca="1">IFERROR(__xludf.DUMMYFUNCTION("GOOGLEFINANCE(""BOM:"" &amp; K24,""price"")"),43.95)</f>
        <v>43.95</v>
      </c>
      <c r="P24" s="8">
        <f t="shared" ca="1" si="12"/>
        <v>-20.380434782608695</v>
      </c>
      <c r="Q24" s="7">
        <f t="shared" si="13"/>
        <v>827846157.60000002</v>
      </c>
      <c r="R24" s="9">
        <f t="shared" ca="1" si="14"/>
        <v>659127511.35000002</v>
      </c>
      <c r="S24" s="63"/>
      <c r="T24" s="8">
        <v>530799</v>
      </c>
      <c r="U24" s="8" t="s">
        <v>112</v>
      </c>
      <c r="V24" s="12">
        <v>3464263</v>
      </c>
      <c r="W24" s="8">
        <v>29.5</v>
      </c>
      <c r="X24" s="11">
        <f ca="1">IFERROR(__xludf.DUMMYFUNCTION("GOOGLEFINANCE(""BOM:"" &amp; T24,""price"")"),26.2)</f>
        <v>26.2</v>
      </c>
      <c r="Y24" s="8">
        <f t="shared" ca="1" si="15"/>
        <v>-11.186440677966104</v>
      </c>
      <c r="Z24" s="12">
        <f t="shared" si="16"/>
        <v>102195758.5</v>
      </c>
      <c r="AA24" s="13">
        <f t="shared" ca="1" si="17"/>
        <v>90763690.599999994</v>
      </c>
      <c r="AB24" s="63"/>
      <c r="AC24" s="8">
        <v>524606</v>
      </c>
      <c r="AD24" s="8" t="s">
        <v>113</v>
      </c>
      <c r="AE24" s="12">
        <v>3771500</v>
      </c>
      <c r="AF24" s="8">
        <v>37.880000000000003</v>
      </c>
      <c r="AG24" s="8">
        <f ca="1">IFERROR(__xludf.DUMMYFUNCTION("GOOGLEFINANCE(""BOM:"" &amp; AC24,""price"")"),29.1)</f>
        <v>29.1</v>
      </c>
      <c r="AH24" s="8">
        <f t="shared" ca="1" si="8"/>
        <v>-23.178458289334746</v>
      </c>
      <c r="AI24" s="12">
        <f t="shared" si="9"/>
        <v>142864420</v>
      </c>
      <c r="AJ24" s="13">
        <f t="shared" ca="1" si="10"/>
        <v>109750650</v>
      </c>
    </row>
    <row r="25" spans="1:36" x14ac:dyDescent="0.25">
      <c r="A25" s="63"/>
      <c r="B25" s="8">
        <v>532493</v>
      </c>
      <c r="C25" s="8" t="s">
        <v>114</v>
      </c>
      <c r="D25" s="12">
        <v>86133590</v>
      </c>
      <c r="E25" s="8">
        <v>613.4</v>
      </c>
      <c r="F25" s="8">
        <f ca="1">IFERROR(__xludf.DUMMYFUNCTION("GOOGLEFINANCE(""BOM:"" &amp; B25,""price"")"),595.7)</f>
        <v>595.70000000000005</v>
      </c>
      <c r="G25" s="8">
        <f t="shared" ca="1" si="21"/>
        <v>-2.8855559178350072</v>
      </c>
      <c r="H25" s="12">
        <f t="shared" si="22"/>
        <v>52834344106</v>
      </c>
      <c r="I25" s="13">
        <f t="shared" ca="1" si="23"/>
        <v>51309779563.000008</v>
      </c>
      <c r="J25" s="63"/>
      <c r="K25" s="8">
        <v>532888</v>
      </c>
      <c r="L25" s="8" t="s">
        <v>115</v>
      </c>
      <c r="M25" s="12">
        <v>126744833</v>
      </c>
      <c r="N25" s="10">
        <v>64.34</v>
      </c>
      <c r="O25" s="10">
        <f ca="1">IFERROR(__xludf.DUMMYFUNCTION("GOOGLEFINANCE(""BOM:"" &amp; K25,""price"")"),57.22)</f>
        <v>57.22</v>
      </c>
      <c r="P25" s="8">
        <f t="shared" ca="1" si="12"/>
        <v>-11.066210755362144</v>
      </c>
      <c r="Q25" s="12">
        <f t="shared" si="13"/>
        <v>8154762555.2200003</v>
      </c>
      <c r="R25" s="13">
        <f t="shared" ca="1" si="14"/>
        <v>7252339344.2600002</v>
      </c>
      <c r="S25" s="63"/>
      <c r="T25" s="8">
        <v>530109</v>
      </c>
      <c r="U25" s="8" t="s">
        <v>116</v>
      </c>
      <c r="V25" s="12">
        <v>113417491</v>
      </c>
      <c r="W25" s="8">
        <v>2.4900000000000002</v>
      </c>
      <c r="X25" s="11">
        <f ca="1">IFERROR(__xludf.DUMMYFUNCTION("GOOGLEFINANCE(""BOM:"" &amp; T25,""price"")"),2.02)</f>
        <v>2.02</v>
      </c>
      <c r="Y25" s="8">
        <f t="shared" ca="1" si="15"/>
        <v>-18.875502008032136</v>
      </c>
      <c r="Z25" s="12">
        <f t="shared" si="16"/>
        <v>282409552.59000003</v>
      </c>
      <c r="AA25" s="13">
        <f t="shared" ca="1" si="17"/>
        <v>229103331.81999999</v>
      </c>
      <c r="AB25" s="63"/>
      <c r="AC25" s="8">
        <v>524663</v>
      </c>
      <c r="AD25" s="8" t="s">
        <v>117</v>
      </c>
      <c r="AE25" s="12">
        <v>42204423</v>
      </c>
      <c r="AF25" s="8">
        <v>33.090000000000003</v>
      </c>
      <c r="AG25" s="8">
        <f ca="1">IFERROR(__xludf.DUMMYFUNCTION("GOOGLEFINANCE(""BOM:"" &amp; AC25,""price"")"),28.28)</f>
        <v>28.28</v>
      </c>
      <c r="AH25" s="8">
        <f t="shared" ca="1" si="8"/>
        <v>-14.53611362949532</v>
      </c>
      <c r="AI25" s="12">
        <f t="shared" si="9"/>
        <v>1396544357.0700002</v>
      </c>
      <c r="AJ25" s="13">
        <f t="shared" ca="1" si="10"/>
        <v>1193541082.4400001</v>
      </c>
    </row>
    <row r="26" spans="1:36" x14ac:dyDescent="0.25">
      <c r="A26" s="63"/>
      <c r="B26" s="8">
        <v>541143</v>
      </c>
      <c r="C26" s="8" t="s">
        <v>118</v>
      </c>
      <c r="D26" s="12">
        <v>183281240</v>
      </c>
      <c r="E26" s="8">
        <v>1840.75</v>
      </c>
      <c r="F26" s="8">
        <f ca="1">IFERROR(__xludf.DUMMYFUNCTION("GOOGLEFINANCE(""BOM:"" &amp; B26,""price"")"),1750)</f>
        <v>1750</v>
      </c>
      <c r="G26" s="8">
        <f t="shared" ca="1" si="21"/>
        <v>-4.930055683824528</v>
      </c>
      <c r="H26" s="12">
        <f t="shared" si="22"/>
        <v>337374942530</v>
      </c>
      <c r="I26" s="13">
        <f t="shared" ca="1" si="23"/>
        <v>320742170000</v>
      </c>
      <c r="J26" s="63"/>
      <c r="K26" s="8">
        <v>526705</v>
      </c>
      <c r="L26" s="8" t="s">
        <v>119</v>
      </c>
      <c r="M26" s="12">
        <v>3630190</v>
      </c>
      <c r="N26" s="10">
        <v>272.64999999999998</v>
      </c>
      <c r="O26" s="10">
        <f ca="1">IFERROR(__xludf.DUMMYFUNCTION("GOOGLEFINANCE(""BOM:"" &amp; K26,""price"")"),248)</f>
        <v>248</v>
      </c>
      <c r="P26" s="8">
        <f t="shared" ca="1" si="12"/>
        <v>-9.0408949202273909</v>
      </c>
      <c r="Q26" s="12">
        <f t="shared" si="13"/>
        <v>989771303.49999988</v>
      </c>
      <c r="R26" s="13">
        <f t="shared" ca="1" si="14"/>
        <v>900287120</v>
      </c>
      <c r="S26" s="63"/>
      <c r="T26" s="8">
        <v>542774</v>
      </c>
      <c r="U26" s="8" t="s">
        <v>120</v>
      </c>
      <c r="V26" s="12">
        <v>145021476</v>
      </c>
      <c r="W26" s="8">
        <v>220.45</v>
      </c>
      <c r="X26" s="11">
        <f ca="1">IFERROR(__xludf.DUMMYFUNCTION("GOOGLEFINANCE(""BOM:"" &amp; T26,""price"")"),133.25)</f>
        <v>133.25</v>
      </c>
      <c r="Y26" s="8">
        <f t="shared" ca="1" si="15"/>
        <v>-39.555454751644362</v>
      </c>
      <c r="Z26" s="12">
        <f t="shared" si="16"/>
        <v>31969984384.199997</v>
      </c>
      <c r="AA26" s="13">
        <f t="shared" ca="1" si="17"/>
        <v>19324111677</v>
      </c>
      <c r="AB26" s="63"/>
      <c r="AC26" s="8">
        <v>532523</v>
      </c>
      <c r="AD26" s="8" t="s">
        <v>121</v>
      </c>
      <c r="AE26" s="12">
        <v>1197859826</v>
      </c>
      <c r="AF26" s="8">
        <v>273.85000000000002</v>
      </c>
      <c r="AG26" s="8">
        <f ca="1">IFERROR(__xludf.DUMMYFUNCTION("GOOGLEFINANCE(""BOM:"" &amp; AC26,""price"")"),264.1)</f>
        <v>264.10000000000002</v>
      </c>
      <c r="AH26" s="8">
        <f t="shared" ca="1" si="8"/>
        <v>-3.5603432536059882</v>
      </c>
      <c r="AI26" s="12">
        <f t="shared" si="9"/>
        <v>328033913350.10004</v>
      </c>
      <c r="AJ26" s="13">
        <f t="shared" ca="1" si="10"/>
        <v>316354780046.60004</v>
      </c>
    </row>
    <row r="27" spans="1:36" x14ac:dyDescent="0.25">
      <c r="A27" s="63"/>
      <c r="B27" s="8">
        <v>500049</v>
      </c>
      <c r="C27" s="8" t="s">
        <v>122</v>
      </c>
      <c r="D27" s="12">
        <v>7309060654</v>
      </c>
      <c r="E27" s="8">
        <v>205.6</v>
      </c>
      <c r="F27" s="8">
        <f ca="1">IFERROR(__xludf.DUMMYFUNCTION("GOOGLEFINANCE(""BOM:"" &amp; B27,""price"")"),201.45)</f>
        <v>201.45</v>
      </c>
      <c r="G27" s="8">
        <f t="shared" ca="1" si="21"/>
        <v>-2.0184824902723766</v>
      </c>
      <c r="H27" s="12">
        <f t="shared" si="22"/>
        <v>1502742870462.3999</v>
      </c>
      <c r="I27" s="13">
        <f t="shared" ca="1" si="23"/>
        <v>1472410268748.2998</v>
      </c>
      <c r="J27" s="63"/>
      <c r="K27" s="8">
        <v>543327</v>
      </c>
      <c r="L27" s="8" t="s">
        <v>123</v>
      </c>
      <c r="M27" s="12">
        <v>44741070</v>
      </c>
      <c r="N27" s="10">
        <v>111.4</v>
      </c>
      <c r="O27" s="10">
        <f ca="1">IFERROR(__xludf.DUMMYFUNCTION("GOOGLEFINANCE(""BOM:"" &amp; K27,""price"")"),84.35)</f>
        <v>84.35</v>
      </c>
      <c r="P27" s="8">
        <f t="shared" ca="1" si="12"/>
        <v>-24.281867145421913</v>
      </c>
      <c r="Q27" s="12">
        <f t="shared" si="13"/>
        <v>4984155198</v>
      </c>
      <c r="R27" s="13">
        <f t="shared" ca="1" si="14"/>
        <v>3773909254.4999995</v>
      </c>
      <c r="S27" s="63"/>
      <c r="T27" s="8">
        <v>512437</v>
      </c>
      <c r="U27" s="8" t="s">
        <v>124</v>
      </c>
      <c r="V27" s="12">
        <v>3262006</v>
      </c>
      <c r="W27" s="8">
        <v>999</v>
      </c>
      <c r="X27" s="11">
        <f ca="1">IFERROR(__xludf.DUMMYFUNCTION("GOOGLEFINANCE(""BOM:"" &amp; T27,""price"")"),970)</f>
        <v>970</v>
      </c>
      <c r="Y27" s="8">
        <f t="shared" ca="1" si="15"/>
        <v>-2.9029029029029032</v>
      </c>
      <c r="Z27" s="12">
        <f t="shared" si="16"/>
        <v>3258743994</v>
      </c>
      <c r="AA27" s="13">
        <f t="shared" ca="1" si="17"/>
        <v>3164145820</v>
      </c>
      <c r="AB27" s="63"/>
      <c r="AC27" s="8">
        <v>524396</v>
      </c>
      <c r="AD27" s="8" t="s">
        <v>125</v>
      </c>
      <c r="AE27" s="12">
        <v>15380600</v>
      </c>
      <c r="AF27" s="8">
        <v>64.5</v>
      </c>
      <c r="AG27" s="8">
        <f ca="1">IFERROR(__xludf.DUMMYFUNCTION("GOOGLEFINANCE(""BOM:"" &amp; AC27,""price"")"),59.82)</f>
        <v>59.82</v>
      </c>
      <c r="AH27" s="8">
        <f t="shared" ca="1" si="8"/>
        <v>-7.2558139534883717</v>
      </c>
      <c r="AI27" s="12">
        <f t="shared" si="9"/>
        <v>992048700</v>
      </c>
      <c r="AJ27" s="13">
        <f t="shared" ca="1" si="10"/>
        <v>920067492</v>
      </c>
    </row>
    <row r="28" spans="1:36" x14ac:dyDescent="0.25">
      <c r="A28" s="63"/>
      <c r="B28" s="8">
        <v>543428</v>
      </c>
      <c r="C28" s="8" t="s">
        <v>126</v>
      </c>
      <c r="D28" s="12">
        <v>51886650</v>
      </c>
      <c r="E28" s="8">
        <v>2656.5</v>
      </c>
      <c r="F28" s="8">
        <f ca="1">IFERROR(__xludf.DUMMYFUNCTION("GOOGLEFINANCE(""BOM:"" &amp; B28,""price"")"),2429.15)</f>
        <v>2429.15</v>
      </c>
      <c r="G28" s="8">
        <f t="shared" ca="1" si="21"/>
        <v>-8.5582533408620343</v>
      </c>
      <c r="H28" s="12">
        <f t="shared" si="22"/>
        <v>137836885725</v>
      </c>
      <c r="I28" s="13">
        <f t="shared" ca="1" si="23"/>
        <v>126040455847.5</v>
      </c>
      <c r="J28" s="63"/>
      <c r="K28" s="8">
        <v>509675</v>
      </c>
      <c r="L28" s="8" t="s">
        <v>127</v>
      </c>
      <c r="M28" s="12">
        <v>7466586</v>
      </c>
      <c r="N28" s="10">
        <v>2793.9</v>
      </c>
      <c r="O28" s="10">
        <f ca="1">IFERROR(__xludf.DUMMYFUNCTION("GOOGLEFINANCE(""BOM:"" &amp; K28,""price"")"),2600)</f>
        <v>2600</v>
      </c>
      <c r="P28" s="8">
        <f t="shared" ca="1" si="12"/>
        <v>-6.9401195461541247</v>
      </c>
      <c r="Q28" s="12">
        <f t="shared" si="13"/>
        <v>20860894625.400002</v>
      </c>
      <c r="R28" s="13">
        <f t="shared" ca="1" si="14"/>
        <v>19413123600</v>
      </c>
      <c r="S28" s="63"/>
      <c r="T28" s="8">
        <v>531179</v>
      </c>
      <c r="U28" s="8" t="s">
        <v>128</v>
      </c>
      <c r="V28" s="12">
        <v>8328124</v>
      </c>
      <c r="W28" s="8">
        <v>2051</v>
      </c>
      <c r="X28" s="11">
        <f ca="1">IFERROR(__xludf.DUMMYFUNCTION("GOOGLEFINANCE(""BOM:"" &amp; T28,""price"")"),1816.5)</f>
        <v>1816.5</v>
      </c>
      <c r="Y28" s="8">
        <f t="shared" ca="1" si="15"/>
        <v>-11.433447098976108</v>
      </c>
      <c r="Z28" s="12">
        <f t="shared" si="16"/>
        <v>17080982324</v>
      </c>
      <c r="AA28" s="13">
        <f t="shared" ca="1" si="17"/>
        <v>15128037246</v>
      </c>
      <c r="AB28" s="63"/>
      <c r="AC28" s="8">
        <v>506197</v>
      </c>
      <c r="AD28" s="8" t="s">
        <v>129</v>
      </c>
      <c r="AE28" s="12">
        <v>101837976</v>
      </c>
      <c r="AF28" s="8">
        <v>125.05</v>
      </c>
      <c r="AG28" s="8">
        <f ca="1">IFERROR(__xludf.DUMMYFUNCTION("GOOGLEFINANCE(""BOM:"" &amp; AC28,""price"")"),112.2)</f>
        <v>112.2</v>
      </c>
      <c r="AH28" s="8">
        <f t="shared" ca="1" si="8"/>
        <v>-10.275889644142339</v>
      </c>
      <c r="AI28" s="12">
        <f t="shared" si="9"/>
        <v>12734838898.799999</v>
      </c>
      <c r="AJ28" s="13">
        <f t="shared" ca="1" si="10"/>
        <v>11426220907.200001</v>
      </c>
    </row>
    <row r="29" spans="1:36" x14ac:dyDescent="0.25">
      <c r="A29" s="63"/>
      <c r="B29" s="8">
        <v>542011</v>
      </c>
      <c r="C29" s="8" t="s">
        <v>130</v>
      </c>
      <c r="D29" s="12">
        <v>114551885</v>
      </c>
      <c r="E29" s="8">
        <v>818.4</v>
      </c>
      <c r="F29" s="8">
        <f ca="1">IFERROR(__xludf.DUMMYFUNCTION("GOOGLEFINANCE(""BOM:"" &amp; B29,""price"")"),767)</f>
        <v>767</v>
      </c>
      <c r="G29" s="8">
        <f t="shared" ca="1" si="21"/>
        <v>-6.2805474095796647</v>
      </c>
      <c r="H29" s="12">
        <f t="shared" si="22"/>
        <v>93749262684</v>
      </c>
      <c r="I29" s="13">
        <f t="shared" ca="1" si="23"/>
        <v>87861295795</v>
      </c>
      <c r="J29" s="63"/>
      <c r="K29" s="8">
        <v>500233</v>
      </c>
      <c r="L29" s="8" t="s">
        <v>131</v>
      </c>
      <c r="M29" s="12">
        <v>158189575</v>
      </c>
      <c r="N29" s="10">
        <v>1267.75</v>
      </c>
      <c r="O29" s="10">
        <f ca="1">IFERROR(__xludf.DUMMYFUNCTION("GOOGLEFINANCE(""BOM:"" &amp; K29,""price"")"),1150)</f>
        <v>1150</v>
      </c>
      <c r="P29" s="8">
        <f t="shared" ca="1" si="12"/>
        <v>-9.2881088542693746</v>
      </c>
      <c r="Q29" s="12">
        <f t="shared" si="13"/>
        <v>200544833706.25</v>
      </c>
      <c r="R29" s="13">
        <f t="shared" ca="1" si="14"/>
        <v>181918011250</v>
      </c>
      <c r="S29" s="63"/>
      <c r="T29" s="8">
        <v>537069</v>
      </c>
      <c r="U29" s="8" t="s">
        <v>132</v>
      </c>
      <c r="V29" s="12">
        <v>30075000</v>
      </c>
      <c r="W29" s="8">
        <v>40.58</v>
      </c>
      <c r="X29" s="11">
        <f ca="1">IFERROR(__xludf.DUMMYFUNCTION("GOOGLEFINANCE(""BOM:"" &amp; T29,""price"")"),33.69)</f>
        <v>33.69</v>
      </c>
      <c r="Y29" s="8">
        <f t="shared" ca="1" si="15"/>
        <v>-16.978807294233615</v>
      </c>
      <c r="Z29" s="12">
        <f t="shared" si="16"/>
        <v>1220443500</v>
      </c>
      <c r="AA29" s="13">
        <f t="shared" ca="1" si="17"/>
        <v>1013226749.9999999</v>
      </c>
      <c r="AB29" s="63"/>
      <c r="AC29" s="8">
        <v>541096</v>
      </c>
      <c r="AD29" s="8" t="s">
        <v>133</v>
      </c>
      <c r="AE29" s="12">
        <v>5015671</v>
      </c>
      <c r="AF29" s="8">
        <v>1400</v>
      </c>
      <c r="AG29" s="8">
        <f ca="1">IFERROR(__xludf.DUMMYFUNCTION("GOOGLEFINANCE(""BOM:"" &amp; AC29,""price"")"),1150)</f>
        <v>1150</v>
      </c>
      <c r="AH29" s="8">
        <f t="shared" ca="1" si="8"/>
        <v>-17.857142857142858</v>
      </c>
      <c r="AI29" s="12">
        <f t="shared" si="9"/>
        <v>7021939400</v>
      </c>
      <c r="AJ29" s="13">
        <f t="shared" ca="1" si="10"/>
        <v>5768021650</v>
      </c>
    </row>
    <row r="30" spans="1:36" x14ac:dyDescent="0.25">
      <c r="A30" s="63"/>
      <c r="B30" s="8">
        <v>541154</v>
      </c>
      <c r="C30" s="8" t="s">
        <v>134</v>
      </c>
      <c r="D30" s="12">
        <v>668774252</v>
      </c>
      <c r="E30" s="8">
        <v>3155.45</v>
      </c>
      <c r="F30" s="8">
        <f ca="1">IFERROR(__xludf.DUMMYFUNCTION("GOOGLEFINANCE(""BOM:"" &amp; B30,""price"")"),3327.25)</f>
        <v>3327.25</v>
      </c>
      <c r="G30" s="8">
        <f t="shared" ca="1" si="21"/>
        <v>5.4445483211586359</v>
      </c>
      <c r="H30" s="12">
        <f t="shared" si="22"/>
        <v>2110283713473.3999</v>
      </c>
      <c r="I30" s="13">
        <f t="shared" ca="1" si="23"/>
        <v>2225179129967</v>
      </c>
      <c r="J30" s="63"/>
      <c r="K30" s="8">
        <v>515093</v>
      </c>
      <c r="L30" s="8" t="s">
        <v>135</v>
      </c>
      <c r="M30" s="12">
        <v>8730185</v>
      </c>
      <c r="N30" s="10">
        <v>51.4</v>
      </c>
      <c r="O30" s="10">
        <f ca="1">IFERROR(__xludf.DUMMYFUNCTION("GOOGLEFINANCE(""BOM:"" &amp; K30,""price"")"),38.5)</f>
        <v>38.5</v>
      </c>
      <c r="P30" s="8">
        <f t="shared" ca="1" si="12"/>
        <v>-25.097276264591439</v>
      </c>
      <c r="Q30" s="12">
        <f t="shared" si="13"/>
        <v>448731509</v>
      </c>
      <c r="R30" s="13">
        <f t="shared" ca="1" si="14"/>
        <v>336112122.5</v>
      </c>
      <c r="S30" s="63"/>
      <c r="T30" s="8">
        <v>530245</v>
      </c>
      <c r="U30" s="8" t="s">
        <v>136</v>
      </c>
      <c r="V30" s="12">
        <v>11358509</v>
      </c>
      <c r="W30" s="8">
        <v>247.95</v>
      </c>
      <c r="X30" s="11">
        <f ca="1">IFERROR(__xludf.DUMMYFUNCTION("GOOGLEFINANCE(""BOM:"" &amp; T30,""price"")"),245.95)</f>
        <v>245.95</v>
      </c>
      <c r="Y30" s="8">
        <f t="shared" ca="1" si="15"/>
        <v>-0.80661423674127863</v>
      </c>
      <c r="Z30" s="12">
        <f t="shared" si="16"/>
        <v>2816342306.5499997</v>
      </c>
      <c r="AA30" s="13">
        <f t="shared" ca="1" si="17"/>
        <v>2793625288.5499997</v>
      </c>
      <c r="AB30" s="63"/>
      <c r="AC30" s="8">
        <v>530207</v>
      </c>
      <c r="AD30" s="8" t="s">
        <v>137</v>
      </c>
      <c r="AE30" s="12">
        <v>2348948</v>
      </c>
      <c r="AF30" s="8">
        <v>24</v>
      </c>
      <c r="AG30" s="8">
        <f ca="1">IFERROR(__xludf.DUMMYFUNCTION("GOOGLEFINANCE(""BOM:"" &amp; AC30,""price"")"),20)</f>
        <v>20</v>
      </c>
      <c r="AH30" s="8">
        <f t="shared" ca="1" si="8"/>
        <v>-16.666666666666664</v>
      </c>
      <c r="AI30" s="12">
        <f t="shared" si="9"/>
        <v>56374752</v>
      </c>
      <c r="AJ30" s="13">
        <f t="shared" ca="1" si="10"/>
        <v>46978960</v>
      </c>
    </row>
    <row r="31" spans="1:36" x14ac:dyDescent="0.25">
      <c r="A31" s="63"/>
      <c r="B31" s="8">
        <v>541195</v>
      </c>
      <c r="C31" s="8" t="s">
        <v>138</v>
      </c>
      <c r="D31" s="12">
        <v>187339990</v>
      </c>
      <c r="E31" s="8">
        <v>422.85</v>
      </c>
      <c r="F31" s="8">
        <f ca="1">IFERROR(__xludf.DUMMYFUNCTION("GOOGLEFINANCE(""BOM:"" &amp; B31,""price"")"),393.2)</f>
        <v>393.2</v>
      </c>
      <c r="G31" s="8">
        <f t="shared" ca="1" si="21"/>
        <v>-7.011942769303543</v>
      </c>
      <c r="H31" s="12">
        <f t="shared" si="22"/>
        <v>79216714771.5</v>
      </c>
      <c r="I31" s="13">
        <f t="shared" ca="1" si="23"/>
        <v>73662084068</v>
      </c>
      <c r="J31" s="63"/>
      <c r="K31" s="8">
        <v>541337</v>
      </c>
      <c r="L31" s="8" t="s">
        <v>139</v>
      </c>
      <c r="M31" s="12">
        <v>9297000</v>
      </c>
      <c r="N31" s="10">
        <v>4.59</v>
      </c>
      <c r="O31" s="10">
        <f ca="1">IFERROR(__xludf.DUMMYFUNCTION("GOOGLEFINANCE(""BOM:"" &amp; K31,""price"")"),3.57)</f>
        <v>3.57</v>
      </c>
      <c r="P31" s="8">
        <f t="shared" ca="1" si="12"/>
        <v>-22.222222222222225</v>
      </c>
      <c r="Q31" s="12">
        <f t="shared" si="13"/>
        <v>42673230</v>
      </c>
      <c r="R31" s="13">
        <f t="shared" ca="1" si="14"/>
        <v>33190290</v>
      </c>
      <c r="S31" s="63"/>
      <c r="T31" s="8">
        <v>590122</v>
      </c>
      <c r="U31" s="8" t="s">
        <v>140</v>
      </c>
      <c r="V31" s="12">
        <v>11764743</v>
      </c>
      <c r="W31" s="8" t="s">
        <v>60</v>
      </c>
      <c r="X31" s="8" t="s">
        <v>60</v>
      </c>
      <c r="Y31" s="8"/>
      <c r="Z31" s="12"/>
      <c r="AA31" s="13"/>
      <c r="AB31" s="63"/>
      <c r="AC31" s="8">
        <v>533543</v>
      </c>
      <c r="AD31" s="8" t="s">
        <v>141</v>
      </c>
      <c r="AE31" s="12">
        <v>24701112</v>
      </c>
      <c r="AF31" s="8">
        <v>117.6</v>
      </c>
      <c r="AG31" s="8">
        <f ca="1">IFERROR(__xludf.DUMMYFUNCTION("GOOGLEFINANCE(""BOM:"" &amp; AC31,""price"")"),94)</f>
        <v>94</v>
      </c>
      <c r="AH31" s="8">
        <f t="shared" ca="1" si="8"/>
        <v>-20.068027210884352</v>
      </c>
      <c r="AI31" s="12">
        <f t="shared" si="9"/>
        <v>2904850771.1999998</v>
      </c>
      <c r="AJ31" s="13">
        <f t="shared" ca="1" si="10"/>
        <v>2321904528</v>
      </c>
    </row>
    <row r="32" spans="1:36" x14ac:dyDescent="0.25">
      <c r="A32" s="63"/>
      <c r="B32" s="8">
        <v>543270</v>
      </c>
      <c r="C32" s="8" t="s">
        <v>142</v>
      </c>
      <c r="D32" s="12">
        <v>30759591</v>
      </c>
      <c r="E32" s="8">
        <v>1903</v>
      </c>
      <c r="F32" s="8">
        <f ca="1">IFERROR(__xludf.DUMMYFUNCTION("GOOGLEFINANCE(""BOM:"" &amp; B32,""price"")"),1683.65)</f>
        <v>1683.65</v>
      </c>
      <c r="G32" s="8">
        <f t="shared" ca="1" si="21"/>
        <v>-11.526537046768256</v>
      </c>
      <c r="H32" s="12">
        <f t="shared" si="22"/>
        <v>58535501673</v>
      </c>
      <c r="I32" s="13">
        <f t="shared" ca="1" si="23"/>
        <v>51788385387.150002</v>
      </c>
      <c r="J32" s="63"/>
      <c r="K32" s="8">
        <v>515037</v>
      </c>
      <c r="L32" s="8" t="s">
        <v>143</v>
      </c>
      <c r="M32" s="12">
        <v>57351529</v>
      </c>
      <c r="N32" s="10">
        <v>52.26</v>
      </c>
      <c r="O32" s="10">
        <f ca="1">IFERROR(__xludf.DUMMYFUNCTION("GOOGLEFINANCE(""BOM:"" &amp; K32,""price"")"),46.23)</f>
        <v>46.23</v>
      </c>
      <c r="P32" s="8">
        <f t="shared" ca="1" si="12"/>
        <v>-11.53846153846154</v>
      </c>
      <c r="Q32" s="12">
        <f t="shared" si="13"/>
        <v>2997190905.54</v>
      </c>
      <c r="R32" s="13">
        <f t="shared" ca="1" si="14"/>
        <v>2651361185.6699996</v>
      </c>
      <c r="S32" s="63"/>
      <c r="T32" s="8">
        <v>538777</v>
      </c>
      <c r="U32" s="8" t="s">
        <v>144</v>
      </c>
      <c r="V32" s="12">
        <v>3092000</v>
      </c>
      <c r="W32" s="8">
        <v>16.55</v>
      </c>
      <c r="X32" s="11">
        <f ca="1">IFERROR(__xludf.DUMMYFUNCTION("GOOGLEFINANCE(""BOM:"" &amp; T32,""price"")"),16.55)</f>
        <v>16.55</v>
      </c>
      <c r="Y32" s="8">
        <f t="shared" ref="Y32:Y111" ca="1" si="24">((X32-W32)/W32)*100</f>
        <v>0</v>
      </c>
      <c r="Z32" s="12">
        <f t="shared" ref="Z32:Z175" si="25">V32*W32</f>
        <v>51172600</v>
      </c>
      <c r="AA32" s="13">
        <f t="shared" ref="AA32:AA175" ca="1" si="26">V32*X32</f>
        <v>51172600</v>
      </c>
      <c r="AB32" s="63"/>
      <c r="AC32" s="8">
        <v>524742</v>
      </c>
      <c r="AD32" s="8" t="s">
        <v>145</v>
      </c>
      <c r="AE32" s="12">
        <v>74057682</v>
      </c>
      <c r="AF32" s="8">
        <v>1525.4</v>
      </c>
      <c r="AG32" s="8">
        <f ca="1">IFERROR(__xludf.DUMMYFUNCTION("GOOGLEFINANCE(""BOM:"" &amp; AC32,""price"")"),1330)</f>
        <v>1330</v>
      </c>
      <c r="AH32" s="8">
        <f t="shared" ca="1" si="8"/>
        <v>-12.809754818408292</v>
      </c>
      <c r="AI32" s="12">
        <f t="shared" si="9"/>
        <v>112967588122.8</v>
      </c>
      <c r="AJ32" s="13">
        <f t="shared" ca="1" si="10"/>
        <v>98496717060</v>
      </c>
    </row>
    <row r="33" spans="1:36" x14ac:dyDescent="0.25">
      <c r="A33" s="63"/>
      <c r="B33" s="8">
        <v>543367</v>
      </c>
      <c r="C33" s="8" t="s">
        <v>146</v>
      </c>
      <c r="D33" s="12">
        <v>39000061</v>
      </c>
      <c r="E33" s="8">
        <v>728.1</v>
      </c>
      <c r="F33" s="8">
        <f ca="1">IFERROR(__xludf.DUMMYFUNCTION("GOOGLEFINANCE(""BOM:"" &amp; B33,""price"")"),612.05)</f>
        <v>612.04999999999995</v>
      </c>
      <c r="G33" s="8">
        <f t="shared" ca="1" si="21"/>
        <v>-15.938744677928865</v>
      </c>
      <c r="H33" s="12">
        <f t="shared" si="22"/>
        <v>28395944414.100002</v>
      </c>
      <c r="I33" s="13">
        <f t="shared" ca="1" si="23"/>
        <v>23869987335.049999</v>
      </c>
      <c r="J33" s="63"/>
      <c r="K33" s="8">
        <v>532722</v>
      </c>
      <c r="L33" s="8" t="s">
        <v>147</v>
      </c>
      <c r="M33" s="12">
        <v>71844796</v>
      </c>
      <c r="N33" s="10">
        <v>68.209999999999994</v>
      </c>
      <c r="O33" s="10">
        <f ca="1">IFERROR(__xludf.DUMMYFUNCTION("GOOGLEFINANCE(""BOM:"" &amp; K33,""price"")"),55.86)</f>
        <v>55.86</v>
      </c>
      <c r="P33" s="8">
        <f t="shared" ca="1" si="12"/>
        <v>-18.105849582172695</v>
      </c>
      <c r="Q33" s="12">
        <f t="shared" si="13"/>
        <v>4900533535.1599998</v>
      </c>
      <c r="R33" s="13">
        <f t="shared" ca="1" si="14"/>
        <v>4013250304.5599999</v>
      </c>
      <c r="S33" s="63"/>
      <c r="T33" s="8">
        <v>542911</v>
      </c>
      <c r="U33" s="8" t="s">
        <v>148</v>
      </c>
      <c r="V33" s="12">
        <v>830107</v>
      </c>
      <c r="W33" s="8">
        <v>690</v>
      </c>
      <c r="X33" s="11">
        <f ca="1">IFERROR(__xludf.DUMMYFUNCTION("GOOGLEFINANCE(""BOM:"" &amp; T33,""price"")"),635.35)</f>
        <v>635.35</v>
      </c>
      <c r="Y33" s="8">
        <f t="shared" ca="1" si="24"/>
        <v>-7.9202898550724594</v>
      </c>
      <c r="Z33" s="12">
        <f t="shared" si="25"/>
        <v>572773830</v>
      </c>
      <c r="AA33" s="13">
        <f t="shared" ca="1" si="26"/>
        <v>527408482.45000005</v>
      </c>
      <c r="AB33" s="63"/>
      <c r="AC33" s="8">
        <v>542934</v>
      </c>
      <c r="AD33" s="8" t="s">
        <v>149</v>
      </c>
      <c r="AE33" s="12">
        <v>7545056</v>
      </c>
      <c r="AF33" s="8">
        <v>114</v>
      </c>
      <c r="AG33" s="8">
        <f ca="1">IFERROR(__xludf.DUMMYFUNCTION("GOOGLEFINANCE(""BOM:"" &amp; AC33,""price"")"),95)</f>
        <v>95</v>
      </c>
      <c r="AH33" s="8">
        <f t="shared" ca="1" si="8"/>
        <v>-16.666666666666664</v>
      </c>
      <c r="AI33" s="12">
        <f t="shared" si="9"/>
        <v>860136384</v>
      </c>
      <c r="AJ33" s="13">
        <f t="shared" ca="1" si="10"/>
        <v>716780320</v>
      </c>
    </row>
    <row r="34" spans="1:36" x14ac:dyDescent="0.25">
      <c r="A34" s="63"/>
      <c r="B34" s="8">
        <v>533168</v>
      </c>
      <c r="C34" s="8" t="s">
        <v>150</v>
      </c>
      <c r="D34" s="12">
        <v>36335764</v>
      </c>
      <c r="E34" s="8">
        <v>419.45</v>
      </c>
      <c r="F34" s="8">
        <f ca="1">IFERROR(__xludf.DUMMYFUNCTION("GOOGLEFINANCE(""BOM:"" &amp; B34,""price"")"),353.4)</f>
        <v>353.4</v>
      </c>
      <c r="G34" s="8">
        <f t="shared" ca="1" si="21"/>
        <v>-15.746811300512578</v>
      </c>
      <c r="H34" s="12">
        <f t="shared" si="22"/>
        <v>15241036209.799999</v>
      </c>
      <c r="I34" s="13">
        <f t="shared" ca="1" si="23"/>
        <v>12841058997.599998</v>
      </c>
      <c r="J34" s="63"/>
      <c r="K34" s="8">
        <v>532817</v>
      </c>
      <c r="L34" s="8" t="s">
        <v>151</v>
      </c>
      <c r="M34" s="12">
        <v>28514202</v>
      </c>
      <c r="N34" s="10">
        <v>11.04</v>
      </c>
      <c r="O34" s="10">
        <f ca="1">IFERROR(__xludf.DUMMYFUNCTION("GOOGLEFINANCE(""BOM:"" &amp; K34,""price"")"),8.31)</f>
        <v>8.31</v>
      </c>
      <c r="P34" s="8">
        <f t="shared" ca="1" si="12"/>
        <v>-24.728260869565208</v>
      </c>
      <c r="Q34" s="12">
        <f t="shared" si="13"/>
        <v>314796790.07999998</v>
      </c>
      <c r="R34" s="13">
        <f t="shared" ca="1" si="14"/>
        <v>236953018.62</v>
      </c>
      <c r="S34" s="63"/>
      <c r="T34" s="8">
        <v>530187</v>
      </c>
      <c r="U34" s="8" t="s">
        <v>152</v>
      </c>
      <c r="V34" s="12">
        <v>16323000</v>
      </c>
      <c r="W34" s="8">
        <v>2.4</v>
      </c>
      <c r="X34" s="11">
        <f ca="1">IFERROR(__xludf.DUMMYFUNCTION("GOOGLEFINANCE(""BOM:"" &amp; T34,""price"")"),2.1)</f>
        <v>2.1</v>
      </c>
      <c r="Y34" s="8">
        <f t="shared" ca="1" si="24"/>
        <v>-12.499999999999993</v>
      </c>
      <c r="Z34" s="12">
        <f t="shared" si="25"/>
        <v>39175200</v>
      </c>
      <c r="AA34" s="13">
        <f t="shared" ca="1" si="26"/>
        <v>34278300</v>
      </c>
      <c r="AB34" s="63"/>
      <c r="AC34" s="8">
        <v>542678</v>
      </c>
      <c r="AD34" s="8" t="s">
        <v>153</v>
      </c>
      <c r="AE34" s="12">
        <v>24995764</v>
      </c>
      <c r="AF34" s="8">
        <v>22.5</v>
      </c>
      <c r="AG34" s="8">
        <f ca="1">IFERROR(__xludf.DUMMYFUNCTION("GOOGLEFINANCE(""BOM:"" &amp; AC34,""price"")"),21.42)</f>
        <v>21.42</v>
      </c>
      <c r="AH34" s="8">
        <f t="shared" ca="1" si="8"/>
        <v>-4.7999999999999927</v>
      </c>
      <c r="AI34" s="12">
        <f t="shared" si="9"/>
        <v>562404690</v>
      </c>
      <c r="AJ34" s="13">
        <f t="shared" ca="1" si="10"/>
        <v>535409264.88000005</v>
      </c>
    </row>
    <row r="35" spans="1:36" x14ac:dyDescent="0.25">
      <c r="A35" s="63"/>
      <c r="B35" s="8">
        <v>523606</v>
      </c>
      <c r="C35" s="8" t="s">
        <v>154</v>
      </c>
      <c r="D35" s="12">
        <v>4169004</v>
      </c>
      <c r="E35" s="8">
        <v>1599</v>
      </c>
      <c r="F35" s="8">
        <f ca="1">IFERROR(__xludf.DUMMYFUNCTION("GOOGLEFINANCE(""BOM:"" &amp; B35,""price"")"),1540)</f>
        <v>1540</v>
      </c>
      <c r="G35" s="8">
        <f t="shared" ca="1" si="21"/>
        <v>-3.6898061288305186</v>
      </c>
      <c r="H35" s="12">
        <f t="shared" si="22"/>
        <v>6666237396</v>
      </c>
      <c r="I35" s="13">
        <f t="shared" ca="1" si="23"/>
        <v>6420266160</v>
      </c>
      <c r="J35" s="63"/>
      <c r="K35" s="8">
        <v>530365</v>
      </c>
      <c r="L35" s="8" t="s">
        <v>155</v>
      </c>
      <c r="M35" s="12">
        <v>14219616</v>
      </c>
      <c r="N35" s="10">
        <v>368.5</v>
      </c>
      <c r="O35" s="10">
        <f ca="1">IFERROR(__xludf.DUMMYFUNCTION("GOOGLEFINANCE(""BOM:"" &amp; K35,""price"")"),347.6)</f>
        <v>347.6</v>
      </c>
      <c r="P35" s="8">
        <f t="shared" ca="1" si="12"/>
        <v>-5.6716417910447703</v>
      </c>
      <c r="Q35" s="12">
        <f t="shared" si="13"/>
        <v>5239928496</v>
      </c>
      <c r="R35" s="13">
        <f t="shared" ca="1" si="14"/>
        <v>4942738521.6000004</v>
      </c>
      <c r="S35" s="63"/>
      <c r="T35" s="8">
        <v>531310</v>
      </c>
      <c r="U35" s="8" t="s">
        <v>156</v>
      </c>
      <c r="V35" s="12">
        <v>9170000</v>
      </c>
      <c r="W35" s="8">
        <v>225.2</v>
      </c>
      <c r="X35" s="11">
        <f ca="1">IFERROR(__xludf.DUMMYFUNCTION("GOOGLEFINANCE(""BOM:"" &amp; T35,""price"")"),216)</f>
        <v>216</v>
      </c>
      <c r="Y35" s="8">
        <f t="shared" ca="1" si="24"/>
        <v>-4.0852575488454663</v>
      </c>
      <c r="Z35" s="12">
        <f t="shared" si="25"/>
        <v>2065084000</v>
      </c>
      <c r="AA35" s="13">
        <f t="shared" ca="1" si="26"/>
        <v>1980720000</v>
      </c>
      <c r="AB35" s="63"/>
      <c r="AC35" s="8">
        <v>506365</v>
      </c>
      <c r="AD35" s="8" t="s">
        <v>157</v>
      </c>
      <c r="AE35" s="12">
        <v>689225</v>
      </c>
      <c r="AF35" s="8">
        <v>72</v>
      </c>
      <c r="AG35" s="8">
        <f ca="1">IFERROR(__xludf.DUMMYFUNCTION("GOOGLEFINANCE(""BOM:"" &amp; AC35,""price"")"),65)</f>
        <v>65</v>
      </c>
      <c r="AH35" s="8">
        <f t="shared" ca="1" si="8"/>
        <v>-9.7222222222222232</v>
      </c>
      <c r="AI35" s="12">
        <f t="shared" si="9"/>
        <v>49624200</v>
      </c>
      <c r="AJ35" s="13">
        <f t="shared" ca="1" si="10"/>
        <v>44799625</v>
      </c>
    </row>
    <row r="36" spans="1:36" x14ac:dyDescent="0.25">
      <c r="A36" s="63"/>
      <c r="B36" s="8">
        <v>522229</v>
      </c>
      <c r="C36" s="8" t="s">
        <v>158</v>
      </c>
      <c r="D36" s="12">
        <v>24072459</v>
      </c>
      <c r="E36" s="8">
        <v>462</v>
      </c>
      <c r="F36" s="8">
        <f ca="1">IFERROR(__xludf.DUMMYFUNCTION("GOOGLEFINANCE(""BOM:"" &amp; B36,""price"")"),381)</f>
        <v>381</v>
      </c>
      <c r="G36" s="8">
        <f t="shared" ca="1" si="21"/>
        <v>-17.532467532467532</v>
      </c>
      <c r="H36" s="12">
        <f t="shared" si="22"/>
        <v>11121476058</v>
      </c>
      <c r="I36" s="13">
        <f t="shared" ca="1" si="23"/>
        <v>9171606879</v>
      </c>
      <c r="J36" s="63"/>
      <c r="K36" s="8">
        <v>523483</v>
      </c>
      <c r="L36" s="8" t="s">
        <v>159</v>
      </c>
      <c r="M36" s="12">
        <v>3157604</v>
      </c>
      <c r="N36" s="10">
        <v>205.25</v>
      </c>
      <c r="O36" s="10">
        <f ca="1">IFERROR(__xludf.DUMMYFUNCTION("GOOGLEFINANCE(""BOM:"" &amp; K36,""price"")"),176.5)</f>
        <v>176.5</v>
      </c>
      <c r="P36" s="8">
        <f t="shared" ca="1" si="12"/>
        <v>-14.007308160779536</v>
      </c>
      <c r="Q36" s="12">
        <f t="shared" si="13"/>
        <v>648098221</v>
      </c>
      <c r="R36" s="13">
        <f t="shared" ca="1" si="14"/>
        <v>557317106</v>
      </c>
      <c r="S36" s="63"/>
      <c r="T36" s="8">
        <v>511589</v>
      </c>
      <c r="U36" s="8" t="s">
        <v>160</v>
      </c>
      <c r="V36" s="12">
        <v>24035017</v>
      </c>
      <c r="W36" s="8">
        <v>106.85</v>
      </c>
      <c r="X36" s="11">
        <f ca="1">IFERROR(__xludf.DUMMYFUNCTION("GOOGLEFINANCE(""BOM:"" &amp; T36,""price"")"),87.45)</f>
        <v>87.45</v>
      </c>
      <c r="Y36" s="8">
        <f t="shared" ca="1" si="24"/>
        <v>-18.156293869911082</v>
      </c>
      <c r="Z36" s="12">
        <f t="shared" si="25"/>
        <v>2568141566.4499998</v>
      </c>
      <c r="AA36" s="13">
        <f t="shared" ca="1" si="26"/>
        <v>2101862236.6500001</v>
      </c>
      <c r="AB36" s="63"/>
      <c r="AC36" s="8">
        <v>500087</v>
      </c>
      <c r="AD36" s="8" t="s">
        <v>161</v>
      </c>
      <c r="AE36" s="12">
        <v>798791650</v>
      </c>
      <c r="AF36" s="8">
        <v>1468</v>
      </c>
      <c r="AG36" s="8">
        <f ca="1">IFERROR(__xludf.DUMMYFUNCTION("GOOGLEFINANCE(""BOM:"" &amp; AC36,""price"")"),1494.65)</f>
        <v>1494.65</v>
      </c>
      <c r="AH36" s="8">
        <f t="shared" ca="1" si="8"/>
        <v>1.8153950953678537</v>
      </c>
      <c r="AI36" s="12">
        <f t="shared" si="9"/>
        <v>1172626142200</v>
      </c>
      <c r="AJ36" s="13">
        <f t="shared" ca="1" si="10"/>
        <v>1193913939672.5</v>
      </c>
    </row>
    <row r="37" spans="1:36" x14ac:dyDescent="0.25">
      <c r="A37" s="64"/>
      <c r="B37" s="14">
        <v>533339</v>
      </c>
      <c r="C37" s="14" t="s">
        <v>162</v>
      </c>
      <c r="D37" s="15">
        <v>79334700</v>
      </c>
      <c r="E37" s="8">
        <v>908</v>
      </c>
      <c r="F37" s="14">
        <f ca="1">IFERROR(__xludf.DUMMYFUNCTION("GOOGLEFINANCE(""BOM:"" &amp; B37,""price"")"),955.05)</f>
        <v>955.05</v>
      </c>
      <c r="G37" s="14">
        <f t="shared" ca="1" si="21"/>
        <v>5.1817180616740037</v>
      </c>
      <c r="H37" s="15">
        <f t="shared" si="22"/>
        <v>72035907600</v>
      </c>
      <c r="I37" s="16">
        <f t="shared" ca="1" si="23"/>
        <v>75768605235</v>
      </c>
      <c r="J37" s="63"/>
      <c r="K37" s="8">
        <v>532486</v>
      </c>
      <c r="L37" s="8" t="s">
        <v>163</v>
      </c>
      <c r="M37" s="12">
        <v>30923880</v>
      </c>
      <c r="N37" s="10">
        <v>496.55</v>
      </c>
      <c r="O37" s="10">
        <f ca="1">IFERROR(__xludf.DUMMYFUNCTION("GOOGLEFINANCE(""BOM:"" &amp; K37,""price"")"),424)</f>
        <v>424</v>
      </c>
      <c r="P37" s="8">
        <f t="shared" ca="1" si="12"/>
        <v>-14.610814620884103</v>
      </c>
      <c r="Q37" s="12">
        <f t="shared" si="13"/>
        <v>15355252614</v>
      </c>
      <c r="R37" s="13">
        <f t="shared" ca="1" si="14"/>
        <v>13111725120</v>
      </c>
      <c r="S37" s="63"/>
      <c r="T37" s="8">
        <v>500034</v>
      </c>
      <c r="U37" s="8" t="s">
        <v>164</v>
      </c>
      <c r="V37" s="12">
        <v>604776103</v>
      </c>
      <c r="W37" s="8">
        <v>6571</v>
      </c>
      <c r="X37" s="11">
        <f ca="1">IFERROR(__xludf.DUMMYFUNCTION("GOOGLEFINANCE(""BOM:"" &amp; T37,""price"")"),7240.35)</f>
        <v>7240.35</v>
      </c>
      <c r="Y37" s="8">
        <f t="shared" ca="1" si="24"/>
        <v>10.186425201643591</v>
      </c>
      <c r="Z37" s="12">
        <f t="shared" si="25"/>
        <v>3973983772813</v>
      </c>
      <c r="AA37" s="13">
        <f t="shared" ca="1" si="26"/>
        <v>4378790657356.0503</v>
      </c>
      <c r="AB37" s="63"/>
      <c r="AC37" s="8">
        <v>531210</v>
      </c>
      <c r="AD37" s="8" t="s">
        <v>165</v>
      </c>
      <c r="AE37" s="12">
        <v>1827715</v>
      </c>
      <c r="AF37" s="8">
        <v>42.5</v>
      </c>
      <c r="AG37" s="8">
        <f ca="1">IFERROR(__xludf.DUMMYFUNCTION("GOOGLEFINANCE(""BOM:"" &amp; AC37,""price"")"),37.55)</f>
        <v>37.549999999999997</v>
      </c>
      <c r="AH37" s="8">
        <f t="shared" ca="1" si="8"/>
        <v>-11.647058823529418</v>
      </c>
      <c r="AI37" s="12">
        <f t="shared" si="9"/>
        <v>77677887.5</v>
      </c>
      <c r="AJ37" s="13">
        <f t="shared" ca="1" si="10"/>
        <v>68630698.25</v>
      </c>
    </row>
    <row r="38" spans="1:36" x14ac:dyDescent="0.25">
      <c r="A38" s="62" t="s">
        <v>166</v>
      </c>
      <c r="B38" s="6">
        <v>540902</v>
      </c>
      <c r="C38" s="6" t="s">
        <v>167</v>
      </c>
      <c r="D38" s="7">
        <v>33693726</v>
      </c>
      <c r="E38" s="6">
        <v>3590.2</v>
      </c>
      <c r="F38" s="8">
        <f ca="1">IFERROR(__xludf.DUMMYFUNCTION("GOOGLEFINANCE(""BOM:"" &amp; B38,""price"")"),3650)</f>
        <v>3650</v>
      </c>
      <c r="G38" s="8">
        <f t="shared" ca="1" si="21"/>
        <v>1.6656453679460805</v>
      </c>
      <c r="H38" s="7">
        <f t="shared" si="22"/>
        <v>120967215085.2</v>
      </c>
      <c r="I38" s="9">
        <f t="shared" ca="1" si="23"/>
        <v>122982099900</v>
      </c>
      <c r="J38" s="63"/>
      <c r="K38" s="8">
        <v>515018</v>
      </c>
      <c r="L38" s="8" t="s">
        <v>168</v>
      </c>
      <c r="M38" s="12">
        <v>22827094</v>
      </c>
      <c r="N38" s="10">
        <v>32.54</v>
      </c>
      <c r="O38" s="10">
        <f ca="1">IFERROR(__xludf.DUMMYFUNCTION("GOOGLEFINANCE(""BOM:"" &amp; K38,""price"")"),38.25)</f>
        <v>38.25</v>
      </c>
      <c r="P38" s="8">
        <f t="shared" ca="1" si="12"/>
        <v>17.547633681622621</v>
      </c>
      <c r="Q38" s="12">
        <f t="shared" si="13"/>
        <v>742793638.75999999</v>
      </c>
      <c r="R38" s="13">
        <f t="shared" ca="1" si="14"/>
        <v>873136345.5</v>
      </c>
      <c r="S38" s="63"/>
      <c r="T38" s="8">
        <v>511724</v>
      </c>
      <c r="U38" s="8" t="s">
        <v>169</v>
      </c>
      <c r="V38" s="12">
        <v>115694900</v>
      </c>
      <c r="W38" s="8">
        <v>27</v>
      </c>
      <c r="X38" s="11">
        <f ca="1">IFERROR(__xludf.DUMMYFUNCTION("GOOGLEFINANCE(""BOM:"" &amp; T38,""price"")"),18.65)</f>
        <v>18.649999999999999</v>
      </c>
      <c r="Y38" s="8">
        <f t="shared" ca="1" si="24"/>
        <v>-30.925925925925927</v>
      </c>
      <c r="Z38" s="12">
        <f t="shared" si="25"/>
        <v>3123762300</v>
      </c>
      <c r="AA38" s="13">
        <f t="shared" ca="1" si="26"/>
        <v>2157709885</v>
      </c>
      <c r="AB38" s="63"/>
      <c r="AC38" s="8">
        <v>538965</v>
      </c>
      <c r="AD38" s="8" t="s">
        <v>170</v>
      </c>
      <c r="AE38" s="12">
        <v>8094850</v>
      </c>
      <c r="AF38" s="8">
        <v>39</v>
      </c>
      <c r="AG38" s="8">
        <f ca="1">IFERROR(__xludf.DUMMYFUNCTION("GOOGLEFINANCE(""BOM:"" &amp; AC38,""price"")"),35.7)</f>
        <v>35.700000000000003</v>
      </c>
      <c r="AH38" s="8">
        <f t="shared" ca="1" si="8"/>
        <v>-8.4615384615384528</v>
      </c>
      <c r="AI38" s="12">
        <f t="shared" si="9"/>
        <v>315699150</v>
      </c>
      <c r="AJ38" s="13">
        <f t="shared" ca="1" si="10"/>
        <v>288986145</v>
      </c>
    </row>
    <row r="39" spans="1:36" x14ac:dyDescent="0.25">
      <c r="A39" s="63"/>
      <c r="B39" s="8">
        <v>500067</v>
      </c>
      <c r="C39" s="8" t="s">
        <v>171</v>
      </c>
      <c r="D39" s="12">
        <v>190215560</v>
      </c>
      <c r="E39" s="8">
        <v>1307.75</v>
      </c>
      <c r="F39" s="8">
        <f ca="1">IFERROR(__xludf.DUMMYFUNCTION("GOOGLEFINANCE(""BOM:"" &amp; B39,""price"")"),1275.7)</f>
        <v>1275.7</v>
      </c>
      <c r="G39" s="8">
        <f t="shared" ca="1" si="21"/>
        <v>-2.4507742305486491</v>
      </c>
      <c r="H39" s="12">
        <f t="shared" si="22"/>
        <v>248754398590</v>
      </c>
      <c r="I39" s="13">
        <f t="shared" ca="1" si="23"/>
        <v>242657989892</v>
      </c>
      <c r="J39" s="63"/>
      <c r="K39" s="8">
        <v>505509</v>
      </c>
      <c r="L39" s="8" t="s">
        <v>172</v>
      </c>
      <c r="M39" s="12">
        <v>266912700</v>
      </c>
      <c r="N39" s="10">
        <v>313.89999999999998</v>
      </c>
      <c r="O39" s="10">
        <f ca="1">IFERROR(__xludf.DUMMYFUNCTION("GOOGLEFINANCE(""BOM:"" &amp; K39,""price"")"),280.2)</f>
        <v>280.2</v>
      </c>
      <c r="P39" s="8">
        <f t="shared" ca="1" si="12"/>
        <v>-10.735903153870655</v>
      </c>
      <c r="Q39" s="12">
        <f t="shared" si="13"/>
        <v>83783896530</v>
      </c>
      <c r="R39" s="13">
        <f t="shared" ca="1" si="14"/>
        <v>74788938540</v>
      </c>
      <c r="S39" s="63"/>
      <c r="T39" s="8">
        <v>531591</v>
      </c>
      <c r="U39" s="8" t="s">
        <v>173</v>
      </c>
      <c r="V39" s="12">
        <v>33675460</v>
      </c>
      <c r="W39" s="8">
        <v>9.64</v>
      </c>
      <c r="X39" s="11">
        <f ca="1">IFERROR(__xludf.DUMMYFUNCTION("GOOGLEFINANCE(""BOM:"" &amp; T39,""price"")"),8.97)</f>
        <v>8.9700000000000006</v>
      </c>
      <c r="Y39" s="8">
        <f t="shared" ca="1" si="24"/>
        <v>-6.9502074688796673</v>
      </c>
      <c r="Z39" s="12">
        <f t="shared" si="25"/>
        <v>324631434.40000004</v>
      </c>
      <c r="AA39" s="13">
        <f t="shared" ca="1" si="26"/>
        <v>302068876.20000005</v>
      </c>
      <c r="AB39" s="63"/>
      <c r="AC39" s="8">
        <v>524506</v>
      </c>
      <c r="AD39" s="8" t="s">
        <v>174</v>
      </c>
      <c r="AE39" s="12">
        <v>3498349</v>
      </c>
      <c r="AF39" s="8">
        <v>356</v>
      </c>
      <c r="AG39" s="8">
        <f ca="1">IFERROR(__xludf.DUMMYFUNCTION("GOOGLEFINANCE(""BOM:"" &amp; AC39,""price"")"),370.05)</f>
        <v>370.05</v>
      </c>
      <c r="AH39" s="8">
        <f t="shared" ca="1" si="8"/>
        <v>3.9466292134831491</v>
      </c>
      <c r="AI39" s="12">
        <f t="shared" si="9"/>
        <v>1245412244</v>
      </c>
      <c r="AJ39" s="13">
        <f t="shared" ca="1" si="10"/>
        <v>1294564047.45</v>
      </c>
    </row>
    <row r="40" spans="1:36" x14ac:dyDescent="0.25">
      <c r="A40" s="63"/>
      <c r="B40" s="8">
        <v>523398</v>
      </c>
      <c r="C40" s="8" t="s">
        <v>175</v>
      </c>
      <c r="D40" s="12">
        <v>26946625</v>
      </c>
      <c r="E40" s="8">
        <v>1103.8</v>
      </c>
      <c r="F40" s="8">
        <f ca="1">IFERROR(__xludf.DUMMYFUNCTION("GOOGLEFINANCE(""BOM:"" &amp; B40,""price"")"),951.9)</f>
        <v>951.9</v>
      </c>
      <c r="G40" s="8">
        <f t="shared" ca="1" si="21"/>
        <v>-13.76155100561696</v>
      </c>
      <c r="H40" s="12">
        <f t="shared" si="22"/>
        <v>29743684675</v>
      </c>
      <c r="I40" s="13">
        <f t="shared" ca="1" si="23"/>
        <v>25650492337.5</v>
      </c>
      <c r="J40" s="63"/>
      <c r="K40" s="8">
        <v>515085</v>
      </c>
      <c r="L40" s="8" t="s">
        <v>176</v>
      </c>
      <c r="M40" s="12">
        <v>97703648</v>
      </c>
      <c r="N40" s="10">
        <v>4.4400000000000004</v>
      </c>
      <c r="O40" s="10">
        <f ca="1">IFERROR(__xludf.DUMMYFUNCTION("GOOGLEFINANCE(""BOM:"" &amp; K40,""price"")"),3.25)</f>
        <v>3.25</v>
      </c>
      <c r="P40" s="8">
        <f t="shared" ca="1" si="12"/>
        <v>-26.801801801801805</v>
      </c>
      <c r="Q40" s="12">
        <f t="shared" si="13"/>
        <v>433804197.12000006</v>
      </c>
      <c r="R40" s="13">
        <f t="shared" ca="1" si="14"/>
        <v>317536856</v>
      </c>
      <c r="S40" s="63"/>
      <c r="T40" s="8">
        <v>539946</v>
      </c>
      <c r="U40" s="8" t="s">
        <v>177</v>
      </c>
      <c r="V40" s="12">
        <v>939800</v>
      </c>
      <c r="W40" s="8">
        <v>34.590000000000003</v>
      </c>
      <c r="X40" s="11">
        <f ca="1">IFERROR(__xludf.DUMMYFUNCTION("GOOGLEFINANCE(""BOM:"" &amp; T40,""price"")"),43)</f>
        <v>43</v>
      </c>
      <c r="Y40" s="8">
        <f t="shared" ca="1" si="24"/>
        <v>24.31338537149464</v>
      </c>
      <c r="Z40" s="12">
        <f t="shared" si="25"/>
        <v>32507682.000000004</v>
      </c>
      <c r="AA40" s="13">
        <f t="shared" ca="1" si="26"/>
        <v>40411400</v>
      </c>
      <c r="AB40" s="63"/>
      <c r="AC40" s="8">
        <v>540701</v>
      </c>
      <c r="AD40" s="8" t="s">
        <v>178</v>
      </c>
      <c r="AE40" s="12">
        <v>156782380</v>
      </c>
      <c r="AF40" s="8">
        <v>257.05</v>
      </c>
      <c r="AG40" s="8">
        <f ca="1">IFERROR(__xludf.DUMMYFUNCTION("GOOGLEFINANCE(""BOM:"" &amp; AC40,""price"")"),234.25)</f>
        <v>234.25</v>
      </c>
      <c r="AH40" s="8">
        <f t="shared" ca="1" si="8"/>
        <v>-8.8698696751604782</v>
      </c>
      <c r="AI40" s="12">
        <f t="shared" si="9"/>
        <v>40300910779</v>
      </c>
      <c r="AJ40" s="13">
        <f t="shared" ca="1" si="10"/>
        <v>36726272515</v>
      </c>
    </row>
    <row r="41" spans="1:36" x14ac:dyDescent="0.25">
      <c r="A41" s="64"/>
      <c r="B41" s="14">
        <v>500575</v>
      </c>
      <c r="C41" s="14" t="s">
        <v>179</v>
      </c>
      <c r="D41" s="15">
        <v>325596637</v>
      </c>
      <c r="E41" s="8">
        <v>1084.8</v>
      </c>
      <c r="F41" s="14">
        <f ca="1">IFERROR(__xludf.DUMMYFUNCTION("GOOGLEFINANCE(""BOM:"" &amp; B41,""price"")"),1103.55)</f>
        <v>1103.55</v>
      </c>
      <c r="G41" s="14">
        <f t="shared" ca="1" si="21"/>
        <v>1.728429203539823</v>
      </c>
      <c r="H41" s="15">
        <f t="shared" si="22"/>
        <v>353207231817.59998</v>
      </c>
      <c r="I41" s="16">
        <f t="shared" ca="1" si="23"/>
        <v>359312168761.34998</v>
      </c>
      <c r="J41" s="63"/>
      <c r="K41" s="8">
        <v>526193</v>
      </c>
      <c r="L41" s="8" t="s">
        <v>180</v>
      </c>
      <c r="M41" s="12">
        <v>8257497</v>
      </c>
      <c r="N41" s="10">
        <v>28.5</v>
      </c>
      <c r="O41" s="10">
        <f ca="1">IFERROR(__xludf.DUMMYFUNCTION("GOOGLEFINANCE(""BOM:"" &amp; K41,""price"")"),27.31)</f>
        <v>27.31</v>
      </c>
      <c r="P41" s="8">
        <f t="shared" ca="1" si="12"/>
        <v>-4.1754385964912331</v>
      </c>
      <c r="Q41" s="12">
        <f t="shared" si="13"/>
        <v>235338664.5</v>
      </c>
      <c r="R41" s="13">
        <f t="shared" ca="1" si="14"/>
        <v>225512243.06999999</v>
      </c>
      <c r="S41" s="63"/>
      <c r="T41" s="8">
        <v>539621</v>
      </c>
      <c r="U41" s="8" t="s">
        <v>181</v>
      </c>
      <c r="V41" s="12">
        <v>111450700</v>
      </c>
      <c r="W41" s="8">
        <v>1.19</v>
      </c>
      <c r="X41" s="11">
        <v>1.19</v>
      </c>
      <c r="Y41" s="8">
        <f t="shared" si="24"/>
        <v>0</v>
      </c>
      <c r="Z41" s="12">
        <f t="shared" si="25"/>
        <v>132626333</v>
      </c>
      <c r="AA41" s="13">
        <f t="shared" si="26"/>
        <v>132626333</v>
      </c>
      <c r="AB41" s="63"/>
      <c r="AC41" s="8">
        <v>524752</v>
      </c>
      <c r="AD41" s="8" t="s">
        <v>182</v>
      </c>
      <c r="AE41" s="12">
        <v>9467922</v>
      </c>
      <c r="AF41" s="8">
        <v>17.55</v>
      </c>
      <c r="AG41" s="8">
        <f ca="1">IFERROR(__xludf.DUMMYFUNCTION("GOOGLEFINANCE(""BOM:"" &amp; AC41,""price"")"),14.75)</f>
        <v>14.75</v>
      </c>
      <c r="AH41" s="8">
        <f t="shared" ca="1" si="8"/>
        <v>-15.954415954415957</v>
      </c>
      <c r="AI41" s="12">
        <f t="shared" si="9"/>
        <v>166162031.09999999</v>
      </c>
      <c r="AJ41" s="13">
        <f t="shared" ca="1" si="10"/>
        <v>139651849.5</v>
      </c>
    </row>
    <row r="42" spans="1:36" x14ac:dyDescent="0.25">
      <c r="A42" s="62" t="s">
        <v>183</v>
      </c>
      <c r="B42" s="6">
        <v>532773</v>
      </c>
      <c r="C42" s="6" t="s">
        <v>184</v>
      </c>
      <c r="D42" s="7">
        <v>13999949</v>
      </c>
      <c r="E42" s="6">
        <v>122.9</v>
      </c>
      <c r="F42" s="8">
        <f ca="1">IFERROR(__xludf.DUMMYFUNCTION("GOOGLEFINANCE(""BOM:"" &amp; B42,""price"")"),124.8)</f>
        <v>124.8</v>
      </c>
      <c r="G42" s="8">
        <f t="shared" ca="1" si="21"/>
        <v>1.5459723352318888</v>
      </c>
      <c r="H42" s="7">
        <f t="shared" si="22"/>
        <v>1720593732.1000001</v>
      </c>
      <c r="I42" s="9">
        <f t="shared" ca="1" si="23"/>
        <v>1747193635.2</v>
      </c>
      <c r="J42" s="63"/>
      <c r="K42" s="8">
        <v>540203</v>
      </c>
      <c r="L42" s="8" t="s">
        <v>185</v>
      </c>
      <c r="M42" s="12">
        <v>97565616</v>
      </c>
      <c r="N42" s="10">
        <v>1046.3</v>
      </c>
      <c r="O42" s="10">
        <f ca="1">IFERROR(__xludf.DUMMYFUNCTION("GOOGLEFINANCE(""BOM:"" &amp; K42,""price"")"),937)</f>
        <v>937</v>
      </c>
      <c r="P42" s="8">
        <f t="shared" ca="1" si="12"/>
        <v>-10.446334703239984</v>
      </c>
      <c r="Q42" s="12">
        <f t="shared" si="13"/>
        <v>102082904020.8</v>
      </c>
      <c r="R42" s="13">
        <f t="shared" ca="1" si="14"/>
        <v>91418982192</v>
      </c>
      <c r="S42" s="63"/>
      <c r="T42" s="8">
        <v>533095</v>
      </c>
      <c r="U42" s="8" t="s">
        <v>186</v>
      </c>
      <c r="V42" s="12">
        <v>11080368</v>
      </c>
      <c r="W42" s="8">
        <v>9811</v>
      </c>
      <c r="X42" s="11">
        <f ca="1">IFERROR(__xludf.DUMMYFUNCTION("GOOGLEFINANCE(""BOM:"" &amp; T42,""price"")"),8599.95)</f>
        <v>8599.9500000000007</v>
      </c>
      <c r="Y42" s="8">
        <f t="shared" ca="1" si="24"/>
        <v>-12.343797778004273</v>
      </c>
      <c r="Z42" s="12">
        <f t="shared" si="25"/>
        <v>108709490448</v>
      </c>
      <c r="AA42" s="13">
        <f t="shared" ca="1" si="26"/>
        <v>95290610781.600006</v>
      </c>
      <c r="AB42" s="63"/>
      <c r="AC42" s="8">
        <v>537536</v>
      </c>
      <c r="AD42" s="8" t="s">
        <v>187</v>
      </c>
      <c r="AE42" s="12">
        <v>13639064</v>
      </c>
      <c r="AF42" s="8">
        <v>133.9</v>
      </c>
      <c r="AG42" s="8">
        <f ca="1">IFERROR(__xludf.DUMMYFUNCTION("GOOGLEFINANCE(""BOM:"" &amp; AC42,""price"")"),150.85)</f>
        <v>150.85</v>
      </c>
      <c r="AH42" s="8">
        <f t="shared" ca="1" si="8"/>
        <v>12.658700522778183</v>
      </c>
      <c r="AI42" s="12">
        <f t="shared" si="9"/>
        <v>1826270669.6000001</v>
      </c>
      <c r="AJ42" s="13">
        <f t="shared" ca="1" si="10"/>
        <v>2057452804.3999999</v>
      </c>
    </row>
    <row r="43" spans="1:36" x14ac:dyDescent="0.25">
      <c r="A43" s="63"/>
      <c r="B43" s="8">
        <v>539448</v>
      </c>
      <c r="C43" s="8" t="s">
        <v>188</v>
      </c>
      <c r="D43" s="12">
        <v>384743724</v>
      </c>
      <c r="E43" s="8">
        <v>3151.65</v>
      </c>
      <c r="F43" s="8">
        <f ca="1">IFERROR(__xludf.DUMMYFUNCTION("GOOGLEFINANCE(""BOM:"" &amp; B43,""price"")"),3560)</f>
        <v>3560</v>
      </c>
      <c r="G43" s="8">
        <f t="shared" ca="1" si="21"/>
        <v>12.956705217901732</v>
      </c>
      <c r="H43" s="12">
        <f t="shared" si="22"/>
        <v>1212577557744.6001</v>
      </c>
      <c r="I43" s="13">
        <f t="shared" ca="1" si="23"/>
        <v>1369687657440</v>
      </c>
      <c r="J43" s="63"/>
      <c r="K43" s="8">
        <v>543519</v>
      </c>
      <c r="L43" s="8" t="s">
        <v>189</v>
      </c>
      <c r="M43" s="12">
        <v>2088000</v>
      </c>
      <c r="N43" s="10">
        <v>44.38</v>
      </c>
      <c r="O43" s="10">
        <f ca="1">IFERROR(__xludf.DUMMYFUNCTION("GOOGLEFINANCE(""BOM:"" &amp; K43,""price"")"),40.1)</f>
        <v>40.1</v>
      </c>
      <c r="P43" s="8">
        <f t="shared" ca="1" si="12"/>
        <v>-9.643983776475892</v>
      </c>
      <c r="Q43" s="12">
        <f t="shared" si="13"/>
        <v>92665440</v>
      </c>
      <c r="R43" s="13">
        <f t="shared" ca="1" si="14"/>
        <v>83728800</v>
      </c>
      <c r="S43" s="63"/>
      <c r="T43" s="8">
        <v>531582</v>
      </c>
      <c r="U43" s="8" t="s">
        <v>190</v>
      </c>
      <c r="V43" s="12">
        <v>3427575</v>
      </c>
      <c r="W43" s="8">
        <v>35.32</v>
      </c>
      <c r="X43" s="11">
        <f ca="1">IFERROR(__xludf.DUMMYFUNCTION("GOOGLEFINANCE(""BOM:"" &amp; T43,""price"")"),31.71)</f>
        <v>31.71</v>
      </c>
      <c r="Y43" s="8">
        <f t="shared" ca="1" si="24"/>
        <v>-10.220838052095129</v>
      </c>
      <c r="Z43" s="12">
        <f t="shared" si="25"/>
        <v>121061949</v>
      </c>
      <c r="AA43" s="13">
        <f t="shared" ca="1" si="26"/>
        <v>108688403.25</v>
      </c>
      <c r="AB43" s="63"/>
      <c r="AC43" s="8">
        <v>531521</v>
      </c>
      <c r="AD43" s="8" t="s">
        <v>191</v>
      </c>
      <c r="AE43" s="12">
        <v>2969200</v>
      </c>
      <c r="AF43" s="8">
        <v>6.95</v>
      </c>
      <c r="AG43" s="8">
        <f ca="1">IFERROR(__xludf.DUMMYFUNCTION("GOOGLEFINANCE(""BOM:"" &amp; AC43,""price"")"),6.95)</f>
        <v>6.95</v>
      </c>
      <c r="AH43" s="8">
        <f t="shared" ca="1" si="8"/>
        <v>0</v>
      </c>
      <c r="AI43" s="12">
        <f t="shared" si="9"/>
        <v>20635940</v>
      </c>
      <c r="AJ43" s="13">
        <f t="shared" ca="1" si="10"/>
        <v>20635940</v>
      </c>
    </row>
    <row r="44" spans="1:36" x14ac:dyDescent="0.25">
      <c r="A44" s="63"/>
      <c r="B44" s="8">
        <v>532617</v>
      </c>
      <c r="C44" s="8" t="s">
        <v>192</v>
      </c>
      <c r="D44" s="12">
        <v>113597383</v>
      </c>
      <c r="E44" s="8">
        <v>48.24</v>
      </c>
      <c r="F44" s="8">
        <f ca="1">IFERROR(__xludf.DUMMYFUNCTION("GOOGLEFINANCE(""BOM:"" &amp; B44,""price"")"),49.02)</f>
        <v>49.02</v>
      </c>
      <c r="G44" s="8">
        <f t="shared" ca="1" si="21"/>
        <v>1.6169154228855744</v>
      </c>
      <c r="H44" s="12">
        <f t="shared" si="22"/>
        <v>5479937755.9200001</v>
      </c>
      <c r="I44" s="13">
        <f t="shared" ca="1" si="23"/>
        <v>5568543714.6600008</v>
      </c>
      <c r="J44" s="63"/>
      <c r="K44" s="8">
        <v>530841</v>
      </c>
      <c r="L44" s="8" t="s">
        <v>193</v>
      </c>
      <c r="M44" s="12">
        <v>2862300</v>
      </c>
      <c r="N44" s="10" t="s">
        <v>44</v>
      </c>
      <c r="O44" s="10" t="s">
        <v>44</v>
      </c>
      <c r="P44" s="8"/>
      <c r="Q44" s="12"/>
      <c r="R44" s="13"/>
      <c r="S44" s="63"/>
      <c r="T44" s="8">
        <v>539662</v>
      </c>
      <c r="U44" s="8" t="s">
        <v>194</v>
      </c>
      <c r="V44" s="12">
        <v>9708600</v>
      </c>
      <c r="W44" s="8">
        <v>21.81</v>
      </c>
      <c r="X44" s="11">
        <f ca="1">IFERROR(__xludf.DUMMYFUNCTION("GOOGLEFINANCE(""BOM:"" &amp; T44,""price"")"),16.82)</f>
        <v>16.82</v>
      </c>
      <c r="Y44" s="8">
        <f t="shared" ca="1" si="24"/>
        <v>-22.879413113250795</v>
      </c>
      <c r="Z44" s="12">
        <f t="shared" si="25"/>
        <v>211744566</v>
      </c>
      <c r="AA44" s="13">
        <f t="shared" ca="1" si="26"/>
        <v>163298652</v>
      </c>
      <c r="AB44" s="63"/>
      <c r="AC44" s="8">
        <v>532488</v>
      </c>
      <c r="AD44" s="8" t="s">
        <v>195</v>
      </c>
      <c r="AE44" s="12">
        <v>265345134</v>
      </c>
      <c r="AF44" s="8">
        <v>3485</v>
      </c>
      <c r="AG44" s="8">
        <f ca="1">IFERROR(__xludf.DUMMYFUNCTION("GOOGLEFINANCE(""BOM:"" &amp; AC44,""price"")"),3452.55)</f>
        <v>3452.55</v>
      </c>
      <c r="AH44" s="8">
        <f t="shared" ca="1" si="8"/>
        <v>-0.93113342898134344</v>
      </c>
      <c r="AI44" s="12">
        <f t="shared" si="9"/>
        <v>924727791990</v>
      </c>
      <c r="AJ44" s="13">
        <f t="shared" ca="1" si="10"/>
        <v>916117342391.70007</v>
      </c>
    </row>
    <row r="45" spans="1:36" x14ac:dyDescent="0.25">
      <c r="A45" s="63"/>
      <c r="B45" s="8">
        <v>500285</v>
      </c>
      <c r="C45" s="8" t="s">
        <v>196</v>
      </c>
      <c r="D45" s="12">
        <v>598079832</v>
      </c>
      <c r="E45" s="8">
        <v>64.05</v>
      </c>
      <c r="F45" s="8">
        <f ca="1">IFERROR(__xludf.DUMMYFUNCTION("GOOGLEFINANCE(""BOM:"" &amp; B45,""price"")"),60.01)</f>
        <v>60.01</v>
      </c>
      <c r="G45" s="8">
        <f t="shared" ca="1" si="21"/>
        <v>-6.3075722092115525</v>
      </c>
      <c r="H45" s="12">
        <f t="shared" si="22"/>
        <v>38307013239.599998</v>
      </c>
      <c r="I45" s="13">
        <f t="shared" ca="1" si="23"/>
        <v>35890770718.32</v>
      </c>
      <c r="J45" s="63"/>
      <c r="K45" s="8">
        <v>531548</v>
      </c>
      <c r="L45" s="8" t="s">
        <v>197</v>
      </c>
      <c r="M45" s="12">
        <v>42215671</v>
      </c>
      <c r="N45" s="10">
        <v>652.1</v>
      </c>
      <c r="O45" s="10">
        <f ca="1">IFERROR(__xludf.DUMMYFUNCTION("GOOGLEFINANCE(""BOM:"" &amp; K45,""price"")"),573.15)</f>
        <v>573.15</v>
      </c>
      <c r="P45" s="8">
        <f t="shared" ref="P45:P83" ca="1" si="27">((O45-N45)/N45)*100</f>
        <v>-12.107038797730416</v>
      </c>
      <c r="Q45" s="12">
        <f t="shared" ref="Q45:Q83" si="28">M45*N45</f>
        <v>27528839059.100002</v>
      </c>
      <c r="R45" s="13">
        <f t="shared" ref="R45:R83" ca="1" si="29">M45*O45</f>
        <v>24195911833.649998</v>
      </c>
      <c r="S45" s="63"/>
      <c r="T45" s="8">
        <v>543208</v>
      </c>
      <c r="U45" s="8" t="s">
        <v>198</v>
      </c>
      <c r="V45" s="12">
        <v>12278600</v>
      </c>
      <c r="W45" s="8">
        <v>101.9</v>
      </c>
      <c r="X45" s="11">
        <f ca="1">IFERROR(__xludf.DUMMYFUNCTION("GOOGLEFINANCE(""BOM:"" &amp; T45,""price"")"),102)</f>
        <v>102</v>
      </c>
      <c r="Y45" s="8">
        <f t="shared" ca="1" si="24"/>
        <v>9.8135426889101388E-2</v>
      </c>
      <c r="Z45" s="12">
        <f t="shared" si="25"/>
        <v>1251189340</v>
      </c>
      <c r="AA45" s="13">
        <f t="shared" ca="1" si="26"/>
        <v>1252417200</v>
      </c>
      <c r="AB45" s="63"/>
      <c r="AC45" s="8">
        <v>500124</v>
      </c>
      <c r="AD45" s="8" t="s">
        <v>199</v>
      </c>
      <c r="AE45" s="12">
        <v>165931671</v>
      </c>
      <c r="AF45" s="8">
        <v>6197.4</v>
      </c>
      <c r="AG45" s="8">
        <f ca="1">IFERROR(__xludf.DUMMYFUNCTION("GOOGLEFINANCE(""BOM:"" &amp; AC45,""price"")"),6171.85)</f>
        <v>6171.85</v>
      </c>
      <c r="AH45" s="8">
        <f t="shared" ca="1" si="8"/>
        <v>-0.4122696614709277</v>
      </c>
      <c r="AI45" s="12">
        <f t="shared" si="9"/>
        <v>1028344937855.3999</v>
      </c>
      <c r="AJ45" s="13">
        <f t="shared" ca="1" si="10"/>
        <v>1024105383661.3501</v>
      </c>
    </row>
    <row r="46" spans="1:36" x14ac:dyDescent="0.25">
      <c r="A46" s="64"/>
      <c r="B46" s="14">
        <v>539956</v>
      </c>
      <c r="C46" s="14" t="s">
        <v>200</v>
      </c>
      <c r="D46" s="15">
        <v>3014226</v>
      </c>
      <c r="E46" s="8">
        <v>3000</v>
      </c>
      <c r="F46" s="14">
        <f ca="1">IFERROR(__xludf.DUMMYFUNCTION("GOOGLEFINANCE(""BOM:"" &amp; B46,""price"")"),2608.85)</f>
        <v>2608.85</v>
      </c>
      <c r="G46" s="14">
        <f t="shared" ca="1" si="21"/>
        <v>-13.038333333333336</v>
      </c>
      <c r="H46" s="15">
        <f t="shared" si="22"/>
        <v>9042678000</v>
      </c>
      <c r="I46" s="16">
        <f t="shared" ca="1" si="23"/>
        <v>7863663500.0999994</v>
      </c>
      <c r="J46" s="64"/>
      <c r="K46" s="14">
        <v>540904</v>
      </c>
      <c r="L46" s="14" t="s">
        <v>201</v>
      </c>
      <c r="M46" s="15">
        <v>4234505</v>
      </c>
      <c r="N46" s="17">
        <v>75</v>
      </c>
      <c r="O46" s="17">
        <f ca="1">IFERROR(__xludf.DUMMYFUNCTION("GOOGLEFINANCE(""BOM:"" &amp; K46,""price"")"),73.3)</f>
        <v>73.3</v>
      </c>
      <c r="P46" s="14">
        <f t="shared" ca="1" si="27"/>
        <v>-2.2666666666666702</v>
      </c>
      <c r="Q46" s="15">
        <f t="shared" si="28"/>
        <v>317587875</v>
      </c>
      <c r="R46" s="16">
        <f t="shared" ca="1" si="29"/>
        <v>310389216.5</v>
      </c>
      <c r="S46" s="63"/>
      <c r="T46" s="8">
        <v>532485</v>
      </c>
      <c r="U46" s="8" t="s">
        <v>202</v>
      </c>
      <c r="V46" s="12">
        <v>22031408</v>
      </c>
      <c r="W46" s="8">
        <v>640.1</v>
      </c>
      <c r="X46" s="11">
        <f ca="1">IFERROR(__xludf.DUMMYFUNCTION("GOOGLEFINANCE(""BOM:"" &amp; T46,""price"")"),613.95)</f>
        <v>613.95000000000005</v>
      </c>
      <c r="Y46" s="8">
        <f t="shared" ca="1" si="24"/>
        <v>-4.0852991720043708</v>
      </c>
      <c r="Z46" s="12">
        <f t="shared" si="25"/>
        <v>14102304260.800001</v>
      </c>
      <c r="AA46" s="13">
        <f t="shared" ca="1" si="26"/>
        <v>13526182941.6</v>
      </c>
      <c r="AB46" s="63"/>
      <c r="AC46" s="8">
        <v>542724</v>
      </c>
      <c r="AD46" s="8" t="s">
        <v>203</v>
      </c>
      <c r="AE46" s="12">
        <v>61679100</v>
      </c>
      <c r="AF46" s="8">
        <v>2.3199999999999998</v>
      </c>
      <c r="AG46" s="8">
        <f ca="1">IFERROR(__xludf.DUMMYFUNCTION("GOOGLEFINANCE(""BOM:"" &amp; AC46,""price"")"),1.43)</f>
        <v>1.43</v>
      </c>
      <c r="AH46" s="8">
        <f t="shared" ca="1" si="8"/>
        <v>-38.362068965517238</v>
      </c>
      <c r="AI46" s="12">
        <f t="shared" si="9"/>
        <v>143095512</v>
      </c>
      <c r="AJ46" s="13">
        <f t="shared" ca="1" si="10"/>
        <v>88201113</v>
      </c>
    </row>
    <row r="47" spans="1:36" x14ac:dyDescent="0.25">
      <c r="A47" s="62" t="s">
        <v>204</v>
      </c>
      <c r="B47" s="6">
        <v>539151</v>
      </c>
      <c r="C47" s="6" t="s">
        <v>205</v>
      </c>
      <c r="D47" s="7">
        <v>15803025</v>
      </c>
      <c r="E47" s="6">
        <v>53</v>
      </c>
      <c r="F47" s="8">
        <f ca="1">IFERROR(__xludf.DUMMYFUNCTION("GOOGLEFINANCE(""BOM:"" &amp; B47,""price"")"),51.4)</f>
        <v>51.4</v>
      </c>
      <c r="G47" s="8">
        <f t="shared" ca="1" si="21"/>
        <v>-3.0188679245283048</v>
      </c>
      <c r="H47" s="7">
        <f t="shared" si="22"/>
        <v>837560325</v>
      </c>
      <c r="I47" s="9">
        <f t="shared" ca="1" si="23"/>
        <v>812275485</v>
      </c>
      <c r="J47" s="62" t="s">
        <v>206</v>
      </c>
      <c r="K47" s="6">
        <v>541144</v>
      </c>
      <c r="L47" s="6" t="s">
        <v>207</v>
      </c>
      <c r="M47" s="7">
        <v>15512215</v>
      </c>
      <c r="N47" s="10">
        <v>95</v>
      </c>
      <c r="O47" s="10">
        <f ca="1">IFERROR(__xludf.DUMMYFUNCTION("GOOGLEFINANCE(""BOM:"" &amp; K47,""price"")"),114.75)</f>
        <v>114.75</v>
      </c>
      <c r="P47" s="8">
        <f t="shared" ca="1" si="27"/>
        <v>20.789473684210527</v>
      </c>
      <c r="Q47" s="7">
        <f t="shared" si="28"/>
        <v>1473660425</v>
      </c>
      <c r="R47" s="9">
        <f t="shared" ca="1" si="29"/>
        <v>1780026671.25</v>
      </c>
      <c r="S47" s="63"/>
      <c r="T47" s="8">
        <v>509470</v>
      </c>
      <c r="U47" s="8" t="s">
        <v>208</v>
      </c>
      <c r="V47" s="12">
        <v>135155</v>
      </c>
      <c r="W47" s="8">
        <v>19698</v>
      </c>
      <c r="X47" s="11">
        <f ca="1">IFERROR(__xludf.DUMMYFUNCTION("GOOGLEFINANCE(""BOM:"" &amp; T47,""price"")"),17552)</f>
        <v>17552</v>
      </c>
      <c r="Y47" s="8">
        <f t="shared" ca="1" si="24"/>
        <v>-10.894507056553964</v>
      </c>
      <c r="Z47" s="12">
        <f t="shared" si="25"/>
        <v>2662283190</v>
      </c>
      <c r="AA47" s="13">
        <f t="shared" ca="1" si="26"/>
        <v>2372240560</v>
      </c>
      <c r="AB47" s="63"/>
      <c r="AC47" s="8">
        <v>531155</v>
      </c>
      <c r="AD47" s="8" t="s">
        <v>209</v>
      </c>
      <c r="AE47" s="12">
        <v>6141488</v>
      </c>
      <c r="AF47" s="8">
        <v>9.9</v>
      </c>
      <c r="AG47" s="8">
        <f ca="1">IFERROR(__xludf.DUMMYFUNCTION("GOOGLEFINANCE(""BOM:"" &amp; AC47,""price"")"),8.01)</f>
        <v>8.01</v>
      </c>
      <c r="AH47" s="8">
        <f t="shared" ca="1" si="8"/>
        <v>-19.090909090909097</v>
      </c>
      <c r="AI47" s="12">
        <f t="shared" si="9"/>
        <v>60800731.200000003</v>
      </c>
      <c r="AJ47" s="13">
        <f t="shared" ca="1" si="10"/>
        <v>49193318.879999995</v>
      </c>
    </row>
    <row r="48" spans="1:36" x14ac:dyDescent="0.25">
      <c r="A48" s="63"/>
      <c r="B48" s="8">
        <v>535279</v>
      </c>
      <c r="C48" s="8" t="s">
        <v>210</v>
      </c>
      <c r="D48" s="12">
        <v>18516640</v>
      </c>
      <c r="E48" s="8">
        <v>12.21</v>
      </c>
      <c r="F48" s="8">
        <f ca="1">IFERROR(__xludf.DUMMYFUNCTION("GOOGLEFINANCE(""BOM:"" &amp; B48,""price"")"),12.18)</f>
        <v>12.18</v>
      </c>
      <c r="G48" s="8">
        <f t="shared" ca="1" si="21"/>
        <v>-0.24570024570025498</v>
      </c>
      <c r="H48" s="12">
        <f t="shared" si="22"/>
        <v>226088174.40000001</v>
      </c>
      <c r="I48" s="13">
        <f t="shared" ca="1" si="23"/>
        <v>225532675.19999999</v>
      </c>
      <c r="J48" s="63"/>
      <c r="K48" s="8">
        <v>507852</v>
      </c>
      <c r="L48" s="8" t="s">
        <v>211</v>
      </c>
      <c r="M48" s="12">
        <v>10184880</v>
      </c>
      <c r="N48" s="10">
        <v>59.1</v>
      </c>
      <c r="O48" s="10">
        <f ca="1">IFERROR(__xludf.DUMMYFUNCTION("GOOGLEFINANCE(""BOM:"" &amp; K48,""price"")"),54.29)</f>
        <v>54.29</v>
      </c>
      <c r="P48" s="8">
        <f t="shared" ca="1" si="27"/>
        <v>-8.1387478849407824</v>
      </c>
      <c r="Q48" s="12">
        <f t="shared" si="28"/>
        <v>601926408</v>
      </c>
      <c r="R48" s="13">
        <f t="shared" ca="1" si="29"/>
        <v>552937135.20000005</v>
      </c>
      <c r="S48" s="63"/>
      <c r="T48" s="8">
        <v>536965</v>
      </c>
      <c r="U48" s="8" t="s">
        <v>212</v>
      </c>
      <c r="V48" s="12">
        <v>5660894</v>
      </c>
      <c r="W48" s="8">
        <v>4.8899999999999997</v>
      </c>
      <c r="X48" s="11">
        <f ca="1">IFERROR(__xludf.DUMMYFUNCTION("GOOGLEFINANCE(""BOM:"" &amp; T48,""price"")"),4.91)</f>
        <v>4.91</v>
      </c>
      <c r="Y48" s="8">
        <f t="shared" ca="1" si="24"/>
        <v>0.40899795501023445</v>
      </c>
      <c r="Z48" s="12">
        <f t="shared" si="25"/>
        <v>27681771.659999996</v>
      </c>
      <c r="AA48" s="13">
        <f t="shared" ca="1" si="26"/>
        <v>27794989.539999999</v>
      </c>
      <c r="AB48" s="63"/>
      <c r="AC48" s="8">
        <v>540596</v>
      </c>
      <c r="AD48" s="8" t="s">
        <v>213</v>
      </c>
      <c r="AE48" s="12">
        <v>135972675</v>
      </c>
      <c r="AF48" s="8">
        <v>890</v>
      </c>
      <c r="AG48" s="8">
        <f ca="1">IFERROR(__xludf.DUMMYFUNCTION("GOOGLEFINANCE(""BOM:"" &amp; AC48,""price"")"),834.85)</f>
        <v>834.85</v>
      </c>
      <c r="AH48" s="8">
        <f t="shared" ca="1" si="8"/>
        <v>-6.1966292134831438</v>
      </c>
      <c r="AI48" s="12">
        <f t="shared" si="9"/>
        <v>121015680750</v>
      </c>
      <c r="AJ48" s="13">
        <f t="shared" ca="1" si="10"/>
        <v>113516787723.75</v>
      </c>
    </row>
    <row r="49" spans="1:36" x14ac:dyDescent="0.25">
      <c r="A49" s="63"/>
      <c r="B49" s="8">
        <v>513309</v>
      </c>
      <c r="C49" s="8" t="s">
        <v>214</v>
      </c>
      <c r="D49" s="12">
        <v>5179717</v>
      </c>
      <c r="E49" s="8">
        <v>18.46</v>
      </c>
      <c r="F49" s="8">
        <f ca="1">IFERROR(__xludf.DUMMYFUNCTION("GOOGLEFINANCE(""BOM:"" &amp; B49,""price"")"),14.31)</f>
        <v>14.31</v>
      </c>
      <c r="G49" s="8">
        <f t="shared" ca="1" si="21"/>
        <v>-22.48104008667389</v>
      </c>
      <c r="H49" s="12">
        <f t="shared" si="22"/>
        <v>95617575.820000008</v>
      </c>
      <c r="I49" s="13">
        <f t="shared" ca="1" si="23"/>
        <v>74121750.269999996</v>
      </c>
      <c r="J49" s="63"/>
      <c r="K49" s="8">
        <v>500101</v>
      </c>
      <c r="L49" s="8" t="s">
        <v>215</v>
      </c>
      <c r="M49" s="12">
        <v>258826145</v>
      </c>
      <c r="N49" s="10">
        <v>279.3</v>
      </c>
      <c r="O49" s="10">
        <f ca="1">IFERROR(__xludf.DUMMYFUNCTION("GOOGLEFINANCE(""BOM:"" &amp; K49,""price"")"),269.2)</f>
        <v>269.2</v>
      </c>
      <c r="P49" s="8">
        <f t="shared" ca="1" si="27"/>
        <v>-3.616183315431444</v>
      </c>
      <c r="Q49" s="12">
        <f t="shared" si="28"/>
        <v>72290142298.5</v>
      </c>
      <c r="R49" s="13">
        <f t="shared" ca="1" si="29"/>
        <v>69675998234</v>
      </c>
      <c r="S49" s="63"/>
      <c r="T49" s="8">
        <v>532113</v>
      </c>
      <c r="U49" s="8" t="s">
        <v>216</v>
      </c>
      <c r="V49" s="12">
        <v>5640930</v>
      </c>
      <c r="W49" s="8">
        <v>8.76</v>
      </c>
      <c r="X49" s="11">
        <f ca="1">IFERROR(__xludf.DUMMYFUNCTION("GOOGLEFINANCE(""BOM:"" &amp; T49,""price"")"),7.7)</f>
        <v>7.7</v>
      </c>
      <c r="Y49" s="8">
        <f t="shared" ca="1" si="24"/>
        <v>-12.100456621004561</v>
      </c>
      <c r="Z49" s="12">
        <f t="shared" si="25"/>
        <v>49414546.799999997</v>
      </c>
      <c r="AA49" s="13">
        <f t="shared" ca="1" si="26"/>
        <v>43435161</v>
      </c>
      <c r="AB49" s="63"/>
      <c r="AC49" s="8">
        <v>524790</v>
      </c>
      <c r="AD49" s="8" t="s">
        <v>217</v>
      </c>
      <c r="AE49" s="12">
        <v>7554282</v>
      </c>
      <c r="AF49" s="8">
        <v>141.9</v>
      </c>
      <c r="AG49" s="8">
        <f ca="1">IFERROR(__xludf.DUMMYFUNCTION("GOOGLEFINANCE(""BOM:"" &amp; AC49,""price"")"),117.55)</f>
        <v>117.55</v>
      </c>
      <c r="AH49" s="8">
        <f t="shared" ca="1" si="8"/>
        <v>-17.159971811134607</v>
      </c>
      <c r="AI49" s="12">
        <f t="shared" si="9"/>
        <v>1071952615.8000001</v>
      </c>
      <c r="AJ49" s="13">
        <f t="shared" ca="1" si="10"/>
        <v>888005849.10000002</v>
      </c>
    </row>
    <row r="50" spans="1:36" x14ac:dyDescent="0.25">
      <c r="A50" s="63"/>
      <c r="B50" s="8">
        <v>500440</v>
      </c>
      <c r="C50" s="8" t="s">
        <v>218</v>
      </c>
      <c r="D50" s="12">
        <v>2207247643</v>
      </c>
      <c r="E50" s="8">
        <v>519.1</v>
      </c>
      <c r="F50" s="8">
        <f ca="1">IFERROR(__xludf.DUMMYFUNCTION("GOOGLEFINANCE(""BOM:"" &amp; B50,""price"")"),560.45)</f>
        <v>560.45000000000005</v>
      </c>
      <c r="G50" s="8">
        <f t="shared" ca="1" si="21"/>
        <v>7.9657098824889276</v>
      </c>
      <c r="H50" s="12">
        <f t="shared" si="22"/>
        <v>1145782251481.3</v>
      </c>
      <c r="I50" s="13">
        <f t="shared" ca="1" si="23"/>
        <v>1237051941519.3501</v>
      </c>
      <c r="J50" s="63"/>
      <c r="K50" s="8">
        <v>532946</v>
      </c>
      <c r="L50" s="8" t="s">
        <v>219</v>
      </c>
      <c r="M50" s="12">
        <v>13438135</v>
      </c>
      <c r="N50" s="10">
        <v>60.8</v>
      </c>
      <c r="O50" s="10">
        <f ca="1">IFERROR(__xludf.DUMMYFUNCTION("GOOGLEFINANCE(""BOM:"" &amp; K50,""price"")"),46)</f>
        <v>46</v>
      </c>
      <c r="P50" s="8">
        <f t="shared" ca="1" si="27"/>
        <v>-24.34210526315789</v>
      </c>
      <c r="Q50" s="12">
        <f t="shared" si="28"/>
        <v>817038608</v>
      </c>
      <c r="R50" s="13">
        <f t="shared" ca="1" si="29"/>
        <v>618154210</v>
      </c>
      <c r="S50" s="63"/>
      <c r="T50" s="8">
        <v>539434</v>
      </c>
      <c r="U50" s="8" t="s">
        <v>220</v>
      </c>
      <c r="V50" s="12">
        <v>2446835</v>
      </c>
      <c r="W50" s="8">
        <v>6.98</v>
      </c>
      <c r="X50" s="11">
        <f ca="1">IFERROR(__xludf.DUMMYFUNCTION("GOOGLEFINANCE(""BOM:"" &amp; T50,""price"")"),6.98)</f>
        <v>6.98</v>
      </c>
      <c r="Y50" s="8">
        <f t="shared" ca="1" si="24"/>
        <v>0</v>
      </c>
      <c r="Z50" s="12">
        <f t="shared" si="25"/>
        <v>17078908.300000001</v>
      </c>
      <c r="AA50" s="13">
        <f t="shared" ca="1" si="26"/>
        <v>17078908.300000001</v>
      </c>
      <c r="AB50" s="63"/>
      <c r="AC50" s="8">
        <v>543444</v>
      </c>
      <c r="AD50" s="8" t="s">
        <v>221</v>
      </c>
      <c r="AE50" s="12">
        <v>2100000</v>
      </c>
      <c r="AF50" s="8">
        <v>39.57</v>
      </c>
      <c r="AG50" s="8">
        <f ca="1">IFERROR(__xludf.DUMMYFUNCTION("GOOGLEFINANCE(""BOM:"" &amp; AC50,""price"")"),39.57)</f>
        <v>39.57</v>
      </c>
      <c r="AH50" s="8">
        <f t="shared" ca="1" si="8"/>
        <v>0</v>
      </c>
      <c r="AI50" s="12">
        <f t="shared" si="9"/>
        <v>83097000</v>
      </c>
      <c r="AJ50" s="13">
        <f t="shared" ca="1" si="10"/>
        <v>83097000</v>
      </c>
    </row>
    <row r="51" spans="1:36" x14ac:dyDescent="0.25">
      <c r="A51" s="63"/>
      <c r="B51" s="8">
        <v>531979</v>
      </c>
      <c r="C51" s="8" t="s">
        <v>222</v>
      </c>
      <c r="D51" s="12">
        <v>6166738</v>
      </c>
      <c r="E51" s="8">
        <v>60</v>
      </c>
      <c r="F51" s="8">
        <f ca="1">IFERROR(__xludf.DUMMYFUNCTION("GOOGLEFINANCE(""BOM:"" &amp; B51,""price"")"),48.8)</f>
        <v>48.8</v>
      </c>
      <c r="G51" s="8">
        <f t="shared" ca="1" si="21"/>
        <v>-18.666666666666671</v>
      </c>
      <c r="H51" s="12">
        <f t="shared" si="22"/>
        <v>370004280</v>
      </c>
      <c r="I51" s="13">
        <f t="shared" ca="1" si="23"/>
        <v>300936814.39999998</v>
      </c>
      <c r="J51" s="63"/>
      <c r="K51" s="8">
        <v>539399</v>
      </c>
      <c r="L51" s="8" t="s">
        <v>223</v>
      </c>
      <c r="M51" s="12">
        <v>11475000</v>
      </c>
      <c r="N51" s="10">
        <v>293</v>
      </c>
      <c r="O51" s="10">
        <f ca="1">IFERROR(__xludf.DUMMYFUNCTION("GOOGLEFINANCE(""BOM:"" &amp; K51,""price"")"),300.45)</f>
        <v>300.45</v>
      </c>
      <c r="P51" s="8">
        <f t="shared" ca="1" si="27"/>
        <v>2.5426621160409519</v>
      </c>
      <c r="Q51" s="12">
        <f t="shared" si="28"/>
        <v>3362175000</v>
      </c>
      <c r="R51" s="13">
        <f t="shared" ca="1" si="29"/>
        <v>3447663750</v>
      </c>
      <c r="S51" s="63"/>
      <c r="T51" s="8">
        <v>511505</v>
      </c>
      <c r="U51" s="8" t="s">
        <v>224</v>
      </c>
      <c r="V51" s="12">
        <v>15825035</v>
      </c>
      <c r="W51" s="8">
        <v>131.05000000000001</v>
      </c>
      <c r="X51" s="11">
        <f ca="1">IFERROR(__xludf.DUMMYFUNCTION("GOOGLEFINANCE(""BOM:"" &amp; T51,""price"")"),95.15)</f>
        <v>95.15</v>
      </c>
      <c r="Y51" s="8">
        <f t="shared" ca="1" si="24"/>
        <v>-27.394124380007632</v>
      </c>
      <c r="Z51" s="12">
        <f t="shared" si="25"/>
        <v>2073870836.7500002</v>
      </c>
      <c r="AA51" s="13">
        <f t="shared" ca="1" si="26"/>
        <v>1505752080.25</v>
      </c>
      <c r="AB51" s="63"/>
      <c r="AC51" s="8">
        <v>531599</v>
      </c>
      <c r="AD51" s="8" t="s">
        <v>225</v>
      </c>
      <c r="AE51" s="12">
        <v>164240560</v>
      </c>
      <c r="AF51" s="8">
        <v>438</v>
      </c>
      <c r="AG51" s="8">
        <f ca="1">IFERROR(__xludf.DUMMYFUNCTION("GOOGLEFINANCE(""BOM:"" &amp; AC51,""price"")"),423.25)</f>
        <v>423.25</v>
      </c>
      <c r="AH51" s="8">
        <f t="shared" ca="1" si="8"/>
        <v>-3.3675799086757987</v>
      </c>
      <c r="AI51" s="12">
        <f t="shared" si="9"/>
        <v>71937365280</v>
      </c>
      <c r="AJ51" s="13">
        <f t="shared" ca="1" si="10"/>
        <v>69514817020</v>
      </c>
    </row>
    <row r="52" spans="1:36" x14ac:dyDescent="0.25">
      <c r="A52" s="63"/>
      <c r="B52" s="8">
        <v>532906</v>
      </c>
      <c r="C52" s="8" t="s">
        <v>226</v>
      </c>
      <c r="D52" s="12">
        <v>53418048</v>
      </c>
      <c r="E52" s="8">
        <v>146</v>
      </c>
      <c r="F52" s="8">
        <f ca="1">IFERROR(__xludf.DUMMYFUNCTION("GOOGLEFINANCE(""BOM:"" &amp; B52,""price"")"),138)</f>
        <v>138</v>
      </c>
      <c r="G52" s="8">
        <f t="shared" ca="1" si="21"/>
        <v>-5.4794520547945202</v>
      </c>
      <c r="H52" s="12">
        <f t="shared" si="22"/>
        <v>7799035008</v>
      </c>
      <c r="I52" s="13">
        <f t="shared" ca="1" si="23"/>
        <v>7371690624</v>
      </c>
      <c r="J52" s="63"/>
      <c r="K52" s="8">
        <v>533267</v>
      </c>
      <c r="L52" s="8" t="s">
        <v>227</v>
      </c>
      <c r="M52" s="12">
        <v>81637235</v>
      </c>
      <c r="N52" s="10">
        <v>232.65</v>
      </c>
      <c r="O52" s="10">
        <f ca="1">IFERROR(__xludf.DUMMYFUNCTION("GOOGLEFINANCE(""BOM:"" &amp; K52,""price"")"),209)</f>
        <v>209</v>
      </c>
      <c r="P52" s="8">
        <f t="shared" ca="1" si="27"/>
        <v>-10.165484633569742</v>
      </c>
      <c r="Q52" s="12">
        <f t="shared" si="28"/>
        <v>18992902722.75</v>
      </c>
      <c r="R52" s="13">
        <f t="shared" ca="1" si="29"/>
        <v>17062182115</v>
      </c>
      <c r="S52" s="63"/>
      <c r="T52" s="8">
        <v>530789</v>
      </c>
      <c r="U52" s="8" t="s">
        <v>228</v>
      </c>
      <c r="V52" s="12">
        <v>3149370</v>
      </c>
      <c r="W52" s="8">
        <v>201.4</v>
      </c>
      <c r="X52" s="11">
        <f ca="1">IFERROR(__xludf.DUMMYFUNCTION("GOOGLEFINANCE(""BOM:"" &amp; T52,""price"")"),185.1)</f>
        <v>185.1</v>
      </c>
      <c r="Y52" s="8">
        <f t="shared" ca="1" si="24"/>
        <v>-8.0933465739821315</v>
      </c>
      <c r="Z52" s="12">
        <f t="shared" si="25"/>
        <v>634283118</v>
      </c>
      <c r="AA52" s="13">
        <f t="shared" ca="1" si="26"/>
        <v>582948387</v>
      </c>
      <c r="AB52" s="63"/>
      <c r="AC52" s="8">
        <v>506414</v>
      </c>
      <c r="AD52" s="8" t="s">
        <v>229</v>
      </c>
      <c r="AE52" s="12">
        <v>29082284</v>
      </c>
      <c r="AF52" s="8">
        <v>185.05</v>
      </c>
      <c r="AG52" s="8">
        <f ca="1">IFERROR(__xludf.DUMMYFUNCTION("GOOGLEFINANCE(""BOM:"" &amp; AC52,""price"")"),152.55)</f>
        <v>152.55000000000001</v>
      </c>
      <c r="AH52" s="8">
        <f t="shared" ca="1" si="8"/>
        <v>-17.562820859227234</v>
      </c>
      <c r="AI52" s="12">
        <f t="shared" si="9"/>
        <v>5381676654.2000008</v>
      </c>
      <c r="AJ52" s="13">
        <f t="shared" ca="1" si="10"/>
        <v>4436502424.2000008</v>
      </c>
    </row>
    <row r="53" spans="1:36" x14ac:dyDescent="0.25">
      <c r="A53" s="63"/>
      <c r="B53" s="8">
        <v>513430</v>
      </c>
      <c r="C53" s="8" t="s">
        <v>230</v>
      </c>
      <c r="D53" s="12">
        <v>3143740</v>
      </c>
      <c r="E53" s="8">
        <v>41.47</v>
      </c>
      <c r="F53" s="8">
        <f ca="1">IFERROR(__xludf.DUMMYFUNCTION("GOOGLEFINANCE(""BOM:"" &amp; B53,""price"")"),26.18)</f>
        <v>26.18</v>
      </c>
      <c r="G53" s="8">
        <f t="shared" ca="1" si="21"/>
        <v>-36.870026525198938</v>
      </c>
      <c r="H53" s="12">
        <f t="shared" si="22"/>
        <v>130370897.8</v>
      </c>
      <c r="I53" s="13">
        <f t="shared" ca="1" si="23"/>
        <v>82303113.200000003</v>
      </c>
      <c r="J53" s="63"/>
      <c r="K53" s="8">
        <v>532695</v>
      </c>
      <c r="L53" s="8" t="s">
        <v>231</v>
      </c>
      <c r="M53" s="12">
        <v>51672116</v>
      </c>
      <c r="N53" s="10">
        <v>17.05</v>
      </c>
      <c r="O53" s="10">
        <f ca="1">IFERROR(__xludf.DUMMYFUNCTION("GOOGLEFINANCE(""BOM:"" &amp; K53,""price"")"),17.2)</f>
        <v>17.2</v>
      </c>
      <c r="P53" s="8">
        <f t="shared" ca="1" si="27"/>
        <v>0.87976539589441971</v>
      </c>
      <c r="Q53" s="12">
        <f t="shared" si="28"/>
        <v>881009577.80000007</v>
      </c>
      <c r="R53" s="13">
        <f t="shared" ca="1" si="29"/>
        <v>888760395.19999993</v>
      </c>
      <c r="S53" s="63"/>
      <c r="T53" s="8">
        <v>531595</v>
      </c>
      <c r="U53" s="8" t="s">
        <v>232</v>
      </c>
      <c r="V53" s="12">
        <v>824913272</v>
      </c>
      <c r="W53" s="8">
        <v>247.55</v>
      </c>
      <c r="X53" s="11">
        <f ca="1">IFERROR(__xludf.DUMMYFUNCTION("GOOGLEFINANCE(""BOM:"" &amp; T53,""price"")"),204.3)</f>
        <v>204.3</v>
      </c>
      <c r="Y53" s="8">
        <f t="shared" ca="1" si="24"/>
        <v>-17.47121793577055</v>
      </c>
      <c r="Z53" s="12">
        <f t="shared" si="25"/>
        <v>204207280483.60001</v>
      </c>
      <c r="AA53" s="13">
        <f t="shared" ca="1" si="26"/>
        <v>168529781469.60001</v>
      </c>
      <c r="AB53" s="63"/>
      <c r="AC53" s="8">
        <v>539730</v>
      </c>
      <c r="AD53" s="8" t="s">
        <v>233</v>
      </c>
      <c r="AE53" s="12">
        <v>4323873</v>
      </c>
      <c r="AF53" s="8">
        <v>855</v>
      </c>
      <c r="AG53" s="8">
        <f ca="1">IFERROR(__xludf.DUMMYFUNCTION("GOOGLEFINANCE(""BOM:"" &amp; AC53,""price"")"),717.3)</f>
        <v>717.3</v>
      </c>
      <c r="AH53" s="8">
        <f t="shared" ca="1" si="8"/>
        <v>-16.105263157894743</v>
      </c>
      <c r="AI53" s="12">
        <f t="shared" si="9"/>
        <v>3696911415</v>
      </c>
      <c r="AJ53" s="13">
        <f t="shared" ca="1" si="10"/>
        <v>3101514102.8999996</v>
      </c>
    </row>
    <row r="54" spans="1:36" x14ac:dyDescent="0.25">
      <c r="A54" s="63"/>
      <c r="B54" s="8">
        <v>539045</v>
      </c>
      <c r="C54" s="8" t="s">
        <v>234</v>
      </c>
      <c r="D54" s="12">
        <v>65533043</v>
      </c>
      <c r="E54" s="8">
        <v>32.79</v>
      </c>
      <c r="F54" s="8">
        <f ca="1">IFERROR(__xludf.DUMMYFUNCTION("GOOGLEFINANCE(""BOM:"" &amp; B54,""price"")"),25.99)</f>
        <v>25.99</v>
      </c>
      <c r="G54" s="8">
        <f t="shared" ca="1" si="21"/>
        <v>-20.738029887160721</v>
      </c>
      <c r="H54" s="12">
        <f t="shared" si="22"/>
        <v>2148828479.9699998</v>
      </c>
      <c r="I54" s="13">
        <f t="shared" ca="1" si="23"/>
        <v>1703203787.5699999</v>
      </c>
      <c r="J54" s="63"/>
      <c r="K54" s="8">
        <v>539979</v>
      </c>
      <c r="L54" s="8" t="s">
        <v>235</v>
      </c>
      <c r="M54" s="12">
        <v>19978792</v>
      </c>
      <c r="N54" s="10">
        <v>90</v>
      </c>
      <c r="O54" s="10">
        <f ca="1">IFERROR(__xludf.DUMMYFUNCTION("GOOGLEFINANCE(""BOM:"" &amp; K54,""price"")"),83.05)</f>
        <v>83.05</v>
      </c>
      <c r="P54" s="8">
        <f t="shared" ca="1" si="27"/>
        <v>-7.722222222222225</v>
      </c>
      <c r="Q54" s="12">
        <f t="shared" si="28"/>
        <v>1798091280</v>
      </c>
      <c r="R54" s="13">
        <f t="shared" ca="1" si="29"/>
        <v>1659238675.5999999</v>
      </c>
      <c r="S54" s="63"/>
      <c r="T54" s="8">
        <v>511243</v>
      </c>
      <c r="U54" s="8" t="s">
        <v>236</v>
      </c>
      <c r="V54" s="12">
        <v>820109331</v>
      </c>
      <c r="W54" s="8">
        <v>1099.5999999999999</v>
      </c>
      <c r="X54" s="11">
        <f ca="1">IFERROR(__xludf.DUMMYFUNCTION("GOOGLEFINANCE(""BOM:"" &amp; T54,""price"")"),1163.7)</f>
        <v>1163.7</v>
      </c>
      <c r="Y54" s="8">
        <f t="shared" ca="1" si="24"/>
        <v>5.8293925063659646</v>
      </c>
      <c r="Z54" s="12">
        <f t="shared" si="25"/>
        <v>901792220367.59998</v>
      </c>
      <c r="AA54" s="13">
        <f t="shared" ca="1" si="26"/>
        <v>954361228484.70007</v>
      </c>
      <c r="AB54" s="63"/>
      <c r="AC54" s="8">
        <v>539680</v>
      </c>
      <c r="AD54" s="8" t="s">
        <v>237</v>
      </c>
      <c r="AE54" s="12">
        <v>3870650</v>
      </c>
      <c r="AF54" s="8">
        <v>24.41</v>
      </c>
      <c r="AG54" s="8">
        <f ca="1">IFERROR(__xludf.DUMMYFUNCTION("GOOGLEFINANCE(""BOM:"" &amp; AC54,""price"")"),24.41)</f>
        <v>24.41</v>
      </c>
      <c r="AH54" s="8">
        <f t="shared" ca="1" si="8"/>
        <v>0</v>
      </c>
      <c r="AI54" s="12">
        <f t="shared" si="9"/>
        <v>94482566.5</v>
      </c>
      <c r="AJ54" s="13">
        <f t="shared" ca="1" si="10"/>
        <v>94482566.5</v>
      </c>
    </row>
    <row r="55" spans="1:36" x14ac:dyDescent="0.25">
      <c r="A55" s="63"/>
      <c r="B55" s="8">
        <v>532234</v>
      </c>
      <c r="C55" s="8" t="s">
        <v>238</v>
      </c>
      <c r="D55" s="12">
        <v>1834889967</v>
      </c>
      <c r="E55" s="8">
        <v>160.6</v>
      </c>
      <c r="F55" s="8">
        <f ca="1">IFERROR(__xludf.DUMMYFUNCTION("GOOGLEFINANCE(""BOM:"" &amp; B55,""price"")"),152.45)</f>
        <v>152.44999999999999</v>
      </c>
      <c r="G55" s="8">
        <f t="shared" ca="1" si="21"/>
        <v>-5.0747198007472019</v>
      </c>
      <c r="H55" s="12">
        <f t="shared" si="22"/>
        <v>294683328700.20001</v>
      </c>
      <c r="I55" s="13">
        <f t="shared" ca="1" si="23"/>
        <v>279728975469.14996</v>
      </c>
      <c r="J55" s="63"/>
      <c r="K55" s="8">
        <v>541403</v>
      </c>
      <c r="L55" s="8" t="s">
        <v>239</v>
      </c>
      <c r="M55" s="12">
        <v>56683388</v>
      </c>
      <c r="N55" s="10">
        <v>507.5</v>
      </c>
      <c r="O55" s="10">
        <f ca="1">IFERROR(__xludf.DUMMYFUNCTION("GOOGLEFINANCE(""BOM:"" &amp; K55,""price"")"),515.45)</f>
        <v>515.45000000000005</v>
      </c>
      <c r="P55" s="8">
        <f t="shared" ca="1" si="27"/>
        <v>1.5665024630541962</v>
      </c>
      <c r="Q55" s="12">
        <f t="shared" si="28"/>
        <v>28766819410</v>
      </c>
      <c r="R55" s="13">
        <f t="shared" ca="1" si="29"/>
        <v>29217452344.600002</v>
      </c>
      <c r="S55" s="63"/>
      <c r="T55" s="8">
        <v>530879</v>
      </c>
      <c r="U55" s="8" t="s">
        <v>240</v>
      </c>
      <c r="V55" s="12">
        <v>77544920</v>
      </c>
      <c r="W55" s="8">
        <v>139</v>
      </c>
      <c r="X55" s="11">
        <f ca="1">IFERROR(__xludf.DUMMYFUNCTION("GOOGLEFINANCE(""BOM:"" &amp; T55,""price"")"),132)</f>
        <v>132</v>
      </c>
      <c r="Y55" s="8">
        <f t="shared" ca="1" si="24"/>
        <v>-5.0359712230215825</v>
      </c>
      <c r="Z55" s="12">
        <f t="shared" si="25"/>
        <v>10778743880</v>
      </c>
      <c r="AA55" s="13">
        <f t="shared" ca="1" si="26"/>
        <v>10235929440</v>
      </c>
      <c r="AB55" s="63"/>
      <c r="AC55" s="8">
        <v>531739</v>
      </c>
      <c r="AD55" s="8" t="s">
        <v>241</v>
      </c>
      <c r="AE55" s="12">
        <v>124456420</v>
      </c>
      <c r="AF55" s="8">
        <v>16.75</v>
      </c>
      <c r="AG55" s="8">
        <f ca="1">IFERROR(__xludf.DUMMYFUNCTION("GOOGLEFINANCE(""BOM:"" &amp; AC55,""price"")"),15.8)</f>
        <v>15.8</v>
      </c>
      <c r="AH55" s="8">
        <f t="shared" ca="1" si="8"/>
        <v>-5.6716417910447712</v>
      </c>
      <c r="AI55" s="12">
        <f t="shared" si="9"/>
        <v>2084645035</v>
      </c>
      <c r="AJ55" s="13">
        <f t="shared" ca="1" si="10"/>
        <v>1966411436</v>
      </c>
    </row>
    <row r="56" spans="1:36" x14ac:dyDescent="0.25">
      <c r="A56" s="63"/>
      <c r="B56" s="8">
        <v>539121</v>
      </c>
      <c r="C56" s="8" t="s">
        <v>242</v>
      </c>
      <c r="D56" s="12">
        <v>3393240</v>
      </c>
      <c r="E56" s="8">
        <v>80.099999999999994</v>
      </c>
      <c r="F56" s="8">
        <f ca="1">IFERROR(__xludf.DUMMYFUNCTION("GOOGLEFINANCE(""BOM:"" &amp; B56,""price"")"),91.96)</f>
        <v>91.96</v>
      </c>
      <c r="G56" s="8">
        <f t="shared" ca="1" si="21"/>
        <v>14.806491885143572</v>
      </c>
      <c r="H56" s="12">
        <f t="shared" si="22"/>
        <v>271798524</v>
      </c>
      <c r="I56" s="13">
        <f t="shared" ca="1" si="23"/>
        <v>312042350.39999998</v>
      </c>
      <c r="J56" s="63"/>
      <c r="K56" s="8">
        <v>535958</v>
      </c>
      <c r="L56" s="8" t="s">
        <v>243</v>
      </c>
      <c r="M56" s="12">
        <v>911953502</v>
      </c>
      <c r="N56" s="10">
        <v>3.68</v>
      </c>
      <c r="O56" s="10">
        <f ca="1">IFERROR(__xludf.DUMMYFUNCTION("GOOGLEFINANCE(""BOM:"" &amp; K56,""price"")"),3.33)</f>
        <v>3.33</v>
      </c>
      <c r="P56" s="8">
        <f t="shared" ca="1" si="27"/>
        <v>-9.5108695652173925</v>
      </c>
      <c r="Q56" s="12">
        <f t="shared" si="28"/>
        <v>3355988887.3600001</v>
      </c>
      <c r="R56" s="13">
        <f t="shared" ca="1" si="29"/>
        <v>3036805161.6599998</v>
      </c>
      <c r="S56" s="63"/>
      <c r="T56" s="8">
        <v>530829</v>
      </c>
      <c r="U56" s="8" t="s">
        <v>244</v>
      </c>
      <c r="V56" s="12">
        <v>4931264</v>
      </c>
      <c r="W56" s="8">
        <v>53.5</v>
      </c>
      <c r="X56" s="11">
        <f ca="1">IFERROR(__xludf.DUMMYFUNCTION("GOOGLEFINANCE(""BOM:"" &amp; T56,""price"")"),47.77)</f>
        <v>47.77</v>
      </c>
      <c r="Y56" s="8">
        <f t="shared" ca="1" si="24"/>
        <v>-10.71028037383177</v>
      </c>
      <c r="Z56" s="12">
        <f t="shared" si="25"/>
        <v>263822624</v>
      </c>
      <c r="AA56" s="13">
        <f t="shared" ca="1" si="26"/>
        <v>235566481.28</v>
      </c>
      <c r="AB56" s="63"/>
      <c r="AC56" s="8">
        <v>543245</v>
      </c>
      <c r="AD56" s="8" t="s">
        <v>245</v>
      </c>
      <c r="AE56" s="12">
        <v>158580923</v>
      </c>
      <c r="AF56" s="8">
        <v>1786.4</v>
      </c>
      <c r="AG56" s="8">
        <f ca="1">IFERROR(__xludf.DUMMYFUNCTION("GOOGLEFINANCE(""BOM:"" &amp; AC56,""price"")"),1831.75)</f>
        <v>1831.75</v>
      </c>
      <c r="AH56" s="8">
        <f t="shared" ca="1" si="8"/>
        <v>2.5386251679355074</v>
      </c>
      <c r="AI56" s="12">
        <f t="shared" si="9"/>
        <v>283288960847.20001</v>
      </c>
      <c r="AJ56" s="13">
        <f t="shared" ca="1" si="10"/>
        <v>290480605705.25</v>
      </c>
    </row>
    <row r="57" spans="1:36" x14ac:dyDescent="0.25">
      <c r="A57" s="63"/>
      <c r="B57" s="8">
        <v>526747</v>
      </c>
      <c r="C57" s="8" t="s">
        <v>246</v>
      </c>
      <c r="D57" s="12">
        <v>8666143</v>
      </c>
      <c r="E57" s="8">
        <v>199</v>
      </c>
      <c r="F57" s="8">
        <f ca="1">IFERROR(__xludf.DUMMYFUNCTION("GOOGLEFINANCE(""BOM:"" &amp; B57,""price"")"),162.3)</f>
        <v>162.30000000000001</v>
      </c>
      <c r="G57" s="8">
        <f t="shared" ca="1" si="21"/>
        <v>-18.442211055276374</v>
      </c>
      <c r="H57" s="12">
        <f t="shared" si="22"/>
        <v>1724562457</v>
      </c>
      <c r="I57" s="13">
        <f t="shared" ca="1" si="23"/>
        <v>1406515008.9000001</v>
      </c>
      <c r="J57" s="63"/>
      <c r="K57" s="8">
        <v>539216</v>
      </c>
      <c r="L57" s="8" t="s">
        <v>247</v>
      </c>
      <c r="M57" s="12">
        <v>100384050</v>
      </c>
      <c r="N57" s="10">
        <v>7.35</v>
      </c>
      <c r="O57" s="10">
        <f ca="1">IFERROR(__xludf.DUMMYFUNCTION("GOOGLEFINANCE(""BOM:"" &amp; K57,""price"")"),6.17)</f>
        <v>6.17</v>
      </c>
      <c r="P57" s="8">
        <f t="shared" ca="1" si="27"/>
        <v>-16.054421768707481</v>
      </c>
      <c r="Q57" s="12">
        <f t="shared" si="28"/>
        <v>737822767.5</v>
      </c>
      <c r="R57" s="13">
        <f t="shared" ca="1" si="29"/>
        <v>619369588.5</v>
      </c>
      <c r="S57" s="63"/>
      <c r="T57" s="8">
        <v>531283</v>
      </c>
      <c r="U57" s="8" t="s">
        <v>248</v>
      </c>
      <c r="V57" s="12">
        <v>1723999</v>
      </c>
      <c r="W57" s="8">
        <v>17.989999999999998</v>
      </c>
      <c r="X57" s="11">
        <f ca="1">IFERROR(__xludf.DUMMYFUNCTION("GOOGLEFINANCE(""BOM:"" &amp; T57,""price"")"),16)</f>
        <v>16</v>
      </c>
      <c r="Y57" s="8">
        <f t="shared" ca="1" si="24"/>
        <v>-11.06170094496942</v>
      </c>
      <c r="Z57" s="12">
        <f t="shared" si="25"/>
        <v>31014742.009999998</v>
      </c>
      <c r="AA57" s="13">
        <f t="shared" ca="1" si="26"/>
        <v>27583984</v>
      </c>
      <c r="AB57" s="63"/>
      <c r="AC57" s="8">
        <v>500660</v>
      </c>
      <c r="AD57" s="8" t="s">
        <v>249</v>
      </c>
      <c r="AE57" s="12">
        <v>167586279</v>
      </c>
      <c r="AF57" s="8">
        <v>2145</v>
      </c>
      <c r="AG57" s="8">
        <f ca="1">IFERROR(__xludf.DUMMYFUNCTION("GOOGLEFINANCE(""BOM:"" &amp; AC57,""price"")"),1939)</f>
        <v>1939</v>
      </c>
      <c r="AH57" s="8">
        <f t="shared" ca="1" si="8"/>
        <v>-9.6037296037296027</v>
      </c>
      <c r="AI57" s="12">
        <f t="shared" si="9"/>
        <v>359472568455</v>
      </c>
      <c r="AJ57" s="13">
        <f t="shared" ca="1" si="10"/>
        <v>324949794981</v>
      </c>
    </row>
    <row r="58" spans="1:36" x14ac:dyDescent="0.25">
      <c r="A58" s="63"/>
      <c r="B58" s="8">
        <v>531869</v>
      </c>
      <c r="C58" s="8" t="s">
        <v>250</v>
      </c>
      <c r="D58" s="12">
        <v>19099786</v>
      </c>
      <c r="E58" s="8">
        <v>23.13</v>
      </c>
      <c r="F58" s="8">
        <f ca="1">IFERROR(__xludf.DUMMYFUNCTION("GOOGLEFINANCE(""BOM:"" &amp; B58,""price"")"),19.5)</f>
        <v>19.5</v>
      </c>
      <c r="G58" s="8">
        <f t="shared" ca="1" si="21"/>
        <v>-15.693904020752267</v>
      </c>
      <c r="H58" s="12">
        <f t="shared" si="22"/>
        <v>441778050.18000001</v>
      </c>
      <c r="I58" s="13">
        <f t="shared" ca="1" si="23"/>
        <v>372445827</v>
      </c>
      <c r="J58" s="63"/>
      <c r="K58" s="8">
        <v>532630</v>
      </c>
      <c r="L58" s="8" t="s">
        <v>251</v>
      </c>
      <c r="M58" s="12">
        <v>58976380</v>
      </c>
      <c r="N58" s="10">
        <v>843</v>
      </c>
      <c r="O58" s="10">
        <f ca="1">IFERROR(__xludf.DUMMYFUNCTION("GOOGLEFINANCE(""BOM:"" &amp; K58,""price"")"),702)</f>
        <v>702</v>
      </c>
      <c r="P58" s="8">
        <f t="shared" ca="1" si="27"/>
        <v>-16.72597864768683</v>
      </c>
      <c r="Q58" s="12">
        <f t="shared" si="28"/>
        <v>49717088340</v>
      </c>
      <c r="R58" s="13">
        <f t="shared" ca="1" si="29"/>
        <v>41401418760</v>
      </c>
      <c r="S58" s="63"/>
      <c r="T58" s="8">
        <v>531235</v>
      </c>
      <c r="U58" s="8" t="s">
        <v>252</v>
      </c>
      <c r="V58" s="12">
        <v>1377005</v>
      </c>
      <c r="W58" s="8">
        <v>17.170000000000002</v>
      </c>
      <c r="X58" s="11">
        <f ca="1">IFERROR(__xludf.DUMMYFUNCTION("GOOGLEFINANCE(""BOM:"" &amp; T58,""price"")"),15.95)</f>
        <v>15.95</v>
      </c>
      <c r="Y58" s="8">
        <f t="shared" ca="1" si="24"/>
        <v>-7.1054164239953543</v>
      </c>
      <c r="Z58" s="12">
        <f t="shared" si="25"/>
        <v>23643175.850000001</v>
      </c>
      <c r="AA58" s="13">
        <f t="shared" ca="1" si="26"/>
        <v>21963229.75</v>
      </c>
      <c r="AB58" s="63"/>
      <c r="AC58" s="8">
        <v>532296</v>
      </c>
      <c r="AD58" s="8" t="s">
        <v>253</v>
      </c>
      <c r="AE58" s="12">
        <v>281204921</v>
      </c>
      <c r="AF58" s="8">
        <v>920.5</v>
      </c>
      <c r="AG58" s="8">
        <f ca="1">IFERROR(__xludf.DUMMYFUNCTION("GOOGLEFINANCE(""BOM:"" &amp; AC58,""price"")"),954.95)</f>
        <v>954.95</v>
      </c>
      <c r="AH58" s="8">
        <f t="shared" ca="1" si="8"/>
        <v>3.7425312330255345</v>
      </c>
      <c r="AI58" s="12">
        <f t="shared" si="9"/>
        <v>258849129780.5</v>
      </c>
      <c r="AJ58" s="13">
        <f t="shared" ca="1" si="10"/>
        <v>268536639308.95001</v>
      </c>
    </row>
    <row r="59" spans="1:36" x14ac:dyDescent="0.25">
      <c r="A59" s="63"/>
      <c r="B59" s="8">
        <v>506003</v>
      </c>
      <c r="C59" s="8" t="s">
        <v>254</v>
      </c>
      <c r="D59" s="12">
        <v>6811347</v>
      </c>
      <c r="E59" s="8">
        <v>58.46</v>
      </c>
      <c r="F59" s="8">
        <f ca="1">IFERROR(__xludf.DUMMYFUNCTION("GOOGLEFINANCE(""BOM:"" &amp; B59,""price"")"),44.37)</f>
        <v>44.37</v>
      </c>
      <c r="G59" s="8">
        <f t="shared" ca="1" si="21"/>
        <v>-24.101950051317147</v>
      </c>
      <c r="H59" s="12">
        <f t="shared" si="22"/>
        <v>398191345.62</v>
      </c>
      <c r="I59" s="13">
        <f t="shared" ca="1" si="23"/>
        <v>302219466.38999999</v>
      </c>
      <c r="J59" s="63"/>
      <c r="K59" s="8">
        <v>533329</v>
      </c>
      <c r="L59" s="8" t="s">
        <v>255</v>
      </c>
      <c r="M59" s="12">
        <v>41090260</v>
      </c>
      <c r="N59" s="10">
        <v>74.31</v>
      </c>
      <c r="O59" s="10">
        <f ca="1">IFERROR(__xludf.DUMMYFUNCTION("GOOGLEFINANCE(""BOM:"" &amp; K59,""price"")"),72.4)</f>
        <v>72.400000000000006</v>
      </c>
      <c r="P59" s="8">
        <f t="shared" ca="1" si="27"/>
        <v>-2.5703135513389808</v>
      </c>
      <c r="Q59" s="12">
        <f t="shared" si="28"/>
        <v>3053417220.5999999</v>
      </c>
      <c r="R59" s="13">
        <f t="shared" ca="1" si="29"/>
        <v>2974934824</v>
      </c>
      <c r="S59" s="63"/>
      <c r="T59" s="8">
        <v>535267</v>
      </c>
      <c r="U59" s="8" t="s">
        <v>256</v>
      </c>
      <c r="V59" s="12">
        <v>54255995</v>
      </c>
      <c r="W59" s="8">
        <v>10.25</v>
      </c>
      <c r="X59" s="11">
        <f ca="1">IFERROR(__xludf.DUMMYFUNCTION("GOOGLEFINANCE(""BOM:"" &amp; T59,""price"")"),8.96)</f>
        <v>8.9600000000000009</v>
      </c>
      <c r="Y59" s="8">
        <f t="shared" ca="1" si="24"/>
        <v>-12.585365853658528</v>
      </c>
      <c r="Z59" s="12">
        <f t="shared" si="25"/>
        <v>556123948.75</v>
      </c>
      <c r="AA59" s="13">
        <f t="shared" ca="1" si="26"/>
        <v>486133715.20000005</v>
      </c>
      <c r="AB59" s="63"/>
      <c r="AC59" s="8">
        <v>543322</v>
      </c>
      <c r="AD59" s="8" t="s">
        <v>257</v>
      </c>
      <c r="AE59" s="12">
        <v>122527172</v>
      </c>
      <c r="AF59" s="8">
        <v>856.5</v>
      </c>
      <c r="AG59" s="8">
        <f ca="1">IFERROR(__xludf.DUMMYFUNCTION("GOOGLEFINANCE(""BOM:"" &amp; AC59,""price"")"),768.45)</f>
        <v>768.45</v>
      </c>
      <c r="AH59" s="8">
        <f t="shared" ca="1" si="8"/>
        <v>-10.280210157618209</v>
      </c>
      <c r="AI59" s="12">
        <f t="shared" si="9"/>
        <v>104944522818</v>
      </c>
      <c r="AJ59" s="13">
        <f t="shared" ca="1" si="10"/>
        <v>94156005323.400009</v>
      </c>
    </row>
    <row r="60" spans="1:36" x14ac:dyDescent="0.25">
      <c r="A60" s="64"/>
      <c r="B60" s="14">
        <v>513307</v>
      </c>
      <c r="C60" s="14" t="s">
        <v>258</v>
      </c>
      <c r="D60" s="15">
        <v>1206480</v>
      </c>
      <c r="E60" s="8">
        <v>79.5</v>
      </c>
      <c r="F60" s="14">
        <f ca="1">IFERROR(__xludf.DUMMYFUNCTION("GOOGLEFINANCE(""BOM:"" &amp; B60,""price"")"),60.22)</f>
        <v>60.22</v>
      </c>
      <c r="G60" s="14">
        <f t="shared" ca="1" si="21"/>
        <v>-24.251572327044027</v>
      </c>
      <c r="H60" s="15">
        <f t="shared" si="22"/>
        <v>95915160</v>
      </c>
      <c r="I60" s="16">
        <f t="shared" ca="1" si="23"/>
        <v>72654225.599999994</v>
      </c>
      <c r="J60" s="63"/>
      <c r="K60" s="8">
        <v>521248</v>
      </c>
      <c r="L60" s="8" t="s">
        <v>259</v>
      </c>
      <c r="M60" s="12">
        <v>65427110</v>
      </c>
      <c r="N60" s="10">
        <v>243.65</v>
      </c>
      <c r="O60" s="10">
        <f ca="1">IFERROR(__xludf.DUMMYFUNCTION("GOOGLEFINANCE(""BOM:"" &amp; K60,""price"")"),182.15)</f>
        <v>182.15</v>
      </c>
      <c r="P60" s="8">
        <f t="shared" ca="1" si="27"/>
        <v>-25.241124563923663</v>
      </c>
      <c r="Q60" s="12">
        <f t="shared" si="28"/>
        <v>15941315351.5</v>
      </c>
      <c r="R60" s="13">
        <f t="shared" ca="1" si="29"/>
        <v>11917548086.5</v>
      </c>
      <c r="S60" s="63"/>
      <c r="T60" s="8">
        <v>541770</v>
      </c>
      <c r="U60" s="8" t="s">
        <v>260</v>
      </c>
      <c r="V60" s="12">
        <v>155930964</v>
      </c>
      <c r="W60" s="8">
        <v>1466.95</v>
      </c>
      <c r="X60" s="11">
        <f ca="1">IFERROR(__xludf.DUMMYFUNCTION("GOOGLEFINANCE(""BOM:"" &amp; T60,""price"")"),1427.15)</f>
        <v>1427.15</v>
      </c>
      <c r="Y60" s="8">
        <f t="shared" ca="1" si="24"/>
        <v>-2.7131122396809677</v>
      </c>
      <c r="Z60" s="12">
        <f t="shared" si="25"/>
        <v>228742927639.80002</v>
      </c>
      <c r="AA60" s="13">
        <f t="shared" ca="1" si="26"/>
        <v>222536875272.60001</v>
      </c>
      <c r="AB60" s="63"/>
      <c r="AC60" s="8">
        <v>530317</v>
      </c>
      <c r="AD60" s="8" t="s">
        <v>261</v>
      </c>
      <c r="AE60" s="12">
        <v>6998747</v>
      </c>
      <c r="AF60" s="8">
        <v>101.55</v>
      </c>
      <c r="AG60" s="8">
        <f ca="1">IFERROR(__xludf.DUMMYFUNCTION("GOOGLEFINANCE(""BOM:"" &amp; AC60,""price"")"),92.9)</f>
        <v>92.9</v>
      </c>
      <c r="AH60" s="8">
        <f t="shared" ca="1" si="8"/>
        <v>-8.5179714426390856</v>
      </c>
      <c r="AI60" s="12">
        <f t="shared" si="9"/>
        <v>710722757.85000002</v>
      </c>
      <c r="AJ60" s="13">
        <f t="shared" ca="1" si="10"/>
        <v>650183596.30000007</v>
      </c>
    </row>
    <row r="61" spans="1:36" x14ac:dyDescent="0.25">
      <c r="A61" s="62" t="s">
        <v>262</v>
      </c>
      <c r="B61" s="6">
        <v>530133</v>
      </c>
      <c r="C61" s="6" t="s">
        <v>263</v>
      </c>
      <c r="D61" s="7">
        <v>3900762</v>
      </c>
      <c r="E61" s="6">
        <v>62.1</v>
      </c>
      <c r="F61" s="8">
        <v>62.1</v>
      </c>
      <c r="G61" s="8">
        <f t="shared" si="21"/>
        <v>0</v>
      </c>
      <c r="H61" s="7">
        <f t="shared" si="22"/>
        <v>242237320.20000002</v>
      </c>
      <c r="I61" s="9">
        <f t="shared" si="23"/>
        <v>242237320.20000002</v>
      </c>
      <c r="J61" s="63"/>
      <c r="K61" s="8">
        <v>532732</v>
      </c>
      <c r="L61" s="8" t="s">
        <v>264</v>
      </c>
      <c r="M61" s="12">
        <v>61624746</v>
      </c>
      <c r="N61" s="10">
        <v>749.7</v>
      </c>
      <c r="O61" s="10">
        <f ca="1">IFERROR(__xludf.DUMMYFUNCTION("GOOGLEFINANCE(""BOM:"" &amp; K61,""price"")"),674.65)</f>
        <v>674.65</v>
      </c>
      <c r="P61" s="8">
        <f t="shared" ca="1" si="27"/>
        <v>-10.010670935040691</v>
      </c>
      <c r="Q61" s="12">
        <f t="shared" si="28"/>
        <v>46200072076.200005</v>
      </c>
      <c r="R61" s="13">
        <f t="shared" ca="1" si="29"/>
        <v>41575134888.900002</v>
      </c>
      <c r="S61" s="63"/>
      <c r="T61" s="8">
        <v>511413</v>
      </c>
      <c r="U61" s="8" t="s">
        <v>265</v>
      </c>
      <c r="V61" s="12">
        <v>28408047</v>
      </c>
      <c r="W61" s="8">
        <v>446.8</v>
      </c>
      <c r="X61" s="11">
        <f ca="1">IFERROR(__xludf.DUMMYFUNCTION("GOOGLEFINANCE(""BOM:"" &amp; T61,""price"")"),372.6)</f>
        <v>372.6</v>
      </c>
      <c r="Y61" s="8">
        <f t="shared" ca="1" si="24"/>
        <v>-16.60698299015219</v>
      </c>
      <c r="Z61" s="12">
        <f t="shared" si="25"/>
        <v>12692715399.6</v>
      </c>
      <c r="AA61" s="13">
        <f t="shared" ca="1" si="26"/>
        <v>10584838312.200001</v>
      </c>
      <c r="AB61" s="63"/>
      <c r="AC61" s="8">
        <v>532482</v>
      </c>
      <c r="AD61" s="8" t="s">
        <v>266</v>
      </c>
      <c r="AE61" s="12">
        <v>247852466</v>
      </c>
      <c r="AF61" s="8">
        <v>462.85</v>
      </c>
      <c r="AG61" s="8">
        <f ca="1">IFERROR(__xludf.DUMMYFUNCTION("GOOGLEFINANCE(""BOM:"" &amp; AC61,""price"")"),432.45)</f>
        <v>432.45</v>
      </c>
      <c r="AH61" s="8">
        <f t="shared" ca="1" si="8"/>
        <v>-6.5680025926326087</v>
      </c>
      <c r="AI61" s="12">
        <f t="shared" si="9"/>
        <v>114718513888.10001</v>
      </c>
      <c r="AJ61" s="13">
        <f t="shared" ca="1" si="10"/>
        <v>107183798921.7</v>
      </c>
    </row>
    <row r="62" spans="1:36" x14ac:dyDescent="0.25">
      <c r="A62" s="63"/>
      <c r="B62" s="8">
        <v>513502</v>
      </c>
      <c r="C62" s="8" t="s">
        <v>267</v>
      </c>
      <c r="D62" s="12">
        <v>135743532</v>
      </c>
      <c r="E62" s="8">
        <v>4</v>
      </c>
      <c r="F62" s="8">
        <f ca="1">IFERROR(__xludf.DUMMYFUNCTION("GOOGLEFINANCE(""BOM:"" &amp; B62,""price"")"),3.74)</f>
        <v>3.74</v>
      </c>
      <c r="G62" s="8">
        <f t="shared" ca="1" si="21"/>
        <v>-6.4999999999999947</v>
      </c>
      <c r="H62" s="12">
        <f t="shared" si="22"/>
        <v>542974128</v>
      </c>
      <c r="I62" s="13">
        <f t="shared" ca="1" si="23"/>
        <v>507680809.68000001</v>
      </c>
      <c r="J62" s="63"/>
      <c r="K62" s="8">
        <v>532889</v>
      </c>
      <c r="L62" s="8" t="s">
        <v>268</v>
      </c>
      <c r="M62" s="12">
        <v>341813340</v>
      </c>
      <c r="N62" s="10">
        <v>774.7</v>
      </c>
      <c r="O62" s="10">
        <f ca="1">IFERROR(__xludf.DUMMYFUNCTION("GOOGLEFINANCE(""BOM:"" &amp; K62,""price"")"),830)</f>
        <v>830</v>
      </c>
      <c r="P62" s="8">
        <f t="shared" ca="1" si="27"/>
        <v>7.1382470633793655</v>
      </c>
      <c r="Q62" s="12">
        <f t="shared" si="28"/>
        <v>264802794498.00003</v>
      </c>
      <c r="R62" s="13">
        <f t="shared" ca="1" si="29"/>
        <v>283705072200</v>
      </c>
      <c r="S62" s="63"/>
      <c r="T62" s="8">
        <v>538868</v>
      </c>
      <c r="U62" s="8" t="s">
        <v>269</v>
      </c>
      <c r="V62" s="12">
        <v>21122500</v>
      </c>
      <c r="W62" s="8">
        <v>9.34</v>
      </c>
      <c r="X62" s="11">
        <f ca="1">IFERROR(__xludf.DUMMYFUNCTION("GOOGLEFINANCE(""BOM:"" &amp; T62,""price"")"),8.1)</f>
        <v>8.1</v>
      </c>
      <c r="Y62" s="8">
        <f t="shared" ca="1" si="24"/>
        <v>-13.2762312633833</v>
      </c>
      <c r="Z62" s="12">
        <f t="shared" si="25"/>
        <v>197284150</v>
      </c>
      <c r="AA62" s="13">
        <f t="shared" ca="1" si="26"/>
        <v>171092250</v>
      </c>
      <c r="AB62" s="63"/>
      <c r="AC62" s="8">
        <v>509079</v>
      </c>
      <c r="AD62" s="8" t="s">
        <v>270</v>
      </c>
      <c r="AE62" s="12">
        <v>96848136</v>
      </c>
      <c r="AF62" s="8">
        <v>318</v>
      </c>
      <c r="AG62" s="8">
        <f ca="1">IFERROR(__xludf.DUMMYFUNCTION("GOOGLEFINANCE(""BOM:"" &amp; AC62,""price"")"),283.1)</f>
        <v>283.10000000000002</v>
      </c>
      <c r="AH62" s="8">
        <f t="shared" ca="1" si="8"/>
        <v>-10.974842767295591</v>
      </c>
      <c r="AI62" s="12">
        <f t="shared" si="9"/>
        <v>30797707248</v>
      </c>
      <c r="AJ62" s="13">
        <f t="shared" ca="1" si="10"/>
        <v>27417707301.600002</v>
      </c>
    </row>
    <row r="63" spans="1:36" x14ac:dyDescent="0.25">
      <c r="A63" s="63"/>
      <c r="B63" s="8">
        <v>500083</v>
      </c>
      <c r="C63" s="8" t="s">
        <v>271</v>
      </c>
      <c r="D63" s="12">
        <v>79246493</v>
      </c>
      <c r="E63" s="8">
        <v>23.49</v>
      </c>
      <c r="F63" s="8">
        <f ca="1">IFERROR(__xludf.DUMMYFUNCTION("GOOGLEFINANCE(""BOM:"" &amp; B63,""price"")"),18.9)</f>
        <v>18.899999999999999</v>
      </c>
      <c r="G63" s="8">
        <f t="shared" ca="1" si="21"/>
        <v>-19.540229885057471</v>
      </c>
      <c r="H63" s="12">
        <f t="shared" si="22"/>
        <v>1861500120.5699999</v>
      </c>
      <c r="I63" s="13">
        <f t="shared" ca="1" si="23"/>
        <v>1497758717.6999998</v>
      </c>
      <c r="J63" s="63"/>
      <c r="K63" s="8">
        <v>540952</v>
      </c>
      <c r="L63" s="8" t="s">
        <v>272</v>
      </c>
      <c r="M63" s="12">
        <v>10138396</v>
      </c>
      <c r="N63" s="10">
        <v>460</v>
      </c>
      <c r="O63" s="10">
        <f ca="1">IFERROR(__xludf.DUMMYFUNCTION("GOOGLEFINANCE(""BOM:"" &amp; K63,""price"")"),27)</f>
        <v>27</v>
      </c>
      <c r="P63" s="8">
        <f t="shared" ca="1" si="27"/>
        <v>-94.130434782608702</v>
      </c>
      <c r="Q63" s="12">
        <f t="shared" si="28"/>
        <v>4663662160</v>
      </c>
      <c r="R63" s="13">
        <f t="shared" ca="1" si="29"/>
        <v>273736692</v>
      </c>
      <c r="S63" s="63"/>
      <c r="T63" s="8">
        <v>530067</v>
      </c>
      <c r="U63" s="8" t="s">
        <v>273</v>
      </c>
      <c r="V63" s="12">
        <v>20178556</v>
      </c>
      <c r="W63" s="8">
        <v>467.65</v>
      </c>
      <c r="X63" s="11">
        <f ca="1">IFERROR(__xludf.DUMMYFUNCTION("GOOGLEFINANCE(""BOM:"" &amp; T63,""price"")"),479.8)</f>
        <v>479.8</v>
      </c>
      <c r="Y63" s="8">
        <f t="shared" ca="1" si="24"/>
        <v>2.5980968673153071</v>
      </c>
      <c r="Z63" s="12">
        <f t="shared" si="25"/>
        <v>9436501713.3999996</v>
      </c>
      <c r="AA63" s="13">
        <f t="shared" ca="1" si="26"/>
        <v>9681671168.8000011</v>
      </c>
      <c r="AB63" s="63"/>
      <c r="AC63" s="8">
        <v>524314</v>
      </c>
      <c r="AD63" s="8" t="s">
        <v>274</v>
      </c>
      <c r="AE63" s="12">
        <v>6206900</v>
      </c>
      <c r="AF63" s="8">
        <v>32.5</v>
      </c>
      <c r="AG63" s="8">
        <f ca="1">IFERROR(__xludf.DUMMYFUNCTION("GOOGLEFINANCE(""BOM:"" &amp; AC63,""price"")"),52.95)</f>
        <v>52.95</v>
      </c>
      <c r="AH63" s="8">
        <f t="shared" ca="1" si="8"/>
        <v>62.923076923076934</v>
      </c>
      <c r="AI63" s="12">
        <f t="shared" si="9"/>
        <v>201724250</v>
      </c>
      <c r="AJ63" s="13">
        <f t="shared" ca="1" si="10"/>
        <v>328655355</v>
      </c>
    </row>
    <row r="64" spans="1:36" x14ac:dyDescent="0.25">
      <c r="A64" s="63"/>
      <c r="B64" s="8">
        <v>526027</v>
      </c>
      <c r="C64" s="8" t="s">
        <v>275</v>
      </c>
      <c r="D64" s="12">
        <v>13681660</v>
      </c>
      <c r="E64" s="8">
        <v>91.34</v>
      </c>
      <c r="F64" s="8">
        <f ca="1">IFERROR(__xludf.DUMMYFUNCTION("GOOGLEFINANCE(""BOM:"" &amp; B64,""price"")"),95.2)</f>
        <v>95.2</v>
      </c>
      <c r="G64" s="8">
        <f t="shared" ca="1" si="21"/>
        <v>4.2259689073790225</v>
      </c>
      <c r="H64" s="12">
        <f t="shared" si="22"/>
        <v>1249682824.4000001</v>
      </c>
      <c r="I64" s="13">
        <f t="shared" ca="1" si="23"/>
        <v>1302494032</v>
      </c>
      <c r="J64" s="63"/>
      <c r="K64" s="8">
        <v>533343</v>
      </c>
      <c r="L64" s="8" t="s">
        <v>276</v>
      </c>
      <c r="M64" s="12">
        <v>14799989</v>
      </c>
      <c r="N64" s="10">
        <v>138.35</v>
      </c>
      <c r="O64" s="10">
        <f ca="1">IFERROR(__xludf.DUMMYFUNCTION("GOOGLEFINANCE(""BOM:"" &amp; K64,""price"")"),110.05)</f>
        <v>110.05</v>
      </c>
      <c r="P64" s="8">
        <f t="shared" ca="1" si="27"/>
        <v>-20.455366823274304</v>
      </c>
      <c r="Q64" s="12">
        <f t="shared" si="28"/>
        <v>2047578478.1499999</v>
      </c>
      <c r="R64" s="13">
        <f t="shared" ca="1" si="29"/>
        <v>1628738789.45</v>
      </c>
      <c r="S64" s="63"/>
      <c r="T64" s="8">
        <v>538476</v>
      </c>
      <c r="U64" s="8" t="s">
        <v>277</v>
      </c>
      <c r="V64" s="12">
        <v>50916377</v>
      </c>
      <c r="W64" s="8">
        <v>46</v>
      </c>
      <c r="X64" s="11">
        <f ca="1">IFERROR(__xludf.DUMMYFUNCTION("GOOGLEFINANCE(""BOM:"" &amp; T64,""price"")"),43.11)</f>
        <v>43.11</v>
      </c>
      <c r="Y64" s="8">
        <f t="shared" ca="1" si="24"/>
        <v>-6.2826086956521756</v>
      </c>
      <c r="Z64" s="12">
        <f t="shared" si="25"/>
        <v>2342153342</v>
      </c>
      <c r="AA64" s="13">
        <f t="shared" ca="1" si="26"/>
        <v>2195005012.4699998</v>
      </c>
      <c r="AB64" s="63"/>
      <c r="AC64" s="8">
        <v>506879</v>
      </c>
      <c r="AD64" s="8" t="s">
        <v>278</v>
      </c>
      <c r="AE64" s="12">
        <v>71236070</v>
      </c>
      <c r="AF64" s="8">
        <v>363.65</v>
      </c>
      <c r="AG64" s="8">
        <f ca="1">IFERROR(__xludf.DUMMYFUNCTION("GOOGLEFINANCE(""BOM:"" &amp; AC64,""price"")"),398.3)</f>
        <v>398.3</v>
      </c>
      <c r="AH64" s="8">
        <f t="shared" ca="1" si="8"/>
        <v>9.5283926852743122</v>
      </c>
      <c r="AI64" s="12">
        <f t="shared" si="9"/>
        <v>25904996855.5</v>
      </c>
      <c r="AJ64" s="13">
        <f t="shared" ca="1" si="10"/>
        <v>28373326681</v>
      </c>
    </row>
    <row r="65" spans="1:36" x14ac:dyDescent="0.25">
      <c r="A65" s="63"/>
      <c r="B65" s="8">
        <v>508922</v>
      </c>
      <c r="C65" s="8" t="s">
        <v>279</v>
      </c>
      <c r="D65" s="12">
        <v>62880000</v>
      </c>
      <c r="E65" s="8">
        <v>11.22</v>
      </c>
      <c r="F65" s="8">
        <f ca="1">IFERROR(__xludf.DUMMYFUNCTION("GOOGLEFINANCE(""BOM:"" &amp; B65,""price"")"),9.3)</f>
        <v>9.3000000000000007</v>
      </c>
      <c r="G65" s="8">
        <f t="shared" ca="1" si="21"/>
        <v>-17.112299465240639</v>
      </c>
      <c r="H65" s="12">
        <f t="shared" si="22"/>
        <v>705513600</v>
      </c>
      <c r="I65" s="13">
        <f t="shared" ca="1" si="23"/>
        <v>584784000</v>
      </c>
      <c r="J65" s="63"/>
      <c r="K65" s="8">
        <v>539542</v>
      </c>
      <c r="L65" s="8" t="s">
        <v>280</v>
      </c>
      <c r="M65" s="12">
        <v>30069486</v>
      </c>
      <c r="N65" s="10">
        <v>1150</v>
      </c>
      <c r="O65" s="10">
        <f ca="1">IFERROR(__xludf.DUMMYFUNCTION("GOOGLEFINANCE(""BOM:"" &amp; K65,""price"")"),1073.05)</f>
        <v>1073.05</v>
      </c>
      <c r="P65" s="8">
        <f t="shared" ca="1" si="27"/>
        <v>-6.6913043478260912</v>
      </c>
      <c r="Q65" s="12">
        <f t="shared" si="28"/>
        <v>34579908900</v>
      </c>
      <c r="R65" s="13">
        <f t="shared" ca="1" si="29"/>
        <v>32266061952.299999</v>
      </c>
      <c r="S65" s="63"/>
      <c r="T65" s="8">
        <v>511710</v>
      </c>
      <c r="U65" s="8" t="s">
        <v>281</v>
      </c>
      <c r="V65" s="12">
        <v>62867375</v>
      </c>
      <c r="W65" s="8">
        <v>1.68</v>
      </c>
      <c r="X65" s="11">
        <f ca="1">IFERROR(__xludf.DUMMYFUNCTION("GOOGLEFINANCE(""BOM:"" &amp; T65,""price"")"),1.54)</f>
        <v>1.54</v>
      </c>
      <c r="Y65" s="8">
        <f t="shared" ca="1" si="24"/>
        <v>-8.3333333333333268</v>
      </c>
      <c r="Z65" s="12">
        <f t="shared" si="25"/>
        <v>105617190</v>
      </c>
      <c r="AA65" s="13">
        <f t="shared" ca="1" si="26"/>
        <v>96815757.5</v>
      </c>
      <c r="AB65" s="63"/>
      <c r="AC65" s="8">
        <v>524669</v>
      </c>
      <c r="AD65" s="8" t="s">
        <v>282</v>
      </c>
      <c r="AE65" s="12">
        <v>8336603</v>
      </c>
      <c r="AF65" s="8">
        <v>1408.25</v>
      </c>
      <c r="AG65" s="8">
        <f ca="1">IFERROR(__xludf.DUMMYFUNCTION("GOOGLEFINANCE(""BOM:"" &amp; AC65,""price"")"),1405.55)</f>
        <v>1405.55</v>
      </c>
      <c r="AH65" s="8">
        <f t="shared" ca="1" si="8"/>
        <v>-0.19172732114326616</v>
      </c>
      <c r="AI65" s="12">
        <f t="shared" si="9"/>
        <v>11740021174.75</v>
      </c>
      <c r="AJ65" s="13">
        <f t="shared" ca="1" si="10"/>
        <v>11717512346.65</v>
      </c>
    </row>
    <row r="66" spans="1:36" x14ac:dyDescent="0.25">
      <c r="A66" s="63"/>
      <c r="B66" s="8">
        <v>523539</v>
      </c>
      <c r="C66" s="8" t="s">
        <v>283</v>
      </c>
      <c r="D66" s="12">
        <v>113289770</v>
      </c>
      <c r="E66" s="8">
        <v>142.05000000000001</v>
      </c>
      <c r="F66" s="8">
        <f ca="1">IFERROR(__xludf.DUMMYFUNCTION("GOOGLEFINANCE(""BOM:"" &amp; B66,""price"")"),128.85)</f>
        <v>128.85</v>
      </c>
      <c r="G66" s="8">
        <f t="shared" ca="1" si="21"/>
        <v>-9.2925026399155346</v>
      </c>
      <c r="H66" s="12">
        <f t="shared" si="22"/>
        <v>16092811828.500002</v>
      </c>
      <c r="I66" s="13">
        <f t="shared" ca="1" si="23"/>
        <v>14597386864.5</v>
      </c>
      <c r="J66" s="63"/>
      <c r="K66" s="8">
        <v>538836</v>
      </c>
      <c r="L66" s="8" t="s">
        <v>284</v>
      </c>
      <c r="M66" s="12">
        <v>20725303</v>
      </c>
      <c r="N66" s="10">
        <v>618.45000000000005</v>
      </c>
      <c r="O66" s="10">
        <f ca="1">IFERROR(__xludf.DUMMYFUNCTION("GOOGLEFINANCE(""BOM:"" &amp; K66,""price"")"),621)</f>
        <v>621</v>
      </c>
      <c r="P66" s="8">
        <f t="shared" ca="1" si="27"/>
        <v>0.41232112539412308</v>
      </c>
      <c r="Q66" s="12">
        <f t="shared" si="28"/>
        <v>12817563640.35</v>
      </c>
      <c r="R66" s="13">
        <f t="shared" ca="1" si="29"/>
        <v>12870413163</v>
      </c>
      <c r="S66" s="63"/>
      <c r="T66" s="8">
        <v>539681</v>
      </c>
      <c r="U66" s="8" t="s">
        <v>285</v>
      </c>
      <c r="V66" s="12">
        <v>3685100</v>
      </c>
      <c r="W66" s="8">
        <v>47.51</v>
      </c>
      <c r="X66" s="11">
        <f ca="1">IFERROR(__xludf.DUMMYFUNCTION("GOOGLEFINANCE(""BOM:"" &amp; T66,""price"")"),47.51)</f>
        <v>47.51</v>
      </c>
      <c r="Y66" s="8">
        <f t="shared" ca="1" si="24"/>
        <v>0</v>
      </c>
      <c r="Z66" s="12">
        <f t="shared" si="25"/>
        <v>175079101</v>
      </c>
      <c r="AA66" s="13">
        <f t="shared" ca="1" si="26"/>
        <v>175079101</v>
      </c>
      <c r="AB66" s="63"/>
      <c r="AC66" s="8">
        <v>524735</v>
      </c>
      <c r="AD66" s="8" t="s">
        <v>286</v>
      </c>
      <c r="AE66" s="12">
        <v>122944962</v>
      </c>
      <c r="AF66" s="8">
        <v>278</v>
      </c>
      <c r="AG66" s="8">
        <f ca="1">IFERROR(__xludf.DUMMYFUNCTION("GOOGLEFINANCE(""BOM:"" &amp; AC66,""price"")"),264.5)</f>
        <v>264.5</v>
      </c>
      <c r="AH66" s="8">
        <f t="shared" ca="1" si="8"/>
        <v>-4.8561151079136691</v>
      </c>
      <c r="AI66" s="12">
        <f t="shared" si="9"/>
        <v>34178699436</v>
      </c>
      <c r="AJ66" s="13">
        <f t="shared" ca="1" si="10"/>
        <v>32518942449</v>
      </c>
    </row>
    <row r="67" spans="1:36" x14ac:dyDescent="0.25">
      <c r="A67" s="63"/>
      <c r="B67" s="8">
        <v>537254</v>
      </c>
      <c r="C67" s="8" t="s">
        <v>287</v>
      </c>
      <c r="D67" s="12">
        <v>15673614</v>
      </c>
      <c r="E67" s="8">
        <v>6.09</v>
      </c>
      <c r="F67" s="8">
        <f ca="1">IFERROR(__xludf.DUMMYFUNCTION("GOOGLEFINANCE(""BOM:"" &amp; B67,""price"")"),5.79)</f>
        <v>5.79</v>
      </c>
      <c r="G67" s="8">
        <f t="shared" ca="1" si="21"/>
        <v>-4.926108374384234</v>
      </c>
      <c r="H67" s="12">
        <f t="shared" si="22"/>
        <v>95452309.25999999</v>
      </c>
      <c r="I67" s="13">
        <f t="shared" ca="1" si="23"/>
        <v>90750225.060000002</v>
      </c>
      <c r="J67" s="63"/>
      <c r="K67" s="8">
        <v>532827</v>
      </c>
      <c r="L67" s="8" t="s">
        <v>288</v>
      </c>
      <c r="M67" s="12">
        <v>11153871</v>
      </c>
      <c r="N67" s="10">
        <v>35644.949999999997</v>
      </c>
      <c r="O67" s="10">
        <f ca="1">IFERROR(__xludf.DUMMYFUNCTION("GOOGLEFINANCE(""BOM:"" &amp; K67,""price"")"),34427.95)</f>
        <v>34427.949999999997</v>
      </c>
      <c r="P67" s="8">
        <f t="shared" ca="1" si="27"/>
        <v>-3.4142283829827229</v>
      </c>
      <c r="Q67" s="12">
        <f t="shared" si="28"/>
        <v>397579174101.44995</v>
      </c>
      <c r="R67" s="13">
        <f t="shared" ca="1" si="29"/>
        <v>384004913094.44995</v>
      </c>
      <c r="S67" s="63"/>
      <c r="T67" s="8">
        <v>539190</v>
      </c>
      <c r="U67" s="8" t="s">
        <v>289</v>
      </c>
      <c r="V67" s="12">
        <v>3300000</v>
      </c>
      <c r="W67" s="8">
        <v>23.45</v>
      </c>
      <c r="X67" s="11">
        <f ca="1">IFERROR(__xludf.DUMMYFUNCTION("GOOGLEFINANCE(""BOM:"" &amp; T67,""price"")"),26.15)</f>
        <v>26.15</v>
      </c>
      <c r="Y67" s="8">
        <f t="shared" ca="1" si="24"/>
        <v>11.513859275053303</v>
      </c>
      <c r="Z67" s="12">
        <f t="shared" si="25"/>
        <v>77385000</v>
      </c>
      <c r="AA67" s="13">
        <f t="shared" ca="1" si="26"/>
        <v>86295000</v>
      </c>
      <c r="AB67" s="63"/>
      <c r="AC67" s="8">
        <v>532612</v>
      </c>
      <c r="AD67" s="8" t="s">
        <v>290</v>
      </c>
      <c r="AE67" s="12">
        <v>91438966</v>
      </c>
      <c r="AF67" s="8">
        <v>346.75</v>
      </c>
      <c r="AG67" s="8">
        <f ca="1">IFERROR(__xludf.DUMMYFUNCTION("GOOGLEFINANCE(""BOM:"" &amp; AC67,""price"")"),328.45)</f>
        <v>328.45</v>
      </c>
      <c r="AH67" s="8">
        <f t="shared" ca="1" si="8"/>
        <v>-5.2775775054073577</v>
      </c>
      <c r="AI67" s="12">
        <f t="shared" si="9"/>
        <v>31706461460.5</v>
      </c>
      <c r="AJ67" s="13">
        <f t="shared" ca="1" si="10"/>
        <v>30033128382.700001</v>
      </c>
    </row>
    <row r="68" spans="1:36" x14ac:dyDescent="0.25">
      <c r="A68" s="64"/>
      <c r="B68" s="14">
        <v>513709</v>
      </c>
      <c r="C68" s="14" t="s">
        <v>291</v>
      </c>
      <c r="D68" s="15">
        <v>5974600</v>
      </c>
      <c r="E68" s="8">
        <v>155</v>
      </c>
      <c r="F68" s="14">
        <f ca="1">IFERROR(__xludf.DUMMYFUNCTION("GOOGLEFINANCE(""BOM:"" &amp; B68,""price"")"),130)</f>
        <v>130</v>
      </c>
      <c r="G68" s="14">
        <f t="shared" ca="1" si="21"/>
        <v>-16.129032258064516</v>
      </c>
      <c r="H68" s="15">
        <f t="shared" si="22"/>
        <v>926063000</v>
      </c>
      <c r="I68" s="16">
        <f t="shared" ca="1" si="23"/>
        <v>776698000</v>
      </c>
      <c r="J68" s="63"/>
      <c r="K68" s="8">
        <v>532808</v>
      </c>
      <c r="L68" s="8" t="s">
        <v>292</v>
      </c>
      <c r="M68" s="12">
        <v>43450388</v>
      </c>
      <c r="N68" s="10">
        <v>662</v>
      </c>
      <c r="O68" s="10">
        <f ca="1">IFERROR(__xludf.DUMMYFUNCTION("GOOGLEFINANCE(""BOM:"" &amp; K68,""price"")"),537.35)</f>
        <v>537.35</v>
      </c>
      <c r="P68" s="8">
        <f t="shared" ca="1" si="27"/>
        <v>-18.829305135951657</v>
      </c>
      <c r="Q68" s="12">
        <f t="shared" si="28"/>
        <v>28764156856</v>
      </c>
      <c r="R68" s="13">
        <f t="shared" ca="1" si="29"/>
        <v>23348065991.799999</v>
      </c>
      <c r="S68" s="63"/>
      <c r="T68" s="8">
        <v>511451</v>
      </c>
      <c r="U68" s="8" t="s">
        <v>293</v>
      </c>
      <c r="V68" s="12">
        <v>3957184</v>
      </c>
      <c r="W68" s="8">
        <v>5.99</v>
      </c>
      <c r="X68" s="11">
        <f ca="1">IFERROR(__xludf.DUMMYFUNCTION("GOOGLEFINANCE(""BOM:"" &amp; T68,""price"")"),5.56)</f>
        <v>5.56</v>
      </c>
      <c r="Y68" s="8">
        <f t="shared" ca="1" si="24"/>
        <v>-7.1786310517529319</v>
      </c>
      <c r="Z68" s="12">
        <f t="shared" si="25"/>
        <v>23703532.16</v>
      </c>
      <c r="AA68" s="13">
        <f t="shared" ca="1" si="26"/>
        <v>22001943.039999999</v>
      </c>
      <c r="AB68" s="63"/>
      <c r="AC68" s="8">
        <v>532305</v>
      </c>
      <c r="AD68" s="8" t="s">
        <v>294</v>
      </c>
      <c r="AE68" s="12">
        <v>58935882</v>
      </c>
      <c r="AF68" s="8">
        <v>111.05</v>
      </c>
      <c r="AG68" s="8">
        <f ca="1">IFERROR(__xludf.DUMMYFUNCTION("GOOGLEFINANCE(""BOM:"" &amp; AC68,""price"")"),97.5)</f>
        <v>97.5</v>
      </c>
      <c r="AH68" s="8">
        <f t="shared" ca="1" si="8"/>
        <v>-12.201710941017557</v>
      </c>
      <c r="AI68" s="12">
        <f t="shared" si="9"/>
        <v>6544829696.0999994</v>
      </c>
      <c r="AJ68" s="13">
        <f t="shared" ca="1" si="10"/>
        <v>5746248495</v>
      </c>
    </row>
    <row r="69" spans="1:36" x14ac:dyDescent="0.25">
      <c r="A69" s="62" t="s">
        <v>295</v>
      </c>
      <c r="B69" s="6">
        <v>526628</v>
      </c>
      <c r="C69" s="6" t="s">
        <v>296</v>
      </c>
      <c r="D69" s="7">
        <v>3482900</v>
      </c>
      <c r="E69" s="6">
        <v>24.9</v>
      </c>
      <c r="F69" s="8">
        <f ca="1">IFERROR(__xludf.DUMMYFUNCTION("GOOGLEFINANCE(""BOM:"" &amp; B69,""price"")"),20.81)</f>
        <v>20.81</v>
      </c>
      <c r="G69" s="8">
        <f t="shared" ca="1" si="21"/>
        <v>-16.425702811244982</v>
      </c>
      <c r="H69" s="7">
        <f t="shared" si="22"/>
        <v>86724210</v>
      </c>
      <c r="I69" s="9">
        <f t="shared" ca="1" si="23"/>
        <v>72479149</v>
      </c>
      <c r="J69" s="63"/>
      <c r="K69" s="8">
        <v>500330</v>
      </c>
      <c r="L69" s="8" t="s">
        <v>297</v>
      </c>
      <c r="M69" s="12">
        <v>65425398</v>
      </c>
      <c r="N69" s="10">
        <v>1854.35</v>
      </c>
      <c r="O69" s="10">
        <f ca="1">IFERROR(__xludf.DUMMYFUNCTION("GOOGLEFINANCE(""BOM:"" &amp; K69,""price"")"),1808.5)</f>
        <v>1808.5</v>
      </c>
      <c r="P69" s="8">
        <f t="shared" ca="1" si="27"/>
        <v>-2.472564510475364</v>
      </c>
      <c r="Q69" s="12">
        <f t="shared" si="28"/>
        <v>121321586781.29999</v>
      </c>
      <c r="R69" s="13">
        <f t="shared" ca="1" si="29"/>
        <v>118321832283</v>
      </c>
      <c r="S69" s="63"/>
      <c r="T69" s="8">
        <v>531237</v>
      </c>
      <c r="U69" s="8" t="s">
        <v>298</v>
      </c>
      <c r="V69" s="12">
        <v>3078975</v>
      </c>
      <c r="W69" s="8">
        <v>330.65</v>
      </c>
      <c r="X69" s="11">
        <f ca="1">IFERROR(__xludf.DUMMYFUNCTION("GOOGLEFINANCE(""BOM:"" &amp; T69,""price"")"),447.8)</f>
        <v>447.8</v>
      </c>
      <c r="Y69" s="8">
        <f t="shared" ca="1" si="24"/>
        <v>35.430213216391969</v>
      </c>
      <c r="Z69" s="12">
        <f t="shared" si="25"/>
        <v>1018063083.7499999</v>
      </c>
      <c r="AA69" s="13">
        <f t="shared" ca="1" si="26"/>
        <v>1378765005</v>
      </c>
      <c r="AB69" s="63"/>
      <c r="AC69" s="8">
        <v>524652</v>
      </c>
      <c r="AD69" s="8" t="s">
        <v>299</v>
      </c>
      <c r="AE69" s="12">
        <v>53465026</v>
      </c>
      <c r="AF69" s="8">
        <v>19.309999999999999</v>
      </c>
      <c r="AG69" s="8">
        <f ca="1">IFERROR(__xludf.DUMMYFUNCTION("GOOGLEFINANCE(""BOM:"" &amp; AC69,""price"")"),18.3)</f>
        <v>18.3</v>
      </c>
      <c r="AH69" s="8">
        <f t="shared" ca="1" si="8"/>
        <v>-5.2304505437596998</v>
      </c>
      <c r="AI69" s="12">
        <f t="shared" si="9"/>
        <v>1032409652.0599999</v>
      </c>
      <c r="AJ69" s="13">
        <f t="shared" ca="1" si="10"/>
        <v>978409975.80000007</v>
      </c>
    </row>
    <row r="70" spans="1:36" x14ac:dyDescent="0.25">
      <c r="A70" s="63"/>
      <c r="B70" s="8">
        <v>532848</v>
      </c>
      <c r="C70" s="8" t="s">
        <v>300</v>
      </c>
      <c r="D70" s="12">
        <v>265965521</v>
      </c>
      <c r="E70" s="8">
        <v>138.55000000000001</v>
      </c>
      <c r="F70" s="8">
        <f ca="1">IFERROR(__xludf.DUMMYFUNCTION("GOOGLEFINANCE(""BOM:"" &amp; B70,""price"")"),110.65)</f>
        <v>110.65</v>
      </c>
      <c r="G70" s="8">
        <f t="shared" ca="1" si="21"/>
        <v>-20.137134608444608</v>
      </c>
      <c r="H70" s="12">
        <f t="shared" si="22"/>
        <v>36849522934.550003</v>
      </c>
      <c r="I70" s="13">
        <f t="shared" ca="1" si="23"/>
        <v>29429084898.650002</v>
      </c>
      <c r="J70" s="63"/>
      <c r="K70" s="8">
        <v>533552</v>
      </c>
      <c r="L70" s="8" t="s">
        <v>301</v>
      </c>
      <c r="M70" s="12">
        <v>79337148</v>
      </c>
      <c r="N70" s="10">
        <v>274.64999999999998</v>
      </c>
      <c r="O70" s="10">
        <f ca="1">IFERROR(__xludf.DUMMYFUNCTION("GOOGLEFINANCE(""BOM:"" &amp; K70,""price"")"),239.7)</f>
        <v>239.7</v>
      </c>
      <c r="P70" s="8">
        <f t="shared" ca="1" si="27"/>
        <v>-12.725286728563622</v>
      </c>
      <c r="Q70" s="12">
        <f t="shared" si="28"/>
        <v>21789947698.199997</v>
      </c>
      <c r="R70" s="13">
        <f t="shared" ca="1" si="29"/>
        <v>19017114375.599998</v>
      </c>
      <c r="S70" s="63"/>
      <c r="T70" s="8">
        <v>542906</v>
      </c>
      <c r="U70" s="8" t="s">
        <v>302</v>
      </c>
      <c r="V70" s="12">
        <v>4430963</v>
      </c>
      <c r="W70" s="8">
        <v>46.84</v>
      </c>
      <c r="X70" s="11">
        <f ca="1">IFERROR(__xludf.DUMMYFUNCTION("GOOGLEFINANCE(""BOM:"" &amp; T70,""price"")"),49)</f>
        <v>49</v>
      </c>
      <c r="Y70" s="8">
        <f t="shared" ca="1" si="24"/>
        <v>4.6114432109308208</v>
      </c>
      <c r="Z70" s="12">
        <f t="shared" si="25"/>
        <v>207546306.92000002</v>
      </c>
      <c r="AA70" s="13">
        <f t="shared" ca="1" si="26"/>
        <v>217117187</v>
      </c>
      <c r="AB70" s="63"/>
      <c r="AC70" s="8">
        <v>524164</v>
      </c>
      <c r="AD70" s="8" t="s">
        <v>303</v>
      </c>
      <c r="AE70" s="12">
        <v>58191960</v>
      </c>
      <c r="AF70" s="8">
        <v>408.35</v>
      </c>
      <c r="AG70" s="8">
        <f ca="1">IFERROR(__xludf.DUMMYFUNCTION("GOOGLEFINANCE(""BOM:"" &amp; AC70,""price"")"),363)</f>
        <v>363</v>
      </c>
      <c r="AH70" s="8">
        <f t="shared" ca="1" si="8"/>
        <v>-11.105669156360969</v>
      </c>
      <c r="AI70" s="12">
        <f t="shared" si="9"/>
        <v>23762686866</v>
      </c>
      <c r="AJ70" s="13">
        <f t="shared" ca="1" si="10"/>
        <v>21123681480</v>
      </c>
    </row>
    <row r="71" spans="1:36" x14ac:dyDescent="0.25">
      <c r="A71" s="63"/>
      <c r="B71" s="8">
        <v>538731</v>
      </c>
      <c r="C71" s="8" t="s">
        <v>304</v>
      </c>
      <c r="D71" s="12">
        <v>10500000</v>
      </c>
      <c r="E71" s="8">
        <v>4.2300000000000004</v>
      </c>
      <c r="F71" s="8">
        <f ca="1">IFERROR(__xludf.DUMMYFUNCTION("GOOGLEFINANCE(""BOM:"" &amp; B71,""price"")"),4.23)</f>
        <v>4.2300000000000004</v>
      </c>
      <c r="G71" s="8">
        <f t="shared" ca="1" si="21"/>
        <v>0</v>
      </c>
      <c r="H71" s="12">
        <f t="shared" si="22"/>
        <v>44415000.000000007</v>
      </c>
      <c r="I71" s="13">
        <f t="shared" ca="1" si="23"/>
        <v>44415000.000000007</v>
      </c>
      <c r="J71" s="63"/>
      <c r="K71" s="8">
        <v>521206</v>
      </c>
      <c r="L71" s="8" t="s">
        <v>305</v>
      </c>
      <c r="M71" s="12">
        <v>70957090</v>
      </c>
      <c r="N71" s="10">
        <v>2.5099999999999998</v>
      </c>
      <c r="O71" s="10">
        <f ca="1">IFERROR(__xludf.DUMMYFUNCTION("GOOGLEFINANCE(""BOM:"" &amp; K71,""price"")"),2.04)</f>
        <v>2.04</v>
      </c>
      <c r="P71" s="8">
        <f t="shared" ca="1" si="27"/>
        <v>-18.725099601593616</v>
      </c>
      <c r="Q71" s="12">
        <f t="shared" si="28"/>
        <v>178102295.89999998</v>
      </c>
      <c r="R71" s="13">
        <f t="shared" ca="1" si="29"/>
        <v>144752463.59999999</v>
      </c>
      <c r="S71" s="63"/>
      <c r="T71" s="8">
        <v>511074</v>
      </c>
      <c r="U71" s="8" t="s">
        <v>306</v>
      </c>
      <c r="V71" s="12">
        <v>245000</v>
      </c>
      <c r="W71" s="8">
        <v>938.9</v>
      </c>
      <c r="X71" s="11">
        <f ca="1">IFERROR(__xludf.DUMMYFUNCTION("GOOGLEFINANCE(""BOM:"" &amp; T71,""price"")"),938.9)</f>
        <v>938.9</v>
      </c>
      <c r="Y71" s="8">
        <f t="shared" ca="1" si="24"/>
        <v>0</v>
      </c>
      <c r="Z71" s="12">
        <f t="shared" si="25"/>
        <v>230030500</v>
      </c>
      <c r="AA71" s="13">
        <f t="shared" ca="1" si="26"/>
        <v>230030500</v>
      </c>
      <c r="AB71" s="63"/>
      <c r="AC71" s="8">
        <v>524494</v>
      </c>
      <c r="AD71" s="8" t="s">
        <v>307</v>
      </c>
      <c r="AE71" s="12">
        <v>252435538</v>
      </c>
      <c r="AF71" s="8">
        <v>1192.6500000000001</v>
      </c>
      <c r="AG71" s="8">
        <f ca="1">IFERROR(__xludf.DUMMYFUNCTION("GOOGLEFINANCE(""BOM:"" &amp; AC71,""price"")"),1240)</f>
        <v>1240</v>
      </c>
      <c r="AH71" s="8">
        <f t="shared" ca="1" si="8"/>
        <v>3.9701505051775379</v>
      </c>
      <c r="AI71" s="12">
        <f t="shared" si="9"/>
        <v>301067244395.70001</v>
      </c>
      <c r="AJ71" s="13">
        <f t="shared" ca="1" si="10"/>
        <v>313020067120</v>
      </c>
    </row>
    <row r="72" spans="1:36" x14ac:dyDescent="0.25">
      <c r="A72" s="63"/>
      <c r="B72" s="8">
        <v>539056</v>
      </c>
      <c r="C72" s="8" t="s">
        <v>308</v>
      </c>
      <c r="D72" s="12">
        <v>89227800</v>
      </c>
      <c r="E72" s="8">
        <v>81.55</v>
      </c>
      <c r="F72" s="8">
        <f ca="1">IFERROR(__xludf.DUMMYFUNCTION("GOOGLEFINANCE(""BOM:"" &amp; B72,""price"")"),77.05)</f>
        <v>77.05</v>
      </c>
      <c r="G72" s="8">
        <f t="shared" ca="1" si="21"/>
        <v>-5.5180870631514409</v>
      </c>
      <c r="H72" s="12">
        <f t="shared" si="22"/>
        <v>7276527090</v>
      </c>
      <c r="I72" s="13">
        <f t="shared" ca="1" si="23"/>
        <v>6875001990</v>
      </c>
      <c r="J72" s="63"/>
      <c r="K72" s="8">
        <v>531234</v>
      </c>
      <c r="L72" s="8" t="s">
        <v>309</v>
      </c>
      <c r="M72" s="12">
        <v>12484185</v>
      </c>
      <c r="N72" s="10">
        <v>83.55</v>
      </c>
      <c r="O72" s="10">
        <f ca="1">IFERROR(__xludf.DUMMYFUNCTION("GOOGLEFINANCE(""BOM:"" &amp; K72,""price"")"),77)</f>
        <v>77</v>
      </c>
      <c r="P72" s="8">
        <f t="shared" ca="1" si="27"/>
        <v>-7.8396169958108883</v>
      </c>
      <c r="Q72" s="12">
        <f t="shared" si="28"/>
        <v>1043053656.75</v>
      </c>
      <c r="R72" s="13">
        <f t="shared" ca="1" si="29"/>
        <v>961282245</v>
      </c>
      <c r="S72" s="63"/>
      <c r="T72" s="8">
        <v>538882</v>
      </c>
      <c r="U72" s="8" t="s">
        <v>310</v>
      </c>
      <c r="V72" s="12">
        <v>28682349</v>
      </c>
      <c r="W72" s="8">
        <v>26.35</v>
      </c>
      <c r="X72" s="11">
        <f ca="1">IFERROR(__xludf.DUMMYFUNCTION("GOOGLEFINANCE(""BOM:"" &amp; T72,""price"")"),36.34)</f>
        <v>36.340000000000003</v>
      </c>
      <c r="Y72" s="8">
        <f t="shared" ca="1" si="24"/>
        <v>37.912713472485777</v>
      </c>
      <c r="Z72" s="12">
        <f t="shared" si="25"/>
        <v>755779896.1500001</v>
      </c>
      <c r="AA72" s="13">
        <f t="shared" ca="1" si="26"/>
        <v>1042316562.6600001</v>
      </c>
      <c r="AB72" s="63"/>
      <c r="AC72" s="8">
        <v>524400</v>
      </c>
      <c r="AD72" s="8" t="s">
        <v>311</v>
      </c>
      <c r="AE72" s="12">
        <v>2551635</v>
      </c>
      <c r="AF72" s="8">
        <v>72.5</v>
      </c>
      <c r="AG72" s="8">
        <f ca="1">IFERROR(__xludf.DUMMYFUNCTION("GOOGLEFINANCE(""BOM:"" &amp; AC72,""price"")"),65.8)</f>
        <v>65.8</v>
      </c>
      <c r="AH72" s="8">
        <f t="shared" ca="1" si="8"/>
        <v>-9.241379310344831</v>
      </c>
      <c r="AI72" s="12">
        <f t="shared" si="9"/>
        <v>184993537.5</v>
      </c>
      <c r="AJ72" s="13">
        <f t="shared" ca="1" si="10"/>
        <v>167897583</v>
      </c>
    </row>
    <row r="73" spans="1:36" x14ac:dyDescent="0.25">
      <c r="A73" s="63"/>
      <c r="B73" s="8">
        <v>526721</v>
      </c>
      <c r="C73" s="8" t="s">
        <v>312</v>
      </c>
      <c r="D73" s="12">
        <v>45985215</v>
      </c>
      <c r="E73" s="8">
        <v>147.9</v>
      </c>
      <c r="F73" s="8">
        <f ca="1">IFERROR(__xludf.DUMMYFUNCTION("GOOGLEFINANCE(""BOM:"" &amp; B73,""price"")"),146.5)</f>
        <v>146.5</v>
      </c>
      <c r="G73" s="8">
        <f t="shared" ca="1" si="21"/>
        <v>-0.94658553076403351</v>
      </c>
      <c r="H73" s="12">
        <f t="shared" si="22"/>
        <v>6801213298.5</v>
      </c>
      <c r="I73" s="13">
        <f t="shared" ca="1" si="23"/>
        <v>6736833997.5</v>
      </c>
      <c r="J73" s="63"/>
      <c r="K73" s="8">
        <v>540048</v>
      </c>
      <c r="L73" s="8" t="s">
        <v>313</v>
      </c>
      <c r="M73" s="12">
        <v>25347388</v>
      </c>
      <c r="N73" s="10">
        <v>615</v>
      </c>
      <c r="O73" s="10">
        <f ca="1">IFERROR(__xludf.DUMMYFUNCTION("GOOGLEFINANCE(""BOM:"" &amp; K73,""price"")"),580.5)</f>
        <v>580.5</v>
      </c>
      <c r="P73" s="8">
        <f t="shared" ca="1" si="27"/>
        <v>-5.6097560975609762</v>
      </c>
      <c r="Q73" s="12">
        <f t="shared" si="28"/>
        <v>15588643620</v>
      </c>
      <c r="R73" s="13">
        <f t="shared" ca="1" si="29"/>
        <v>14714158734</v>
      </c>
      <c r="S73" s="63"/>
      <c r="T73" s="8">
        <v>530407</v>
      </c>
      <c r="U73" s="8" t="s">
        <v>314</v>
      </c>
      <c r="V73" s="12">
        <v>6825765</v>
      </c>
      <c r="W73" s="8">
        <v>11.25</v>
      </c>
      <c r="X73" s="11">
        <f ca="1">IFERROR(__xludf.DUMMYFUNCTION("GOOGLEFINANCE(""BOM:"" &amp; T73,""price"")"),10.7)</f>
        <v>10.7</v>
      </c>
      <c r="Y73" s="8">
        <f t="shared" ca="1" si="24"/>
        <v>-4.8888888888888955</v>
      </c>
      <c r="Z73" s="12">
        <f t="shared" si="25"/>
        <v>76789856.25</v>
      </c>
      <c r="AA73" s="13">
        <f t="shared" ca="1" si="26"/>
        <v>73035685.5</v>
      </c>
      <c r="AB73" s="63"/>
      <c r="AC73" s="8">
        <v>507789</v>
      </c>
      <c r="AD73" s="8" t="s">
        <v>315</v>
      </c>
      <c r="AE73" s="12">
        <v>25970435</v>
      </c>
      <c r="AF73" s="8">
        <v>303.35000000000002</v>
      </c>
      <c r="AG73" s="8">
        <f ca="1">IFERROR(__xludf.DUMMYFUNCTION("GOOGLEFINANCE(""BOM:"" &amp; AC73,""price"")"),275.6)</f>
        <v>275.60000000000002</v>
      </c>
      <c r="AH73" s="8">
        <f t="shared" ca="1" si="8"/>
        <v>-9.1478490192846547</v>
      </c>
      <c r="AI73" s="12">
        <f t="shared" si="9"/>
        <v>7878131457.250001</v>
      </c>
      <c r="AJ73" s="13">
        <f t="shared" ca="1" si="10"/>
        <v>7157451886.000001</v>
      </c>
    </row>
    <row r="74" spans="1:36" x14ac:dyDescent="0.25">
      <c r="A74" s="63"/>
      <c r="B74" s="8">
        <v>526477</v>
      </c>
      <c r="C74" s="8" t="s">
        <v>316</v>
      </c>
      <c r="D74" s="12">
        <v>3296845</v>
      </c>
      <c r="E74" s="8">
        <v>45.3</v>
      </c>
      <c r="F74" s="8">
        <f ca="1">IFERROR(__xludf.DUMMYFUNCTION("GOOGLEFINANCE(""BOM:"" &amp; B74,""price"")"),40)</f>
        <v>40</v>
      </c>
      <c r="G74" s="8">
        <f t="shared" ca="1" si="21"/>
        <v>-11.699779249448119</v>
      </c>
      <c r="H74" s="12">
        <f t="shared" si="22"/>
        <v>149347078.5</v>
      </c>
      <c r="I74" s="13">
        <f t="shared" ca="1" si="23"/>
        <v>131873800</v>
      </c>
      <c r="J74" s="63"/>
      <c r="K74" s="8">
        <v>541700</v>
      </c>
      <c r="L74" s="8" t="s">
        <v>317</v>
      </c>
      <c r="M74" s="12">
        <v>61629544</v>
      </c>
      <c r="N74" s="10">
        <v>383.75</v>
      </c>
      <c r="O74" s="10">
        <f ca="1">IFERROR(__xludf.DUMMYFUNCTION("GOOGLEFINANCE(""BOM:"" &amp; K74,""price"")"),344.45)</f>
        <v>344.45</v>
      </c>
      <c r="P74" s="8">
        <f t="shared" ca="1" si="27"/>
        <v>-10.241042345276876</v>
      </c>
      <c r="Q74" s="12">
        <f t="shared" si="28"/>
        <v>23650337510</v>
      </c>
      <c r="R74" s="13">
        <f t="shared" ca="1" si="29"/>
        <v>21228296430.799999</v>
      </c>
      <c r="S74" s="63"/>
      <c r="T74" s="8">
        <v>538708</v>
      </c>
      <c r="U74" s="8" t="s">
        <v>318</v>
      </c>
      <c r="V74" s="12">
        <v>16045017</v>
      </c>
      <c r="W74" s="8">
        <v>7.1</v>
      </c>
      <c r="X74" s="11">
        <f ca="1">IFERROR(__xludf.DUMMYFUNCTION("GOOGLEFINANCE(""BOM:"" &amp; T74,""price"")"),5.95)</f>
        <v>5.95</v>
      </c>
      <c r="Y74" s="8">
        <f t="shared" ca="1" si="24"/>
        <v>-16.197183098591541</v>
      </c>
      <c r="Z74" s="12">
        <f t="shared" si="25"/>
        <v>113919620.69999999</v>
      </c>
      <c r="AA74" s="13">
        <f t="shared" ca="1" si="26"/>
        <v>95467851.150000006</v>
      </c>
      <c r="AB74" s="63"/>
      <c r="AC74" s="8">
        <v>506943</v>
      </c>
      <c r="AD74" s="8" t="s">
        <v>319</v>
      </c>
      <c r="AE74" s="12">
        <v>153927324</v>
      </c>
      <c r="AF74" s="8">
        <v>1534.95</v>
      </c>
      <c r="AG74" s="8">
        <f ca="1">IFERROR(__xludf.DUMMYFUNCTION("GOOGLEFINANCE(""BOM:"" &amp; AC74,""price"")"),1662)</f>
        <v>1662</v>
      </c>
      <c r="AH74" s="8">
        <f t="shared" ca="1" si="8"/>
        <v>8.2771425779341303</v>
      </c>
      <c r="AI74" s="12">
        <f t="shared" si="9"/>
        <v>236270745973.80002</v>
      </c>
      <c r="AJ74" s="13">
        <f t="shared" ca="1" si="10"/>
        <v>255827212488</v>
      </c>
    </row>
    <row r="75" spans="1:36" x14ac:dyDescent="0.25">
      <c r="A75" s="64"/>
      <c r="B75" s="14">
        <v>538268</v>
      </c>
      <c r="C75" s="14" t="s">
        <v>320</v>
      </c>
      <c r="D75" s="15">
        <v>56547182</v>
      </c>
      <c r="E75" s="8">
        <v>942.65</v>
      </c>
      <c r="F75" s="14">
        <f ca="1">IFERROR(__xludf.DUMMYFUNCTION("GOOGLEFINANCE(""BOM:"" &amp; B75,""price"")"),971.55)</f>
        <v>971.55</v>
      </c>
      <c r="G75" s="14">
        <f t="shared" ca="1" si="21"/>
        <v>3.0658250676284919</v>
      </c>
      <c r="H75" s="15">
        <f t="shared" si="22"/>
        <v>53304201112.299995</v>
      </c>
      <c r="I75" s="16">
        <f t="shared" ca="1" si="23"/>
        <v>54938414672.099998</v>
      </c>
      <c r="J75" s="63"/>
      <c r="K75" s="8">
        <v>533941</v>
      </c>
      <c r="L75" s="8" t="s">
        <v>321</v>
      </c>
      <c r="M75" s="12">
        <v>5456834</v>
      </c>
      <c r="N75" s="10">
        <v>336.45</v>
      </c>
      <c r="O75" s="10">
        <f ca="1">IFERROR(__xludf.DUMMYFUNCTION("GOOGLEFINANCE(""BOM:"" &amp; K75,""price"")"),294.45)</f>
        <v>294.45</v>
      </c>
      <c r="P75" s="8">
        <f t="shared" ca="1" si="27"/>
        <v>-12.483281319661168</v>
      </c>
      <c r="Q75" s="12">
        <f t="shared" si="28"/>
        <v>1835951799.3</v>
      </c>
      <c r="R75" s="13">
        <f t="shared" ca="1" si="29"/>
        <v>1606764771.3</v>
      </c>
      <c r="S75" s="63"/>
      <c r="T75" s="8">
        <v>500142</v>
      </c>
      <c r="U75" s="8" t="s">
        <v>322</v>
      </c>
      <c r="V75" s="12">
        <v>10669836</v>
      </c>
      <c r="W75" s="8">
        <v>6.3</v>
      </c>
      <c r="X75" s="11">
        <f ca="1">IFERROR(__xludf.DUMMYFUNCTION("GOOGLEFINANCE(""BOM:"" &amp; T75,""price"")"),6.54)</f>
        <v>6.54</v>
      </c>
      <c r="Y75" s="8">
        <f t="shared" ca="1" si="24"/>
        <v>3.8095238095238133</v>
      </c>
      <c r="Z75" s="12">
        <f t="shared" si="25"/>
        <v>67219966.799999997</v>
      </c>
      <c r="AA75" s="13">
        <f t="shared" ca="1" si="26"/>
        <v>69780727.439999998</v>
      </c>
      <c r="AB75" s="63"/>
      <c r="AC75" s="8">
        <v>524731</v>
      </c>
      <c r="AD75" s="8" t="s">
        <v>323</v>
      </c>
      <c r="AE75" s="12">
        <v>4446658</v>
      </c>
      <c r="AF75" s="8">
        <v>782.55</v>
      </c>
      <c r="AG75" s="8">
        <f ca="1">IFERROR(__xludf.DUMMYFUNCTION("GOOGLEFINANCE(""BOM:"" &amp; AC75,""price"")"),687.25)</f>
        <v>687.25</v>
      </c>
      <c r="AH75" s="8">
        <f t="shared" ca="1" si="8"/>
        <v>-12.178135582390896</v>
      </c>
      <c r="AI75" s="12">
        <f t="shared" si="9"/>
        <v>3479732217.8999996</v>
      </c>
      <c r="AJ75" s="13">
        <f t="shared" ca="1" si="10"/>
        <v>3055965710.5</v>
      </c>
    </row>
    <row r="76" spans="1:36" x14ac:dyDescent="0.25">
      <c r="A76" s="62" t="s">
        <v>324</v>
      </c>
      <c r="B76" s="6">
        <v>512573</v>
      </c>
      <c r="C76" s="6" t="s">
        <v>325</v>
      </c>
      <c r="D76" s="18">
        <v>135050894</v>
      </c>
      <c r="E76" s="6">
        <v>530.15</v>
      </c>
      <c r="F76" s="8">
        <f ca="1">IFERROR(__xludf.DUMMYFUNCTION("GOOGLEFINANCE(""BOM:"" &amp; B76,""price"")"),490.95)</f>
        <v>490.95</v>
      </c>
      <c r="G76" s="8">
        <f t="shared" ca="1" si="21"/>
        <v>-7.3941337357351671</v>
      </c>
      <c r="H76" s="7">
        <f t="shared" si="22"/>
        <v>71597231454.099991</v>
      </c>
      <c r="I76" s="9">
        <f t="shared" ca="1" si="23"/>
        <v>66303236409.299995</v>
      </c>
      <c r="J76" s="63"/>
      <c r="K76" s="8">
        <v>532613</v>
      </c>
      <c r="L76" s="8" t="s">
        <v>326</v>
      </c>
      <c r="M76" s="12">
        <v>81695397</v>
      </c>
      <c r="N76" s="10">
        <v>41.7</v>
      </c>
      <c r="O76" s="10">
        <f ca="1">IFERROR(__xludf.DUMMYFUNCTION("GOOGLEFINANCE(""BOM:"" &amp; K76,""price"")"),35.25)</f>
        <v>35.25</v>
      </c>
      <c r="P76" s="8">
        <f t="shared" ca="1" si="27"/>
        <v>-15.467625899280582</v>
      </c>
      <c r="Q76" s="12">
        <f t="shared" si="28"/>
        <v>3406698054.9000001</v>
      </c>
      <c r="R76" s="13">
        <f t="shared" ca="1" si="29"/>
        <v>2879762744.25</v>
      </c>
      <c r="S76" s="63"/>
      <c r="T76" s="8">
        <v>508954</v>
      </c>
      <c r="U76" s="8" t="s">
        <v>327</v>
      </c>
      <c r="V76" s="12">
        <v>124478198</v>
      </c>
      <c r="W76" s="8">
        <v>54.9</v>
      </c>
      <c r="X76" s="11">
        <f ca="1">IFERROR(__xludf.DUMMYFUNCTION("GOOGLEFINANCE(""BOM:"" &amp; T76,""price"")"),52.6)</f>
        <v>52.6</v>
      </c>
      <c r="Y76" s="8">
        <f t="shared" ca="1" si="24"/>
        <v>-4.1894353369763149</v>
      </c>
      <c r="Z76" s="12">
        <f t="shared" si="25"/>
        <v>6833853070.1999998</v>
      </c>
      <c r="AA76" s="13">
        <f t="shared" ca="1" si="26"/>
        <v>6547553214.8000002</v>
      </c>
      <c r="AB76" s="63"/>
      <c r="AC76" s="8">
        <v>530019</v>
      </c>
      <c r="AD76" s="8" t="s">
        <v>328</v>
      </c>
      <c r="AE76" s="12">
        <v>158653443</v>
      </c>
      <c r="AF76" s="8">
        <v>571.9</v>
      </c>
      <c r="AG76" s="8">
        <f ca="1">IFERROR(__xludf.DUMMYFUNCTION("GOOGLEFINANCE(""BOM:"" &amp; AC76,""price"")"),566.3)</f>
        <v>566.29999999999995</v>
      </c>
      <c r="AH76" s="8">
        <f t="shared" ca="1" si="8"/>
        <v>-0.97919216646267238</v>
      </c>
      <c r="AI76" s="12">
        <f t="shared" si="9"/>
        <v>90733904051.699997</v>
      </c>
      <c r="AJ76" s="13">
        <f t="shared" ca="1" si="10"/>
        <v>89845444770.899994</v>
      </c>
    </row>
    <row r="77" spans="1:36" x14ac:dyDescent="0.25">
      <c r="A77" s="63"/>
      <c r="B77" s="8">
        <v>540743</v>
      </c>
      <c r="C77" s="8" t="s">
        <v>329</v>
      </c>
      <c r="D77" s="12">
        <v>192110723</v>
      </c>
      <c r="E77" s="8">
        <v>527.25</v>
      </c>
      <c r="F77" s="8">
        <f ca="1">IFERROR(__xludf.DUMMYFUNCTION("GOOGLEFINANCE(""BOM:"" &amp; B77,""price"")"),486.25)</f>
        <v>486.25</v>
      </c>
      <c r="G77" s="8">
        <f t="shared" ca="1" si="21"/>
        <v>-7.7761972498814602</v>
      </c>
      <c r="H77" s="12">
        <f t="shared" si="22"/>
        <v>101290378701.75</v>
      </c>
      <c r="I77" s="13">
        <f t="shared" ca="1" si="23"/>
        <v>93413839058.75</v>
      </c>
      <c r="J77" s="63"/>
      <c r="K77" s="8">
        <v>530521</v>
      </c>
      <c r="L77" s="8" t="s">
        <v>330</v>
      </c>
      <c r="M77" s="12">
        <v>4756200</v>
      </c>
      <c r="N77" s="10">
        <v>157.5</v>
      </c>
      <c r="O77" s="10">
        <f ca="1">IFERROR(__xludf.DUMMYFUNCTION("GOOGLEFINANCE(""BOM:"" &amp; K77,""price"")"),145)</f>
        <v>145</v>
      </c>
      <c r="P77" s="8">
        <f t="shared" ca="1" si="27"/>
        <v>-7.9365079365079358</v>
      </c>
      <c r="Q77" s="12">
        <f t="shared" si="28"/>
        <v>749101500</v>
      </c>
      <c r="R77" s="13">
        <f t="shared" ca="1" si="29"/>
        <v>689649000</v>
      </c>
      <c r="S77" s="63"/>
      <c r="T77" s="8">
        <v>539552</v>
      </c>
      <c r="U77" s="8" t="s">
        <v>331</v>
      </c>
      <c r="V77" s="12">
        <v>2156175</v>
      </c>
      <c r="W77" s="8">
        <v>107.9</v>
      </c>
      <c r="X77" s="11">
        <f ca="1">IFERROR(__xludf.DUMMYFUNCTION("GOOGLEFINANCE(""BOM:"" &amp; T77,""price"")"),100.5)</f>
        <v>100.5</v>
      </c>
      <c r="Y77" s="8">
        <f t="shared" ca="1" si="24"/>
        <v>-6.8582020389249347</v>
      </c>
      <c r="Z77" s="12">
        <f t="shared" si="25"/>
        <v>232651282.5</v>
      </c>
      <c r="AA77" s="13">
        <f t="shared" ca="1" si="26"/>
        <v>216695587.5</v>
      </c>
      <c r="AB77" s="63"/>
      <c r="AC77" s="8">
        <v>530163</v>
      </c>
      <c r="AD77" s="8" t="s">
        <v>332</v>
      </c>
      <c r="AE77" s="12">
        <v>10181882</v>
      </c>
      <c r="AF77" s="8">
        <v>294.25</v>
      </c>
      <c r="AG77" s="8">
        <f ca="1">IFERROR(__xludf.DUMMYFUNCTION("GOOGLEFINANCE(""BOM:"" &amp; AC77,""price"")"),262)</f>
        <v>262</v>
      </c>
      <c r="AH77" s="8">
        <f t="shared" ca="1" si="8"/>
        <v>-10.960067969413764</v>
      </c>
      <c r="AI77" s="12">
        <f t="shared" si="9"/>
        <v>2996018778.5</v>
      </c>
      <c r="AJ77" s="13">
        <f t="shared" ca="1" si="10"/>
        <v>2667653084</v>
      </c>
    </row>
    <row r="78" spans="1:36" x14ac:dyDescent="0.25">
      <c r="A78" s="63"/>
      <c r="B78" s="8">
        <v>500164</v>
      </c>
      <c r="C78" s="8" t="s">
        <v>333</v>
      </c>
      <c r="D78" s="12">
        <v>336259649</v>
      </c>
      <c r="E78" s="8">
        <v>810.25</v>
      </c>
      <c r="F78" s="8">
        <f ca="1">IFERROR(__xludf.DUMMYFUNCTION("GOOGLEFINANCE(""BOM:"" &amp; B78,""price"")"),778.5)</f>
        <v>778.5</v>
      </c>
      <c r="G78" s="8">
        <f t="shared" ca="1" si="21"/>
        <v>-3.9185436593643939</v>
      </c>
      <c r="H78" s="12">
        <f t="shared" si="22"/>
        <v>272454380602.25</v>
      </c>
      <c r="I78" s="13">
        <f t="shared" ca="1" si="23"/>
        <v>261778136746.5</v>
      </c>
      <c r="J78" s="63"/>
      <c r="K78" s="8">
        <v>538598</v>
      </c>
      <c r="L78" s="8" t="s">
        <v>334</v>
      </c>
      <c r="M78" s="12">
        <v>197610003</v>
      </c>
      <c r="N78" s="10">
        <v>22.66</v>
      </c>
      <c r="O78" s="10">
        <f ca="1">IFERROR(__xludf.DUMMYFUNCTION("GOOGLEFINANCE(""BOM:"" &amp; K78,""price"")"),18.41)</f>
        <v>18.41</v>
      </c>
      <c r="P78" s="8">
        <f t="shared" ca="1" si="27"/>
        <v>-18.755516328331861</v>
      </c>
      <c r="Q78" s="12">
        <f t="shared" si="28"/>
        <v>4477842667.9800005</v>
      </c>
      <c r="R78" s="13">
        <f t="shared" ca="1" si="29"/>
        <v>3638000155.23</v>
      </c>
      <c r="S78" s="63"/>
      <c r="T78" s="8">
        <v>539839</v>
      </c>
      <c r="U78" s="8" t="s">
        <v>335</v>
      </c>
      <c r="V78" s="12">
        <v>15782400</v>
      </c>
      <c r="W78" s="8">
        <v>16.5</v>
      </c>
      <c r="X78" s="11">
        <f ca="1">IFERROR(__xludf.DUMMYFUNCTION("GOOGLEFINANCE(""BOM:"" &amp; T78,""price"")"),12.73)</f>
        <v>12.73</v>
      </c>
      <c r="Y78" s="8">
        <f t="shared" ca="1" si="24"/>
        <v>-22.848484848484844</v>
      </c>
      <c r="Z78" s="12">
        <f t="shared" si="25"/>
        <v>260409600</v>
      </c>
      <c r="AA78" s="13">
        <f t="shared" ca="1" si="26"/>
        <v>200909952</v>
      </c>
      <c r="AB78" s="63"/>
      <c r="AC78" s="8">
        <v>524500</v>
      </c>
      <c r="AD78" s="8" t="s">
        <v>336</v>
      </c>
      <c r="AE78" s="12">
        <v>15175086</v>
      </c>
      <c r="AF78" s="8">
        <v>390.3</v>
      </c>
      <c r="AG78" s="8">
        <f ca="1">IFERROR(__xludf.DUMMYFUNCTION("GOOGLEFINANCE(""BOM:"" &amp; AC78,""price"")"),389.95)</f>
        <v>389.95</v>
      </c>
      <c r="AH78" s="8">
        <f t="shared" ca="1" si="8"/>
        <v>-8.9674609274922559E-2</v>
      </c>
      <c r="AI78" s="12">
        <f t="shared" si="9"/>
        <v>5922836065.8000002</v>
      </c>
      <c r="AJ78" s="13">
        <f t="shared" ca="1" si="10"/>
        <v>5917524785.6999998</v>
      </c>
    </row>
    <row r="79" spans="1:36" x14ac:dyDescent="0.25">
      <c r="A79" s="63"/>
      <c r="B79" s="8">
        <v>519397</v>
      </c>
      <c r="C79" s="8" t="s">
        <v>337</v>
      </c>
      <c r="D79" s="12">
        <v>12212200</v>
      </c>
      <c r="E79" s="8">
        <v>51.3</v>
      </c>
      <c r="F79" s="8">
        <f ca="1">IFERROR(__xludf.DUMMYFUNCTION("GOOGLEFINANCE(""BOM:"" &amp; B79,""price"")"),42.2)</f>
        <v>42.2</v>
      </c>
      <c r="G79" s="8">
        <f t="shared" ca="1" si="21"/>
        <v>-17.738791423001938</v>
      </c>
      <c r="H79" s="12">
        <f t="shared" si="22"/>
        <v>626485860</v>
      </c>
      <c r="I79" s="13">
        <f t="shared" ca="1" si="23"/>
        <v>515354840.00000006</v>
      </c>
      <c r="J79" s="64"/>
      <c r="K79" s="14">
        <v>521163</v>
      </c>
      <c r="L79" s="14" t="s">
        <v>338</v>
      </c>
      <c r="M79" s="15">
        <v>24705181</v>
      </c>
      <c r="N79" s="17">
        <v>134.85</v>
      </c>
      <c r="O79" s="17">
        <f ca="1">IFERROR(__xludf.DUMMYFUNCTION("GOOGLEFINANCE(""BOM:"" &amp; K79,""price"")"),106.5)</f>
        <v>106.5</v>
      </c>
      <c r="P79" s="14">
        <f t="shared" ca="1" si="27"/>
        <v>-21.023359288097883</v>
      </c>
      <c r="Q79" s="15">
        <f t="shared" si="28"/>
        <v>3331493657.8499999</v>
      </c>
      <c r="R79" s="16">
        <f t="shared" ca="1" si="29"/>
        <v>2631101776.5</v>
      </c>
      <c r="S79" s="63"/>
      <c r="T79" s="8">
        <v>523113</v>
      </c>
      <c r="U79" s="8" t="s">
        <v>339</v>
      </c>
      <c r="V79" s="12">
        <v>1448734</v>
      </c>
      <c r="W79" s="8">
        <v>25</v>
      </c>
      <c r="X79" s="11">
        <f ca="1">IFERROR(__xludf.DUMMYFUNCTION("GOOGLEFINANCE(""BOM:"" &amp; T79,""price"")"),21.14)</f>
        <v>21.14</v>
      </c>
      <c r="Y79" s="8">
        <f t="shared" ca="1" si="24"/>
        <v>-15.439999999999998</v>
      </c>
      <c r="Z79" s="12">
        <f t="shared" si="25"/>
        <v>36218350</v>
      </c>
      <c r="AA79" s="13">
        <f t="shared" ca="1" si="26"/>
        <v>30626236.760000002</v>
      </c>
      <c r="AB79" s="63"/>
      <c r="AC79" s="8">
        <v>530313</v>
      </c>
      <c r="AD79" s="8" t="s">
        <v>340</v>
      </c>
      <c r="AE79" s="12">
        <v>44676741</v>
      </c>
      <c r="AF79" s="8">
        <v>37.07</v>
      </c>
      <c r="AG79" s="8">
        <f ca="1">IFERROR(__xludf.DUMMYFUNCTION("GOOGLEFINANCE(""BOM:"" &amp; AC79,""price"")"),55.73)</f>
        <v>55.73</v>
      </c>
      <c r="AH79" s="8">
        <f t="shared" ca="1" si="8"/>
        <v>50.337199892096031</v>
      </c>
      <c r="AI79" s="12">
        <f t="shared" si="9"/>
        <v>1656166788.8700001</v>
      </c>
      <c r="AJ79" s="13">
        <f t="shared" ca="1" si="10"/>
        <v>2489834775.9299998</v>
      </c>
    </row>
    <row r="80" spans="1:36" x14ac:dyDescent="0.25">
      <c r="A80" s="63"/>
      <c r="B80" s="8">
        <v>519566</v>
      </c>
      <c r="C80" s="8" t="s">
        <v>341</v>
      </c>
      <c r="D80" s="12">
        <v>3634150</v>
      </c>
      <c r="E80" s="8">
        <v>133.55000000000001</v>
      </c>
      <c r="F80" s="8">
        <f ca="1">IFERROR(__xludf.DUMMYFUNCTION("GOOGLEFINANCE(""BOM:"" &amp; B80,""price"")"),112)</f>
        <v>112</v>
      </c>
      <c r="G80" s="8">
        <f t="shared" ca="1" si="21"/>
        <v>-16.136278547360547</v>
      </c>
      <c r="H80" s="12">
        <f t="shared" si="22"/>
        <v>485340732.50000006</v>
      </c>
      <c r="I80" s="13">
        <f t="shared" ca="1" si="23"/>
        <v>407024800</v>
      </c>
      <c r="J80" s="62" t="s">
        <v>342</v>
      </c>
      <c r="K80" s="6">
        <v>532155</v>
      </c>
      <c r="L80" s="6" t="s">
        <v>343</v>
      </c>
      <c r="M80" s="7">
        <v>6574765117</v>
      </c>
      <c r="N80" s="10">
        <v>184.25</v>
      </c>
      <c r="O80" s="10">
        <f ca="1">IFERROR(__xludf.DUMMYFUNCTION("GOOGLEFINANCE(""BOM:"" &amp; K80,""price"")"),181.5)</f>
        <v>181.5</v>
      </c>
      <c r="P80" s="8">
        <f t="shared" ca="1" si="27"/>
        <v>-1.4925373134328357</v>
      </c>
      <c r="Q80" s="7">
        <f t="shared" si="28"/>
        <v>1211400472807.25</v>
      </c>
      <c r="R80" s="9">
        <f t="shared" ca="1" si="29"/>
        <v>1193319868735.5</v>
      </c>
      <c r="S80" s="63"/>
      <c r="T80" s="8">
        <v>538881</v>
      </c>
      <c r="U80" s="8" t="s">
        <v>344</v>
      </c>
      <c r="V80" s="12">
        <v>2445750</v>
      </c>
      <c r="W80" s="8">
        <v>15.7</v>
      </c>
      <c r="X80" s="11">
        <f ca="1">IFERROR(__xludf.DUMMYFUNCTION("GOOGLEFINANCE(""BOM:"" &amp; T80,""price"")"),15.2)</f>
        <v>15.2</v>
      </c>
      <c r="Y80" s="8">
        <f t="shared" ca="1" si="24"/>
        <v>-3.1847133757961785</v>
      </c>
      <c r="Z80" s="12">
        <f t="shared" si="25"/>
        <v>38398275</v>
      </c>
      <c r="AA80" s="13">
        <f t="shared" ca="1" si="26"/>
        <v>37175400</v>
      </c>
      <c r="AB80" s="63"/>
      <c r="AC80" s="8">
        <v>524280</v>
      </c>
      <c r="AD80" s="8" t="s">
        <v>345</v>
      </c>
      <c r="AE80" s="12">
        <v>47924411</v>
      </c>
      <c r="AF80" s="8">
        <v>248.75</v>
      </c>
      <c r="AG80" s="8">
        <f ca="1">IFERROR(__xludf.DUMMYFUNCTION("GOOGLEFINANCE(""BOM:"" &amp; AC80,""price"")"),255.95)</f>
        <v>255.95</v>
      </c>
      <c r="AH80" s="8">
        <f t="shared" ca="1" si="8"/>
        <v>2.8944723618090409</v>
      </c>
      <c r="AI80" s="12">
        <f t="shared" si="9"/>
        <v>11921197236.25</v>
      </c>
      <c r="AJ80" s="13">
        <f t="shared" ca="1" si="10"/>
        <v>12266252995.449999</v>
      </c>
    </row>
    <row r="81" spans="1:36" x14ac:dyDescent="0.25">
      <c r="A81" s="64"/>
      <c r="B81" s="14">
        <v>539963</v>
      </c>
      <c r="C81" s="14" t="s">
        <v>346</v>
      </c>
      <c r="D81" s="15">
        <v>126066000</v>
      </c>
      <c r="E81" s="8">
        <v>11.77</v>
      </c>
      <c r="F81" s="14">
        <f ca="1">IFERROR(__xludf.DUMMYFUNCTION("GOOGLEFINANCE(""BOM:"" &amp; B81,""price"")"),10.59)</f>
        <v>10.59</v>
      </c>
      <c r="G81" s="14">
        <f t="shared" ca="1" si="21"/>
        <v>-10.025488530161425</v>
      </c>
      <c r="H81" s="15">
        <f t="shared" si="22"/>
        <v>1483796820</v>
      </c>
      <c r="I81" s="16">
        <f t="shared" ca="1" si="23"/>
        <v>1335038940</v>
      </c>
      <c r="J81" s="63"/>
      <c r="K81" s="8">
        <v>532702</v>
      </c>
      <c r="L81" s="8" t="s">
        <v>347</v>
      </c>
      <c r="M81" s="12">
        <v>564195766</v>
      </c>
      <c r="N81" s="10">
        <v>366.2</v>
      </c>
      <c r="O81" s="10">
        <f ca="1">IFERROR(__xludf.DUMMYFUNCTION("GOOGLEFINANCE(""BOM:"" &amp; K81,""price"")"),352)</f>
        <v>352</v>
      </c>
      <c r="P81" s="8">
        <f t="shared" ca="1" si="27"/>
        <v>-3.877662479519385</v>
      </c>
      <c r="Q81" s="12">
        <f t="shared" si="28"/>
        <v>206608489509.19998</v>
      </c>
      <c r="R81" s="13">
        <f t="shared" ca="1" si="29"/>
        <v>198596909632</v>
      </c>
      <c r="S81" s="63"/>
      <c r="T81" s="8">
        <v>539492</v>
      </c>
      <c r="U81" s="8" t="s">
        <v>348</v>
      </c>
      <c r="V81" s="12">
        <v>10613290</v>
      </c>
      <c r="W81" s="8">
        <v>30.24</v>
      </c>
      <c r="X81" s="11">
        <f ca="1">IFERROR(__xludf.DUMMYFUNCTION("GOOGLEFINANCE(""BOM:"" &amp; T81,""price"")"),23.38)</f>
        <v>23.38</v>
      </c>
      <c r="Y81" s="8">
        <f t="shared" ca="1" si="24"/>
        <v>-22.685185185185183</v>
      </c>
      <c r="Z81" s="12">
        <f t="shared" si="25"/>
        <v>320945889.59999996</v>
      </c>
      <c r="AA81" s="13">
        <f t="shared" ca="1" si="26"/>
        <v>248138720.19999999</v>
      </c>
      <c r="AB81" s="63"/>
      <c r="AC81" s="8">
        <v>539997</v>
      </c>
      <c r="AD81" s="8" t="s">
        <v>349</v>
      </c>
      <c r="AE81" s="12">
        <v>10186490</v>
      </c>
      <c r="AF81" s="8">
        <v>506.05</v>
      </c>
      <c r="AG81" s="8">
        <f ca="1">IFERROR(__xludf.DUMMYFUNCTION("GOOGLEFINANCE(""BOM:"" &amp; AC81,""price"")"),408)</f>
        <v>408</v>
      </c>
      <c r="AH81" s="8">
        <f t="shared" ca="1" si="8"/>
        <v>-19.375555775121036</v>
      </c>
      <c r="AI81" s="12">
        <f t="shared" si="9"/>
        <v>5154873264.5</v>
      </c>
      <c r="AJ81" s="13">
        <f t="shared" ca="1" si="10"/>
        <v>4156087920</v>
      </c>
    </row>
    <row r="82" spans="1:36" x14ac:dyDescent="0.25">
      <c r="A82" s="62" t="s">
        <v>350</v>
      </c>
      <c r="B82" s="6">
        <v>543374</v>
      </c>
      <c r="C82" s="6" t="s">
        <v>351</v>
      </c>
      <c r="D82" s="7">
        <v>287999999</v>
      </c>
      <c r="E82" s="6">
        <v>524</v>
      </c>
      <c r="F82" s="8">
        <f ca="1">IFERROR(__xludf.DUMMYFUNCTION("GOOGLEFINANCE(""BOM:"" &amp; B82,""price"")"),454.45)</f>
        <v>454.45</v>
      </c>
      <c r="G82" s="8">
        <f t="shared" ca="1" si="21"/>
        <v>-13.272900763358781</v>
      </c>
      <c r="H82" s="7">
        <f t="shared" si="22"/>
        <v>150911999476</v>
      </c>
      <c r="I82" s="9">
        <f t="shared" ca="1" si="23"/>
        <v>130881599545.55</v>
      </c>
      <c r="J82" s="64"/>
      <c r="K82" s="14">
        <v>539336</v>
      </c>
      <c r="L82" s="14" t="s">
        <v>352</v>
      </c>
      <c r="M82" s="15">
        <v>685446995</v>
      </c>
      <c r="N82" s="10">
        <v>578.75</v>
      </c>
      <c r="O82" s="10">
        <f ca="1">IFERROR(__xludf.DUMMYFUNCTION("GOOGLEFINANCE(""BOM:"" &amp; K82,""price"")"),544)</f>
        <v>544</v>
      </c>
      <c r="P82" s="14">
        <f t="shared" ca="1" si="27"/>
        <v>-6.004319654427646</v>
      </c>
      <c r="Q82" s="15">
        <f t="shared" si="28"/>
        <v>396702448356.25</v>
      </c>
      <c r="R82" s="16">
        <f t="shared" ca="1" si="29"/>
        <v>372883165280</v>
      </c>
      <c r="S82" s="63"/>
      <c r="T82" s="8">
        <v>538787</v>
      </c>
      <c r="U82" s="8" t="s">
        <v>353</v>
      </c>
      <c r="V82" s="12">
        <v>12919247</v>
      </c>
      <c r="W82" s="8">
        <v>7.65</v>
      </c>
      <c r="X82" s="11">
        <f ca="1">IFERROR(__xludf.DUMMYFUNCTION("GOOGLEFINANCE(""BOM:"" &amp; T82,""price"")"),5.65)</f>
        <v>5.65</v>
      </c>
      <c r="Y82" s="8">
        <f t="shared" ca="1" si="24"/>
        <v>-26.143790849673206</v>
      </c>
      <c r="Z82" s="12">
        <f t="shared" si="25"/>
        <v>98832239.550000012</v>
      </c>
      <c r="AA82" s="13">
        <f t="shared" ca="1" si="26"/>
        <v>72993745.550000012</v>
      </c>
      <c r="AB82" s="63"/>
      <c r="AC82" s="8">
        <v>524518</v>
      </c>
      <c r="AD82" s="8" t="s">
        <v>354</v>
      </c>
      <c r="AE82" s="12">
        <v>21019555</v>
      </c>
      <c r="AF82" s="8">
        <v>71.55</v>
      </c>
      <c r="AG82" s="8">
        <f ca="1">IFERROR(__xludf.DUMMYFUNCTION("GOOGLEFINANCE(""BOM:"" &amp; AC82,""price"")"),61.55)</f>
        <v>61.55</v>
      </c>
      <c r="AH82" s="8">
        <f t="shared" ca="1" si="8"/>
        <v>-13.976240391334732</v>
      </c>
      <c r="AI82" s="12">
        <f t="shared" si="9"/>
        <v>1503949160.25</v>
      </c>
      <c r="AJ82" s="13">
        <f t="shared" ca="1" si="10"/>
        <v>1293753610.25</v>
      </c>
    </row>
    <row r="83" spans="1:36" x14ac:dyDescent="0.25">
      <c r="A83" s="63"/>
      <c r="B83" s="8">
        <v>541729</v>
      </c>
      <c r="C83" s="8" t="s">
        <v>355</v>
      </c>
      <c r="D83" s="12">
        <v>213300188</v>
      </c>
      <c r="E83" s="8">
        <v>3784.35</v>
      </c>
      <c r="F83" s="8">
        <f ca="1">IFERROR(__xludf.DUMMYFUNCTION("GOOGLEFINANCE(""BOM:"" &amp; B83,""price"")"),3766.5)</f>
        <v>3766.5</v>
      </c>
      <c r="G83" s="8">
        <f t="shared" ca="1" si="21"/>
        <v>-0.47167941654445045</v>
      </c>
      <c r="H83" s="12">
        <f t="shared" si="22"/>
        <v>807202566457.79993</v>
      </c>
      <c r="I83" s="13">
        <f t="shared" ca="1" si="23"/>
        <v>803395158102</v>
      </c>
      <c r="J83" s="62" t="s">
        <v>356</v>
      </c>
      <c r="K83" s="6">
        <v>542579</v>
      </c>
      <c r="L83" s="6" t="s">
        <v>357</v>
      </c>
      <c r="M83" s="7">
        <v>249986000</v>
      </c>
      <c r="N83" s="19">
        <v>13.25</v>
      </c>
      <c r="O83" s="19">
        <f ca="1">IFERROR(__xludf.DUMMYFUNCTION("GOOGLEFINANCE(""BOM:"" &amp; K83,""price"")"),11.21)</f>
        <v>11.21</v>
      </c>
      <c r="P83" s="8">
        <f t="shared" ca="1" si="27"/>
        <v>-15.396226415094333</v>
      </c>
      <c r="Q83" s="7">
        <f t="shared" si="28"/>
        <v>3312314500</v>
      </c>
      <c r="R83" s="9">
        <f t="shared" ca="1" si="29"/>
        <v>2802343060</v>
      </c>
      <c r="S83" s="63"/>
      <c r="T83" s="8">
        <v>530855</v>
      </c>
      <c r="U83" s="8" t="s">
        <v>358</v>
      </c>
      <c r="V83" s="12">
        <v>2256200</v>
      </c>
      <c r="W83" s="8">
        <v>8.33</v>
      </c>
      <c r="X83" s="11">
        <f ca="1">IFERROR(__xludf.DUMMYFUNCTION("GOOGLEFINANCE(""BOM:"" &amp; T83,""price"")"),8.33)</f>
        <v>8.33</v>
      </c>
      <c r="Y83" s="8">
        <f t="shared" ca="1" si="24"/>
        <v>0</v>
      </c>
      <c r="Z83" s="12">
        <f t="shared" si="25"/>
        <v>18794146</v>
      </c>
      <c r="AA83" s="13">
        <f t="shared" ca="1" si="26"/>
        <v>18794146</v>
      </c>
      <c r="AB83" s="63"/>
      <c r="AC83" s="8">
        <v>524202</v>
      </c>
      <c r="AD83" s="8" t="s">
        <v>359</v>
      </c>
      <c r="AE83" s="12">
        <v>10167819</v>
      </c>
      <c r="AF83" s="8">
        <v>157.55000000000001</v>
      </c>
      <c r="AG83" s="8">
        <f ca="1">IFERROR(__xludf.DUMMYFUNCTION("GOOGLEFINANCE(""BOM:"" &amp; AC83,""price"")"),139.5)</f>
        <v>139.5</v>
      </c>
      <c r="AH83" s="8">
        <f t="shared" ca="1" si="8"/>
        <v>-11.456680418914637</v>
      </c>
      <c r="AI83" s="12">
        <f t="shared" si="9"/>
        <v>1601939883.45</v>
      </c>
      <c r="AJ83" s="13">
        <f t="shared" ca="1" si="10"/>
        <v>1418410750.5</v>
      </c>
    </row>
    <row r="84" spans="1:36" x14ac:dyDescent="0.25">
      <c r="A84" s="63"/>
      <c r="B84" s="8">
        <v>511208</v>
      </c>
      <c r="C84" s="8" t="s">
        <v>360</v>
      </c>
      <c r="D84" s="12">
        <v>309516308</v>
      </c>
      <c r="E84" s="8">
        <v>10.199999999999999</v>
      </c>
      <c r="F84" s="8">
        <f ca="1">IFERROR(__xludf.DUMMYFUNCTION("GOOGLEFINANCE(""BOM:"" &amp; B84,""price"")"),9.45)</f>
        <v>9.4499999999999993</v>
      </c>
      <c r="G84" s="8">
        <f t="shared" ca="1" si="21"/>
        <v>-7.3529411764705888</v>
      </c>
      <c r="H84" s="12">
        <f t="shared" si="22"/>
        <v>3157066341.5999999</v>
      </c>
      <c r="I84" s="13">
        <f t="shared" ca="1" si="23"/>
        <v>2924929110.5999999</v>
      </c>
      <c r="J84" s="63"/>
      <c r="K84" s="8">
        <v>514394</v>
      </c>
      <c r="L84" s="8" t="s">
        <v>361</v>
      </c>
      <c r="M84" s="12">
        <v>99614326</v>
      </c>
      <c r="N84" s="8" t="s">
        <v>44</v>
      </c>
      <c r="O84" s="8" t="s">
        <v>44</v>
      </c>
      <c r="P84" s="8"/>
      <c r="Q84" s="12"/>
      <c r="R84" s="13"/>
      <c r="S84" s="63"/>
      <c r="T84" s="8">
        <v>538788</v>
      </c>
      <c r="U84" s="8" t="s">
        <v>362</v>
      </c>
      <c r="V84" s="12">
        <v>12016836</v>
      </c>
      <c r="W84" s="8">
        <v>12.6</v>
      </c>
      <c r="X84" s="11">
        <f ca="1">IFERROR(__xludf.DUMMYFUNCTION("GOOGLEFINANCE(""BOM:"" &amp; T84,""price"")"),10.7)</f>
        <v>10.7</v>
      </c>
      <c r="Y84" s="8">
        <f t="shared" ca="1" si="24"/>
        <v>-15.079365079365081</v>
      </c>
      <c r="Z84" s="12">
        <f t="shared" si="25"/>
        <v>151412133.59999999</v>
      </c>
      <c r="AA84" s="13">
        <f t="shared" ca="1" si="26"/>
        <v>128580145.19999999</v>
      </c>
      <c r="AB84" s="63"/>
      <c r="AC84" s="8">
        <v>540702</v>
      </c>
      <c r="AD84" s="8" t="s">
        <v>363</v>
      </c>
      <c r="AE84" s="12">
        <v>40668685</v>
      </c>
      <c r="AF84" s="8">
        <v>29.44</v>
      </c>
      <c r="AG84" s="8">
        <f ca="1">IFERROR(__xludf.DUMMYFUNCTION("GOOGLEFINANCE(""BOM:"" &amp; AC84,""price"")"),22.12)</f>
        <v>22.12</v>
      </c>
      <c r="AH84" s="8">
        <f t="shared" ca="1" si="8"/>
        <v>-24.864130434782609</v>
      </c>
      <c r="AI84" s="12">
        <f t="shared" si="9"/>
        <v>1197286086.4000001</v>
      </c>
      <c r="AJ84" s="13">
        <f t="shared" ca="1" si="10"/>
        <v>899591312.20000005</v>
      </c>
    </row>
    <row r="85" spans="1:36" x14ac:dyDescent="0.25">
      <c r="A85" s="63"/>
      <c r="B85" s="8">
        <v>540767</v>
      </c>
      <c r="C85" s="8" t="s">
        <v>364</v>
      </c>
      <c r="D85" s="12">
        <v>622485663</v>
      </c>
      <c r="E85" s="8">
        <v>516.04999999999995</v>
      </c>
      <c r="F85" s="8">
        <f ca="1">IFERROR(__xludf.DUMMYFUNCTION("GOOGLEFINANCE(""BOM:"" &amp; B85,""price"")"),469.3)</f>
        <v>469.3</v>
      </c>
      <c r="G85" s="8">
        <f t="shared" ca="1" si="21"/>
        <v>-9.0591996899525142</v>
      </c>
      <c r="H85" s="12">
        <f t="shared" si="22"/>
        <v>321233726391.14996</v>
      </c>
      <c r="I85" s="13">
        <f t="shared" ca="1" si="23"/>
        <v>292132521645.90002</v>
      </c>
      <c r="J85" s="63"/>
      <c r="K85" s="8">
        <v>542020</v>
      </c>
      <c r="L85" s="8" t="s">
        <v>365</v>
      </c>
      <c r="M85" s="12">
        <v>66930495</v>
      </c>
      <c r="N85" s="10">
        <v>24.81</v>
      </c>
      <c r="O85" s="10">
        <f ca="1">IFERROR(__xludf.DUMMYFUNCTION("GOOGLEFINANCE(""BOM:"" &amp; K85,""price"")"),20.2)</f>
        <v>20.2</v>
      </c>
      <c r="P85" s="8">
        <f t="shared" ref="P85:P111" ca="1" si="30">((O85-N85)/N85)*100</f>
        <v>-18.581217251108423</v>
      </c>
      <c r="Q85" s="12">
        <f t="shared" ref="Q85:Q111" si="31">M85*N85</f>
        <v>1660545580.9499998</v>
      </c>
      <c r="R85" s="13">
        <f t="shared" ref="R85:R111" ca="1" si="32">M85*O85</f>
        <v>1351995999</v>
      </c>
      <c r="S85" s="63"/>
      <c r="T85" s="8">
        <v>531758</v>
      </c>
      <c r="U85" s="8" t="s">
        <v>366</v>
      </c>
      <c r="V85" s="12">
        <v>4403279</v>
      </c>
      <c r="W85" s="8">
        <v>10.24</v>
      </c>
      <c r="X85" s="11">
        <f ca="1">IFERROR(__xludf.DUMMYFUNCTION("GOOGLEFINANCE(""BOM:"" &amp; T85,""price"")"),9.3)</f>
        <v>9.3000000000000007</v>
      </c>
      <c r="Y85" s="8">
        <f t="shared" ca="1" si="24"/>
        <v>-9.1796874999999947</v>
      </c>
      <c r="Z85" s="12">
        <f t="shared" si="25"/>
        <v>45089576.960000001</v>
      </c>
      <c r="AA85" s="13">
        <f t="shared" ca="1" si="26"/>
        <v>40950494.700000003</v>
      </c>
      <c r="AB85" s="63"/>
      <c r="AC85" s="8">
        <v>540222</v>
      </c>
      <c r="AD85" s="8" t="s">
        <v>367</v>
      </c>
      <c r="AE85" s="12">
        <v>537358825</v>
      </c>
      <c r="AF85" s="8">
        <v>409.6</v>
      </c>
      <c r="AG85" s="8">
        <f ca="1">IFERROR(__xludf.DUMMYFUNCTION("GOOGLEFINANCE(""BOM:"" &amp; AC85,""price"")"),391.75)</f>
        <v>391.75</v>
      </c>
      <c r="AH85" s="8">
        <f t="shared" ca="1" si="8"/>
        <v>-4.3579101562500053</v>
      </c>
      <c r="AI85" s="12">
        <f t="shared" si="9"/>
        <v>220102174720</v>
      </c>
      <c r="AJ85" s="13">
        <f t="shared" ca="1" si="10"/>
        <v>210510319693.75</v>
      </c>
    </row>
    <row r="86" spans="1:36" x14ac:dyDescent="0.25">
      <c r="A86" s="63"/>
      <c r="B86" s="8">
        <v>531359</v>
      </c>
      <c r="C86" s="8" t="s">
        <v>368</v>
      </c>
      <c r="D86" s="12">
        <v>5781940</v>
      </c>
      <c r="E86" s="8">
        <v>250.05</v>
      </c>
      <c r="F86" s="8">
        <f ca="1">IFERROR(__xludf.DUMMYFUNCTION("GOOGLEFINANCE(""BOM:"" &amp; B86,""price"")"),226)</f>
        <v>226</v>
      </c>
      <c r="G86" s="8">
        <f t="shared" ca="1" si="21"/>
        <v>-9.618076384723059</v>
      </c>
      <c r="H86" s="12">
        <f t="shared" si="22"/>
        <v>1445774097</v>
      </c>
      <c r="I86" s="13">
        <f t="shared" ca="1" si="23"/>
        <v>1306718440</v>
      </c>
      <c r="J86" s="63"/>
      <c r="K86" s="8">
        <v>512091</v>
      </c>
      <c r="L86" s="8" t="s">
        <v>369</v>
      </c>
      <c r="M86" s="12">
        <v>239950</v>
      </c>
      <c r="N86" s="10">
        <v>0.88</v>
      </c>
      <c r="O86" s="10">
        <f ca="1">IFERROR(__xludf.DUMMYFUNCTION("GOOGLEFINANCE(""BOM:"" &amp; K86,""price"")"),1.26)</f>
        <v>1.26</v>
      </c>
      <c r="P86" s="8">
        <f t="shared" ca="1" si="30"/>
        <v>43.18181818181818</v>
      </c>
      <c r="Q86" s="12">
        <f t="shared" si="31"/>
        <v>211156</v>
      </c>
      <c r="R86" s="13">
        <f t="shared" ca="1" si="32"/>
        <v>302337</v>
      </c>
      <c r="S86" s="63"/>
      <c r="T86" s="8">
        <v>531199</v>
      </c>
      <c r="U86" s="8" t="s">
        <v>370</v>
      </c>
      <c r="V86" s="12">
        <v>2196200</v>
      </c>
      <c r="W86" s="8">
        <v>80.849999999999994</v>
      </c>
      <c r="X86" s="11">
        <f ca="1">IFERROR(__xludf.DUMMYFUNCTION("GOOGLEFINANCE(""BOM:"" &amp; T86,""price"")"),79.8)</f>
        <v>79.8</v>
      </c>
      <c r="Y86" s="8">
        <f t="shared" ca="1" si="24"/>
        <v>-1.2987012987012954</v>
      </c>
      <c r="Z86" s="12">
        <f t="shared" si="25"/>
        <v>177562770</v>
      </c>
      <c r="AA86" s="13">
        <f t="shared" ca="1" si="26"/>
        <v>175256760</v>
      </c>
      <c r="AB86" s="63"/>
      <c r="AC86" s="8">
        <v>531633</v>
      </c>
      <c r="AD86" s="8" t="s">
        <v>371</v>
      </c>
      <c r="AE86" s="12">
        <v>19890294</v>
      </c>
      <c r="AF86" s="8">
        <v>678.1</v>
      </c>
      <c r="AG86" s="8">
        <f ca="1">IFERROR(__xludf.DUMMYFUNCTION("GOOGLEFINANCE(""BOM:"" &amp; AC86,""price"")"),585.25)</f>
        <v>585.25</v>
      </c>
      <c r="AH86" s="8">
        <f t="shared" ca="1" si="8"/>
        <v>-13.69267069753724</v>
      </c>
      <c r="AI86" s="12">
        <f t="shared" si="9"/>
        <v>13487608361.4</v>
      </c>
      <c r="AJ86" s="13">
        <f t="shared" ca="1" si="10"/>
        <v>11640794563.5</v>
      </c>
    </row>
    <row r="87" spans="1:36" x14ac:dyDescent="0.25">
      <c r="A87" s="64"/>
      <c r="B87" s="14">
        <v>543238</v>
      </c>
      <c r="C87" s="14" t="s">
        <v>372</v>
      </c>
      <c r="D87" s="15">
        <v>126779324</v>
      </c>
      <c r="E87" s="8">
        <v>899</v>
      </c>
      <c r="F87" s="14">
        <f ca="1">IFERROR(__xludf.DUMMYFUNCTION("GOOGLEFINANCE(""BOM:"" &amp; B87,""price"")"),811.2)</f>
        <v>811.2</v>
      </c>
      <c r="G87" s="14">
        <f t="shared" ca="1" si="21"/>
        <v>-9.7664071190211299</v>
      </c>
      <c r="H87" s="15">
        <f t="shared" si="22"/>
        <v>113974612276</v>
      </c>
      <c r="I87" s="16">
        <f t="shared" ca="1" si="23"/>
        <v>102843387628.8</v>
      </c>
      <c r="J87" s="63"/>
      <c r="K87" s="8">
        <v>531847</v>
      </c>
      <c r="L87" s="8" t="s">
        <v>373</v>
      </c>
      <c r="M87" s="12">
        <v>16004498</v>
      </c>
      <c r="N87" s="10">
        <v>805.85</v>
      </c>
      <c r="O87" s="10">
        <f ca="1">IFERROR(__xludf.DUMMYFUNCTION("GOOGLEFINANCE(""BOM:"" &amp; K87,""price"")"),752.05)</f>
        <v>752.05</v>
      </c>
      <c r="P87" s="8">
        <f t="shared" ca="1" si="30"/>
        <v>-6.676180430601236</v>
      </c>
      <c r="Q87" s="12">
        <f t="shared" si="31"/>
        <v>12897224713.300001</v>
      </c>
      <c r="R87" s="13">
        <f t="shared" ca="1" si="32"/>
        <v>12036182720.9</v>
      </c>
      <c r="S87" s="63"/>
      <c r="T87" s="8">
        <v>530263</v>
      </c>
      <c r="U87" s="8" t="s">
        <v>374</v>
      </c>
      <c r="V87" s="12">
        <v>3862800926</v>
      </c>
      <c r="W87" s="8">
        <v>1.01</v>
      </c>
      <c r="X87" s="11">
        <f ca="1">IFERROR(__xludf.DUMMYFUNCTION("GOOGLEFINANCE(""BOM:"" &amp; T87,""price"")"),0.83)</f>
        <v>0.83</v>
      </c>
      <c r="Y87" s="8">
        <f t="shared" ca="1" si="24"/>
        <v>-17.821782178217827</v>
      </c>
      <c r="Z87" s="12">
        <f t="shared" si="25"/>
        <v>3901428935.2600002</v>
      </c>
      <c r="AA87" s="13">
        <f t="shared" ca="1" si="26"/>
        <v>3206124768.5799999</v>
      </c>
      <c r="AB87" s="63"/>
      <c r="AC87" s="8">
        <v>500257</v>
      </c>
      <c r="AD87" s="8" t="s">
        <v>375</v>
      </c>
      <c r="AE87" s="12">
        <v>453735780</v>
      </c>
      <c r="AF87" s="8">
        <v>1620.65</v>
      </c>
      <c r="AG87" s="8">
        <f ca="1">IFERROR(__xludf.DUMMYFUNCTION("GOOGLEFINANCE(""BOM:"" &amp; AC87,""price"")"),1617.85)</f>
        <v>1617.85</v>
      </c>
      <c r="AH87" s="8">
        <f t="shared" ca="1" si="8"/>
        <v>-0.17277018480240533</v>
      </c>
      <c r="AI87" s="12">
        <f t="shared" si="9"/>
        <v>735346891857</v>
      </c>
      <c r="AJ87" s="13">
        <f t="shared" ca="1" si="10"/>
        <v>734076431673</v>
      </c>
    </row>
    <row r="88" spans="1:36" x14ac:dyDescent="0.25">
      <c r="A88" s="62" t="s">
        <v>376</v>
      </c>
      <c r="B88" s="6">
        <v>530621</v>
      </c>
      <c r="C88" s="6" t="s">
        <v>377</v>
      </c>
      <c r="D88" s="18">
        <v>10650558</v>
      </c>
      <c r="E88" s="6">
        <v>133.85</v>
      </c>
      <c r="F88" s="8">
        <f ca="1">IFERROR(__xludf.DUMMYFUNCTION("GOOGLEFINANCE(""BOM:"" &amp; B88,""price"")"),109.65)</f>
        <v>109.65</v>
      </c>
      <c r="G88" s="8">
        <f t="shared" ca="1" si="21"/>
        <v>-18.079940231602531</v>
      </c>
      <c r="H88" s="7">
        <f t="shared" si="22"/>
        <v>1425577188.3</v>
      </c>
      <c r="I88" s="9">
        <f t="shared" ca="1" si="23"/>
        <v>1167833684.7</v>
      </c>
      <c r="J88" s="63"/>
      <c r="K88" s="8">
        <v>526849</v>
      </c>
      <c r="L88" s="8" t="s">
        <v>378</v>
      </c>
      <c r="M88" s="12">
        <v>6391427</v>
      </c>
      <c r="N88" s="10">
        <v>100.5</v>
      </c>
      <c r="O88" s="10">
        <f ca="1">IFERROR(__xludf.DUMMYFUNCTION("GOOGLEFINANCE(""BOM:"" &amp; K88,""price"")"),88.8)</f>
        <v>88.8</v>
      </c>
      <c r="P88" s="8">
        <f t="shared" ca="1" si="30"/>
        <v>-11.641791044776122</v>
      </c>
      <c r="Q88" s="12">
        <f t="shared" si="31"/>
        <v>642338413.5</v>
      </c>
      <c r="R88" s="13">
        <f t="shared" ca="1" si="32"/>
        <v>567558717.60000002</v>
      </c>
      <c r="S88" s="63"/>
      <c r="T88" s="8">
        <v>530709</v>
      </c>
      <c r="U88" s="8" t="s">
        <v>379</v>
      </c>
      <c r="V88" s="12">
        <v>2391485</v>
      </c>
      <c r="W88" s="8">
        <v>41.99</v>
      </c>
      <c r="X88" s="11">
        <f ca="1">IFERROR(__xludf.DUMMYFUNCTION("GOOGLEFINANCE(""BOM:"" &amp; T88,""price"")"),36.19)</f>
        <v>36.19</v>
      </c>
      <c r="Y88" s="8">
        <f t="shared" ca="1" si="24"/>
        <v>-13.812812574422493</v>
      </c>
      <c r="Z88" s="12">
        <f t="shared" si="25"/>
        <v>100418455.15000001</v>
      </c>
      <c r="AA88" s="13">
        <f t="shared" ca="1" si="26"/>
        <v>86547842.149999991</v>
      </c>
      <c r="AB88" s="63"/>
      <c r="AC88" s="8">
        <v>500259</v>
      </c>
      <c r="AD88" s="8" t="s">
        <v>380</v>
      </c>
      <c r="AE88" s="12">
        <v>28458517</v>
      </c>
      <c r="AF88" s="8">
        <v>121.45</v>
      </c>
      <c r="AG88" s="8">
        <f ca="1">IFERROR(__xludf.DUMMYFUNCTION("GOOGLEFINANCE(""BOM:"" &amp; AC88,""price"")"),105.3)</f>
        <v>105.3</v>
      </c>
      <c r="AH88" s="8">
        <f t="shared" ca="1" si="8"/>
        <v>-13.297653355290247</v>
      </c>
      <c r="AI88" s="12">
        <f t="shared" si="9"/>
        <v>3456286889.6500001</v>
      </c>
      <c r="AJ88" s="13">
        <f t="shared" ca="1" si="10"/>
        <v>2996681840.0999999</v>
      </c>
    </row>
    <row r="89" spans="1:36" x14ac:dyDescent="0.25">
      <c r="A89" s="63"/>
      <c r="B89" s="8">
        <v>505036</v>
      </c>
      <c r="C89" s="8" t="s">
        <v>381</v>
      </c>
      <c r="D89" s="20">
        <v>5880429</v>
      </c>
      <c r="E89" s="8">
        <v>1665.95</v>
      </c>
      <c r="F89" s="8">
        <f ca="1">IFERROR(__xludf.DUMMYFUNCTION("GOOGLEFINANCE(""BOM:"" &amp; B89,""price"")"),2150.2)</f>
        <v>2150.1999999999998</v>
      </c>
      <c r="G89" s="8">
        <f t="shared" ca="1" si="21"/>
        <v>29.067499024580556</v>
      </c>
      <c r="H89" s="12">
        <f t="shared" si="22"/>
        <v>9796500692.5500011</v>
      </c>
      <c r="I89" s="13">
        <f t="shared" ca="1" si="23"/>
        <v>12644098435.799999</v>
      </c>
      <c r="J89" s="63"/>
      <c r="K89" s="8">
        <v>540545</v>
      </c>
      <c r="L89" s="8" t="s">
        <v>382</v>
      </c>
      <c r="M89" s="12">
        <v>10026345</v>
      </c>
      <c r="N89" s="10">
        <v>19.100000000000001</v>
      </c>
      <c r="O89" s="10">
        <f ca="1">IFERROR(__xludf.DUMMYFUNCTION("GOOGLEFINANCE(""BOM:"" &amp; K89,""price"")"),13.97)</f>
        <v>13.97</v>
      </c>
      <c r="P89" s="8">
        <f t="shared" ca="1" si="30"/>
        <v>-26.858638743455497</v>
      </c>
      <c r="Q89" s="12">
        <f t="shared" si="31"/>
        <v>191503189.5</v>
      </c>
      <c r="R89" s="13">
        <f t="shared" ca="1" si="32"/>
        <v>140068039.65000001</v>
      </c>
      <c r="S89" s="63"/>
      <c r="T89" s="8">
        <v>530663</v>
      </c>
      <c r="U89" s="8" t="s">
        <v>383</v>
      </c>
      <c r="V89" s="12">
        <v>46284290</v>
      </c>
      <c r="W89" s="8">
        <v>1.92</v>
      </c>
      <c r="X89" s="11">
        <f ca="1">IFERROR(__xludf.DUMMYFUNCTION("GOOGLEFINANCE(""BOM:"" &amp; T89,""price"")"),1.76)</f>
        <v>1.76</v>
      </c>
      <c r="Y89" s="8">
        <f t="shared" ca="1" si="24"/>
        <v>-8.3333333333333304</v>
      </c>
      <c r="Z89" s="12">
        <f t="shared" si="25"/>
        <v>88865836.799999997</v>
      </c>
      <c r="AA89" s="13">
        <f t="shared" ca="1" si="26"/>
        <v>81460350.400000006</v>
      </c>
      <c r="AB89" s="63"/>
      <c r="AC89" s="8">
        <v>506919</v>
      </c>
      <c r="AD89" s="8" t="s">
        <v>384</v>
      </c>
      <c r="AE89" s="12">
        <v>5760209</v>
      </c>
      <c r="AF89" s="8">
        <v>127</v>
      </c>
      <c r="AG89" s="8">
        <f ca="1">IFERROR(__xludf.DUMMYFUNCTION("GOOGLEFINANCE(""BOM:"" &amp; AC89,""price"")"),112.15)</f>
        <v>112.15</v>
      </c>
      <c r="AH89" s="8">
        <f t="shared" ca="1" si="8"/>
        <v>-11.692913385826767</v>
      </c>
      <c r="AI89" s="12">
        <f t="shared" si="9"/>
        <v>731546543</v>
      </c>
      <c r="AJ89" s="13">
        <f t="shared" ca="1" si="10"/>
        <v>646007439.35000002</v>
      </c>
    </row>
    <row r="90" spans="1:36" x14ac:dyDescent="0.25">
      <c r="A90" s="63"/>
      <c r="B90" s="8">
        <v>531147</v>
      </c>
      <c r="C90" s="8" t="s">
        <v>385</v>
      </c>
      <c r="D90" s="20">
        <v>16066418</v>
      </c>
      <c r="E90" s="8">
        <v>916.35</v>
      </c>
      <c r="F90" s="8">
        <f ca="1">IFERROR(__xludf.DUMMYFUNCTION("GOOGLEFINANCE(""BOM:"" &amp; B90,""price"")"),819.9)</f>
        <v>819.9</v>
      </c>
      <c r="G90" s="8">
        <f t="shared" ca="1" si="21"/>
        <v>-10.525454247831073</v>
      </c>
      <c r="H90" s="12">
        <f t="shared" si="22"/>
        <v>14722462134.300001</v>
      </c>
      <c r="I90" s="13">
        <f t="shared" ca="1" si="23"/>
        <v>13172856118.199999</v>
      </c>
      <c r="J90" s="63"/>
      <c r="K90" s="8">
        <v>540148</v>
      </c>
      <c r="L90" s="8" t="s">
        <v>386</v>
      </c>
      <c r="M90" s="12">
        <v>4600400</v>
      </c>
      <c r="N90" s="10">
        <v>17.5</v>
      </c>
      <c r="O90" s="10">
        <f ca="1">IFERROR(__xludf.DUMMYFUNCTION("GOOGLEFINANCE(""BOM:"" &amp; K90,""price"")"),19.11)</f>
        <v>19.11</v>
      </c>
      <c r="P90" s="8">
        <f t="shared" ca="1" si="30"/>
        <v>9.1999999999999975</v>
      </c>
      <c r="Q90" s="12">
        <f t="shared" si="31"/>
        <v>80507000</v>
      </c>
      <c r="R90" s="13">
        <f t="shared" ca="1" si="32"/>
        <v>87913644</v>
      </c>
      <c r="S90" s="63"/>
      <c r="T90" s="8">
        <v>511543</v>
      </c>
      <c r="U90" s="8" t="s">
        <v>387</v>
      </c>
      <c r="V90" s="12">
        <v>4793507</v>
      </c>
      <c r="W90" s="8">
        <v>17.53</v>
      </c>
      <c r="X90" s="11">
        <f ca="1">IFERROR(__xludf.DUMMYFUNCTION("GOOGLEFINANCE(""BOM:"" &amp; T90,""price"")"),15.2)</f>
        <v>15.2</v>
      </c>
      <c r="Y90" s="8">
        <f t="shared" ca="1" si="24"/>
        <v>-13.291500285225338</v>
      </c>
      <c r="Z90" s="12">
        <f t="shared" si="25"/>
        <v>84030177.710000008</v>
      </c>
      <c r="AA90" s="13">
        <f t="shared" ca="1" si="26"/>
        <v>72861306.399999991</v>
      </c>
      <c r="AB90" s="63"/>
      <c r="AC90" s="8">
        <v>532637</v>
      </c>
      <c r="AD90" s="8" t="s">
        <v>388</v>
      </c>
      <c r="AE90" s="12">
        <v>15828238</v>
      </c>
      <c r="AF90" s="8">
        <v>122.15</v>
      </c>
      <c r="AG90" s="8">
        <f ca="1">IFERROR(__xludf.DUMMYFUNCTION("GOOGLEFINANCE(""BOM:"" &amp; AC90,""price"")"),92.65)</f>
        <v>92.65</v>
      </c>
      <c r="AH90" s="8">
        <f t="shared" ca="1" si="8"/>
        <v>-24.150634465820712</v>
      </c>
      <c r="AI90" s="12">
        <f t="shared" si="9"/>
        <v>1933419271.7</v>
      </c>
      <c r="AJ90" s="13">
        <f t="shared" ca="1" si="10"/>
        <v>1466486250.7</v>
      </c>
    </row>
    <row r="91" spans="1:36" x14ac:dyDescent="0.25">
      <c r="A91" s="63"/>
      <c r="B91" s="8">
        <v>513117</v>
      </c>
      <c r="C91" s="8" t="s">
        <v>389</v>
      </c>
      <c r="D91" s="20">
        <v>13970200</v>
      </c>
      <c r="E91" s="8">
        <v>11.2</v>
      </c>
      <c r="F91" s="8">
        <f ca="1">IFERROR(__xludf.DUMMYFUNCTION("GOOGLEFINANCE(""BOM:"" &amp; B91,""price"")"),9.6)</f>
        <v>9.6</v>
      </c>
      <c r="G91" s="8">
        <f t="shared" ca="1" si="21"/>
        <v>-14.285714285714283</v>
      </c>
      <c r="H91" s="12">
        <f t="shared" si="22"/>
        <v>156466240</v>
      </c>
      <c r="I91" s="13">
        <f t="shared" ca="1" si="23"/>
        <v>134113920</v>
      </c>
      <c r="J91" s="63"/>
      <c r="K91" s="8">
        <v>531119</v>
      </c>
      <c r="L91" s="8" t="s">
        <v>390</v>
      </c>
      <c r="M91" s="12">
        <v>2961375</v>
      </c>
      <c r="N91" s="10">
        <v>261.3</v>
      </c>
      <c r="O91" s="10">
        <f ca="1">IFERROR(__xludf.DUMMYFUNCTION("GOOGLEFINANCE(""BOM:"" &amp; K91,""price"")"),372.65)</f>
        <v>372.65</v>
      </c>
      <c r="P91" s="8">
        <f t="shared" ca="1" si="30"/>
        <v>42.613853807883643</v>
      </c>
      <c r="Q91" s="12">
        <f t="shared" si="31"/>
        <v>773807287.5</v>
      </c>
      <c r="R91" s="13">
        <f t="shared" ca="1" si="32"/>
        <v>1103556393.75</v>
      </c>
      <c r="S91" s="63"/>
      <c r="T91" s="8">
        <v>530469</v>
      </c>
      <c r="U91" s="8" t="s">
        <v>391</v>
      </c>
      <c r="V91" s="12">
        <v>2863200</v>
      </c>
      <c r="W91" s="8">
        <v>13.6</v>
      </c>
      <c r="X91" s="11">
        <f ca="1">IFERROR(__xludf.DUMMYFUNCTION("GOOGLEFINANCE(""BOM:"" &amp; T91,""price"")"),10.78)</f>
        <v>10.78</v>
      </c>
      <c r="Y91" s="8">
        <f t="shared" ca="1" si="24"/>
        <v>-20.735294117647062</v>
      </c>
      <c r="Z91" s="12">
        <f t="shared" si="25"/>
        <v>38939520</v>
      </c>
      <c r="AA91" s="13">
        <f t="shared" ca="1" si="26"/>
        <v>30865296</v>
      </c>
      <c r="AB91" s="63"/>
      <c r="AC91" s="8">
        <v>524404</v>
      </c>
      <c r="AD91" s="8" t="s">
        <v>392</v>
      </c>
      <c r="AE91" s="12">
        <v>408951778</v>
      </c>
      <c r="AF91" s="8">
        <v>156.35</v>
      </c>
      <c r="AG91" s="8">
        <f ca="1">IFERROR(__xludf.DUMMYFUNCTION("GOOGLEFINANCE(""BOM:"" &amp; AC91,""price"")"),152.25)</f>
        <v>152.25</v>
      </c>
      <c r="AH91" s="8">
        <f t="shared" ca="1" si="8"/>
        <v>-2.6223217141029704</v>
      </c>
      <c r="AI91" s="12">
        <f t="shared" si="9"/>
        <v>63939610490.299995</v>
      </c>
      <c r="AJ91" s="13">
        <f t="shared" ca="1" si="10"/>
        <v>62262908200.5</v>
      </c>
    </row>
    <row r="92" spans="1:36" x14ac:dyDescent="0.25">
      <c r="A92" s="63"/>
      <c r="B92" s="8">
        <v>515030</v>
      </c>
      <c r="C92" s="8" t="s">
        <v>393</v>
      </c>
      <c r="D92" s="20">
        <v>239813447</v>
      </c>
      <c r="E92" s="8">
        <v>532</v>
      </c>
      <c r="F92" s="8">
        <f ca="1">IFERROR(__xludf.DUMMYFUNCTION("GOOGLEFINANCE(""BOM:"" &amp; B92,""price"")"),538)</f>
        <v>538</v>
      </c>
      <c r="G92" s="8">
        <f t="shared" ca="1" si="21"/>
        <v>1.1278195488721803</v>
      </c>
      <c r="H92" s="12">
        <f t="shared" si="22"/>
        <v>127580753804</v>
      </c>
      <c r="I92" s="13">
        <f t="shared" ca="1" si="23"/>
        <v>129019634486</v>
      </c>
      <c r="J92" s="63"/>
      <c r="K92" s="8">
        <v>521210</v>
      </c>
      <c r="L92" s="8" t="s">
        <v>394</v>
      </c>
      <c r="M92" s="12">
        <v>9311300</v>
      </c>
      <c r="N92" s="10">
        <v>16</v>
      </c>
      <c r="O92" s="10">
        <f ca="1">IFERROR(__xludf.DUMMYFUNCTION("GOOGLEFINANCE(""BOM:"" &amp; K92,""price"")"),18.2)</f>
        <v>18.2</v>
      </c>
      <c r="P92" s="8">
        <f t="shared" ca="1" si="30"/>
        <v>13.749999999999996</v>
      </c>
      <c r="Q92" s="12">
        <f t="shared" si="31"/>
        <v>148980800</v>
      </c>
      <c r="R92" s="13">
        <f t="shared" ca="1" si="32"/>
        <v>169465660</v>
      </c>
      <c r="S92" s="63"/>
      <c r="T92" s="8">
        <v>531341</v>
      </c>
      <c r="U92" s="8" t="s">
        <v>395</v>
      </c>
      <c r="V92" s="12">
        <v>7328916</v>
      </c>
      <c r="W92" s="8">
        <v>12.25</v>
      </c>
      <c r="X92" s="11">
        <f ca="1">IFERROR(__xludf.DUMMYFUNCTION("GOOGLEFINANCE(""BOM:"" &amp; T92,""price"")"),12.59)</f>
        <v>12.59</v>
      </c>
      <c r="Y92" s="8">
        <f t="shared" ca="1" si="24"/>
        <v>2.7755102040816317</v>
      </c>
      <c r="Z92" s="12">
        <f t="shared" si="25"/>
        <v>89779221</v>
      </c>
      <c r="AA92" s="13">
        <f t="shared" ca="1" si="26"/>
        <v>92271052.439999998</v>
      </c>
      <c r="AB92" s="63"/>
      <c r="AC92" s="8">
        <v>531146</v>
      </c>
      <c r="AD92" s="8" t="s">
        <v>396</v>
      </c>
      <c r="AE92" s="12">
        <v>12138441</v>
      </c>
      <c r="AF92" s="8">
        <v>485.4</v>
      </c>
      <c r="AG92" s="8">
        <f ca="1">IFERROR(__xludf.DUMMYFUNCTION("GOOGLEFINANCE(""BOM:"" &amp; AC92,""price"")"),383.1)</f>
        <v>383.1</v>
      </c>
      <c r="AH92" s="8">
        <f t="shared" ca="1" si="8"/>
        <v>-21.075401730531514</v>
      </c>
      <c r="AI92" s="12">
        <f t="shared" si="9"/>
        <v>5891999261.3999996</v>
      </c>
      <c r="AJ92" s="13">
        <f t="shared" ca="1" si="10"/>
        <v>4650236747.1000004</v>
      </c>
    </row>
    <row r="93" spans="1:36" x14ac:dyDescent="0.25">
      <c r="A93" s="63"/>
      <c r="B93" s="8">
        <v>520119</v>
      </c>
      <c r="C93" s="8" t="s">
        <v>397</v>
      </c>
      <c r="D93" s="20">
        <v>15839299</v>
      </c>
      <c r="E93" s="8">
        <v>637.04999999999995</v>
      </c>
      <c r="F93" s="8">
        <f ca="1">IFERROR(__xludf.DUMMYFUNCTION("GOOGLEFINANCE(""BOM:"" &amp; B93,""price"")"),574.45)</f>
        <v>574.45000000000005</v>
      </c>
      <c r="G93" s="8">
        <f t="shared" ca="1" si="21"/>
        <v>-9.8265442272976866</v>
      </c>
      <c r="H93" s="12">
        <f t="shared" si="22"/>
        <v>10090425427.949999</v>
      </c>
      <c r="I93" s="13">
        <f t="shared" ca="1" si="23"/>
        <v>9098885310.5500011</v>
      </c>
      <c r="J93" s="63"/>
      <c r="K93" s="8">
        <v>539884</v>
      </c>
      <c r="L93" s="8" t="s">
        <v>398</v>
      </c>
      <c r="M93" s="12">
        <v>50029335</v>
      </c>
      <c r="N93" s="10">
        <v>4.5999999999999996</v>
      </c>
      <c r="O93" s="10">
        <f ca="1">IFERROR(__xludf.DUMMYFUNCTION("GOOGLEFINANCE(""BOM:"" &amp; K93,""price"")"),3.98)</f>
        <v>3.98</v>
      </c>
      <c r="P93" s="8">
        <f t="shared" ca="1" si="30"/>
        <v>-13.478260869565212</v>
      </c>
      <c r="Q93" s="12">
        <f t="shared" si="31"/>
        <v>230134940.99999997</v>
      </c>
      <c r="R93" s="13">
        <f t="shared" ca="1" si="32"/>
        <v>199116753.30000001</v>
      </c>
      <c r="S93" s="63"/>
      <c r="T93" s="8">
        <v>531387</v>
      </c>
      <c r="U93" s="8" t="s">
        <v>399</v>
      </c>
      <c r="V93" s="12">
        <v>10182650</v>
      </c>
      <c r="W93" s="8">
        <v>10.35</v>
      </c>
      <c r="X93" s="11">
        <f ca="1">IFERROR(__xludf.DUMMYFUNCTION("GOOGLEFINANCE(""BOM:"" &amp; T93,""price"")"),9.85)</f>
        <v>9.85</v>
      </c>
      <c r="Y93" s="8">
        <f t="shared" ca="1" si="24"/>
        <v>-4.8309178743961354</v>
      </c>
      <c r="Z93" s="12">
        <f t="shared" si="25"/>
        <v>105390427.5</v>
      </c>
      <c r="AA93" s="13">
        <f t="shared" ca="1" si="26"/>
        <v>100299102.5</v>
      </c>
      <c r="AB93" s="63"/>
      <c r="AC93" s="8">
        <v>523144</v>
      </c>
      <c r="AD93" s="8" t="s">
        <v>400</v>
      </c>
      <c r="AE93" s="12">
        <v>12020714</v>
      </c>
      <c r="AF93" s="8">
        <v>48.36</v>
      </c>
      <c r="AG93" s="8">
        <f ca="1">IFERROR(__xludf.DUMMYFUNCTION("GOOGLEFINANCE(""BOM:"" &amp; AC93,""price"")"),44.33)</f>
        <v>44.33</v>
      </c>
      <c r="AH93" s="8">
        <f t="shared" ca="1" si="8"/>
        <v>-8.3333333333333357</v>
      </c>
      <c r="AI93" s="12">
        <f t="shared" si="9"/>
        <v>581321729.03999996</v>
      </c>
      <c r="AJ93" s="13">
        <f t="shared" ca="1" si="10"/>
        <v>532878251.62</v>
      </c>
    </row>
    <row r="94" spans="1:36" x14ac:dyDescent="0.25">
      <c r="A94" s="63"/>
      <c r="B94" s="8">
        <v>505010</v>
      </c>
      <c r="C94" s="8" t="s">
        <v>401</v>
      </c>
      <c r="D94" s="20">
        <v>15057450</v>
      </c>
      <c r="E94" s="8">
        <v>1917.6</v>
      </c>
      <c r="F94" s="8">
        <f ca="1">IFERROR(__xludf.DUMMYFUNCTION("GOOGLEFINANCE(""BOM:"" &amp; B94,""price"")"),1753)</f>
        <v>1753</v>
      </c>
      <c r="G94" s="8">
        <f t="shared" ca="1" si="21"/>
        <v>-8.5836462244472216</v>
      </c>
      <c r="H94" s="12">
        <f t="shared" si="22"/>
        <v>28874166120</v>
      </c>
      <c r="I94" s="13">
        <f t="shared" ca="1" si="23"/>
        <v>26395709850</v>
      </c>
      <c r="J94" s="63"/>
      <c r="K94" s="8">
        <v>539559</v>
      </c>
      <c r="L94" s="8" t="s">
        <v>402</v>
      </c>
      <c r="M94" s="12">
        <v>29767000</v>
      </c>
      <c r="N94" s="10">
        <v>6.83</v>
      </c>
      <c r="O94" s="10">
        <f ca="1">IFERROR(__xludf.DUMMYFUNCTION("GOOGLEFINANCE(""BOM:"" &amp; K94,""price"")"),5.91)</f>
        <v>5.91</v>
      </c>
      <c r="P94" s="8">
        <f t="shared" ca="1" si="30"/>
        <v>-13.469985358711565</v>
      </c>
      <c r="Q94" s="12">
        <f t="shared" si="31"/>
        <v>203308610</v>
      </c>
      <c r="R94" s="13">
        <f t="shared" ca="1" si="32"/>
        <v>175922970</v>
      </c>
      <c r="S94" s="63"/>
      <c r="T94" s="8">
        <v>508956</v>
      </c>
      <c r="U94" s="8" t="s">
        <v>403</v>
      </c>
      <c r="V94" s="12">
        <v>7571296</v>
      </c>
      <c r="W94" s="8">
        <v>23.52</v>
      </c>
      <c r="X94" s="11">
        <f ca="1">IFERROR(__xludf.DUMMYFUNCTION("GOOGLEFINANCE(""BOM:"" &amp; T94,""price"")"),18.83)</f>
        <v>18.829999999999998</v>
      </c>
      <c r="Y94" s="8">
        <f t="shared" ca="1" si="24"/>
        <v>-19.940476190476197</v>
      </c>
      <c r="Z94" s="12">
        <f t="shared" si="25"/>
        <v>178076881.91999999</v>
      </c>
      <c r="AA94" s="13">
        <f t="shared" ca="1" si="26"/>
        <v>142567503.67999998</v>
      </c>
      <c r="AB94" s="63"/>
      <c r="AC94" s="8">
        <v>540937</v>
      </c>
      <c r="AD94" s="8" t="s">
        <v>404</v>
      </c>
      <c r="AE94" s="12">
        <v>82981200</v>
      </c>
      <c r="AF94" s="8">
        <v>87.61</v>
      </c>
      <c r="AG94" s="8">
        <f ca="1">IFERROR(__xludf.DUMMYFUNCTION("GOOGLEFINANCE(""BOM:"" &amp; AC94,""price"")"),49.2)</f>
        <v>49.2</v>
      </c>
      <c r="AH94" s="8">
        <f t="shared" ca="1" si="8"/>
        <v>-43.842027165848648</v>
      </c>
      <c r="AI94" s="12">
        <f t="shared" si="9"/>
        <v>7269982932</v>
      </c>
      <c r="AJ94" s="13">
        <f t="shared" ca="1" si="10"/>
        <v>4082675040</v>
      </c>
    </row>
    <row r="95" spans="1:36" x14ac:dyDescent="0.25">
      <c r="A95" s="63"/>
      <c r="B95" s="8">
        <v>532797</v>
      </c>
      <c r="C95" s="8" t="s">
        <v>405</v>
      </c>
      <c r="D95" s="20">
        <v>37856509</v>
      </c>
      <c r="E95" s="8">
        <v>136.85</v>
      </c>
      <c r="F95" s="8">
        <f ca="1">IFERROR(__xludf.DUMMYFUNCTION("GOOGLEFINANCE(""BOM:"" &amp; B95,""price"")"),113.9)</f>
        <v>113.9</v>
      </c>
      <c r="G95" s="8">
        <f t="shared" ca="1" si="21"/>
        <v>-16.770186335403718</v>
      </c>
      <c r="H95" s="12">
        <f t="shared" si="22"/>
        <v>5180663256.6499996</v>
      </c>
      <c r="I95" s="13">
        <f t="shared" ca="1" si="23"/>
        <v>4311856375.1000004</v>
      </c>
      <c r="J95" s="63"/>
      <c r="K95" s="8">
        <v>539405</v>
      </c>
      <c r="L95" s="8" t="s">
        <v>406</v>
      </c>
      <c r="M95" s="12">
        <v>3399700</v>
      </c>
      <c r="N95" s="10">
        <v>11.85</v>
      </c>
      <c r="O95" s="10">
        <f ca="1">IFERROR(__xludf.DUMMYFUNCTION("GOOGLEFINANCE(""BOM:"" &amp; K95,""price"")"),11)</f>
        <v>11</v>
      </c>
      <c r="P95" s="8">
        <f t="shared" ca="1" si="30"/>
        <v>-7.1729957805907141</v>
      </c>
      <c r="Q95" s="12">
        <f t="shared" si="31"/>
        <v>40286445</v>
      </c>
      <c r="R95" s="13">
        <f t="shared" ca="1" si="32"/>
        <v>37396700</v>
      </c>
      <c r="S95" s="63"/>
      <c r="T95" s="8">
        <v>532216</v>
      </c>
      <c r="U95" s="8" t="s">
        <v>407</v>
      </c>
      <c r="V95" s="12">
        <v>6712158</v>
      </c>
      <c r="W95" s="8">
        <v>92</v>
      </c>
      <c r="X95" s="11">
        <f ca="1">IFERROR(__xludf.DUMMYFUNCTION("GOOGLEFINANCE(""BOM:"" &amp; T95,""price"")"),81.17)</f>
        <v>81.17</v>
      </c>
      <c r="Y95" s="8">
        <f t="shared" ca="1" si="24"/>
        <v>-11.77173913043478</v>
      </c>
      <c r="Z95" s="12">
        <f t="shared" si="25"/>
        <v>617518536</v>
      </c>
      <c r="AA95" s="13">
        <f t="shared" ca="1" si="26"/>
        <v>544825864.86000001</v>
      </c>
      <c r="AB95" s="63"/>
      <c r="AC95" s="8">
        <v>538964</v>
      </c>
      <c r="AD95" s="8" t="s">
        <v>408</v>
      </c>
      <c r="AE95" s="12">
        <v>1121200</v>
      </c>
      <c r="AF95" s="8">
        <v>865</v>
      </c>
      <c r="AG95" s="8">
        <f ca="1">IFERROR(__xludf.DUMMYFUNCTION("GOOGLEFINANCE(""BOM:"" &amp; AC95,""price"")"),832)</f>
        <v>832</v>
      </c>
      <c r="AH95" s="8">
        <f t="shared" ca="1" si="8"/>
        <v>-3.8150289017341041</v>
      </c>
      <c r="AI95" s="12">
        <f t="shared" si="9"/>
        <v>969838000</v>
      </c>
      <c r="AJ95" s="13">
        <f t="shared" ca="1" si="10"/>
        <v>932838400</v>
      </c>
    </row>
    <row r="96" spans="1:36" x14ac:dyDescent="0.25">
      <c r="A96" s="63"/>
      <c r="B96" s="8">
        <v>531994</v>
      </c>
      <c r="C96" s="8" t="s">
        <v>409</v>
      </c>
      <c r="D96" s="20">
        <v>5537888</v>
      </c>
      <c r="E96" s="8">
        <v>161</v>
      </c>
      <c r="F96" s="8">
        <f ca="1">IFERROR(__xludf.DUMMYFUNCTION("GOOGLEFINANCE(""BOM:"" &amp; B96,""price"")"),169.05)</f>
        <v>169.05</v>
      </c>
      <c r="G96" s="8">
        <f t="shared" ca="1" si="21"/>
        <v>5.0000000000000071</v>
      </c>
      <c r="H96" s="12">
        <f t="shared" si="22"/>
        <v>891599968</v>
      </c>
      <c r="I96" s="13">
        <f t="shared" ca="1" si="23"/>
        <v>936179966.4000001</v>
      </c>
      <c r="J96" s="63"/>
      <c r="K96" s="8">
        <v>543518</v>
      </c>
      <c r="L96" s="8" t="s">
        <v>410</v>
      </c>
      <c r="M96" s="12">
        <v>10199241</v>
      </c>
      <c r="N96" s="10">
        <v>49.01</v>
      </c>
      <c r="O96" s="10">
        <f ca="1">IFERROR(__xludf.DUMMYFUNCTION("GOOGLEFINANCE(""BOM:"" &amp; K96,""price"")"),46.81)</f>
        <v>46.81</v>
      </c>
      <c r="P96" s="8">
        <f t="shared" ca="1" si="30"/>
        <v>-4.4888798204447991</v>
      </c>
      <c r="Q96" s="12">
        <f t="shared" si="31"/>
        <v>499864801.40999997</v>
      </c>
      <c r="R96" s="13">
        <f t="shared" ca="1" si="32"/>
        <v>477426471.21000004</v>
      </c>
      <c r="S96" s="63"/>
      <c r="T96" s="8">
        <v>539174</v>
      </c>
      <c r="U96" s="8" t="s">
        <v>411</v>
      </c>
      <c r="V96" s="12">
        <v>9722311</v>
      </c>
      <c r="W96" s="8">
        <v>17.43</v>
      </c>
      <c r="X96" s="11">
        <f ca="1">IFERROR(__xludf.DUMMYFUNCTION("GOOGLEFINANCE(""BOM:"" &amp; T96,""price"")"),18)</f>
        <v>18</v>
      </c>
      <c r="Y96" s="8">
        <f t="shared" ca="1" si="24"/>
        <v>3.2702237521514648</v>
      </c>
      <c r="Z96" s="12">
        <f t="shared" si="25"/>
        <v>169459880.72999999</v>
      </c>
      <c r="AA96" s="13">
        <f t="shared" ca="1" si="26"/>
        <v>175001598</v>
      </c>
      <c r="AB96" s="63"/>
      <c r="AC96" s="8">
        <v>500288</v>
      </c>
      <c r="AD96" s="8" t="s">
        <v>412</v>
      </c>
      <c r="AE96" s="12">
        <v>471137146</v>
      </c>
      <c r="AF96" s="8">
        <v>49.24</v>
      </c>
      <c r="AG96" s="8">
        <f ca="1">IFERROR(__xludf.DUMMYFUNCTION("GOOGLEFINANCE(""BOM:"" &amp; AC96,""price"")"),42.15)</f>
        <v>42.15</v>
      </c>
      <c r="AH96" s="8">
        <f t="shared" ca="1" si="8"/>
        <v>-14.398862713241273</v>
      </c>
      <c r="AI96" s="12">
        <f t="shared" si="9"/>
        <v>23198793069.040001</v>
      </c>
      <c r="AJ96" s="13">
        <f t="shared" ca="1" si="10"/>
        <v>19858430703.899998</v>
      </c>
    </row>
    <row r="97" spans="1:36" x14ac:dyDescent="0.25">
      <c r="A97" s="63"/>
      <c r="B97" s="8">
        <v>500039</v>
      </c>
      <c r="C97" s="8" t="s">
        <v>413</v>
      </c>
      <c r="D97" s="20">
        <v>70802150</v>
      </c>
      <c r="E97" s="8">
        <v>671.1</v>
      </c>
      <c r="F97" s="8">
        <f ca="1">IFERROR(__xludf.DUMMYFUNCTION("GOOGLEFINANCE(""BOM:"" &amp; B97,""price"")"),594.75)</f>
        <v>594.75</v>
      </c>
      <c r="G97" s="8">
        <f t="shared" ca="1" si="21"/>
        <v>-11.376843987483239</v>
      </c>
      <c r="H97" s="12">
        <f t="shared" si="22"/>
        <v>47515322865</v>
      </c>
      <c r="I97" s="13">
        <f t="shared" ca="1" si="23"/>
        <v>42109578712.5</v>
      </c>
      <c r="J97" s="63"/>
      <c r="K97" s="8">
        <v>543532</v>
      </c>
      <c r="L97" s="8" t="s">
        <v>414</v>
      </c>
      <c r="M97" s="12">
        <v>23153948</v>
      </c>
      <c r="N97" s="10">
        <v>2577.25</v>
      </c>
      <c r="O97" s="10">
        <f ca="1">IFERROR(__xludf.DUMMYFUNCTION("GOOGLEFINANCE(""BOM:"" &amp; K97,""price"")"),2582.75)</f>
        <v>2582.75</v>
      </c>
      <c r="P97" s="8">
        <f t="shared" ca="1" si="30"/>
        <v>0.21340576195557279</v>
      </c>
      <c r="Q97" s="12">
        <f t="shared" si="31"/>
        <v>59673512483</v>
      </c>
      <c r="R97" s="13">
        <f t="shared" ca="1" si="32"/>
        <v>59800859197</v>
      </c>
      <c r="S97" s="63"/>
      <c r="T97" s="8">
        <v>535667</v>
      </c>
      <c r="U97" s="8" t="s">
        <v>415</v>
      </c>
      <c r="V97" s="12">
        <v>23731564</v>
      </c>
      <c r="W97" s="8">
        <v>81.75</v>
      </c>
      <c r="X97" s="11">
        <f ca="1">IFERROR(__xludf.DUMMYFUNCTION("GOOGLEFINANCE(""BOM:"" &amp; T97,""price"")"),86.05)</f>
        <v>86.05</v>
      </c>
      <c r="Y97" s="8">
        <f t="shared" ca="1" si="24"/>
        <v>5.2599388379204859</v>
      </c>
      <c r="Z97" s="12">
        <f t="shared" si="25"/>
        <v>1940055357</v>
      </c>
      <c r="AA97" s="13">
        <f t="shared" ca="1" si="26"/>
        <v>2042101082.2</v>
      </c>
      <c r="AB97" s="63"/>
      <c r="AC97" s="8">
        <v>524654</v>
      </c>
      <c r="AD97" s="8" t="s">
        <v>416</v>
      </c>
      <c r="AE97" s="12">
        <v>9192410</v>
      </c>
      <c r="AF97" s="8">
        <v>329.9</v>
      </c>
      <c r="AG97" s="8">
        <f ca="1">IFERROR(__xludf.DUMMYFUNCTION("GOOGLEFINANCE(""BOM:"" &amp; AC97,""price"")"),305.5)</f>
        <v>305.5</v>
      </c>
      <c r="AH97" s="8">
        <f t="shared" ca="1" si="8"/>
        <v>-7.3961806608062979</v>
      </c>
      <c r="AI97" s="12">
        <f t="shared" si="9"/>
        <v>3032576059</v>
      </c>
      <c r="AJ97" s="13">
        <f t="shared" ca="1" si="10"/>
        <v>2808281255</v>
      </c>
    </row>
    <row r="98" spans="1:36" x14ac:dyDescent="0.25">
      <c r="A98" s="63"/>
      <c r="B98" s="8">
        <v>505688</v>
      </c>
      <c r="C98" s="8" t="s">
        <v>417</v>
      </c>
      <c r="D98" s="20">
        <v>10159795</v>
      </c>
      <c r="E98" s="8">
        <v>122.5</v>
      </c>
      <c r="F98" s="8">
        <f ca="1">IFERROR(__xludf.DUMMYFUNCTION("GOOGLEFINANCE(""BOM:"" &amp; B98,""price"")"),101.05)</f>
        <v>101.05</v>
      </c>
      <c r="G98" s="8">
        <f t="shared" ca="1" si="21"/>
        <v>-17.510204081632654</v>
      </c>
      <c r="H98" s="12">
        <f t="shared" si="22"/>
        <v>1244574887.5</v>
      </c>
      <c r="I98" s="13">
        <f t="shared" ca="1" si="23"/>
        <v>1026647284.75</v>
      </c>
      <c r="J98" s="63"/>
      <c r="K98" s="8">
        <v>526468</v>
      </c>
      <c r="L98" s="8" t="s">
        <v>418</v>
      </c>
      <c r="M98" s="12">
        <v>2954704</v>
      </c>
      <c r="N98" s="10">
        <v>25.7</v>
      </c>
      <c r="O98" s="10">
        <f ca="1">IFERROR(__xludf.DUMMYFUNCTION("GOOGLEFINANCE(""BOM:"" &amp; K98,""price"")"),18.8)</f>
        <v>18.8</v>
      </c>
      <c r="P98" s="8">
        <f t="shared" ca="1" si="30"/>
        <v>-26.848249027237348</v>
      </c>
      <c r="Q98" s="12">
        <f t="shared" si="31"/>
        <v>75935892.799999997</v>
      </c>
      <c r="R98" s="13">
        <f t="shared" ca="1" si="32"/>
        <v>55548435.200000003</v>
      </c>
      <c r="S98" s="63"/>
      <c r="T98" s="8">
        <v>539692</v>
      </c>
      <c r="U98" s="8" t="s">
        <v>419</v>
      </c>
      <c r="V98" s="12">
        <v>2186390</v>
      </c>
      <c r="W98" s="8">
        <v>21.8</v>
      </c>
      <c r="X98" s="11">
        <f ca="1">IFERROR(__xludf.DUMMYFUNCTION("GOOGLEFINANCE(""BOM:"" &amp; T98,""price"")"),23.8)</f>
        <v>23.8</v>
      </c>
      <c r="Y98" s="8">
        <f t="shared" ca="1" si="24"/>
        <v>9.1743119266055029</v>
      </c>
      <c r="Z98" s="12">
        <f t="shared" si="25"/>
        <v>47663302</v>
      </c>
      <c r="AA98" s="13">
        <f t="shared" ca="1" si="26"/>
        <v>52036082</v>
      </c>
      <c r="AB98" s="63"/>
      <c r="AC98" s="8">
        <v>524816</v>
      </c>
      <c r="AD98" s="8" t="s">
        <v>420</v>
      </c>
      <c r="AE98" s="12">
        <v>181989450</v>
      </c>
      <c r="AF98" s="8">
        <v>981.5</v>
      </c>
      <c r="AG98" s="8">
        <f ca="1">IFERROR(__xludf.DUMMYFUNCTION("GOOGLEFINANCE(""BOM:"" &amp; AC98,""price"")"),954.45)</f>
        <v>954.45</v>
      </c>
      <c r="AH98" s="8">
        <f t="shared" ca="1" si="8"/>
        <v>-2.7559857361181819</v>
      </c>
      <c r="AI98" s="12">
        <f t="shared" si="9"/>
        <v>178622645175</v>
      </c>
      <c r="AJ98" s="13">
        <f t="shared" ca="1" si="10"/>
        <v>173699830552.5</v>
      </c>
    </row>
    <row r="99" spans="1:36" x14ac:dyDescent="0.25">
      <c r="A99" s="63"/>
      <c r="B99" s="8">
        <v>523229</v>
      </c>
      <c r="C99" s="8" t="s">
        <v>421</v>
      </c>
      <c r="D99" s="20">
        <v>31147864</v>
      </c>
      <c r="E99" s="8">
        <v>172.4</v>
      </c>
      <c r="F99" s="8">
        <f ca="1">IFERROR(__xludf.DUMMYFUNCTION("GOOGLEFINANCE(""BOM:"" &amp; B99,""price"")"),145.9)</f>
        <v>145.9</v>
      </c>
      <c r="G99" s="8">
        <f t="shared" ca="1" si="21"/>
        <v>-15.371229698375869</v>
      </c>
      <c r="H99" s="12">
        <f t="shared" si="22"/>
        <v>5369891753.6000004</v>
      </c>
      <c r="I99" s="13">
        <f t="shared" ca="1" si="23"/>
        <v>4544473357.6000004</v>
      </c>
      <c r="J99" s="63"/>
      <c r="K99" s="8">
        <v>540936</v>
      </c>
      <c r="L99" s="8" t="s">
        <v>422</v>
      </c>
      <c r="M99" s="12">
        <v>10067009</v>
      </c>
      <c r="N99" s="10">
        <v>10.45</v>
      </c>
      <c r="O99" s="10">
        <f ca="1">IFERROR(__xludf.DUMMYFUNCTION("GOOGLEFINANCE(""BOM:"" &amp; K99,""price"")"),9.07)</f>
        <v>9.07</v>
      </c>
      <c r="P99" s="8">
        <f t="shared" ca="1" si="30"/>
        <v>-13.205741626794248</v>
      </c>
      <c r="Q99" s="12">
        <f t="shared" si="31"/>
        <v>105200244.05</v>
      </c>
      <c r="R99" s="13">
        <f t="shared" ca="1" si="32"/>
        <v>91307771.63000001</v>
      </c>
      <c r="S99" s="63"/>
      <c r="T99" s="8">
        <v>532636</v>
      </c>
      <c r="U99" s="8" t="s">
        <v>423</v>
      </c>
      <c r="V99" s="12">
        <v>379489359</v>
      </c>
      <c r="W99" s="8">
        <v>621.75</v>
      </c>
      <c r="X99" s="11">
        <f ca="1">IFERROR(__xludf.DUMMYFUNCTION("GOOGLEFINANCE(""BOM:"" &amp; T99,""price"")"),339.95)</f>
        <v>339.95</v>
      </c>
      <c r="Y99" s="8">
        <f t="shared" ca="1" si="24"/>
        <v>-45.323683152392441</v>
      </c>
      <c r="Z99" s="12">
        <f t="shared" si="25"/>
        <v>235947508958.25</v>
      </c>
      <c r="AA99" s="13">
        <f t="shared" ca="1" si="26"/>
        <v>129007407592.05</v>
      </c>
      <c r="AB99" s="63"/>
      <c r="AC99" s="8">
        <v>532649</v>
      </c>
      <c r="AD99" s="8" t="s">
        <v>424</v>
      </c>
      <c r="AE99" s="12">
        <v>224258920</v>
      </c>
      <c r="AF99" s="8">
        <v>37.35</v>
      </c>
      <c r="AG99" s="8">
        <f ca="1">IFERROR(__xludf.DUMMYFUNCTION("GOOGLEFINANCE(""BOM:"" &amp; AC99,""price"")"),30.25)</f>
        <v>30.25</v>
      </c>
      <c r="AH99" s="8">
        <f t="shared" ca="1" si="8"/>
        <v>-19.009370816599734</v>
      </c>
      <c r="AI99" s="12">
        <f t="shared" si="9"/>
        <v>8376070662</v>
      </c>
      <c r="AJ99" s="13">
        <f t="shared" ca="1" si="10"/>
        <v>6783832330</v>
      </c>
    </row>
    <row r="100" spans="1:36" x14ac:dyDescent="0.25">
      <c r="A100" s="63"/>
      <c r="B100" s="8">
        <v>505681</v>
      </c>
      <c r="C100" s="8" t="s">
        <v>425</v>
      </c>
      <c r="D100" s="20">
        <v>3618062</v>
      </c>
      <c r="E100" s="8">
        <v>576.25</v>
      </c>
      <c r="F100" s="8">
        <f ca="1">IFERROR(__xludf.DUMMYFUNCTION("GOOGLEFINANCE(""BOM:"" &amp; B100,""price"")"),565.1)</f>
        <v>565.1</v>
      </c>
      <c r="G100" s="8">
        <f t="shared" ca="1" si="21"/>
        <v>-1.9349240780911023</v>
      </c>
      <c r="H100" s="12">
        <f t="shared" si="22"/>
        <v>2084908227.5</v>
      </c>
      <c r="I100" s="13">
        <f t="shared" ca="1" si="23"/>
        <v>2044566836.2</v>
      </c>
      <c r="J100" s="63"/>
      <c r="K100" s="8">
        <v>542850</v>
      </c>
      <c r="L100" s="8" t="s">
        <v>426</v>
      </c>
      <c r="M100" s="12">
        <v>10443876</v>
      </c>
      <c r="N100" s="10">
        <v>62.01</v>
      </c>
      <c r="O100" s="10">
        <f ca="1">IFERROR(__xludf.DUMMYFUNCTION("GOOGLEFINANCE(""BOM:"" &amp; K100,""price"")"),47)</f>
        <v>47</v>
      </c>
      <c r="P100" s="8">
        <f t="shared" ca="1" si="30"/>
        <v>-24.205773262377033</v>
      </c>
      <c r="Q100" s="12">
        <f t="shared" si="31"/>
        <v>647624750.75999999</v>
      </c>
      <c r="R100" s="13">
        <f t="shared" ca="1" si="32"/>
        <v>490862172</v>
      </c>
      <c r="S100" s="63"/>
      <c r="T100" s="8">
        <v>501295</v>
      </c>
      <c r="U100" s="8" t="s">
        <v>427</v>
      </c>
      <c r="V100" s="12">
        <v>22170670</v>
      </c>
      <c r="W100" s="8">
        <v>197.65</v>
      </c>
      <c r="X100" s="11">
        <f ca="1">IFERROR(__xludf.DUMMYFUNCTION("GOOGLEFINANCE(""BOM:"" &amp; T100,""price"")"),205)</f>
        <v>205</v>
      </c>
      <c r="Y100" s="8">
        <f t="shared" ca="1" si="24"/>
        <v>3.7186946622818082</v>
      </c>
      <c r="Z100" s="12">
        <f t="shared" si="25"/>
        <v>4382032925.5</v>
      </c>
      <c r="AA100" s="13">
        <f t="shared" ca="1" si="26"/>
        <v>4544987350</v>
      </c>
      <c r="AB100" s="63"/>
      <c r="AC100" s="8">
        <v>524558</v>
      </c>
      <c r="AD100" s="8" t="s">
        <v>428</v>
      </c>
      <c r="AE100" s="12">
        <v>12733199</v>
      </c>
      <c r="AF100" s="8">
        <v>7245.05</v>
      </c>
      <c r="AG100" s="8">
        <f ca="1">IFERROR(__xludf.DUMMYFUNCTION("GOOGLEFINANCE(""BOM:"" &amp; AC100,""price"")"),6153.2)</f>
        <v>6153.2</v>
      </c>
      <c r="AH100" s="8">
        <f t="shared" ca="1" si="8"/>
        <v>-15.07028936998365</v>
      </c>
      <c r="AI100" s="12">
        <f t="shared" si="9"/>
        <v>92252663414.949997</v>
      </c>
      <c r="AJ100" s="13">
        <f t="shared" ca="1" si="10"/>
        <v>78349920086.800003</v>
      </c>
    </row>
    <row r="101" spans="1:36" x14ac:dyDescent="0.25">
      <c r="A101" s="63"/>
      <c r="B101" s="8">
        <v>500530</v>
      </c>
      <c r="C101" s="8" t="s">
        <v>429</v>
      </c>
      <c r="D101" s="20">
        <v>29399788</v>
      </c>
      <c r="E101" s="8">
        <v>28962.400000000001</v>
      </c>
      <c r="F101" s="8">
        <f ca="1">IFERROR(__xludf.DUMMYFUNCTION("GOOGLEFINANCE(""BOM:"" &amp; B101,""price"")"),30046.25)</f>
        <v>30046.25</v>
      </c>
      <c r="G101" s="8">
        <f t="shared" ca="1" si="21"/>
        <v>3.742265834323117</v>
      </c>
      <c r="H101" s="12">
        <f t="shared" si="22"/>
        <v>851488419971.20007</v>
      </c>
      <c r="I101" s="13">
        <f t="shared" ca="1" si="23"/>
        <v>883353380195</v>
      </c>
      <c r="J101" s="63"/>
      <c r="K101" s="8">
        <v>533189</v>
      </c>
      <c r="L101" s="8" t="s">
        <v>430</v>
      </c>
      <c r="M101" s="12">
        <v>316984485</v>
      </c>
      <c r="N101" s="10">
        <v>0.81</v>
      </c>
      <c r="O101" s="10">
        <f ca="1">IFERROR(__xludf.DUMMYFUNCTION("GOOGLEFINANCE(""BOM:"" &amp; K101,""price"")"),0.8)</f>
        <v>0.8</v>
      </c>
      <c r="P101" s="8">
        <f t="shared" ca="1" si="30"/>
        <v>-1.2345679012345689</v>
      </c>
      <c r="Q101" s="12">
        <f t="shared" si="31"/>
        <v>256757432.85000002</v>
      </c>
      <c r="R101" s="13">
        <f t="shared" ca="1" si="32"/>
        <v>253587588</v>
      </c>
      <c r="S101" s="63"/>
      <c r="T101" s="8">
        <v>511628</v>
      </c>
      <c r="U101" s="8" t="s">
        <v>431</v>
      </c>
      <c r="V101" s="12">
        <v>3454176</v>
      </c>
      <c r="W101" s="8">
        <v>730</v>
      </c>
      <c r="X101" s="11">
        <f ca="1">IFERROR(__xludf.DUMMYFUNCTION("GOOGLEFINANCE(""BOM:"" &amp; T101,""price"")"),671)</f>
        <v>671</v>
      </c>
      <c r="Y101" s="8">
        <f t="shared" ca="1" si="24"/>
        <v>-8.0821917808219172</v>
      </c>
      <c r="Z101" s="12">
        <f t="shared" si="25"/>
        <v>2521548480</v>
      </c>
      <c r="AA101" s="13">
        <f t="shared" ca="1" si="26"/>
        <v>2317752096</v>
      </c>
      <c r="AB101" s="63"/>
      <c r="AC101" s="8">
        <v>524774</v>
      </c>
      <c r="AD101" s="8" t="s">
        <v>432</v>
      </c>
      <c r="AE101" s="12">
        <v>5955577</v>
      </c>
      <c r="AF101" s="8">
        <v>2035.35</v>
      </c>
      <c r="AG101" s="8">
        <f ca="1">IFERROR(__xludf.DUMMYFUNCTION("GOOGLEFINANCE(""BOM:"" &amp; AC101,""price"")"),2080)</f>
        <v>2080</v>
      </c>
      <c r="AH101" s="8">
        <f t="shared" ca="1" si="8"/>
        <v>2.1937258948092513</v>
      </c>
      <c r="AI101" s="12">
        <f t="shared" si="9"/>
        <v>12121683646.949999</v>
      </c>
      <c r="AJ101" s="13">
        <f t="shared" ca="1" si="10"/>
        <v>12387600160</v>
      </c>
    </row>
    <row r="102" spans="1:36" x14ac:dyDescent="0.25">
      <c r="A102" s="63"/>
      <c r="B102" s="8">
        <v>543276</v>
      </c>
      <c r="C102" s="8" t="s">
        <v>433</v>
      </c>
      <c r="D102" s="20">
        <v>21128311</v>
      </c>
      <c r="E102" s="8">
        <v>4311.45</v>
      </c>
      <c r="F102" s="8">
        <f ca="1">IFERROR(__xludf.DUMMYFUNCTION("GOOGLEFINANCE(""BOM:"" &amp; B102,""price"")"),4337.8)</f>
        <v>4337.8</v>
      </c>
      <c r="G102" s="8">
        <f t="shared" ca="1" si="21"/>
        <v>0.6111632977304704</v>
      </c>
      <c r="H102" s="12">
        <f t="shared" si="22"/>
        <v>91093656460.949997</v>
      </c>
      <c r="I102" s="13">
        <f t="shared" ca="1" si="23"/>
        <v>91650387455.800003</v>
      </c>
      <c r="J102" s="63"/>
      <c r="K102" s="8">
        <v>526729</v>
      </c>
      <c r="L102" s="8" t="s">
        <v>434</v>
      </c>
      <c r="M102" s="12">
        <v>108046045</v>
      </c>
      <c r="N102" s="10">
        <v>187.2</v>
      </c>
      <c r="O102" s="10">
        <f ca="1">IFERROR(__xludf.DUMMYFUNCTION("GOOGLEFINANCE(""BOM:"" &amp; K102,""price"")"),170.5)</f>
        <v>170.5</v>
      </c>
      <c r="P102" s="8">
        <f t="shared" ca="1" si="30"/>
        <v>-8.920940170940165</v>
      </c>
      <c r="Q102" s="12">
        <f t="shared" si="31"/>
        <v>20226219624</v>
      </c>
      <c r="R102" s="13">
        <f t="shared" ca="1" si="32"/>
        <v>18421850672.5</v>
      </c>
      <c r="S102" s="63"/>
      <c r="T102" s="8">
        <v>511355</v>
      </c>
      <c r="U102" s="8" t="s">
        <v>435</v>
      </c>
      <c r="V102" s="12">
        <v>20053087</v>
      </c>
      <c r="W102" s="8">
        <v>18.5</v>
      </c>
      <c r="X102" s="11">
        <f ca="1">IFERROR(__xludf.DUMMYFUNCTION("GOOGLEFINANCE(""BOM:"" &amp; T102,""price"")"),18.3)</f>
        <v>18.3</v>
      </c>
      <c r="Y102" s="8">
        <f t="shared" ca="1" si="24"/>
        <v>-1.0810810810810774</v>
      </c>
      <c r="Z102" s="12">
        <f t="shared" si="25"/>
        <v>370982109.5</v>
      </c>
      <c r="AA102" s="13">
        <f t="shared" ca="1" si="26"/>
        <v>366971492.10000002</v>
      </c>
      <c r="AB102" s="63"/>
      <c r="AC102" s="8">
        <v>500672</v>
      </c>
      <c r="AD102" s="8" t="s">
        <v>436</v>
      </c>
      <c r="AE102" s="12">
        <v>24332571</v>
      </c>
      <c r="AF102" s="8">
        <v>965.05</v>
      </c>
      <c r="AG102" s="8">
        <f ca="1">IFERROR(__xludf.DUMMYFUNCTION("GOOGLEFINANCE(""BOM:"" &amp; AC102,""price"")"),1026.2)</f>
        <v>1026.2</v>
      </c>
      <c r="AH102" s="8">
        <f t="shared" ca="1" si="8"/>
        <v>6.3364592508160307</v>
      </c>
      <c r="AI102" s="12">
        <f t="shared" si="9"/>
        <v>23482147643.549999</v>
      </c>
      <c r="AJ102" s="13">
        <f t="shared" ca="1" si="10"/>
        <v>24970084360.200001</v>
      </c>
    </row>
    <row r="103" spans="1:36" x14ac:dyDescent="0.25">
      <c r="A103" s="63"/>
      <c r="B103" s="8">
        <v>504908</v>
      </c>
      <c r="C103" s="8" t="s">
        <v>437</v>
      </c>
      <c r="D103" s="20">
        <v>3579933</v>
      </c>
      <c r="E103" s="8">
        <v>430</v>
      </c>
      <c r="F103" s="8">
        <f ca="1">IFERROR(__xludf.DUMMYFUNCTION("GOOGLEFINANCE(""BOM:"" &amp; B103,""price"")"),425)</f>
        <v>425</v>
      </c>
      <c r="G103" s="8">
        <f t="shared" ca="1" si="21"/>
        <v>-1.1627906976744187</v>
      </c>
      <c r="H103" s="12">
        <f t="shared" si="22"/>
        <v>1539371190</v>
      </c>
      <c r="I103" s="13">
        <f t="shared" ca="1" si="23"/>
        <v>1521471525</v>
      </c>
      <c r="J103" s="63"/>
      <c r="K103" s="8">
        <v>523676</v>
      </c>
      <c r="L103" s="8" t="s">
        <v>438</v>
      </c>
      <c r="M103" s="12">
        <v>6495245</v>
      </c>
      <c r="N103" s="10">
        <v>176.9</v>
      </c>
      <c r="O103" s="10">
        <f ca="1">IFERROR(__xludf.DUMMYFUNCTION("GOOGLEFINANCE(""BOM:"" &amp; K103,""price"")"),155)</f>
        <v>155</v>
      </c>
      <c r="P103" s="8">
        <f t="shared" ca="1" si="30"/>
        <v>-12.379875635952517</v>
      </c>
      <c r="Q103" s="12">
        <f t="shared" si="31"/>
        <v>1149008840.5</v>
      </c>
      <c r="R103" s="13">
        <f t="shared" ca="1" si="32"/>
        <v>1006762975</v>
      </c>
      <c r="S103" s="63"/>
      <c r="T103" s="8">
        <v>501700</v>
      </c>
      <c r="U103" s="8" t="s">
        <v>439</v>
      </c>
      <c r="V103" s="12">
        <v>37727000</v>
      </c>
      <c r="W103" s="8">
        <v>14.87</v>
      </c>
      <c r="X103" s="11">
        <f ca="1">IFERROR(__xludf.DUMMYFUNCTION("GOOGLEFINANCE(""BOM:"" &amp; T103,""price"")"),8.49)</f>
        <v>8.49</v>
      </c>
      <c r="Y103" s="8">
        <f t="shared" ca="1" si="24"/>
        <v>-42.905178211163417</v>
      </c>
      <c r="Z103" s="12">
        <f t="shared" si="25"/>
        <v>561000490</v>
      </c>
      <c r="AA103" s="13">
        <f t="shared" ca="1" si="26"/>
        <v>320302230</v>
      </c>
      <c r="AB103" s="63"/>
      <c r="AC103" s="8">
        <v>524372</v>
      </c>
      <c r="AD103" s="8" t="s">
        <v>440</v>
      </c>
      <c r="AE103" s="12">
        <v>40812861</v>
      </c>
      <c r="AF103" s="8">
        <v>1177</v>
      </c>
      <c r="AG103" s="8">
        <f ca="1">IFERROR(__xludf.DUMMYFUNCTION("GOOGLEFINANCE(""BOM:"" &amp; AC103,""price"")"),1052.45)</f>
        <v>1052.45</v>
      </c>
      <c r="AH103" s="8">
        <f t="shared" ca="1" si="8"/>
        <v>-10.581988105352586</v>
      </c>
      <c r="AI103" s="12">
        <f t="shared" si="9"/>
        <v>48036737397</v>
      </c>
      <c r="AJ103" s="13">
        <f t="shared" ca="1" si="10"/>
        <v>42953495559.450005</v>
      </c>
    </row>
    <row r="104" spans="1:36" x14ac:dyDescent="0.25">
      <c r="A104" s="63"/>
      <c r="B104" s="8">
        <v>540153</v>
      </c>
      <c r="C104" s="8" t="s">
        <v>441</v>
      </c>
      <c r="D104" s="20">
        <v>140662825</v>
      </c>
      <c r="E104" s="8">
        <v>1832</v>
      </c>
      <c r="F104" s="8">
        <f ca="1">IFERROR(__xludf.DUMMYFUNCTION("GOOGLEFINANCE(""BOM:"" &amp; B104,""price"")"),1830.95)</f>
        <v>1830.95</v>
      </c>
      <c r="G104" s="8">
        <f t="shared" ca="1" si="21"/>
        <v>-5.731441048034687E-2</v>
      </c>
      <c r="H104" s="12">
        <f t="shared" si="22"/>
        <v>257694295400</v>
      </c>
      <c r="I104" s="13">
        <f t="shared" ca="1" si="23"/>
        <v>257546599433.75</v>
      </c>
      <c r="J104" s="63"/>
      <c r="K104" s="8">
        <v>512604</v>
      </c>
      <c r="L104" s="8" t="s">
        <v>442</v>
      </c>
      <c r="M104" s="12">
        <v>10966656</v>
      </c>
      <c r="N104" s="10">
        <v>4.71</v>
      </c>
      <c r="O104" s="10">
        <f ca="1">IFERROR(__xludf.DUMMYFUNCTION("GOOGLEFINANCE(""BOM:"" &amp; K104,""price"")"),4.25)</f>
        <v>4.25</v>
      </c>
      <c r="P104" s="8">
        <f t="shared" ca="1" si="30"/>
        <v>-9.7664543524416132</v>
      </c>
      <c r="Q104" s="12">
        <f t="shared" si="31"/>
        <v>51652949.759999998</v>
      </c>
      <c r="R104" s="13">
        <f t="shared" ca="1" si="32"/>
        <v>46608288</v>
      </c>
      <c r="S104" s="63"/>
      <c r="T104" s="8">
        <v>500202</v>
      </c>
      <c r="U104" s="8" t="s">
        <v>443</v>
      </c>
      <c r="V104" s="12">
        <v>13668850</v>
      </c>
      <c r="W104" s="8">
        <v>10.48</v>
      </c>
      <c r="X104" s="11">
        <f ca="1">IFERROR(__xludf.DUMMYFUNCTION("GOOGLEFINANCE(""BOM:"" &amp; T104,""price"")"),9.1)</f>
        <v>9.1</v>
      </c>
      <c r="Y104" s="8">
        <f t="shared" ca="1" si="24"/>
        <v>-13.167938931297718</v>
      </c>
      <c r="Z104" s="12">
        <f t="shared" si="25"/>
        <v>143249548</v>
      </c>
      <c r="AA104" s="13">
        <f t="shared" ca="1" si="26"/>
        <v>124386535</v>
      </c>
      <c r="AB104" s="63"/>
      <c r="AC104" s="8">
        <v>539287</v>
      </c>
      <c r="AD104" s="8" t="s">
        <v>444</v>
      </c>
      <c r="AE104" s="12">
        <v>8047488</v>
      </c>
      <c r="AF104" s="8">
        <v>19.55</v>
      </c>
      <c r="AG104" s="8">
        <f ca="1">IFERROR(__xludf.DUMMYFUNCTION("GOOGLEFINANCE(""BOM:"" &amp; AC104,""price"")"),17.8)</f>
        <v>17.8</v>
      </c>
      <c r="AH104" s="8">
        <f t="shared" ca="1" si="8"/>
        <v>-8.9514066496163682</v>
      </c>
      <c r="AI104" s="12">
        <f t="shared" si="9"/>
        <v>157328390.40000001</v>
      </c>
      <c r="AJ104" s="13">
        <f t="shared" ca="1" si="10"/>
        <v>143245286.40000001</v>
      </c>
    </row>
    <row r="105" spans="1:36" x14ac:dyDescent="0.25">
      <c r="A105" s="63"/>
      <c r="B105" s="8">
        <v>533477</v>
      </c>
      <c r="C105" s="8" t="s">
        <v>445</v>
      </c>
      <c r="D105" s="12">
        <v>17884843</v>
      </c>
      <c r="E105" s="8">
        <v>555.65</v>
      </c>
      <c r="F105" s="8">
        <f ca="1">IFERROR(__xludf.DUMMYFUNCTION("GOOGLEFINANCE(""BOM:"" &amp; B105,""price"")"),529)</f>
        <v>529</v>
      </c>
      <c r="G105" s="8">
        <f t="shared" ca="1" si="21"/>
        <v>-4.7961846486097324</v>
      </c>
      <c r="H105" s="12">
        <f t="shared" si="22"/>
        <v>9937713012.9499989</v>
      </c>
      <c r="I105" s="13">
        <f t="shared" ca="1" si="23"/>
        <v>9461081947</v>
      </c>
      <c r="J105" s="63"/>
      <c r="K105" s="8">
        <v>543278</v>
      </c>
      <c r="L105" s="8" t="s">
        <v>446</v>
      </c>
      <c r="M105" s="12">
        <v>1030053052</v>
      </c>
      <c r="N105" s="10">
        <v>399.3</v>
      </c>
      <c r="O105" s="10">
        <f ca="1">IFERROR(__xludf.DUMMYFUNCTION("GOOGLEFINANCE(""BOM:"" &amp; K105,""price"")"),428)</f>
        <v>428</v>
      </c>
      <c r="P105" s="8">
        <f t="shared" ca="1" si="30"/>
        <v>7.1875782619584241</v>
      </c>
      <c r="Q105" s="12">
        <f t="shared" si="31"/>
        <v>411300183663.60004</v>
      </c>
      <c r="R105" s="13">
        <f t="shared" ca="1" si="32"/>
        <v>440862706256</v>
      </c>
      <c r="S105" s="63"/>
      <c r="T105" s="8">
        <v>530747</v>
      </c>
      <c r="U105" s="8" t="s">
        <v>447</v>
      </c>
      <c r="V105" s="12">
        <v>14312420</v>
      </c>
      <c r="W105" s="8">
        <v>18.29</v>
      </c>
      <c r="X105" s="11">
        <f ca="1">IFERROR(__xludf.DUMMYFUNCTION("GOOGLEFINANCE(""BOM:"" &amp; T105,""price"")"),18.48)</f>
        <v>18.48</v>
      </c>
      <c r="Y105" s="8">
        <f t="shared" ca="1" si="24"/>
        <v>1.038819026790603</v>
      </c>
      <c r="Z105" s="12">
        <f t="shared" si="25"/>
        <v>261774161.79999998</v>
      </c>
      <c r="AA105" s="13">
        <f t="shared" ca="1" si="26"/>
        <v>264493521.59999999</v>
      </c>
      <c r="AB105" s="63"/>
      <c r="AC105" s="8">
        <v>524636</v>
      </c>
      <c r="AD105" s="8" t="s">
        <v>448</v>
      </c>
      <c r="AE105" s="12">
        <v>12762070</v>
      </c>
      <c r="AF105" s="8">
        <v>36</v>
      </c>
      <c r="AG105" s="8">
        <f ca="1">IFERROR(__xludf.DUMMYFUNCTION("GOOGLEFINANCE(""BOM:"" &amp; AC105,""price"")"),28.99)</f>
        <v>28.99</v>
      </c>
      <c r="AH105" s="8">
        <f t="shared" ca="1" si="8"/>
        <v>-19.472222222222229</v>
      </c>
      <c r="AI105" s="12">
        <f t="shared" si="9"/>
        <v>459434520</v>
      </c>
      <c r="AJ105" s="13">
        <f t="shared" ca="1" si="10"/>
        <v>369972409.29999995</v>
      </c>
    </row>
    <row r="106" spans="1:36" x14ac:dyDescent="0.25">
      <c r="A106" s="63"/>
      <c r="B106" s="8">
        <v>532768</v>
      </c>
      <c r="C106" s="8" t="s">
        <v>449</v>
      </c>
      <c r="D106" s="20">
        <v>26319618</v>
      </c>
      <c r="E106" s="8">
        <v>1181</v>
      </c>
      <c r="F106" s="8">
        <f ca="1">IFERROR(__xludf.DUMMYFUNCTION("GOOGLEFINANCE(""BOM:"" &amp; B106,""price"")"),1130)</f>
        <v>1130</v>
      </c>
      <c r="G106" s="8">
        <f t="shared" ca="1" si="21"/>
        <v>-4.3183742591024554</v>
      </c>
      <c r="H106" s="12">
        <f t="shared" si="22"/>
        <v>31083468858</v>
      </c>
      <c r="I106" s="13">
        <f t="shared" ca="1" si="23"/>
        <v>29741168340</v>
      </c>
      <c r="J106" s="63"/>
      <c r="K106" s="8">
        <v>506184</v>
      </c>
      <c r="L106" s="8" t="s">
        <v>450</v>
      </c>
      <c r="M106" s="12">
        <v>197775600</v>
      </c>
      <c r="N106" s="10">
        <v>4.72</v>
      </c>
      <c r="O106" s="10">
        <f ca="1">IFERROR(__xludf.DUMMYFUNCTION("GOOGLEFINANCE(""BOM:"" &amp; K106,""price"")"),3.7)</f>
        <v>3.7</v>
      </c>
      <c r="P106" s="8">
        <f t="shared" ca="1" si="30"/>
        <v>-21.610169491525415</v>
      </c>
      <c r="Q106" s="12">
        <f t="shared" si="31"/>
        <v>933500832</v>
      </c>
      <c r="R106" s="13">
        <f t="shared" ca="1" si="32"/>
        <v>731769720</v>
      </c>
      <c r="S106" s="63"/>
      <c r="T106" s="8">
        <v>541336</v>
      </c>
      <c r="U106" s="8" t="s">
        <v>451</v>
      </c>
      <c r="V106" s="12">
        <v>124010329</v>
      </c>
      <c r="W106" s="8">
        <v>222.35</v>
      </c>
      <c r="X106" s="11">
        <f ca="1">IFERROR(__xludf.DUMMYFUNCTION("GOOGLEFINANCE(""BOM:"" &amp; T106,""price"")"),186.25)</f>
        <v>186.25</v>
      </c>
      <c r="Y106" s="8">
        <f t="shared" ca="1" si="24"/>
        <v>-16.23566449291657</v>
      </c>
      <c r="Z106" s="12">
        <f t="shared" si="25"/>
        <v>27573696653.149998</v>
      </c>
      <c r="AA106" s="13">
        <f t="shared" ca="1" si="26"/>
        <v>23096923776.25</v>
      </c>
      <c r="AB106" s="63"/>
      <c r="AC106" s="8">
        <v>531349</v>
      </c>
      <c r="AD106" s="8" t="s">
        <v>452</v>
      </c>
      <c r="AE106" s="12">
        <v>61049495</v>
      </c>
      <c r="AF106" s="8">
        <v>153.35</v>
      </c>
      <c r="AG106" s="8">
        <f ca="1">IFERROR(__xludf.DUMMYFUNCTION("GOOGLEFINANCE(""BOM:"" &amp; AC106,""price"")"),120.4)</f>
        <v>120.4</v>
      </c>
      <c r="AH106" s="8">
        <f t="shared" ca="1" si="8"/>
        <v>-21.486794913596341</v>
      </c>
      <c r="AI106" s="12">
        <f t="shared" si="9"/>
        <v>9361940058.25</v>
      </c>
      <c r="AJ106" s="13">
        <f t="shared" ca="1" si="10"/>
        <v>7350359198</v>
      </c>
    </row>
    <row r="107" spans="1:36" x14ac:dyDescent="0.25">
      <c r="A107" s="63"/>
      <c r="B107" s="8">
        <v>505744</v>
      </c>
      <c r="C107" s="8" t="s">
        <v>453</v>
      </c>
      <c r="D107" s="20">
        <v>55249755</v>
      </c>
      <c r="E107" s="8">
        <v>357.75</v>
      </c>
      <c r="F107" s="8">
        <f ca="1">IFERROR(__xludf.DUMMYFUNCTION("GOOGLEFINANCE(""BOM:"" &amp; B107,""price"")"),321.05)</f>
        <v>321.05</v>
      </c>
      <c r="G107" s="8">
        <f t="shared" ca="1" si="21"/>
        <v>-10.25856044723969</v>
      </c>
      <c r="H107" s="12">
        <f t="shared" si="22"/>
        <v>19765599851.25</v>
      </c>
      <c r="I107" s="13">
        <f t="shared" ca="1" si="23"/>
        <v>17737933842.75</v>
      </c>
      <c r="J107" s="63"/>
      <c r="K107" s="8">
        <v>526115</v>
      </c>
      <c r="L107" s="8" t="s">
        <v>454</v>
      </c>
      <c r="M107" s="12">
        <v>6044992</v>
      </c>
      <c r="N107" s="10">
        <v>4.55</v>
      </c>
      <c r="O107" s="10">
        <f ca="1">IFERROR(__xludf.DUMMYFUNCTION("GOOGLEFINANCE(""BOM:"" &amp; K107,""price"")"),4.09)</f>
        <v>4.09</v>
      </c>
      <c r="P107" s="8">
        <f t="shared" ca="1" si="30"/>
        <v>-10.109890109890109</v>
      </c>
      <c r="Q107" s="12">
        <f t="shared" si="31"/>
        <v>27504713.599999998</v>
      </c>
      <c r="R107" s="13">
        <f t="shared" ca="1" si="32"/>
        <v>24724017.279999997</v>
      </c>
      <c r="S107" s="63"/>
      <c r="T107" s="8">
        <v>531841</v>
      </c>
      <c r="U107" s="8" t="s">
        <v>455</v>
      </c>
      <c r="V107" s="12">
        <v>9233698</v>
      </c>
      <c r="W107" s="8">
        <v>18.09</v>
      </c>
      <c r="X107" s="11">
        <f ca="1">IFERROR(__xludf.DUMMYFUNCTION("GOOGLEFINANCE(""BOM:"" &amp; T107,""price"")"),15.61)</f>
        <v>15.61</v>
      </c>
      <c r="Y107" s="8">
        <f t="shared" ca="1" si="24"/>
        <v>-13.709231619679382</v>
      </c>
      <c r="Z107" s="12">
        <f t="shared" si="25"/>
        <v>167037596.81999999</v>
      </c>
      <c r="AA107" s="13">
        <f t="shared" ca="1" si="26"/>
        <v>144138025.78</v>
      </c>
      <c r="AB107" s="63"/>
      <c r="AC107" s="8">
        <v>531726</v>
      </c>
      <c r="AD107" s="8" t="s">
        <v>456</v>
      </c>
      <c r="AE107" s="12">
        <v>9789300</v>
      </c>
      <c r="AF107" s="8">
        <v>209</v>
      </c>
      <c r="AG107" s="8">
        <f ca="1">IFERROR(__xludf.DUMMYFUNCTION("GOOGLEFINANCE(""BOM:"" &amp; AC107,""price"")"),195.15)</f>
        <v>195.15</v>
      </c>
      <c r="AH107" s="8">
        <f t="shared" ca="1" si="8"/>
        <v>-6.6267942583732031</v>
      </c>
      <c r="AI107" s="12">
        <f t="shared" si="9"/>
        <v>2045963700</v>
      </c>
      <c r="AJ107" s="13">
        <f t="shared" ca="1" si="10"/>
        <v>1910381895</v>
      </c>
    </row>
    <row r="108" spans="1:36" x14ac:dyDescent="0.25">
      <c r="A108" s="63"/>
      <c r="B108" s="8">
        <v>522195</v>
      </c>
      <c r="C108" s="8" t="s">
        <v>457</v>
      </c>
      <c r="D108" s="20">
        <v>3674417</v>
      </c>
      <c r="E108" s="8">
        <v>1346.65</v>
      </c>
      <c r="F108" s="8">
        <f ca="1">IFERROR(__xludf.DUMMYFUNCTION("GOOGLEFINANCE(""BOM:"" &amp; B108,""price"")"),1192)</f>
        <v>1192</v>
      </c>
      <c r="G108" s="8">
        <f t="shared" ca="1" si="21"/>
        <v>-11.48405302045818</v>
      </c>
      <c r="H108" s="12">
        <f t="shared" si="22"/>
        <v>4948153653.0500002</v>
      </c>
      <c r="I108" s="13">
        <f t="shared" ca="1" si="23"/>
        <v>4379905064</v>
      </c>
      <c r="J108" s="63"/>
      <c r="K108" s="8">
        <v>532054</v>
      </c>
      <c r="L108" s="8" t="s">
        <v>458</v>
      </c>
      <c r="M108" s="12">
        <v>12552688</v>
      </c>
      <c r="N108" s="10">
        <v>2604.25</v>
      </c>
      <c r="O108" s="10">
        <f ca="1">IFERROR(__xludf.DUMMYFUNCTION("GOOGLEFINANCE(""BOM:"" &amp; K108,""price"")"),2477.45)</f>
        <v>2477.4499999999998</v>
      </c>
      <c r="P108" s="8">
        <f t="shared" ca="1" si="30"/>
        <v>-4.8689641931458265</v>
      </c>
      <c r="Q108" s="12">
        <f t="shared" si="31"/>
        <v>32690337724</v>
      </c>
      <c r="R108" s="13">
        <f t="shared" ca="1" si="32"/>
        <v>31098656885.599998</v>
      </c>
      <c r="S108" s="63"/>
      <c r="T108" s="8">
        <v>531314</v>
      </c>
      <c r="U108" s="8" t="s">
        <v>459</v>
      </c>
      <c r="V108" s="12">
        <v>4455766</v>
      </c>
      <c r="W108" s="8">
        <v>19.899999999999999</v>
      </c>
      <c r="X108" s="11">
        <f ca="1">IFERROR(__xludf.DUMMYFUNCTION("GOOGLEFINANCE(""BOM:"" &amp; T108,""price"")"),19)</f>
        <v>19</v>
      </c>
      <c r="Y108" s="8">
        <f t="shared" ca="1" si="24"/>
        <v>-4.5226130653266265</v>
      </c>
      <c r="Z108" s="12">
        <f t="shared" si="25"/>
        <v>88669743.399999991</v>
      </c>
      <c r="AA108" s="13">
        <f t="shared" ca="1" si="26"/>
        <v>84659554</v>
      </c>
      <c r="AB108" s="63"/>
      <c r="AC108" s="8">
        <v>540359</v>
      </c>
      <c r="AD108" s="8" t="s">
        <v>460</v>
      </c>
      <c r="AE108" s="12">
        <v>2646970</v>
      </c>
      <c r="AF108" s="8">
        <v>31.72</v>
      </c>
      <c r="AG108" s="8">
        <f ca="1">IFERROR(__xludf.DUMMYFUNCTION("GOOGLEFINANCE(""BOM:"" &amp; AC108,""price"")"),28.47)</f>
        <v>28.47</v>
      </c>
      <c r="AH108" s="8">
        <f t="shared" ca="1" si="8"/>
        <v>-10.245901639344263</v>
      </c>
      <c r="AI108" s="12">
        <f t="shared" si="9"/>
        <v>83961888.399999991</v>
      </c>
      <c r="AJ108" s="13">
        <f t="shared" ca="1" si="10"/>
        <v>75359235.899999991</v>
      </c>
    </row>
    <row r="109" spans="1:36" x14ac:dyDescent="0.25">
      <c r="A109" s="63"/>
      <c r="B109" s="8">
        <v>505714</v>
      </c>
      <c r="C109" s="8" t="s">
        <v>461</v>
      </c>
      <c r="D109" s="20">
        <v>142476430</v>
      </c>
      <c r="E109" s="8">
        <v>345.55</v>
      </c>
      <c r="F109" s="8">
        <f ca="1">IFERROR(__xludf.DUMMYFUNCTION("GOOGLEFINANCE(""BOM:"" &amp; B109,""price"")"),332.6)</f>
        <v>332.6</v>
      </c>
      <c r="G109" s="8">
        <f t="shared" ca="1" si="21"/>
        <v>-3.7476486760237266</v>
      </c>
      <c r="H109" s="12">
        <f t="shared" si="22"/>
        <v>49232730386.5</v>
      </c>
      <c r="I109" s="13">
        <f t="shared" ca="1" si="23"/>
        <v>47387660618</v>
      </c>
      <c r="J109" s="63"/>
      <c r="K109" s="8">
        <v>540953</v>
      </c>
      <c r="L109" s="8" t="s">
        <v>462</v>
      </c>
      <c r="M109" s="12">
        <v>126379637</v>
      </c>
      <c r="N109" s="10">
        <v>6.39</v>
      </c>
      <c r="O109" s="10">
        <f ca="1">IFERROR(__xludf.DUMMYFUNCTION("GOOGLEFINANCE(""BOM:"" &amp; K109,""price"")"),6.91)</f>
        <v>6.91</v>
      </c>
      <c r="P109" s="8">
        <f t="shared" ca="1" si="30"/>
        <v>8.1377151799687084</v>
      </c>
      <c r="Q109" s="12">
        <f t="shared" si="31"/>
        <v>807565880.42999995</v>
      </c>
      <c r="R109" s="13">
        <f t="shared" ca="1" si="32"/>
        <v>873283291.67000008</v>
      </c>
      <c r="S109" s="63"/>
      <c r="T109" s="8">
        <v>526871</v>
      </c>
      <c r="U109" s="8" t="s">
        <v>463</v>
      </c>
      <c r="V109" s="12">
        <v>18273139</v>
      </c>
      <c r="W109" s="8">
        <v>17.77</v>
      </c>
      <c r="X109" s="11">
        <f ca="1">IFERROR(__xludf.DUMMYFUNCTION("GOOGLEFINANCE(""BOM:"" &amp; T109,""price"")"),16.89)</f>
        <v>16.89</v>
      </c>
      <c r="Y109" s="8">
        <f t="shared" ca="1" si="24"/>
        <v>-4.9521665728756279</v>
      </c>
      <c r="Z109" s="12">
        <f t="shared" si="25"/>
        <v>324713680.02999997</v>
      </c>
      <c r="AA109" s="13">
        <f t="shared" ca="1" si="26"/>
        <v>308633317.71000004</v>
      </c>
      <c r="AB109" s="63"/>
      <c r="AC109" s="8">
        <v>506128</v>
      </c>
      <c r="AD109" s="8" t="s">
        <v>464</v>
      </c>
      <c r="AE109" s="12">
        <v>9770916</v>
      </c>
      <c r="AF109" s="8">
        <v>86.36</v>
      </c>
      <c r="AG109" s="8">
        <f ca="1">IFERROR(__xludf.DUMMYFUNCTION("GOOGLEFINANCE(""BOM:"" &amp; AC109,""price"")"),130)</f>
        <v>130</v>
      </c>
      <c r="AH109" s="8">
        <f t="shared" ca="1" si="8"/>
        <v>50.532654006484492</v>
      </c>
      <c r="AI109" s="12">
        <f t="shared" si="9"/>
        <v>843816305.75999999</v>
      </c>
      <c r="AJ109" s="13">
        <f t="shared" ca="1" si="10"/>
        <v>1270219080</v>
      </c>
    </row>
    <row r="110" spans="1:36" x14ac:dyDescent="0.25">
      <c r="A110" s="63"/>
      <c r="B110" s="8">
        <v>531399</v>
      </c>
      <c r="C110" s="8" t="s">
        <v>465</v>
      </c>
      <c r="D110" s="20">
        <v>6414067</v>
      </c>
      <c r="E110" s="8">
        <v>99.75</v>
      </c>
      <c r="F110" s="8">
        <v>99.75</v>
      </c>
      <c r="G110" s="8">
        <f t="shared" si="21"/>
        <v>0</v>
      </c>
      <c r="H110" s="12">
        <f t="shared" si="22"/>
        <v>639803183.25</v>
      </c>
      <c r="I110" s="13">
        <f t="shared" si="23"/>
        <v>639803183.25</v>
      </c>
      <c r="J110" s="63"/>
      <c r="K110" s="8">
        <v>534532</v>
      </c>
      <c r="L110" s="8" t="s">
        <v>466</v>
      </c>
      <c r="M110" s="12">
        <v>24857926</v>
      </c>
      <c r="N110" s="10">
        <v>7.23</v>
      </c>
      <c r="O110" s="10">
        <f ca="1">IFERROR(__xludf.DUMMYFUNCTION("GOOGLEFINANCE(""BOM:"" &amp; K110,""price"")"),5.45)</f>
        <v>5.45</v>
      </c>
      <c r="P110" s="8">
        <f t="shared" ca="1" si="30"/>
        <v>-24.619640387275243</v>
      </c>
      <c r="Q110" s="12">
        <f t="shared" si="31"/>
        <v>179722804.98000002</v>
      </c>
      <c r="R110" s="13">
        <f t="shared" ca="1" si="32"/>
        <v>135475696.70000002</v>
      </c>
      <c r="S110" s="63"/>
      <c r="T110" s="8">
        <v>511391</v>
      </c>
      <c r="U110" s="8" t="s">
        <v>467</v>
      </c>
      <c r="V110" s="12">
        <v>6316055</v>
      </c>
      <c r="W110" s="8">
        <v>57.42</v>
      </c>
      <c r="X110" s="11">
        <f ca="1">IFERROR(__xludf.DUMMYFUNCTION("GOOGLEFINANCE(""BOM:"" &amp; T110,""price"")"),52.84)</f>
        <v>52.84</v>
      </c>
      <c r="Y110" s="8">
        <f t="shared" ca="1" si="24"/>
        <v>-7.9763148728665936</v>
      </c>
      <c r="Z110" s="12">
        <f t="shared" si="25"/>
        <v>362667878.10000002</v>
      </c>
      <c r="AA110" s="13">
        <f t="shared" ca="1" si="26"/>
        <v>333740346.20000005</v>
      </c>
      <c r="AB110" s="63"/>
      <c r="AC110" s="8">
        <v>500680</v>
      </c>
      <c r="AD110" s="8" t="s">
        <v>468</v>
      </c>
      <c r="AE110" s="12">
        <v>45269784</v>
      </c>
      <c r="AF110" s="8">
        <v>4582</v>
      </c>
      <c r="AG110" s="8">
        <f ca="1">IFERROR(__xludf.DUMMYFUNCTION("GOOGLEFINANCE(""BOM:"" &amp; AC110,""price"")"),4192)</f>
        <v>4192</v>
      </c>
      <c r="AH110" s="8">
        <f t="shared" ca="1" si="8"/>
        <v>-8.5115670013094729</v>
      </c>
      <c r="AI110" s="12">
        <f t="shared" si="9"/>
        <v>207426150288</v>
      </c>
      <c r="AJ110" s="13">
        <f t="shared" ca="1" si="10"/>
        <v>189770934528</v>
      </c>
    </row>
    <row r="111" spans="1:36" x14ac:dyDescent="0.25">
      <c r="A111" s="63"/>
      <c r="B111" s="8">
        <v>540124</v>
      </c>
      <c r="C111" s="8" t="s">
        <v>469</v>
      </c>
      <c r="D111" s="20">
        <v>21465400</v>
      </c>
      <c r="E111" s="8">
        <v>425.85</v>
      </c>
      <c r="F111" s="8">
        <f ca="1">IFERROR(__xludf.DUMMYFUNCTION("GOOGLEFINANCE(""BOM:"" &amp; B111,""price"")"),380.9)</f>
        <v>380.9</v>
      </c>
      <c r="G111" s="8">
        <f t="shared" ca="1" si="21"/>
        <v>-10.555359868498309</v>
      </c>
      <c r="H111" s="12">
        <f t="shared" si="22"/>
        <v>9141040590</v>
      </c>
      <c r="I111" s="13">
        <f t="shared" ca="1" si="23"/>
        <v>8176170859.999999</v>
      </c>
      <c r="J111" s="63"/>
      <c r="K111" s="8">
        <v>531613</v>
      </c>
      <c r="L111" s="8" t="s">
        <v>470</v>
      </c>
      <c r="M111" s="12">
        <v>71777543</v>
      </c>
      <c r="N111" s="10">
        <v>1.71</v>
      </c>
      <c r="O111" s="10">
        <f ca="1">IFERROR(__xludf.DUMMYFUNCTION("GOOGLEFINANCE(""BOM:"" &amp; K111,""price"")"),2.1)</f>
        <v>2.1</v>
      </c>
      <c r="P111" s="8">
        <f t="shared" ca="1" si="30"/>
        <v>22.807017543859658</v>
      </c>
      <c r="Q111" s="12">
        <f t="shared" si="31"/>
        <v>122739598.53</v>
      </c>
      <c r="R111" s="13">
        <f t="shared" ca="1" si="32"/>
        <v>150732840.30000001</v>
      </c>
      <c r="S111" s="63"/>
      <c r="T111" s="8">
        <v>526859</v>
      </c>
      <c r="U111" s="8" t="s">
        <v>471</v>
      </c>
      <c r="V111" s="12">
        <v>89029100</v>
      </c>
      <c r="W111" s="8">
        <v>2.33</v>
      </c>
      <c r="X111" s="11">
        <f ca="1">IFERROR(__xludf.DUMMYFUNCTION("GOOGLEFINANCE(""BOM:"" &amp; T111,""price"")"),1.83)</f>
        <v>1.83</v>
      </c>
      <c r="Y111" s="8">
        <f t="shared" ca="1" si="24"/>
        <v>-21.459227467811161</v>
      </c>
      <c r="Z111" s="12">
        <f t="shared" si="25"/>
        <v>207437803</v>
      </c>
      <c r="AA111" s="13">
        <f t="shared" ca="1" si="26"/>
        <v>162923253</v>
      </c>
      <c r="AB111" s="63"/>
      <c r="AC111" s="8">
        <v>500126</v>
      </c>
      <c r="AD111" s="8" t="s">
        <v>472</v>
      </c>
      <c r="AE111" s="12">
        <v>16453891</v>
      </c>
      <c r="AF111" s="8">
        <v>5113.95</v>
      </c>
      <c r="AG111" s="8">
        <f ca="1">IFERROR(__xludf.DUMMYFUNCTION("GOOGLEFINANCE(""BOM:"" &amp; AC111,""price"")"),4700)</f>
        <v>4700</v>
      </c>
      <c r="AH111" s="8">
        <f t="shared" ca="1" si="8"/>
        <v>-8.094525757975731</v>
      </c>
      <c r="AI111" s="12">
        <f t="shared" si="9"/>
        <v>84144375879.449997</v>
      </c>
      <c r="AJ111" s="13">
        <f t="shared" ca="1" si="10"/>
        <v>77333287700</v>
      </c>
    </row>
    <row r="112" spans="1:36" x14ac:dyDescent="0.25">
      <c r="A112" s="63"/>
      <c r="B112" s="8">
        <v>513059</v>
      </c>
      <c r="C112" s="8" t="s">
        <v>473</v>
      </c>
      <c r="D112" s="20">
        <v>6414067</v>
      </c>
      <c r="E112" s="8">
        <v>34.5</v>
      </c>
      <c r="F112" s="8">
        <f ca="1">IFERROR(__xludf.DUMMYFUNCTION("GOOGLEFINANCE(""BOM:"" &amp; B112,""price"")"),32.85)</f>
        <v>32.85</v>
      </c>
      <c r="G112" s="8">
        <f t="shared" ca="1" si="21"/>
        <v>-4.7826086956521703</v>
      </c>
      <c r="H112" s="12">
        <f t="shared" si="22"/>
        <v>221285311.5</v>
      </c>
      <c r="I112" s="13">
        <f t="shared" ca="1" si="23"/>
        <v>210702100.95000002</v>
      </c>
      <c r="J112" s="63"/>
      <c r="K112" s="8">
        <v>531680</v>
      </c>
      <c r="L112" s="8" t="s">
        <v>474</v>
      </c>
      <c r="M112" s="12">
        <v>4716280</v>
      </c>
      <c r="N112" s="10" t="s">
        <v>44</v>
      </c>
      <c r="O112" s="10" t="s">
        <v>44</v>
      </c>
      <c r="P112" s="8"/>
      <c r="Q112" s="12"/>
      <c r="R112" s="13"/>
      <c r="S112" s="63"/>
      <c r="T112" s="8">
        <v>506161</v>
      </c>
      <c r="U112" s="8" t="s">
        <v>475</v>
      </c>
      <c r="V112" s="12">
        <v>1375030</v>
      </c>
      <c r="W112" s="8">
        <v>0</v>
      </c>
      <c r="X112" s="11">
        <f ca="1">IFERROR(__xludf.DUMMYFUNCTION("GOOGLEFINANCE(""BOM:"" &amp; T112,""price"")"),0)</f>
        <v>0</v>
      </c>
      <c r="Y112" s="8">
        <v>0</v>
      </c>
      <c r="Z112" s="12">
        <f t="shared" si="25"/>
        <v>0</v>
      </c>
      <c r="AA112" s="13">
        <f t="shared" ca="1" si="26"/>
        <v>0</v>
      </c>
      <c r="AB112" s="63"/>
      <c r="AC112" s="8">
        <v>524572</v>
      </c>
      <c r="AD112" s="8" t="s">
        <v>476</v>
      </c>
      <c r="AE112" s="12">
        <v>9222183</v>
      </c>
      <c r="AF112" s="8">
        <v>61.1</v>
      </c>
      <c r="AG112" s="8">
        <f ca="1">IFERROR(__xludf.DUMMYFUNCTION("GOOGLEFINANCE(""BOM:"" &amp; AC112,""price"")"),52)</f>
        <v>52</v>
      </c>
      <c r="AH112" s="8">
        <f t="shared" ca="1" si="8"/>
        <v>-14.893617021276597</v>
      </c>
      <c r="AI112" s="12">
        <f t="shared" si="9"/>
        <v>563475381.30000007</v>
      </c>
      <c r="AJ112" s="13">
        <f t="shared" ca="1" si="10"/>
        <v>479553516</v>
      </c>
    </row>
    <row r="113" spans="1:36" x14ac:dyDescent="0.25">
      <c r="A113" s="63"/>
      <c r="B113" s="8">
        <v>505712</v>
      </c>
      <c r="C113" s="8" t="s">
        <v>477</v>
      </c>
      <c r="D113" s="20">
        <v>7818661</v>
      </c>
      <c r="E113" s="8">
        <v>146.5</v>
      </c>
      <c r="F113" s="8">
        <f ca="1">IFERROR(__xludf.DUMMYFUNCTION("GOOGLEFINANCE(""BOM:"" &amp; B113,""price"")"),121)</f>
        <v>121</v>
      </c>
      <c r="G113" s="8">
        <f t="shared" ca="1" si="21"/>
        <v>-17.4061433447099</v>
      </c>
      <c r="H113" s="12">
        <f t="shared" si="22"/>
        <v>1145433836.5</v>
      </c>
      <c r="I113" s="13">
        <f t="shared" ca="1" si="23"/>
        <v>946057981</v>
      </c>
      <c r="J113" s="63"/>
      <c r="K113" s="8">
        <v>523373</v>
      </c>
      <c r="L113" s="8" t="s">
        <v>478</v>
      </c>
      <c r="M113" s="12">
        <v>1253200</v>
      </c>
      <c r="N113" s="10">
        <v>28.03</v>
      </c>
      <c r="O113" s="10">
        <f ca="1">IFERROR(__xludf.DUMMYFUNCTION("GOOGLEFINANCE(""BOM:"" &amp; K113,""price"")"),48)</f>
        <v>48</v>
      </c>
      <c r="P113" s="8">
        <f t="shared" ref="P113:P118" ca="1" si="33">((O113-N113)/N113)*100</f>
        <v>71.245094541562608</v>
      </c>
      <c r="Q113" s="12">
        <f t="shared" ref="Q113:Q132" si="34">M113*N113</f>
        <v>35127196</v>
      </c>
      <c r="R113" s="13">
        <f t="shared" ref="R113:R132" ca="1" si="35">M113*O113</f>
        <v>60153600</v>
      </c>
      <c r="S113" s="63"/>
      <c r="T113" s="8">
        <v>530601</v>
      </c>
      <c r="U113" s="8" t="s">
        <v>479</v>
      </c>
      <c r="V113" s="12">
        <v>3779261</v>
      </c>
      <c r="W113" s="8">
        <v>7.24</v>
      </c>
      <c r="X113" s="11">
        <f ca="1">IFERROR(__xludf.DUMMYFUNCTION("GOOGLEFINANCE(""BOM:"" &amp; T113,""price"")"),6.88)</f>
        <v>6.88</v>
      </c>
      <c r="Y113" s="8">
        <f t="shared" ref="Y113:Y147" ca="1" si="36">((X113-W113)/W113)*100</f>
        <v>-4.9723756906077385</v>
      </c>
      <c r="Z113" s="12">
        <f t="shared" si="25"/>
        <v>27361849.640000001</v>
      </c>
      <c r="AA113" s="13">
        <f t="shared" ca="1" si="26"/>
        <v>26001315.68</v>
      </c>
      <c r="AB113" s="63"/>
      <c r="AC113" s="8">
        <v>523620</v>
      </c>
      <c r="AD113" s="8" t="s">
        <v>480</v>
      </c>
      <c r="AE113" s="12">
        <v>5482615</v>
      </c>
      <c r="AF113" s="8">
        <v>29.39</v>
      </c>
      <c r="AG113" s="8">
        <f ca="1">IFERROR(__xludf.DUMMYFUNCTION("GOOGLEFINANCE(""BOM:"" &amp; AC113,""price"")"),29.1)</f>
        <v>29.1</v>
      </c>
      <c r="AH113" s="8">
        <f t="shared" ca="1" si="8"/>
        <v>-0.98673018033344395</v>
      </c>
      <c r="AI113" s="12">
        <f t="shared" si="9"/>
        <v>161134054.84999999</v>
      </c>
      <c r="AJ113" s="13">
        <f t="shared" ca="1" si="10"/>
        <v>159544096.5</v>
      </c>
    </row>
    <row r="114" spans="1:36" x14ac:dyDescent="0.25">
      <c r="A114" s="63"/>
      <c r="B114" s="8">
        <v>509635</v>
      </c>
      <c r="C114" s="8" t="s">
        <v>481</v>
      </c>
      <c r="D114" s="20">
        <v>14351063</v>
      </c>
      <c r="E114" s="8">
        <v>419.45</v>
      </c>
      <c r="F114" s="8">
        <f ca="1">IFERROR(__xludf.DUMMYFUNCTION("GOOGLEFINANCE(""BOM:"" &amp; B114,""price"")"),387.6)</f>
        <v>387.6</v>
      </c>
      <c r="G114" s="8">
        <f t="shared" ca="1" si="21"/>
        <v>-7.5932769102395925</v>
      </c>
      <c r="H114" s="12">
        <f t="shared" si="22"/>
        <v>6019553375.3499994</v>
      </c>
      <c r="I114" s="13">
        <f t="shared" ca="1" si="23"/>
        <v>5562472018.8000002</v>
      </c>
      <c r="J114" s="63"/>
      <c r="K114" s="8">
        <v>539220</v>
      </c>
      <c r="L114" s="8" t="s">
        <v>482</v>
      </c>
      <c r="M114" s="12">
        <v>14450000</v>
      </c>
      <c r="N114" s="10">
        <v>34.5</v>
      </c>
      <c r="O114" s="10">
        <f ca="1">IFERROR(__xludf.DUMMYFUNCTION("GOOGLEFINANCE(""BOM:"" &amp; K114,""price"")"),34.15)</f>
        <v>34.15</v>
      </c>
      <c r="P114" s="8">
        <f t="shared" ca="1" si="33"/>
        <v>-1.0144927536231925</v>
      </c>
      <c r="Q114" s="12">
        <f t="shared" si="34"/>
        <v>498525000</v>
      </c>
      <c r="R114" s="13">
        <f t="shared" ca="1" si="35"/>
        <v>493467500</v>
      </c>
      <c r="S114" s="63"/>
      <c r="T114" s="8">
        <v>501311</v>
      </c>
      <c r="U114" s="8" t="s">
        <v>483</v>
      </c>
      <c r="V114" s="12">
        <v>4762724</v>
      </c>
      <c r="W114" s="8">
        <v>14.24</v>
      </c>
      <c r="X114" s="11">
        <f ca="1">IFERROR(__xludf.DUMMYFUNCTION("GOOGLEFINANCE(""BOM:"" &amp; T114,""price"")"),11.53)</f>
        <v>11.53</v>
      </c>
      <c r="Y114" s="8">
        <f t="shared" ca="1" si="36"/>
        <v>-19.0308988764045</v>
      </c>
      <c r="Z114" s="12">
        <f t="shared" si="25"/>
        <v>67821189.760000005</v>
      </c>
      <c r="AA114" s="13">
        <f t="shared" ca="1" si="26"/>
        <v>54914207.719999999</v>
      </c>
      <c r="AB114" s="63"/>
      <c r="AC114" s="8">
        <v>541601</v>
      </c>
      <c r="AD114" s="8" t="s">
        <v>484</v>
      </c>
      <c r="AE114" s="12">
        <v>768416000</v>
      </c>
      <c r="AF114" s="8">
        <v>10.44</v>
      </c>
      <c r="AG114" s="8">
        <f ca="1">IFERROR(__xludf.DUMMYFUNCTION("GOOGLEFINANCE(""BOM:"" &amp; AC114,""price"")"),6.49)</f>
        <v>6.49</v>
      </c>
      <c r="AH114" s="8">
        <f t="shared" ca="1" si="8"/>
        <v>-37.835249042145591</v>
      </c>
      <c r="AI114" s="12">
        <f t="shared" si="9"/>
        <v>8022263040</v>
      </c>
      <c r="AJ114" s="13">
        <f t="shared" ca="1" si="10"/>
        <v>4987019840</v>
      </c>
    </row>
    <row r="115" spans="1:36" x14ac:dyDescent="0.25">
      <c r="A115" s="63"/>
      <c r="B115" s="8">
        <v>505893</v>
      </c>
      <c r="C115" s="8" t="s">
        <v>485</v>
      </c>
      <c r="D115" s="20">
        <v>1414257</v>
      </c>
      <c r="E115" s="8">
        <v>454.9</v>
      </c>
      <c r="F115" s="8">
        <f ca="1">IFERROR(__xludf.DUMMYFUNCTION("GOOGLEFINANCE(""BOM:"" &amp; B115,""price"")"),414.9)</f>
        <v>414.9</v>
      </c>
      <c r="G115" s="8">
        <f t="shared" ca="1" si="21"/>
        <v>-8.7931413497471986</v>
      </c>
      <c r="H115" s="12">
        <f t="shared" si="22"/>
        <v>643345509.29999995</v>
      </c>
      <c r="I115" s="13">
        <f t="shared" ca="1" si="23"/>
        <v>586775229.29999995</v>
      </c>
      <c r="J115" s="63"/>
      <c r="K115" s="8">
        <v>519455</v>
      </c>
      <c r="L115" s="8" t="s">
        <v>486</v>
      </c>
      <c r="M115" s="12">
        <v>20294285</v>
      </c>
      <c r="N115" s="10">
        <v>76.849999999999994</v>
      </c>
      <c r="O115" s="10">
        <f ca="1">IFERROR(__xludf.DUMMYFUNCTION("GOOGLEFINANCE(""BOM:"" &amp; K115,""price"")"),65.9)</f>
        <v>65.900000000000006</v>
      </c>
      <c r="P115" s="8">
        <f t="shared" ca="1" si="33"/>
        <v>-14.248536109303824</v>
      </c>
      <c r="Q115" s="12">
        <f t="shared" si="34"/>
        <v>1559615802.25</v>
      </c>
      <c r="R115" s="13">
        <f t="shared" ca="1" si="35"/>
        <v>1337393381.5</v>
      </c>
      <c r="S115" s="63"/>
      <c r="T115" s="8">
        <v>523062</v>
      </c>
      <c r="U115" s="8" t="s">
        <v>487</v>
      </c>
      <c r="V115" s="12">
        <v>2107579</v>
      </c>
      <c r="W115" s="8">
        <v>25</v>
      </c>
      <c r="X115" s="11">
        <f ca="1">IFERROR(__xludf.DUMMYFUNCTION("GOOGLEFINANCE(""BOM:"" &amp; T115,""price"")"),23.09)</f>
        <v>23.09</v>
      </c>
      <c r="Y115" s="8">
        <f t="shared" ca="1" si="36"/>
        <v>-7.6400000000000006</v>
      </c>
      <c r="Z115" s="12">
        <f t="shared" si="25"/>
        <v>52689475</v>
      </c>
      <c r="AA115" s="13">
        <f t="shared" ca="1" si="26"/>
        <v>48663999.109999999</v>
      </c>
      <c r="AB115" s="63"/>
      <c r="AC115" s="8">
        <v>530991</v>
      </c>
      <c r="AD115" s="8" t="s">
        <v>488</v>
      </c>
      <c r="AE115" s="12">
        <v>6400635</v>
      </c>
      <c r="AF115" s="8">
        <v>57.34</v>
      </c>
      <c r="AG115" s="8">
        <f ca="1">IFERROR(__xludf.DUMMYFUNCTION("GOOGLEFINANCE(""BOM:"" &amp; AC115,""price"")"),59.2)</f>
        <v>59.2</v>
      </c>
      <c r="AH115" s="8">
        <f t="shared" ca="1" si="8"/>
        <v>3.2438088594349481</v>
      </c>
      <c r="AI115" s="12">
        <f t="shared" si="9"/>
        <v>367012410.90000004</v>
      </c>
      <c r="AJ115" s="13">
        <f t="shared" ca="1" si="10"/>
        <v>378917592</v>
      </c>
    </row>
    <row r="116" spans="1:36" x14ac:dyDescent="0.25">
      <c r="A116" s="63"/>
      <c r="B116" s="8">
        <v>522073</v>
      </c>
      <c r="C116" s="8" t="s">
        <v>489</v>
      </c>
      <c r="D116" s="20">
        <v>18699896</v>
      </c>
      <c r="E116" s="8">
        <v>546.95000000000005</v>
      </c>
      <c r="F116" s="8">
        <f ca="1">IFERROR(__xludf.DUMMYFUNCTION("GOOGLEFINANCE(""BOM:"" &amp; B116,""price"")"),760)</f>
        <v>760</v>
      </c>
      <c r="G116" s="8">
        <f t="shared" ca="1" si="21"/>
        <v>38.952372246091954</v>
      </c>
      <c r="H116" s="12">
        <f t="shared" si="22"/>
        <v>10227908117.200001</v>
      </c>
      <c r="I116" s="13">
        <f t="shared" ca="1" si="23"/>
        <v>14211920960</v>
      </c>
      <c r="J116" s="63"/>
      <c r="K116" s="8">
        <v>530219</v>
      </c>
      <c r="L116" s="8" t="s">
        <v>490</v>
      </c>
      <c r="M116" s="12">
        <v>263118</v>
      </c>
      <c r="N116" s="10">
        <v>226.3</v>
      </c>
      <c r="O116" s="10">
        <f ca="1">IFERROR(__xludf.DUMMYFUNCTION("GOOGLEFINANCE(""BOM:"" &amp; K116,""price"")"),237.6)</f>
        <v>237.6</v>
      </c>
      <c r="P116" s="8">
        <f t="shared" ca="1" si="33"/>
        <v>4.9933716305788698</v>
      </c>
      <c r="Q116" s="12">
        <f t="shared" si="34"/>
        <v>59543603.400000006</v>
      </c>
      <c r="R116" s="13">
        <f t="shared" ca="1" si="35"/>
        <v>62516836.799999997</v>
      </c>
      <c r="S116" s="63"/>
      <c r="T116" s="8">
        <v>507987</v>
      </c>
      <c r="U116" s="8" t="s">
        <v>491</v>
      </c>
      <c r="V116" s="12">
        <v>61400</v>
      </c>
      <c r="W116" s="8">
        <v>3.45</v>
      </c>
      <c r="X116" s="11">
        <f ca="1">IFERROR(__xludf.DUMMYFUNCTION("GOOGLEFINANCE(""BOM:"" &amp; T116,""price"")"),3.45)</f>
        <v>3.45</v>
      </c>
      <c r="Y116" s="8">
        <f t="shared" ca="1" si="36"/>
        <v>0</v>
      </c>
      <c r="Z116" s="12">
        <f t="shared" si="25"/>
        <v>211830</v>
      </c>
      <c r="AA116" s="13">
        <f t="shared" ca="1" si="26"/>
        <v>211830</v>
      </c>
      <c r="AB116" s="63"/>
      <c r="AC116" s="8">
        <v>532983</v>
      </c>
      <c r="AD116" s="8" t="s">
        <v>492</v>
      </c>
      <c r="AE116" s="12">
        <v>16310859</v>
      </c>
      <c r="AF116" s="8">
        <v>1526.4</v>
      </c>
      <c r="AG116" s="8">
        <f ca="1">IFERROR(__xludf.DUMMYFUNCTION("GOOGLEFINANCE(""BOM:"" &amp; AC116,""price"")"),1530)</f>
        <v>1530</v>
      </c>
      <c r="AH116" s="8">
        <f t="shared" ca="1" si="8"/>
        <v>0.23584905660376759</v>
      </c>
      <c r="AI116" s="12">
        <f t="shared" si="9"/>
        <v>24896895177.600002</v>
      </c>
      <c r="AJ116" s="13">
        <f t="shared" ca="1" si="10"/>
        <v>24955614270</v>
      </c>
    </row>
    <row r="117" spans="1:36" x14ac:dyDescent="0.25">
      <c r="A117" s="63"/>
      <c r="B117" s="8">
        <v>517380</v>
      </c>
      <c r="C117" s="8" t="s">
        <v>493</v>
      </c>
      <c r="D117" s="20">
        <v>31342914</v>
      </c>
      <c r="E117" s="8">
        <v>480.55</v>
      </c>
      <c r="F117" s="8">
        <f ca="1">IFERROR(__xludf.DUMMYFUNCTION("GOOGLEFINANCE(""BOM:"" &amp; B117,""price"")"),411)</f>
        <v>411</v>
      </c>
      <c r="G117" s="8">
        <f t="shared" ca="1" si="21"/>
        <v>-14.472999687857666</v>
      </c>
      <c r="H117" s="12">
        <f t="shared" si="22"/>
        <v>15061837322.700001</v>
      </c>
      <c r="I117" s="13">
        <f t="shared" ca="1" si="23"/>
        <v>12881937654</v>
      </c>
      <c r="J117" s="63"/>
      <c r="K117" s="8">
        <v>531626</v>
      </c>
      <c r="L117" s="8" t="s">
        <v>494</v>
      </c>
      <c r="M117" s="12">
        <v>40865770</v>
      </c>
      <c r="N117" s="10">
        <v>4.37</v>
      </c>
      <c r="O117" s="10">
        <f ca="1">IFERROR(__xludf.DUMMYFUNCTION("GOOGLEFINANCE(""BOM:"" &amp; K117,""price"")"),3.9)</f>
        <v>3.9</v>
      </c>
      <c r="P117" s="8">
        <f t="shared" ca="1" si="33"/>
        <v>-10.755148741418768</v>
      </c>
      <c r="Q117" s="12">
        <f t="shared" si="34"/>
        <v>178583414.90000001</v>
      </c>
      <c r="R117" s="13">
        <f t="shared" ca="1" si="35"/>
        <v>159376503</v>
      </c>
      <c r="S117" s="63"/>
      <c r="T117" s="8">
        <v>539679</v>
      </c>
      <c r="U117" s="8" t="s">
        <v>495</v>
      </c>
      <c r="V117" s="12">
        <v>5046900</v>
      </c>
      <c r="W117" s="8">
        <v>14.71</v>
      </c>
      <c r="X117" s="11">
        <f ca="1">IFERROR(__xludf.DUMMYFUNCTION("GOOGLEFINANCE(""BOM:"" &amp; T117,""price"")"),17.32)</f>
        <v>17.32</v>
      </c>
      <c r="Y117" s="8">
        <f t="shared" ca="1" si="36"/>
        <v>17.743031951053702</v>
      </c>
      <c r="Z117" s="12">
        <f t="shared" si="25"/>
        <v>74239899</v>
      </c>
      <c r="AA117" s="13">
        <f t="shared" ca="1" si="26"/>
        <v>87412308</v>
      </c>
      <c r="AB117" s="63"/>
      <c r="AC117" s="8">
        <v>531099</v>
      </c>
      <c r="AD117" s="8" t="s">
        <v>496</v>
      </c>
      <c r="AE117" s="12">
        <v>4269200</v>
      </c>
      <c r="AF117" s="8">
        <v>8.4</v>
      </c>
      <c r="AG117" s="8">
        <f ca="1">IFERROR(__xludf.DUMMYFUNCTION("GOOGLEFINANCE(""BOM:"" &amp; AC117,""price"")"),9.88)</f>
        <v>9.8800000000000008</v>
      </c>
      <c r="AH117" s="8">
        <f t="shared" ca="1" si="8"/>
        <v>17.619047619047624</v>
      </c>
      <c r="AI117" s="12">
        <f t="shared" si="9"/>
        <v>35861280</v>
      </c>
      <c r="AJ117" s="13">
        <f t="shared" ca="1" si="10"/>
        <v>42179696</v>
      </c>
    </row>
    <row r="118" spans="1:36" x14ac:dyDescent="0.25">
      <c r="A118" s="63"/>
      <c r="B118" s="8">
        <v>532240</v>
      </c>
      <c r="C118" s="8" t="s">
        <v>497</v>
      </c>
      <c r="D118" s="20">
        <v>22353396</v>
      </c>
      <c r="E118" s="8">
        <v>729</v>
      </c>
      <c r="F118" s="8">
        <f ca="1">IFERROR(__xludf.DUMMYFUNCTION("GOOGLEFINANCE(""BOM:"" &amp; B118,""price"")"),690.5)</f>
        <v>690.5</v>
      </c>
      <c r="G118" s="8">
        <f t="shared" ca="1" si="21"/>
        <v>-5.2812071330589845</v>
      </c>
      <c r="H118" s="12">
        <f t="shared" si="22"/>
        <v>16295625684</v>
      </c>
      <c r="I118" s="13">
        <f t="shared" ca="1" si="23"/>
        <v>15435019938</v>
      </c>
      <c r="J118" s="63"/>
      <c r="K118" s="8">
        <v>530173</v>
      </c>
      <c r="L118" s="8" t="s">
        <v>498</v>
      </c>
      <c r="M118" s="12">
        <v>2477467</v>
      </c>
      <c r="N118" s="10">
        <v>13.7</v>
      </c>
      <c r="O118" s="10">
        <f ca="1">IFERROR(__xludf.DUMMYFUNCTION("GOOGLEFINANCE(""BOM:"" &amp; K118,""price"")"),13.7)</f>
        <v>13.7</v>
      </c>
      <c r="P118" s="8">
        <f t="shared" ca="1" si="33"/>
        <v>0</v>
      </c>
      <c r="Q118" s="12">
        <f t="shared" si="34"/>
        <v>33941297.899999999</v>
      </c>
      <c r="R118" s="13">
        <f t="shared" ca="1" si="35"/>
        <v>33941297.899999999</v>
      </c>
      <c r="S118" s="63"/>
      <c r="T118" s="8">
        <v>538928</v>
      </c>
      <c r="U118" s="8" t="s">
        <v>499</v>
      </c>
      <c r="V118" s="12">
        <v>97496000</v>
      </c>
      <c r="W118" s="8">
        <v>2.14</v>
      </c>
      <c r="X118" s="11">
        <f ca="1">IFERROR(__xludf.DUMMYFUNCTION("GOOGLEFINANCE(""BOM:"" &amp; T118,""price"")"),2.14)</f>
        <v>2.14</v>
      </c>
      <c r="Y118" s="8">
        <f t="shared" ca="1" si="36"/>
        <v>0</v>
      </c>
      <c r="Z118" s="12">
        <f t="shared" si="25"/>
        <v>208641440</v>
      </c>
      <c r="AA118" s="13">
        <f t="shared" ca="1" si="26"/>
        <v>208641440</v>
      </c>
      <c r="AB118" s="63"/>
      <c r="AC118" s="8">
        <v>530125</v>
      </c>
      <c r="AD118" s="8" t="s">
        <v>500</v>
      </c>
      <c r="AE118" s="12">
        <v>2733190</v>
      </c>
      <c r="AF118" s="8">
        <v>368</v>
      </c>
      <c r="AG118" s="8">
        <f ca="1">IFERROR(__xludf.DUMMYFUNCTION("GOOGLEFINANCE(""BOM:"" &amp; AC118,""price"")"),333.45)</f>
        <v>333.45</v>
      </c>
      <c r="AH118" s="8">
        <f t="shared" ca="1" si="8"/>
        <v>-9.3885869565217419</v>
      </c>
      <c r="AI118" s="12">
        <f t="shared" si="9"/>
        <v>1005813920</v>
      </c>
      <c r="AJ118" s="13">
        <f t="shared" ca="1" si="10"/>
        <v>911382205.5</v>
      </c>
    </row>
    <row r="119" spans="1:36" x14ac:dyDescent="0.25">
      <c r="A119" s="63"/>
      <c r="B119" s="8">
        <v>505100</v>
      </c>
      <c r="C119" s="8" t="s">
        <v>501</v>
      </c>
      <c r="D119" s="20">
        <v>409309</v>
      </c>
      <c r="E119" s="8">
        <v>5.93</v>
      </c>
      <c r="F119" s="8">
        <f ca="1">IFERROR(__xludf.DUMMYFUNCTION("GOOGLEFINANCE(""BOM:"" &amp; B119,""price"")"),6.22)</f>
        <v>6.22</v>
      </c>
      <c r="G119" s="8">
        <f t="shared" ca="1" si="21"/>
        <v>4.8903878583473874</v>
      </c>
      <c r="H119" s="12">
        <f t="shared" si="22"/>
        <v>2427202.37</v>
      </c>
      <c r="I119" s="13">
        <f t="shared" ca="1" si="23"/>
        <v>2545901.98</v>
      </c>
      <c r="J119" s="63"/>
      <c r="K119" s="8">
        <v>540467</v>
      </c>
      <c r="L119" s="8" t="s">
        <v>502</v>
      </c>
      <c r="M119" s="12">
        <v>2483975</v>
      </c>
      <c r="N119" s="10">
        <v>0</v>
      </c>
      <c r="O119" s="10">
        <f ca="1">IFERROR(__xludf.DUMMYFUNCTION("GOOGLEFINANCE(""BOM:"" &amp; K119,""price"")"),0)</f>
        <v>0</v>
      </c>
      <c r="P119" s="8">
        <v>0</v>
      </c>
      <c r="Q119" s="12">
        <f t="shared" si="34"/>
        <v>0</v>
      </c>
      <c r="R119" s="13">
        <f t="shared" ca="1" si="35"/>
        <v>0</v>
      </c>
      <c r="S119" s="63"/>
      <c r="T119" s="8">
        <v>507948</v>
      </c>
      <c r="U119" s="8" t="s">
        <v>503</v>
      </c>
      <c r="V119" s="12">
        <v>4618490</v>
      </c>
      <c r="W119" s="8">
        <v>87.85</v>
      </c>
      <c r="X119" s="11">
        <f ca="1">IFERROR(__xludf.DUMMYFUNCTION("GOOGLEFINANCE(""BOM:"" &amp; T119,""price"")"),92.24)</f>
        <v>92.24</v>
      </c>
      <c r="Y119" s="8">
        <f t="shared" ca="1" si="36"/>
        <v>4.9971542401821303</v>
      </c>
      <c r="Z119" s="12">
        <f t="shared" si="25"/>
        <v>405734346.5</v>
      </c>
      <c r="AA119" s="13">
        <f t="shared" ca="1" si="26"/>
        <v>426009517.59999996</v>
      </c>
      <c r="AB119" s="63"/>
      <c r="AC119" s="8">
        <v>524703</v>
      </c>
      <c r="AD119" s="8" t="s">
        <v>504</v>
      </c>
      <c r="AE119" s="12">
        <v>7918414</v>
      </c>
      <c r="AF119" s="8">
        <v>68.36</v>
      </c>
      <c r="AG119" s="8">
        <f ca="1">IFERROR(__xludf.DUMMYFUNCTION("GOOGLEFINANCE(""BOM:"" &amp; AC119,""price"")"),57)</f>
        <v>57</v>
      </c>
      <c r="AH119" s="8">
        <f t="shared" ca="1" si="8"/>
        <v>-16.617905207723815</v>
      </c>
      <c r="AI119" s="12">
        <f t="shared" si="9"/>
        <v>541302781.03999996</v>
      </c>
      <c r="AJ119" s="13">
        <f t="shared" ca="1" si="10"/>
        <v>451349598</v>
      </c>
    </row>
    <row r="120" spans="1:36" x14ac:dyDescent="0.25">
      <c r="A120" s="63"/>
      <c r="B120" s="8">
        <v>523638</v>
      </c>
      <c r="C120" s="8" t="s">
        <v>505</v>
      </c>
      <c r="D120" s="20">
        <v>12501516</v>
      </c>
      <c r="E120" s="8">
        <v>175</v>
      </c>
      <c r="F120" s="8">
        <f ca="1">IFERROR(__xludf.DUMMYFUNCTION("GOOGLEFINANCE(""BOM:"" &amp; B120,""price"")"),148.15)</f>
        <v>148.15</v>
      </c>
      <c r="G120" s="8">
        <f t="shared" ca="1" si="21"/>
        <v>-15.342857142857138</v>
      </c>
      <c r="H120" s="12">
        <f t="shared" si="22"/>
        <v>2187765300</v>
      </c>
      <c r="I120" s="13">
        <f t="shared" ca="1" si="23"/>
        <v>1852099595.4000001</v>
      </c>
      <c r="J120" s="63"/>
      <c r="K120" s="8">
        <v>534809</v>
      </c>
      <c r="L120" s="8" t="s">
        <v>506</v>
      </c>
      <c r="M120" s="12">
        <v>465402986</v>
      </c>
      <c r="N120" s="10">
        <v>60.59</v>
      </c>
      <c r="O120" s="10">
        <f ca="1">IFERROR(__xludf.DUMMYFUNCTION("GOOGLEFINANCE(""BOM:"" &amp; K120,""price"")"),53.44)</f>
        <v>53.44</v>
      </c>
      <c r="P120" s="8">
        <f t="shared" ref="P120:P132" ca="1" si="37">((O120-N120)/N120)*100</f>
        <v>-11.800627166199051</v>
      </c>
      <c r="Q120" s="12">
        <f t="shared" si="34"/>
        <v>28198766921.740002</v>
      </c>
      <c r="R120" s="13">
        <f t="shared" ca="1" si="35"/>
        <v>24871135571.84</v>
      </c>
      <c r="S120" s="63"/>
      <c r="T120" s="8">
        <v>507946</v>
      </c>
      <c r="U120" s="8" t="s">
        <v>507</v>
      </c>
      <c r="V120" s="12">
        <v>1568400</v>
      </c>
      <c r="W120" s="8">
        <v>285.10000000000002</v>
      </c>
      <c r="X120" s="11">
        <f ca="1">IFERROR(__xludf.DUMMYFUNCTION("GOOGLEFINANCE(""BOM:"" &amp; T120,""price"")"),244.65)</f>
        <v>244.65</v>
      </c>
      <c r="Y120" s="8">
        <f t="shared" ca="1" si="36"/>
        <v>-14.188004209049462</v>
      </c>
      <c r="Z120" s="12">
        <f t="shared" si="25"/>
        <v>447150840.00000006</v>
      </c>
      <c r="AA120" s="13">
        <f t="shared" ca="1" si="26"/>
        <v>383709060</v>
      </c>
      <c r="AB120" s="63"/>
      <c r="AC120" s="8">
        <v>531569</v>
      </c>
      <c r="AD120" s="8" t="s">
        <v>508</v>
      </c>
      <c r="AE120" s="12">
        <v>9937005</v>
      </c>
      <c r="AF120" s="8">
        <v>179.1</v>
      </c>
      <c r="AG120" s="8">
        <f ca="1">IFERROR(__xludf.DUMMYFUNCTION("GOOGLEFINANCE(""BOM:"" &amp; AC120,""price"")"),150)</f>
        <v>150</v>
      </c>
      <c r="AH120" s="8">
        <f t="shared" ca="1" si="8"/>
        <v>-16.247906197654938</v>
      </c>
      <c r="AI120" s="12">
        <f t="shared" si="9"/>
        <v>1779717595.5</v>
      </c>
      <c r="AJ120" s="13">
        <f t="shared" ca="1" si="10"/>
        <v>1490550750</v>
      </c>
    </row>
    <row r="121" spans="1:36" x14ac:dyDescent="0.25">
      <c r="A121" s="63"/>
      <c r="B121" s="8">
        <v>508807</v>
      </c>
      <c r="C121" s="8" t="s">
        <v>509</v>
      </c>
      <c r="D121" s="20">
        <v>10803796</v>
      </c>
      <c r="E121" s="8">
        <v>978.1</v>
      </c>
      <c r="F121" s="8">
        <f ca="1">IFERROR(__xludf.DUMMYFUNCTION("GOOGLEFINANCE(""BOM:"" &amp; B121,""price"")"),921.2)</f>
        <v>921.2</v>
      </c>
      <c r="G121" s="8">
        <f t="shared" ca="1" si="21"/>
        <v>-5.8174010837337669</v>
      </c>
      <c r="H121" s="12">
        <f t="shared" si="22"/>
        <v>10567192867.6</v>
      </c>
      <c r="I121" s="13">
        <f t="shared" ca="1" si="23"/>
        <v>9952456875.2000008</v>
      </c>
      <c r="J121" s="63"/>
      <c r="K121" s="8">
        <v>539401</v>
      </c>
      <c r="L121" s="8" t="s">
        <v>510</v>
      </c>
      <c r="M121" s="12">
        <v>4317000</v>
      </c>
      <c r="N121" s="10">
        <v>226.95</v>
      </c>
      <c r="O121" s="10">
        <f ca="1">IFERROR(__xludf.DUMMYFUNCTION("GOOGLEFINANCE(""BOM:"" &amp; K121,""price"")"),227.95)</f>
        <v>227.95</v>
      </c>
      <c r="P121" s="8">
        <f t="shared" ca="1" si="37"/>
        <v>0.44062568847763822</v>
      </c>
      <c r="Q121" s="12">
        <f t="shared" si="34"/>
        <v>979743150</v>
      </c>
      <c r="R121" s="13">
        <f t="shared" ca="1" si="35"/>
        <v>984060150</v>
      </c>
      <c r="S121" s="63"/>
      <c r="T121" s="8">
        <v>535566</v>
      </c>
      <c r="U121" s="8" t="s">
        <v>511</v>
      </c>
      <c r="V121" s="12">
        <v>10765820</v>
      </c>
      <c r="W121" s="8">
        <v>155</v>
      </c>
      <c r="X121" s="11">
        <f ca="1">IFERROR(__xludf.DUMMYFUNCTION("GOOGLEFINANCE(""BOM:"" &amp; T121,""price"")"),136)</f>
        <v>136</v>
      </c>
      <c r="Y121" s="8">
        <f t="shared" ca="1" si="36"/>
        <v>-12.258064516129032</v>
      </c>
      <c r="Z121" s="12">
        <f t="shared" si="25"/>
        <v>1668702100</v>
      </c>
      <c r="AA121" s="13">
        <f t="shared" ca="1" si="26"/>
        <v>1464151520</v>
      </c>
      <c r="AB121" s="63"/>
      <c r="AC121" s="8">
        <v>500674</v>
      </c>
      <c r="AD121" s="8" t="s">
        <v>512</v>
      </c>
      <c r="AE121" s="12">
        <v>22926256</v>
      </c>
      <c r="AF121" s="8">
        <v>8669.2999999999993</v>
      </c>
      <c r="AG121" s="8">
        <f ca="1">IFERROR(__xludf.DUMMYFUNCTION("GOOGLEFINANCE(""BOM:"" &amp; AC121,""price"")"),8198.15)</f>
        <v>8198.15</v>
      </c>
      <c r="AH121" s="8">
        <f t="shared" ca="1" si="8"/>
        <v>-5.4346948427208623</v>
      </c>
      <c r="AI121" s="12">
        <f t="shared" si="9"/>
        <v>198754591140.79999</v>
      </c>
      <c r="AJ121" s="13">
        <f t="shared" ca="1" si="10"/>
        <v>187952885626.39999</v>
      </c>
    </row>
    <row r="122" spans="1:36" x14ac:dyDescent="0.25">
      <c r="A122" s="63"/>
      <c r="B122" s="8">
        <v>530711</v>
      </c>
      <c r="C122" s="8" t="s">
        <v>513</v>
      </c>
      <c r="D122" s="20">
        <v>6218937</v>
      </c>
      <c r="E122" s="8">
        <v>118</v>
      </c>
      <c r="F122" s="8">
        <f ca="1">IFERROR(__xludf.DUMMYFUNCTION("GOOGLEFINANCE(""BOM:"" &amp; B122,""price"")"),113.65)</f>
        <v>113.65</v>
      </c>
      <c r="G122" s="8">
        <f t="shared" ca="1" si="21"/>
        <v>-3.6864406779660972</v>
      </c>
      <c r="H122" s="12">
        <f t="shared" si="22"/>
        <v>733834566</v>
      </c>
      <c r="I122" s="13">
        <f t="shared" ca="1" si="23"/>
        <v>706782190.05000007</v>
      </c>
      <c r="J122" s="63"/>
      <c r="K122" s="8">
        <v>512099</v>
      </c>
      <c r="L122" s="8" t="s">
        <v>514</v>
      </c>
      <c r="M122" s="12">
        <v>1440000</v>
      </c>
      <c r="N122" s="10">
        <v>963.9</v>
      </c>
      <c r="O122" s="10">
        <f ca="1">IFERROR(__xludf.DUMMYFUNCTION("GOOGLEFINANCE(""BOM:"" &amp; K122,""price"")"),963.9)</f>
        <v>963.9</v>
      </c>
      <c r="P122" s="8">
        <f t="shared" ca="1" si="37"/>
        <v>0</v>
      </c>
      <c r="Q122" s="12">
        <f t="shared" si="34"/>
        <v>1388016000</v>
      </c>
      <c r="R122" s="13">
        <f t="shared" ca="1" si="35"/>
        <v>1388016000</v>
      </c>
      <c r="S122" s="63"/>
      <c r="T122" s="8">
        <v>531274</v>
      </c>
      <c r="U122" s="8" t="s">
        <v>515</v>
      </c>
      <c r="V122" s="12">
        <v>1251950</v>
      </c>
      <c r="W122" s="8">
        <v>14.93</v>
      </c>
      <c r="X122" s="11">
        <f ca="1">IFERROR(__xludf.DUMMYFUNCTION("GOOGLEFINANCE(""BOM:"" &amp; T122,""price"")"),15.67)</f>
        <v>15.67</v>
      </c>
      <c r="Y122" s="8">
        <f t="shared" ca="1" si="36"/>
        <v>4.9564634963161431</v>
      </c>
      <c r="Z122" s="12">
        <f t="shared" si="25"/>
        <v>18691613.5</v>
      </c>
      <c r="AA122" s="13">
        <f t="shared" ca="1" si="26"/>
        <v>19618056.5</v>
      </c>
      <c r="AB122" s="63"/>
      <c r="AC122" s="8">
        <v>524727</v>
      </c>
      <c r="AD122" s="8" t="s">
        <v>516</v>
      </c>
      <c r="AE122" s="12">
        <v>5274843</v>
      </c>
      <c r="AF122" s="8">
        <v>14.91</v>
      </c>
      <c r="AG122" s="8">
        <f ca="1">IFERROR(__xludf.DUMMYFUNCTION("GOOGLEFINANCE(""BOM:"" &amp; AC122,""price"")"),17.1)</f>
        <v>17.100000000000001</v>
      </c>
      <c r="AH122" s="8">
        <f t="shared" ca="1" si="8"/>
        <v>14.688128772635823</v>
      </c>
      <c r="AI122" s="12">
        <f t="shared" si="9"/>
        <v>78647909.129999995</v>
      </c>
      <c r="AJ122" s="13">
        <f t="shared" ca="1" si="10"/>
        <v>90199815.300000012</v>
      </c>
    </row>
    <row r="123" spans="1:36" x14ac:dyDescent="0.25">
      <c r="A123" s="63"/>
      <c r="B123" s="8">
        <v>505212</v>
      </c>
      <c r="C123" s="8" t="s">
        <v>517</v>
      </c>
      <c r="D123" s="20">
        <v>1357303</v>
      </c>
      <c r="E123" s="8">
        <v>150</v>
      </c>
      <c r="F123" s="8">
        <f ca="1">IFERROR(__xludf.DUMMYFUNCTION("GOOGLEFINANCE(""BOM:"" &amp; B123,""price"")"),132)</f>
        <v>132</v>
      </c>
      <c r="G123" s="8">
        <f t="shared" ca="1" si="21"/>
        <v>-12</v>
      </c>
      <c r="H123" s="12">
        <f t="shared" si="22"/>
        <v>203595450</v>
      </c>
      <c r="I123" s="13">
        <f t="shared" ca="1" si="23"/>
        <v>179163996</v>
      </c>
      <c r="J123" s="63"/>
      <c r="K123" s="8">
        <v>540125</v>
      </c>
      <c r="L123" s="8" t="s">
        <v>518</v>
      </c>
      <c r="M123" s="12">
        <v>23600000</v>
      </c>
      <c r="N123" s="10">
        <v>67.59</v>
      </c>
      <c r="O123" s="10">
        <f ca="1">IFERROR(__xludf.DUMMYFUNCTION("GOOGLEFINANCE(""BOM:"" &amp; K123,""price"")"),64.63)</f>
        <v>64.63</v>
      </c>
      <c r="P123" s="8">
        <f t="shared" ca="1" si="37"/>
        <v>-4.3793460571090517</v>
      </c>
      <c r="Q123" s="12">
        <f t="shared" si="34"/>
        <v>1595124000</v>
      </c>
      <c r="R123" s="13">
        <f t="shared" ca="1" si="35"/>
        <v>1525268000</v>
      </c>
      <c r="S123" s="63"/>
      <c r="T123" s="8">
        <v>537750</v>
      </c>
      <c r="U123" s="8" t="s">
        <v>519</v>
      </c>
      <c r="V123" s="12">
        <v>27229508</v>
      </c>
      <c r="W123" s="8">
        <v>179</v>
      </c>
      <c r="X123" s="11">
        <f ca="1">IFERROR(__xludf.DUMMYFUNCTION("GOOGLEFINANCE(""BOM:"" &amp; T123,""price"")"),177)</f>
        <v>177</v>
      </c>
      <c r="Y123" s="8">
        <f t="shared" ca="1" si="36"/>
        <v>-1.1173184357541899</v>
      </c>
      <c r="Z123" s="12">
        <f t="shared" si="25"/>
        <v>4874081932</v>
      </c>
      <c r="AA123" s="13">
        <f t="shared" ca="1" si="26"/>
        <v>4819622916</v>
      </c>
      <c r="AB123" s="63"/>
      <c r="AC123" s="8">
        <v>512529</v>
      </c>
      <c r="AD123" s="8" t="s">
        <v>520</v>
      </c>
      <c r="AE123" s="12">
        <v>249395965</v>
      </c>
      <c r="AF123" s="8">
        <v>130.15</v>
      </c>
      <c r="AG123" s="8">
        <f ca="1">IFERROR(__xludf.DUMMYFUNCTION("GOOGLEFINANCE(""BOM:"" &amp; AC123,""price"")"),115.3)</f>
        <v>115.3</v>
      </c>
      <c r="AH123" s="8">
        <f t="shared" ca="1" si="8"/>
        <v>-11.409911640414911</v>
      </c>
      <c r="AI123" s="12">
        <f t="shared" si="9"/>
        <v>32458884844.75</v>
      </c>
      <c r="AJ123" s="13">
        <f t="shared" ca="1" si="10"/>
        <v>28755354764.5</v>
      </c>
    </row>
    <row r="124" spans="1:36" x14ac:dyDescent="0.25">
      <c r="A124" s="63"/>
      <c r="B124" s="8">
        <v>520051</v>
      </c>
      <c r="C124" s="8" t="s">
        <v>521</v>
      </c>
      <c r="D124" s="20">
        <v>392903685</v>
      </c>
      <c r="E124" s="8">
        <v>130.05000000000001</v>
      </c>
      <c r="F124" s="8">
        <f ca="1">IFERROR(__xludf.DUMMYFUNCTION("GOOGLEFINANCE(""BOM:"" &amp; B124,""price"")"),132.4)</f>
        <v>132.4</v>
      </c>
      <c r="G124" s="8">
        <f t="shared" ca="1" si="21"/>
        <v>1.806997308727408</v>
      </c>
      <c r="H124" s="12">
        <f t="shared" si="22"/>
        <v>51097124234.250008</v>
      </c>
      <c r="I124" s="13">
        <f t="shared" ca="1" si="23"/>
        <v>52020447894</v>
      </c>
      <c r="J124" s="63"/>
      <c r="K124" s="8">
        <v>531887</v>
      </c>
      <c r="L124" s="8" t="s">
        <v>522</v>
      </c>
      <c r="M124" s="12">
        <v>2705950</v>
      </c>
      <c r="N124" s="10">
        <v>14.58</v>
      </c>
      <c r="O124" s="10">
        <f ca="1">IFERROR(__xludf.DUMMYFUNCTION("GOOGLEFINANCE(""BOM:"" &amp; K124,""price"")"),15.3)</f>
        <v>15.3</v>
      </c>
      <c r="P124" s="8">
        <f t="shared" ca="1" si="37"/>
        <v>4.9382716049382758</v>
      </c>
      <c r="Q124" s="12">
        <f t="shared" si="34"/>
        <v>39452751</v>
      </c>
      <c r="R124" s="13">
        <f t="shared" ca="1" si="35"/>
        <v>41401035</v>
      </c>
      <c r="S124" s="63"/>
      <c r="T124" s="8">
        <v>530235</v>
      </c>
      <c r="U124" s="8" t="s">
        <v>523</v>
      </c>
      <c r="V124" s="12">
        <v>4521924</v>
      </c>
      <c r="W124" s="8">
        <v>51.1</v>
      </c>
      <c r="X124" s="11">
        <f ca="1">IFERROR(__xludf.DUMMYFUNCTION("GOOGLEFINANCE(""BOM:"" &amp; T124,""price"")"),50.75)</f>
        <v>50.75</v>
      </c>
      <c r="Y124" s="8">
        <f t="shared" ca="1" si="36"/>
        <v>-0.68493150684931781</v>
      </c>
      <c r="Z124" s="12">
        <f t="shared" si="25"/>
        <v>231070316.40000001</v>
      </c>
      <c r="AA124" s="13">
        <f t="shared" ca="1" si="26"/>
        <v>229487643</v>
      </c>
      <c r="AB124" s="63"/>
      <c r="AC124" s="8">
        <v>540737</v>
      </c>
      <c r="AD124" s="8" t="s">
        <v>524</v>
      </c>
      <c r="AE124" s="12">
        <v>12006727</v>
      </c>
      <c r="AF124" s="8">
        <v>680.4</v>
      </c>
      <c r="AG124" s="8">
        <f ca="1">IFERROR(__xludf.DUMMYFUNCTION("GOOGLEFINANCE(""BOM:"" &amp; AC124,""price"")"),667.3)</f>
        <v>667.3</v>
      </c>
      <c r="AH124" s="8">
        <f t="shared" ca="1" si="8"/>
        <v>-1.925338036449151</v>
      </c>
      <c r="AI124" s="12">
        <f t="shared" si="9"/>
        <v>8169377050.8000002</v>
      </c>
      <c r="AJ124" s="13">
        <f t="shared" ca="1" si="10"/>
        <v>8012088927.0999994</v>
      </c>
    </row>
    <row r="125" spans="1:36" x14ac:dyDescent="0.25">
      <c r="A125" s="63"/>
      <c r="B125" s="8">
        <v>520066</v>
      </c>
      <c r="C125" s="8" t="s">
        <v>525</v>
      </c>
      <c r="D125" s="20">
        <v>106971872</v>
      </c>
      <c r="E125" s="8">
        <v>134.85</v>
      </c>
      <c r="F125" s="8">
        <f ca="1">IFERROR(__xludf.DUMMYFUNCTION("GOOGLEFINANCE(""BOM:"" &amp; B125,""price"")"),118.25)</f>
        <v>118.25</v>
      </c>
      <c r="G125" s="8">
        <f t="shared" ca="1" si="21"/>
        <v>-12.309974045235442</v>
      </c>
      <c r="H125" s="12">
        <f t="shared" si="22"/>
        <v>14425156939.199999</v>
      </c>
      <c r="I125" s="13">
        <f t="shared" ca="1" si="23"/>
        <v>12649423864</v>
      </c>
      <c r="J125" s="63"/>
      <c r="K125" s="8">
        <v>531500</v>
      </c>
      <c r="L125" s="8" t="s">
        <v>526</v>
      </c>
      <c r="M125" s="12">
        <v>294908027</v>
      </c>
      <c r="N125" s="10">
        <v>312.25</v>
      </c>
      <c r="O125" s="10">
        <f ca="1">IFERROR(__xludf.DUMMYFUNCTION("GOOGLEFINANCE(""BOM:"" &amp; K125,""price"")"),263.1)</f>
        <v>263.10000000000002</v>
      </c>
      <c r="P125" s="8">
        <f t="shared" ca="1" si="37"/>
        <v>-15.740592473979175</v>
      </c>
      <c r="Q125" s="12">
        <f t="shared" si="34"/>
        <v>92085031430.75</v>
      </c>
      <c r="R125" s="13">
        <f t="shared" ca="1" si="35"/>
        <v>77590301903.700012</v>
      </c>
      <c r="S125" s="63"/>
      <c r="T125" s="8">
        <v>530139</v>
      </c>
      <c r="U125" s="8" t="s">
        <v>527</v>
      </c>
      <c r="V125" s="12">
        <v>9357200</v>
      </c>
      <c r="W125" s="8">
        <v>52.87</v>
      </c>
      <c r="X125" s="11">
        <f ca="1">IFERROR(__xludf.DUMMYFUNCTION("GOOGLEFINANCE(""BOM:"" &amp; T125,""price"")"),38.5)</f>
        <v>38.5</v>
      </c>
      <c r="Y125" s="8">
        <f t="shared" ca="1" si="36"/>
        <v>-27.179875165500277</v>
      </c>
      <c r="Z125" s="12">
        <f t="shared" si="25"/>
        <v>494715164</v>
      </c>
      <c r="AA125" s="13">
        <f t="shared" ca="1" si="26"/>
        <v>360252200</v>
      </c>
      <c r="AB125" s="63"/>
      <c r="AC125" s="8">
        <v>530549</v>
      </c>
      <c r="AD125" s="8" t="s">
        <v>528</v>
      </c>
      <c r="AE125" s="12">
        <v>86563274</v>
      </c>
      <c r="AF125" s="8">
        <v>420</v>
      </c>
      <c r="AG125" s="8">
        <f ca="1">IFERROR(__xludf.DUMMYFUNCTION("GOOGLEFINANCE(""BOM:"" &amp; AC125,""price"")"),460.5)</f>
        <v>460.5</v>
      </c>
      <c r="AH125" s="8">
        <f t="shared" ca="1" si="8"/>
        <v>9.6428571428571441</v>
      </c>
      <c r="AI125" s="12">
        <f t="shared" si="9"/>
        <v>36356575080</v>
      </c>
      <c r="AJ125" s="13">
        <f t="shared" ca="1" si="10"/>
        <v>39862387677</v>
      </c>
    </row>
    <row r="126" spans="1:36" x14ac:dyDescent="0.25">
      <c r="A126" s="63"/>
      <c r="B126" s="8">
        <v>513252</v>
      </c>
      <c r="C126" s="8" t="s">
        <v>529</v>
      </c>
      <c r="D126" s="20">
        <v>1357303</v>
      </c>
      <c r="E126" s="8">
        <v>744.9</v>
      </c>
      <c r="F126" s="8">
        <f ca="1">IFERROR(__xludf.DUMMYFUNCTION("GOOGLEFINANCE(""BOM:"" &amp; B126,""price"")"),671.05)</f>
        <v>671.05</v>
      </c>
      <c r="G126" s="8">
        <f t="shared" ca="1" si="21"/>
        <v>-9.9140824271714365</v>
      </c>
      <c r="H126" s="12">
        <f t="shared" si="22"/>
        <v>1011055004.6999999</v>
      </c>
      <c r="I126" s="13">
        <f t="shared" ca="1" si="23"/>
        <v>910818178.14999998</v>
      </c>
      <c r="J126" s="63"/>
      <c r="K126" s="8">
        <v>532923</v>
      </c>
      <c r="L126" s="8" t="s">
        <v>530</v>
      </c>
      <c r="M126" s="12">
        <v>94396950</v>
      </c>
      <c r="N126" s="10">
        <v>131.1</v>
      </c>
      <c r="O126" s="10">
        <f ca="1">IFERROR(__xludf.DUMMYFUNCTION("GOOGLEFINANCE(""BOM:"" &amp; K126,""price"")"),100)</f>
        <v>100</v>
      </c>
      <c r="P126" s="8">
        <f t="shared" ca="1" si="37"/>
        <v>-23.722349351639966</v>
      </c>
      <c r="Q126" s="12">
        <f t="shared" si="34"/>
        <v>12375440145</v>
      </c>
      <c r="R126" s="13">
        <f t="shared" ca="1" si="35"/>
        <v>9439695000</v>
      </c>
      <c r="S126" s="63"/>
      <c r="T126" s="8">
        <v>539384</v>
      </c>
      <c r="U126" s="8" t="s">
        <v>531</v>
      </c>
      <c r="V126" s="12">
        <v>2110400</v>
      </c>
      <c r="W126" s="8">
        <v>19.91</v>
      </c>
      <c r="X126" s="11">
        <f ca="1">IFERROR(__xludf.DUMMYFUNCTION("GOOGLEFINANCE(""BOM:"" &amp; T126,""price"")"),17.14)</f>
        <v>17.14</v>
      </c>
      <c r="Y126" s="8">
        <f t="shared" ca="1" si="36"/>
        <v>-13.912606730286287</v>
      </c>
      <c r="Z126" s="12">
        <f t="shared" si="25"/>
        <v>42018064</v>
      </c>
      <c r="AA126" s="13">
        <f t="shared" ca="1" si="26"/>
        <v>36172256</v>
      </c>
      <c r="AB126" s="63"/>
      <c r="AC126" s="8">
        <v>524632</v>
      </c>
      <c r="AD126" s="8" t="s">
        <v>532</v>
      </c>
      <c r="AE126" s="12">
        <v>1477195</v>
      </c>
      <c r="AF126" s="8">
        <v>304.25</v>
      </c>
      <c r="AG126" s="8">
        <f ca="1">IFERROR(__xludf.DUMMYFUNCTION("GOOGLEFINANCE(""BOM:"" &amp; AC126,""price"")"),326.55)</f>
        <v>326.55</v>
      </c>
      <c r="AH126" s="8">
        <f t="shared" ca="1" si="8"/>
        <v>7.329498767460974</v>
      </c>
      <c r="AI126" s="12">
        <f t="shared" si="9"/>
        <v>449436578.75</v>
      </c>
      <c r="AJ126" s="13">
        <f t="shared" ca="1" si="10"/>
        <v>482378027.25</v>
      </c>
    </row>
    <row r="127" spans="1:36" x14ac:dyDescent="0.25">
      <c r="A127" s="63"/>
      <c r="B127" s="8">
        <v>532605</v>
      </c>
      <c r="C127" s="8" t="s">
        <v>533</v>
      </c>
      <c r="D127" s="20">
        <v>117993530</v>
      </c>
      <c r="E127" s="8">
        <v>2147.1999999999998</v>
      </c>
      <c r="F127" s="8">
        <f ca="1">IFERROR(__xludf.DUMMYFUNCTION("GOOGLEFINANCE(""BOM:"" &amp; B127,""price"")"),1810)</f>
        <v>1810</v>
      </c>
      <c r="G127" s="8">
        <f t="shared" ca="1" si="21"/>
        <v>-15.704172876304018</v>
      </c>
      <c r="H127" s="12">
        <f t="shared" si="22"/>
        <v>253355707615.99997</v>
      </c>
      <c r="I127" s="13">
        <f t="shared" ca="1" si="23"/>
        <v>213568289300</v>
      </c>
      <c r="J127" s="63"/>
      <c r="K127" s="8">
        <v>543171</v>
      </c>
      <c r="L127" s="8" t="s">
        <v>534</v>
      </c>
      <c r="M127" s="12">
        <v>50446335</v>
      </c>
      <c r="N127" s="10">
        <v>4.4000000000000004</v>
      </c>
      <c r="O127" s="10">
        <f ca="1">IFERROR(__xludf.DUMMYFUNCTION("GOOGLEFINANCE(""BOM:"" &amp; K127,""price"")"),3.5)</f>
        <v>3.5</v>
      </c>
      <c r="P127" s="8">
        <f t="shared" ca="1" si="37"/>
        <v>-20.45454545454546</v>
      </c>
      <c r="Q127" s="12">
        <f t="shared" si="34"/>
        <v>221963874.00000003</v>
      </c>
      <c r="R127" s="13">
        <f t="shared" ca="1" si="35"/>
        <v>176562172.5</v>
      </c>
      <c r="S127" s="63"/>
      <c r="T127" s="8">
        <v>539408</v>
      </c>
      <c r="U127" s="8" t="s">
        <v>535</v>
      </c>
      <c r="V127" s="12">
        <v>3395300</v>
      </c>
      <c r="W127" s="8">
        <v>7.69</v>
      </c>
      <c r="X127" s="11">
        <f ca="1">IFERROR(__xludf.DUMMYFUNCTION("GOOGLEFINANCE(""BOM:"" &amp; T127,""price"")"),7)</f>
        <v>7</v>
      </c>
      <c r="Y127" s="8">
        <f t="shared" ca="1" si="36"/>
        <v>-8.972691807542267</v>
      </c>
      <c r="Z127" s="12">
        <f t="shared" si="25"/>
        <v>26109857</v>
      </c>
      <c r="AA127" s="13">
        <f t="shared" ca="1" si="26"/>
        <v>23767100</v>
      </c>
      <c r="AB127" s="63"/>
      <c r="AC127" s="8">
        <v>543389</v>
      </c>
      <c r="AD127" s="8" t="s">
        <v>536</v>
      </c>
      <c r="AE127" s="12">
        <v>307425000</v>
      </c>
      <c r="AF127" s="8">
        <v>86.28</v>
      </c>
      <c r="AG127" s="8">
        <f ca="1">IFERROR(__xludf.DUMMYFUNCTION("GOOGLEFINANCE(""BOM:"" &amp; AC127,""price"")"),55.82)</f>
        <v>55.82</v>
      </c>
      <c r="AH127" s="8">
        <f t="shared" ca="1" si="8"/>
        <v>-35.303662494204914</v>
      </c>
      <c r="AI127" s="12">
        <f t="shared" si="9"/>
        <v>26524629000</v>
      </c>
      <c r="AJ127" s="13">
        <f t="shared" ca="1" si="10"/>
        <v>17160463500</v>
      </c>
    </row>
    <row r="128" spans="1:36" x14ac:dyDescent="0.25">
      <c r="A128" s="63"/>
      <c r="B128" s="8">
        <v>520057</v>
      </c>
      <c r="C128" s="8" t="s">
        <v>537</v>
      </c>
      <c r="D128" s="20">
        <v>243490593</v>
      </c>
      <c r="E128" s="8">
        <v>160.1</v>
      </c>
      <c r="F128" s="8">
        <f ca="1">IFERROR(__xludf.DUMMYFUNCTION("GOOGLEFINANCE(""BOM:"" &amp; B128,""price"")"),175.95)</f>
        <v>175.95</v>
      </c>
      <c r="G128" s="8">
        <f t="shared" ca="1" si="21"/>
        <v>9.9000624609618963</v>
      </c>
      <c r="H128" s="12">
        <f t="shared" si="22"/>
        <v>38982843939.299995</v>
      </c>
      <c r="I128" s="13">
        <f t="shared" ca="1" si="23"/>
        <v>42842169838.349998</v>
      </c>
      <c r="J128" s="63"/>
      <c r="K128" s="8">
        <v>512047</v>
      </c>
      <c r="L128" s="8" t="s">
        <v>538</v>
      </c>
      <c r="M128" s="12">
        <v>22830780</v>
      </c>
      <c r="N128" s="10">
        <v>8.2200000000000006</v>
      </c>
      <c r="O128" s="10">
        <f ca="1">IFERROR(__xludf.DUMMYFUNCTION("GOOGLEFINANCE(""BOM:"" &amp; K128,""price"")"),11.19)</f>
        <v>11.19</v>
      </c>
      <c r="P128" s="8">
        <f t="shared" ca="1" si="37"/>
        <v>36.13138686131385</v>
      </c>
      <c r="Q128" s="12">
        <f t="shared" si="34"/>
        <v>187669011.60000002</v>
      </c>
      <c r="R128" s="13">
        <f t="shared" ca="1" si="35"/>
        <v>255476428.19999999</v>
      </c>
      <c r="S128" s="63"/>
      <c r="T128" s="8">
        <v>511728</v>
      </c>
      <c r="U128" s="8" t="s">
        <v>539</v>
      </c>
      <c r="V128" s="12">
        <v>2505590</v>
      </c>
      <c r="W128" s="8">
        <v>35.5</v>
      </c>
      <c r="X128" s="11">
        <f ca="1">IFERROR(__xludf.DUMMYFUNCTION("GOOGLEFINANCE(""BOM:"" &amp; T128,""price"")"),33)</f>
        <v>33</v>
      </c>
      <c r="Y128" s="8">
        <f t="shared" ca="1" si="36"/>
        <v>-7.042253521126761</v>
      </c>
      <c r="Z128" s="12">
        <f t="shared" si="25"/>
        <v>88948445</v>
      </c>
      <c r="AA128" s="13">
        <f t="shared" ca="1" si="26"/>
        <v>82684470</v>
      </c>
      <c r="AB128" s="63"/>
      <c r="AC128" s="8">
        <v>540686</v>
      </c>
      <c r="AD128" s="8" t="s">
        <v>540</v>
      </c>
      <c r="AE128" s="12">
        <v>10732480</v>
      </c>
      <c r="AF128" s="8">
        <v>160</v>
      </c>
      <c r="AG128" s="8">
        <f ca="1">IFERROR(__xludf.DUMMYFUNCTION("GOOGLEFINANCE(""BOM:"" &amp; AC128,""price"")"),146.1)</f>
        <v>146.1</v>
      </c>
      <c r="AH128" s="8">
        <f t="shared" ca="1" si="8"/>
        <v>-8.6875000000000036</v>
      </c>
      <c r="AI128" s="12">
        <f t="shared" si="9"/>
        <v>1717196800</v>
      </c>
      <c r="AJ128" s="13">
        <f t="shared" ca="1" si="10"/>
        <v>1568015328</v>
      </c>
    </row>
    <row r="129" spans="1:36" x14ac:dyDescent="0.25">
      <c r="A129" s="63"/>
      <c r="B129" s="8">
        <v>500240</v>
      </c>
      <c r="C129" s="8" t="s">
        <v>541</v>
      </c>
      <c r="D129" s="20">
        <v>18266937</v>
      </c>
      <c r="E129" s="8">
        <v>173.45</v>
      </c>
      <c r="F129" s="8">
        <f ca="1">IFERROR(__xludf.DUMMYFUNCTION("GOOGLEFINANCE(""BOM:"" &amp; B129,""price"")"),159.65)</f>
        <v>159.65</v>
      </c>
      <c r="G129" s="8">
        <f t="shared" ca="1" si="21"/>
        <v>-7.9561833381377829</v>
      </c>
      <c r="H129" s="12">
        <f t="shared" si="22"/>
        <v>3168400222.6499996</v>
      </c>
      <c r="I129" s="13">
        <f t="shared" ca="1" si="23"/>
        <v>2916316492.0500002</v>
      </c>
      <c r="J129" s="63"/>
      <c r="K129" s="8">
        <v>540715</v>
      </c>
      <c r="L129" s="8" t="s">
        <v>542</v>
      </c>
      <c r="M129" s="12">
        <v>12643780</v>
      </c>
      <c r="N129" s="10">
        <v>39.909999999999997</v>
      </c>
      <c r="O129" s="10">
        <f ca="1">IFERROR(__xludf.DUMMYFUNCTION("GOOGLEFINANCE(""BOM:"" &amp; K129,""price"")"),29.06)</f>
        <v>29.06</v>
      </c>
      <c r="P129" s="8">
        <f t="shared" ca="1" si="37"/>
        <v>-27.186168879979949</v>
      </c>
      <c r="Q129" s="12">
        <f t="shared" si="34"/>
        <v>504613259.79999995</v>
      </c>
      <c r="R129" s="13">
        <f t="shared" ca="1" si="35"/>
        <v>367428246.80000001</v>
      </c>
      <c r="S129" s="63"/>
      <c r="T129" s="8">
        <v>530577</v>
      </c>
      <c r="U129" s="8" t="s">
        <v>543</v>
      </c>
      <c r="V129" s="12">
        <v>12405700</v>
      </c>
      <c r="W129" s="8">
        <v>32.26</v>
      </c>
      <c r="X129" s="11">
        <f ca="1">IFERROR(__xludf.DUMMYFUNCTION("GOOGLEFINANCE(""BOM:"" &amp; T129,""price"")"),30.95)</f>
        <v>30.95</v>
      </c>
      <c r="Y129" s="8">
        <f t="shared" ca="1" si="36"/>
        <v>-4.0607563546187189</v>
      </c>
      <c r="Z129" s="12">
        <f t="shared" si="25"/>
        <v>400207882</v>
      </c>
      <c r="AA129" s="13">
        <f t="shared" ca="1" si="26"/>
        <v>383956415</v>
      </c>
      <c r="AB129" s="63"/>
      <c r="AC129" s="8">
        <v>540679</v>
      </c>
      <c r="AD129" s="8" t="s">
        <v>544</v>
      </c>
      <c r="AE129" s="12">
        <v>3013490</v>
      </c>
      <c r="AF129" s="8">
        <v>604.04999999999995</v>
      </c>
      <c r="AG129" s="8">
        <f ca="1">IFERROR(__xludf.DUMMYFUNCTION("GOOGLEFINANCE(""BOM:"" &amp; AC129,""price"")"),676.9)</f>
        <v>676.9</v>
      </c>
      <c r="AH129" s="8">
        <f t="shared" ca="1" si="8"/>
        <v>12.060259912258923</v>
      </c>
      <c r="AI129" s="12">
        <f t="shared" si="9"/>
        <v>1820298634.4999998</v>
      </c>
      <c r="AJ129" s="13">
        <f t="shared" ca="1" si="10"/>
        <v>2039831381</v>
      </c>
    </row>
    <row r="130" spans="1:36" x14ac:dyDescent="0.25">
      <c r="A130" s="63"/>
      <c r="B130" s="8">
        <v>542459</v>
      </c>
      <c r="C130" s="8" t="s">
        <v>545</v>
      </c>
      <c r="D130" s="20">
        <v>10562400</v>
      </c>
      <c r="E130" s="8">
        <v>82</v>
      </c>
      <c r="F130" s="8">
        <f ca="1">IFERROR(__xludf.DUMMYFUNCTION("GOOGLEFINANCE(""BOM:"" &amp; B130,""price"")"),73.7)</f>
        <v>73.7</v>
      </c>
      <c r="G130" s="8">
        <f t="shared" ca="1" si="21"/>
        <v>-10.121951219512191</v>
      </c>
      <c r="H130" s="12">
        <f t="shared" si="22"/>
        <v>866116800</v>
      </c>
      <c r="I130" s="13">
        <f t="shared" ca="1" si="23"/>
        <v>778448880</v>
      </c>
      <c r="J130" s="63"/>
      <c r="K130" s="8">
        <v>514412</v>
      </c>
      <c r="L130" s="8" t="s">
        <v>546</v>
      </c>
      <c r="M130" s="12">
        <v>3193673</v>
      </c>
      <c r="N130" s="10">
        <v>42</v>
      </c>
      <c r="O130" s="10">
        <f ca="1">IFERROR(__xludf.DUMMYFUNCTION("GOOGLEFINANCE(""BOM:"" &amp; K130,""price"")"),44.97)</f>
        <v>44.97</v>
      </c>
      <c r="P130" s="8">
        <f t="shared" ca="1" si="37"/>
        <v>7.0714285714285685</v>
      </c>
      <c r="Q130" s="12">
        <f t="shared" si="34"/>
        <v>134134266</v>
      </c>
      <c r="R130" s="13">
        <f t="shared" ca="1" si="35"/>
        <v>143619474.81</v>
      </c>
      <c r="S130" s="63"/>
      <c r="T130" s="8">
        <v>531288</v>
      </c>
      <c r="U130" s="8" t="s">
        <v>547</v>
      </c>
      <c r="V130" s="12">
        <v>1929820</v>
      </c>
      <c r="W130" s="8">
        <v>22.74</v>
      </c>
      <c r="X130" s="11">
        <f ca="1">IFERROR(__xludf.DUMMYFUNCTION("GOOGLEFINANCE(""BOM:"" &amp; T130,""price"")"),21.42)</f>
        <v>21.42</v>
      </c>
      <c r="Y130" s="8">
        <f t="shared" ca="1" si="36"/>
        <v>-5.8047493403693791</v>
      </c>
      <c r="Z130" s="12">
        <f t="shared" si="25"/>
        <v>43884106.799999997</v>
      </c>
      <c r="AA130" s="13">
        <f t="shared" ca="1" si="26"/>
        <v>41336744.400000006</v>
      </c>
      <c r="AB130" s="63"/>
      <c r="AC130" s="8">
        <v>532815</v>
      </c>
      <c r="AD130" s="8" t="s">
        <v>548</v>
      </c>
      <c r="AE130" s="12">
        <v>84393614</v>
      </c>
      <c r="AF130" s="8">
        <v>148.65</v>
      </c>
      <c r="AG130" s="8">
        <f ca="1">IFERROR(__xludf.DUMMYFUNCTION("GOOGLEFINANCE(""BOM:"" &amp; AC130,""price"")"),177.95)</f>
        <v>177.95</v>
      </c>
      <c r="AH130" s="8">
        <f t="shared" ca="1" si="8"/>
        <v>19.710729902455419</v>
      </c>
      <c r="AI130" s="12">
        <f t="shared" si="9"/>
        <v>12545110721.1</v>
      </c>
      <c r="AJ130" s="13">
        <f t="shared" ca="1" si="10"/>
        <v>15017843611.299999</v>
      </c>
    </row>
    <row r="131" spans="1:36" x14ac:dyDescent="0.25">
      <c r="A131" s="63"/>
      <c r="B131" s="8">
        <v>500250</v>
      </c>
      <c r="C131" s="8" t="s">
        <v>549</v>
      </c>
      <c r="D131" s="20">
        <v>30794071</v>
      </c>
      <c r="E131" s="8">
        <v>1180.3</v>
      </c>
      <c r="F131" s="8">
        <f ca="1">IFERROR(__xludf.DUMMYFUNCTION("GOOGLEFINANCE(""BOM:"" &amp; B131,""price"")"),1266.9)</f>
        <v>1266.9000000000001</v>
      </c>
      <c r="G131" s="8">
        <f t="shared" ca="1" si="21"/>
        <v>7.337117681945279</v>
      </c>
      <c r="H131" s="12">
        <f t="shared" si="22"/>
        <v>36346242001.299995</v>
      </c>
      <c r="I131" s="13">
        <f t="shared" ca="1" si="23"/>
        <v>39013008549.900002</v>
      </c>
      <c r="J131" s="63"/>
      <c r="K131" s="8">
        <v>530525</v>
      </c>
      <c r="L131" s="8" t="s">
        <v>550</v>
      </c>
      <c r="M131" s="12">
        <v>8823600</v>
      </c>
      <c r="N131" s="10">
        <v>67</v>
      </c>
      <c r="O131" s="10">
        <f ca="1">IFERROR(__xludf.DUMMYFUNCTION("GOOGLEFINANCE(""BOM:"" &amp; K131,""price"")"),61)</f>
        <v>61</v>
      </c>
      <c r="P131" s="8">
        <f t="shared" ca="1" si="37"/>
        <v>-8.9552238805970141</v>
      </c>
      <c r="Q131" s="12">
        <f t="shared" si="34"/>
        <v>591181200</v>
      </c>
      <c r="R131" s="13">
        <f t="shared" ca="1" si="35"/>
        <v>538239600</v>
      </c>
      <c r="S131" s="63"/>
      <c r="T131" s="8">
        <v>511593</v>
      </c>
      <c r="U131" s="8" t="s">
        <v>551</v>
      </c>
      <c r="V131" s="12">
        <v>14050400</v>
      </c>
      <c r="W131" s="8">
        <v>10.18</v>
      </c>
      <c r="X131" s="11">
        <f ca="1">IFERROR(__xludf.DUMMYFUNCTION("GOOGLEFINANCE(""BOM:"" &amp; T131,""price"")"),9.34)</f>
        <v>9.34</v>
      </c>
      <c r="Y131" s="8">
        <f t="shared" ca="1" si="36"/>
        <v>-8.2514734774066785</v>
      </c>
      <c r="Z131" s="12">
        <f t="shared" si="25"/>
        <v>143033072</v>
      </c>
      <c r="AA131" s="13">
        <f t="shared" ca="1" si="26"/>
        <v>131230736</v>
      </c>
      <c r="AB131" s="63"/>
      <c r="AC131" s="8">
        <v>541540</v>
      </c>
      <c r="AD131" s="8" t="s">
        <v>552</v>
      </c>
      <c r="AE131" s="12">
        <v>35970157</v>
      </c>
      <c r="AF131" s="8">
        <v>452.65</v>
      </c>
      <c r="AG131" s="8">
        <f ca="1">IFERROR(__xludf.DUMMYFUNCTION("GOOGLEFINANCE(""BOM:"" &amp; AC131,""price"")"),375)</f>
        <v>375</v>
      </c>
      <c r="AH131" s="8">
        <f t="shared" ca="1" si="8"/>
        <v>-17.154534408483372</v>
      </c>
      <c r="AI131" s="12">
        <f t="shared" si="9"/>
        <v>16281891566.049999</v>
      </c>
      <c r="AJ131" s="13">
        <f t="shared" ca="1" si="10"/>
        <v>13488808875</v>
      </c>
    </row>
    <row r="132" spans="1:36" x14ac:dyDescent="0.25">
      <c r="A132" s="63"/>
      <c r="B132" s="8">
        <v>533007</v>
      </c>
      <c r="C132" s="8" t="s">
        <v>553</v>
      </c>
      <c r="D132" s="20">
        <v>236122920</v>
      </c>
      <c r="E132" s="8">
        <v>11.07</v>
      </c>
      <c r="F132" s="8">
        <f ca="1">IFERROR(__xludf.DUMMYFUNCTION("GOOGLEFINANCE(""BOM:"" &amp; B132,""price"")"),8.97)</f>
        <v>8.9700000000000006</v>
      </c>
      <c r="G132" s="8">
        <f t="shared" ca="1" si="21"/>
        <v>-18.970189701897013</v>
      </c>
      <c r="H132" s="12">
        <f t="shared" si="22"/>
        <v>2613880724.4000001</v>
      </c>
      <c r="I132" s="13">
        <f t="shared" ca="1" si="23"/>
        <v>2118022592.4000001</v>
      </c>
      <c r="J132" s="63"/>
      <c r="K132" s="8">
        <v>523790</v>
      </c>
      <c r="L132" s="8" t="s">
        <v>554</v>
      </c>
      <c r="M132" s="12">
        <v>8018900</v>
      </c>
      <c r="N132" s="10">
        <v>9.0299999999999994</v>
      </c>
      <c r="O132" s="10">
        <f ca="1">IFERROR(__xludf.DUMMYFUNCTION("GOOGLEFINANCE(""BOM:"" &amp; K132,""price"")"),6.66)</f>
        <v>6.66</v>
      </c>
      <c r="P132" s="8">
        <f t="shared" ca="1" si="37"/>
        <v>-26.245847176079728</v>
      </c>
      <c r="Q132" s="12">
        <f t="shared" si="34"/>
        <v>72410667</v>
      </c>
      <c r="R132" s="13">
        <f t="shared" ca="1" si="35"/>
        <v>53405874</v>
      </c>
      <c r="S132" s="63"/>
      <c r="T132" s="8">
        <v>540360</v>
      </c>
      <c r="U132" s="8" t="s">
        <v>555</v>
      </c>
      <c r="V132" s="12">
        <v>103233500</v>
      </c>
      <c r="W132" s="8">
        <v>2.41</v>
      </c>
      <c r="X132" s="11">
        <f ca="1">IFERROR(__xludf.DUMMYFUNCTION("GOOGLEFINANCE(""BOM:"" &amp; T132,""price"")"),1.85)</f>
        <v>1.85</v>
      </c>
      <c r="Y132" s="8">
        <f t="shared" ca="1" si="36"/>
        <v>-23.236514522821576</v>
      </c>
      <c r="Z132" s="12">
        <f t="shared" si="25"/>
        <v>248792735</v>
      </c>
      <c r="AA132" s="13">
        <f t="shared" ca="1" si="26"/>
        <v>190981975</v>
      </c>
      <c r="AB132" s="63"/>
      <c r="AC132" s="8">
        <v>531398</v>
      </c>
      <c r="AD132" s="8" t="s">
        <v>556</v>
      </c>
      <c r="AE132" s="12">
        <v>6407712</v>
      </c>
      <c r="AF132" s="8">
        <v>98</v>
      </c>
      <c r="AG132" s="8">
        <f ca="1">IFERROR(__xludf.DUMMYFUNCTION("GOOGLEFINANCE(""BOM:"" &amp; AC132,""price"")"),88.16)</f>
        <v>88.16</v>
      </c>
      <c r="AH132" s="8">
        <f t="shared" ca="1" si="8"/>
        <v>-10.040816326530615</v>
      </c>
      <c r="AI132" s="12">
        <f t="shared" si="9"/>
        <v>627955776</v>
      </c>
      <c r="AJ132" s="13">
        <f t="shared" ca="1" si="10"/>
        <v>564903889.91999996</v>
      </c>
    </row>
    <row r="133" spans="1:36" x14ac:dyDescent="0.25">
      <c r="A133" s="63"/>
      <c r="B133" s="8">
        <v>517206</v>
      </c>
      <c r="C133" s="8" t="s">
        <v>557</v>
      </c>
      <c r="D133" s="20">
        <v>9219378</v>
      </c>
      <c r="E133" s="8">
        <v>2361.1999999999998</v>
      </c>
      <c r="F133" s="8">
        <f ca="1">IFERROR(__xludf.DUMMYFUNCTION("GOOGLEFINANCE(""BOM:"" &amp; B133,""price"")"),2394.95)</f>
        <v>2394.9499999999998</v>
      </c>
      <c r="G133" s="8">
        <f t="shared" ca="1" si="21"/>
        <v>1.4293579535829242</v>
      </c>
      <c r="H133" s="12">
        <f t="shared" si="22"/>
        <v>21768795333.599998</v>
      </c>
      <c r="I133" s="13">
        <f t="shared" ca="1" si="23"/>
        <v>22079949341.099998</v>
      </c>
      <c r="J133" s="63"/>
      <c r="K133" s="8">
        <v>504398</v>
      </c>
      <c r="L133" s="8" t="s">
        <v>558</v>
      </c>
      <c r="M133" s="12">
        <v>8355000</v>
      </c>
      <c r="N133" s="10" t="s">
        <v>44</v>
      </c>
      <c r="O133" s="10" t="s">
        <v>44</v>
      </c>
      <c r="P133" s="8"/>
      <c r="Q133" s="12"/>
      <c r="R133" s="13"/>
      <c r="S133" s="63"/>
      <c r="T133" s="8">
        <v>532720</v>
      </c>
      <c r="U133" s="8" t="s">
        <v>559</v>
      </c>
      <c r="V133" s="12">
        <v>1235305130</v>
      </c>
      <c r="W133" s="8">
        <v>288.3</v>
      </c>
      <c r="X133" s="11">
        <f ca="1">IFERROR(__xludf.DUMMYFUNCTION("GOOGLEFINANCE(""BOM:"" &amp; T133,""price"")"),278.35)</f>
        <v>278.35000000000002</v>
      </c>
      <c r="Y133" s="8">
        <f t="shared" ca="1" si="36"/>
        <v>-3.4512660423170272</v>
      </c>
      <c r="Z133" s="12">
        <f t="shared" si="25"/>
        <v>356138468979</v>
      </c>
      <c r="AA133" s="13">
        <f t="shared" ca="1" si="26"/>
        <v>343847182935.5</v>
      </c>
      <c r="AB133" s="63"/>
      <c r="AC133" s="8">
        <v>532872</v>
      </c>
      <c r="AD133" s="8" t="s">
        <v>560</v>
      </c>
      <c r="AE133" s="12">
        <v>271189352</v>
      </c>
      <c r="AF133" s="8">
        <v>378.3</v>
      </c>
      <c r="AG133" s="8">
        <f ca="1">IFERROR(__xludf.DUMMYFUNCTION("GOOGLEFINANCE(""BOM:"" &amp; AC133,""price"")"),370.35)</f>
        <v>370.35</v>
      </c>
      <c r="AH133" s="8">
        <f t="shared" ca="1" si="8"/>
        <v>-2.1015067406819954</v>
      </c>
      <c r="AI133" s="12">
        <f t="shared" si="9"/>
        <v>102590931861.60001</v>
      </c>
      <c r="AJ133" s="13">
        <f t="shared" ca="1" si="10"/>
        <v>100434976513.20001</v>
      </c>
    </row>
    <row r="134" spans="1:36" x14ac:dyDescent="0.25">
      <c r="A134" s="63"/>
      <c r="B134" s="8">
        <v>532796</v>
      </c>
      <c r="C134" s="8" t="s">
        <v>561</v>
      </c>
      <c r="D134" s="20">
        <v>68157690</v>
      </c>
      <c r="E134" s="8">
        <v>474.35</v>
      </c>
      <c r="F134" s="8">
        <f ca="1">IFERROR(__xludf.DUMMYFUNCTION("GOOGLEFINANCE(""BOM:"" &amp; B134,""price"")"),482.75)</f>
        <v>482.75</v>
      </c>
      <c r="G134" s="8">
        <f t="shared" ca="1" si="21"/>
        <v>1.7708443132707867</v>
      </c>
      <c r="H134" s="12">
        <f t="shared" si="22"/>
        <v>32330600251.5</v>
      </c>
      <c r="I134" s="13">
        <f t="shared" ca="1" si="23"/>
        <v>32903124847.5</v>
      </c>
      <c r="J134" s="63"/>
      <c r="K134" s="8">
        <v>542728</v>
      </c>
      <c r="L134" s="8" t="s">
        <v>562</v>
      </c>
      <c r="M134" s="12">
        <v>7331954</v>
      </c>
      <c r="N134" s="10">
        <v>18</v>
      </c>
      <c r="O134" s="10">
        <f ca="1">IFERROR(__xludf.DUMMYFUNCTION("GOOGLEFINANCE(""BOM:"" &amp; K134,""price"")"),18)</f>
        <v>18</v>
      </c>
      <c r="P134" s="8">
        <f t="shared" ref="P134:P199" ca="1" si="38">((O134-N134)/N134)*100</f>
        <v>0</v>
      </c>
      <c r="Q134" s="12">
        <f t="shared" ref="Q134:Q199" si="39">M134*N134</f>
        <v>131975172</v>
      </c>
      <c r="R134" s="13">
        <f t="shared" ref="R134:R199" ca="1" si="40">M134*O134</f>
        <v>131975172</v>
      </c>
      <c r="S134" s="63"/>
      <c r="T134" s="8">
        <v>511000</v>
      </c>
      <c r="U134" s="8" t="s">
        <v>563</v>
      </c>
      <c r="V134" s="12">
        <v>8693687</v>
      </c>
      <c r="W134" s="8">
        <v>35.5</v>
      </c>
      <c r="X134" s="11">
        <f ca="1">IFERROR(__xludf.DUMMYFUNCTION("GOOGLEFINANCE(""BOM:"" &amp; T134,""price"")"),30)</f>
        <v>30</v>
      </c>
      <c r="Y134" s="8">
        <f t="shared" ca="1" si="36"/>
        <v>-15.492957746478872</v>
      </c>
      <c r="Z134" s="12">
        <f t="shared" si="25"/>
        <v>308625888.5</v>
      </c>
      <c r="AA134" s="13">
        <f t="shared" ca="1" si="26"/>
        <v>260810610</v>
      </c>
      <c r="AB134" s="63"/>
      <c r="AC134" s="8">
        <v>532531</v>
      </c>
      <c r="AD134" s="8" t="s">
        <v>564</v>
      </c>
      <c r="AE134" s="12">
        <v>89681198</v>
      </c>
      <c r="AF134" s="8">
        <v>795.85</v>
      </c>
      <c r="AG134" s="8">
        <f ca="1">IFERROR(__xludf.DUMMYFUNCTION("GOOGLEFINANCE(""BOM:"" &amp; AC134,""price"")"),770.1)</f>
        <v>770.1</v>
      </c>
      <c r="AH134" s="8">
        <f t="shared" ca="1" si="8"/>
        <v>-3.2355343343594898</v>
      </c>
      <c r="AI134" s="12">
        <f t="shared" si="9"/>
        <v>71372781428.300003</v>
      </c>
      <c r="AJ134" s="13">
        <f t="shared" ca="1" si="10"/>
        <v>69063490579.800003</v>
      </c>
    </row>
    <row r="135" spans="1:36" x14ac:dyDescent="0.25">
      <c r="A135" s="63"/>
      <c r="B135" s="8">
        <v>532756</v>
      </c>
      <c r="C135" s="8" t="s">
        <v>565</v>
      </c>
      <c r="D135" s="20">
        <v>377823838</v>
      </c>
      <c r="E135" s="8">
        <v>443</v>
      </c>
      <c r="F135" s="8">
        <f ca="1">IFERROR(__xludf.DUMMYFUNCTION("GOOGLEFINANCE(""BOM:"" &amp; B135,""price"")"),461.2)</f>
        <v>461.2</v>
      </c>
      <c r="G135" s="8">
        <f t="shared" ca="1" si="21"/>
        <v>4.1083521444695235</v>
      </c>
      <c r="H135" s="12">
        <f t="shared" si="22"/>
        <v>167375960234</v>
      </c>
      <c r="I135" s="13">
        <f t="shared" ca="1" si="23"/>
        <v>174252354085.60001</v>
      </c>
      <c r="J135" s="63"/>
      <c r="K135" s="8">
        <v>540269</v>
      </c>
      <c r="L135" s="8" t="s">
        <v>566</v>
      </c>
      <c r="M135" s="12">
        <v>12393070</v>
      </c>
      <c r="N135" s="10">
        <v>12.15</v>
      </c>
      <c r="O135" s="10">
        <f ca="1">IFERROR(__xludf.DUMMYFUNCTION("GOOGLEFINANCE(""BOM:"" &amp; K135,""price"")"),12.8)</f>
        <v>12.8</v>
      </c>
      <c r="P135" s="8">
        <f t="shared" ca="1" si="38"/>
        <v>5.3497942386831303</v>
      </c>
      <c r="Q135" s="12">
        <f t="shared" si="39"/>
        <v>150575800.5</v>
      </c>
      <c r="R135" s="13">
        <f t="shared" ca="1" si="40"/>
        <v>158631296</v>
      </c>
      <c r="S135" s="63"/>
      <c r="T135" s="8">
        <v>531213</v>
      </c>
      <c r="U135" s="8" t="s">
        <v>567</v>
      </c>
      <c r="V135" s="12">
        <v>843032486</v>
      </c>
      <c r="W135" s="8">
        <v>179.9</v>
      </c>
      <c r="X135" s="11">
        <f ca="1">IFERROR(__xludf.DUMMYFUNCTION("GOOGLEFINANCE(""BOM:"" &amp; T135,""price"")"),173.05)</f>
        <v>173.05</v>
      </c>
      <c r="Y135" s="8">
        <f t="shared" ca="1" si="36"/>
        <v>-3.8076709282934931</v>
      </c>
      <c r="Z135" s="12">
        <f t="shared" si="25"/>
        <v>151661544231.39999</v>
      </c>
      <c r="AA135" s="13">
        <f t="shared" ca="1" si="26"/>
        <v>145886771702.30002</v>
      </c>
      <c r="AB135" s="63"/>
      <c r="AC135" s="8">
        <v>537253</v>
      </c>
      <c r="AD135" s="8" t="s">
        <v>568</v>
      </c>
      <c r="AE135" s="12">
        <v>9799742</v>
      </c>
      <c r="AF135" s="8">
        <v>70.45</v>
      </c>
      <c r="AG135" s="8">
        <f ca="1">IFERROR(__xludf.DUMMYFUNCTION("GOOGLEFINANCE(""BOM:"" &amp; AC135,""price"")"),61.6)</f>
        <v>61.6</v>
      </c>
      <c r="AH135" s="8">
        <f t="shared" ca="1" si="8"/>
        <v>-12.562100780695532</v>
      </c>
      <c r="AI135" s="12">
        <f t="shared" si="9"/>
        <v>690391823.89999998</v>
      </c>
      <c r="AJ135" s="13">
        <f t="shared" ca="1" si="10"/>
        <v>603664107.20000005</v>
      </c>
    </row>
    <row r="136" spans="1:36" x14ac:dyDescent="0.25">
      <c r="A136" s="63"/>
      <c r="B136" s="8">
        <v>531727</v>
      </c>
      <c r="C136" s="8" t="s">
        <v>569</v>
      </c>
      <c r="D136" s="20">
        <v>50288710</v>
      </c>
      <c r="E136" s="8">
        <v>101.2</v>
      </c>
      <c r="F136" s="8">
        <f ca="1">IFERROR(__xludf.DUMMYFUNCTION("GOOGLEFINANCE(""BOM:"" &amp; B136,""price"")"),90.2)</f>
        <v>90.2</v>
      </c>
      <c r="G136" s="8">
        <f t="shared" ca="1" si="21"/>
        <v>-10.869565217391305</v>
      </c>
      <c r="H136" s="12">
        <f t="shared" si="22"/>
        <v>5089217452</v>
      </c>
      <c r="I136" s="13">
        <f t="shared" ca="1" si="23"/>
        <v>4536041642</v>
      </c>
      <c r="J136" s="63"/>
      <c r="K136" s="8">
        <v>541967</v>
      </c>
      <c r="L136" s="8" t="s">
        <v>570</v>
      </c>
      <c r="M136" s="12">
        <v>10743880</v>
      </c>
      <c r="N136" s="10">
        <v>1091.8499999999999</v>
      </c>
      <c r="O136" s="10">
        <f ca="1">IFERROR(__xludf.DUMMYFUNCTION("GOOGLEFINANCE(""BOM:"" &amp; K136,""price"")"),982.75)</f>
        <v>982.75</v>
      </c>
      <c r="P136" s="8">
        <f t="shared" ca="1" si="38"/>
        <v>-9.9922150478545504</v>
      </c>
      <c r="Q136" s="12">
        <f t="shared" si="39"/>
        <v>11730705377.999998</v>
      </c>
      <c r="R136" s="13">
        <f t="shared" ca="1" si="40"/>
        <v>10558548070</v>
      </c>
      <c r="S136" s="63"/>
      <c r="T136" s="8">
        <v>505850</v>
      </c>
      <c r="U136" s="8" t="s">
        <v>571</v>
      </c>
      <c r="V136" s="12">
        <v>18698406</v>
      </c>
      <c r="W136" s="8">
        <v>109.8</v>
      </c>
      <c r="X136" s="11">
        <f ca="1">IFERROR(__xludf.DUMMYFUNCTION("GOOGLEFINANCE(""BOM:"" &amp; T136,""price"")"),110.15)</f>
        <v>110.15</v>
      </c>
      <c r="Y136" s="8">
        <f t="shared" ca="1" si="36"/>
        <v>0.3187613843351626</v>
      </c>
      <c r="Z136" s="12">
        <f t="shared" si="25"/>
        <v>2053084978.8</v>
      </c>
      <c r="AA136" s="13">
        <f t="shared" ca="1" si="26"/>
        <v>2059629420.9000001</v>
      </c>
      <c r="AB136" s="63"/>
      <c r="AC136" s="8">
        <v>524715</v>
      </c>
      <c r="AD136" s="8" t="s">
        <v>572</v>
      </c>
      <c r="AE136" s="12">
        <v>2392890688</v>
      </c>
      <c r="AF136" s="8">
        <v>1558.7</v>
      </c>
      <c r="AG136" s="8">
        <f ca="1">IFERROR(__xludf.DUMMYFUNCTION("GOOGLEFINANCE(""BOM:"" &amp; AC136,""price"")"),1620.5)</f>
        <v>1620.5</v>
      </c>
      <c r="AH136" s="8">
        <f t="shared" ca="1" si="8"/>
        <v>3.9648424969525857</v>
      </c>
      <c r="AI136" s="12">
        <f t="shared" si="9"/>
        <v>3729798715385.6001</v>
      </c>
      <c r="AJ136" s="13">
        <f t="shared" ca="1" si="10"/>
        <v>3877679359904</v>
      </c>
    </row>
    <row r="137" spans="1:36" x14ac:dyDescent="0.25">
      <c r="A137" s="63"/>
      <c r="B137" s="8">
        <v>523828</v>
      </c>
      <c r="C137" s="8" t="s">
        <v>573</v>
      </c>
      <c r="D137" s="20">
        <v>53607026</v>
      </c>
      <c r="E137" s="8">
        <v>130.9</v>
      </c>
      <c r="F137" s="8">
        <f ca="1">IFERROR(__xludf.DUMMYFUNCTION("GOOGLEFINANCE(""BOM:"" &amp; B137,""price"")"),112)</f>
        <v>112</v>
      </c>
      <c r="G137" s="8">
        <f t="shared" ca="1" si="21"/>
        <v>-14.438502673796796</v>
      </c>
      <c r="H137" s="12">
        <f t="shared" si="22"/>
        <v>7017159703.4000006</v>
      </c>
      <c r="I137" s="13">
        <f t="shared" ca="1" si="23"/>
        <v>6003986912</v>
      </c>
      <c r="J137" s="63"/>
      <c r="K137" s="8">
        <v>542034</v>
      </c>
      <c r="L137" s="8" t="s">
        <v>574</v>
      </c>
      <c r="M137" s="12">
        <v>10013508</v>
      </c>
      <c r="N137" s="10">
        <v>19.100000000000001</v>
      </c>
      <c r="O137" s="10">
        <f ca="1">IFERROR(__xludf.DUMMYFUNCTION("GOOGLEFINANCE(""BOM:"" &amp; K137,""price"")"),15.56)</f>
        <v>15.56</v>
      </c>
      <c r="P137" s="8">
        <f t="shared" ca="1" si="38"/>
        <v>-18.534031413612571</v>
      </c>
      <c r="Q137" s="12">
        <f t="shared" si="39"/>
        <v>191258002.80000001</v>
      </c>
      <c r="R137" s="13">
        <f t="shared" ca="1" si="40"/>
        <v>155810184.48000002</v>
      </c>
      <c r="S137" s="63"/>
      <c r="T137" s="8">
        <v>537800</v>
      </c>
      <c r="U137" s="8" t="s">
        <v>575</v>
      </c>
      <c r="V137" s="12">
        <v>961197200</v>
      </c>
      <c r="W137" s="8">
        <v>5.0999999999999996</v>
      </c>
      <c r="X137" s="11">
        <f ca="1">IFERROR(__xludf.DUMMYFUNCTION("GOOGLEFINANCE(""BOM:"" &amp; T137,""price"")"),4.06)</f>
        <v>4.0599999999999996</v>
      </c>
      <c r="Y137" s="8">
        <f t="shared" ca="1" si="36"/>
        <v>-20.3921568627451</v>
      </c>
      <c r="Z137" s="12">
        <f t="shared" si="25"/>
        <v>4902105720</v>
      </c>
      <c r="AA137" s="13">
        <f t="shared" ca="1" si="26"/>
        <v>3902460631.9999995</v>
      </c>
      <c r="AB137" s="63"/>
      <c r="AC137" s="8">
        <v>543434</v>
      </c>
      <c r="AD137" s="8" t="s">
        <v>576</v>
      </c>
      <c r="AE137" s="12">
        <v>80482800</v>
      </c>
      <c r="AF137" s="8">
        <v>346.05</v>
      </c>
      <c r="AG137" s="8">
        <f ca="1">IFERROR(__xludf.DUMMYFUNCTION("GOOGLEFINANCE(""BOM:"" &amp; AC137,""price"")"),331.75)</f>
        <v>331.75</v>
      </c>
      <c r="AH137" s="8">
        <f t="shared" ca="1" si="8"/>
        <v>-4.1323508163560208</v>
      </c>
      <c r="AI137" s="12">
        <f t="shared" si="9"/>
        <v>27851072940</v>
      </c>
      <c r="AJ137" s="13">
        <f t="shared" ca="1" si="10"/>
        <v>26700168900</v>
      </c>
    </row>
    <row r="138" spans="1:36" x14ac:dyDescent="0.25">
      <c r="A138" s="63"/>
      <c r="B138" s="8">
        <v>538962</v>
      </c>
      <c r="C138" s="8" t="s">
        <v>577</v>
      </c>
      <c r="D138" s="20">
        <v>239048087</v>
      </c>
      <c r="E138" s="8">
        <v>425</v>
      </c>
      <c r="F138" s="8">
        <f ca="1">IFERROR(__xludf.DUMMYFUNCTION("GOOGLEFINANCE(""BOM:"" &amp; B138,""price"")"),419.4)</f>
        <v>419.4</v>
      </c>
      <c r="G138" s="8">
        <f t="shared" ca="1" si="21"/>
        <v>-1.3176470588235349</v>
      </c>
      <c r="H138" s="12">
        <f t="shared" si="22"/>
        <v>101595436975</v>
      </c>
      <c r="I138" s="13">
        <f t="shared" ca="1" si="23"/>
        <v>100256767687.79999</v>
      </c>
      <c r="J138" s="63"/>
      <c r="K138" s="8">
        <v>523826</v>
      </c>
      <c r="L138" s="8" t="s">
        <v>578</v>
      </c>
      <c r="M138" s="12">
        <v>5153969</v>
      </c>
      <c r="N138" s="10">
        <v>28.35</v>
      </c>
      <c r="O138" s="10">
        <f ca="1">IFERROR(__xludf.DUMMYFUNCTION("GOOGLEFINANCE(""BOM:"" &amp; K138,""price"")"),26.57)</f>
        <v>26.57</v>
      </c>
      <c r="P138" s="8">
        <f t="shared" ca="1" si="38"/>
        <v>-6.2786596119929499</v>
      </c>
      <c r="Q138" s="12">
        <f t="shared" si="39"/>
        <v>146115021.15000001</v>
      </c>
      <c r="R138" s="13">
        <f t="shared" ca="1" si="40"/>
        <v>136940956.33000001</v>
      </c>
      <c r="S138" s="63"/>
      <c r="T138" s="8">
        <v>511758</v>
      </c>
      <c r="U138" s="8" t="s">
        <v>579</v>
      </c>
      <c r="V138" s="12">
        <v>2815650</v>
      </c>
      <c r="W138" s="8">
        <v>57.95</v>
      </c>
      <c r="X138" s="11">
        <f ca="1">IFERROR(__xludf.DUMMYFUNCTION("GOOGLEFINANCE(""BOM:"" &amp; T138,""price"")"),50.9)</f>
        <v>50.9</v>
      </c>
      <c r="Y138" s="8">
        <f t="shared" ca="1" si="36"/>
        <v>-12.165660051768773</v>
      </c>
      <c r="Z138" s="12">
        <f t="shared" si="25"/>
        <v>163166917.5</v>
      </c>
      <c r="AA138" s="13">
        <f t="shared" ca="1" si="26"/>
        <v>143316585</v>
      </c>
      <c r="AB138" s="63"/>
      <c r="AC138" s="8">
        <v>543064</v>
      </c>
      <c r="AD138" s="8" t="s">
        <v>580</v>
      </c>
      <c r="AE138" s="12">
        <v>253903163</v>
      </c>
      <c r="AF138" s="8">
        <v>690.05</v>
      </c>
      <c r="AG138" s="8">
        <f ca="1">IFERROR(__xludf.DUMMYFUNCTION("GOOGLEFINANCE(""BOM:"" &amp; AC138,""price"")"),680)</f>
        <v>680</v>
      </c>
      <c r="AH138" s="8">
        <f t="shared" ca="1" si="8"/>
        <v>-1.4564162017245061</v>
      </c>
      <c r="AI138" s="12">
        <f t="shared" si="9"/>
        <v>175205877628.14999</v>
      </c>
      <c r="AJ138" s="13">
        <f t="shared" ca="1" si="10"/>
        <v>172654150840</v>
      </c>
    </row>
    <row r="139" spans="1:36" x14ac:dyDescent="0.25">
      <c r="A139" s="63"/>
      <c r="B139" s="8">
        <v>532539</v>
      </c>
      <c r="C139" s="8" t="s">
        <v>581</v>
      </c>
      <c r="D139" s="20">
        <v>284604182</v>
      </c>
      <c r="E139" s="8">
        <v>660.25</v>
      </c>
      <c r="F139" s="8">
        <f ca="1">IFERROR(__xludf.DUMMYFUNCTION("GOOGLEFINANCE(""BOM:"" &amp; B139,""price"")"),687)</f>
        <v>687</v>
      </c>
      <c r="G139" s="8">
        <f t="shared" ca="1" si="21"/>
        <v>4.0514956455887923</v>
      </c>
      <c r="H139" s="12">
        <f t="shared" si="22"/>
        <v>187909911165.5</v>
      </c>
      <c r="I139" s="13">
        <f t="shared" ca="1" si="23"/>
        <v>195523073034</v>
      </c>
      <c r="J139" s="63"/>
      <c r="K139" s="8">
        <v>526161</v>
      </c>
      <c r="L139" s="8" t="s">
        <v>582</v>
      </c>
      <c r="M139" s="12">
        <v>2451306</v>
      </c>
      <c r="N139" s="10">
        <v>142.94999999999999</v>
      </c>
      <c r="O139" s="10">
        <f ca="1">IFERROR(__xludf.DUMMYFUNCTION("GOOGLEFINANCE(""BOM:"" &amp; K139,""price"")"),116.7)</f>
        <v>116.7</v>
      </c>
      <c r="P139" s="8">
        <f t="shared" ca="1" si="38"/>
        <v>-18.363064008394538</v>
      </c>
      <c r="Q139" s="12">
        <f t="shared" si="39"/>
        <v>350414192.69999999</v>
      </c>
      <c r="R139" s="13">
        <f t="shared" ca="1" si="40"/>
        <v>286067410.19999999</v>
      </c>
      <c r="S139" s="63"/>
      <c r="T139" s="8">
        <v>500206</v>
      </c>
      <c r="U139" s="8" t="s">
        <v>583</v>
      </c>
      <c r="V139" s="12">
        <v>3573290</v>
      </c>
      <c r="W139" s="8">
        <v>47.97</v>
      </c>
      <c r="X139" s="11">
        <f ca="1">IFERROR(__xludf.DUMMYFUNCTION("GOOGLEFINANCE(""BOM:"" &amp; T139,""price"")"),39.09)</f>
        <v>39.090000000000003</v>
      </c>
      <c r="Y139" s="8">
        <f t="shared" ca="1" si="36"/>
        <v>-18.511569731081917</v>
      </c>
      <c r="Z139" s="12">
        <f t="shared" si="25"/>
        <v>171410721.29999998</v>
      </c>
      <c r="AA139" s="13">
        <f t="shared" ca="1" si="26"/>
        <v>139679906.10000002</v>
      </c>
      <c r="AB139" s="63"/>
      <c r="AC139" s="8">
        <v>524470</v>
      </c>
      <c r="AD139" s="8" t="s">
        <v>584</v>
      </c>
      <c r="AE139" s="12">
        <v>936460965</v>
      </c>
      <c r="AF139" s="8">
        <v>14.35</v>
      </c>
      <c r="AG139" s="8">
        <f ca="1">IFERROR(__xludf.DUMMYFUNCTION("GOOGLEFINANCE(""BOM:"" &amp; AC139,""price"")"),11.18)</f>
        <v>11.18</v>
      </c>
      <c r="AH139" s="8">
        <f t="shared" ca="1" si="8"/>
        <v>-22.090592334494772</v>
      </c>
      <c r="AI139" s="12">
        <f t="shared" si="9"/>
        <v>13438214847.75</v>
      </c>
      <c r="AJ139" s="13">
        <f t="shared" ca="1" si="10"/>
        <v>10469633588.699999</v>
      </c>
    </row>
    <row r="140" spans="1:36" x14ac:dyDescent="0.25">
      <c r="A140" s="63"/>
      <c r="B140" s="8">
        <v>517334</v>
      </c>
      <c r="C140" s="8" t="s">
        <v>585</v>
      </c>
      <c r="D140" s="20">
        <v>4508667907</v>
      </c>
      <c r="E140" s="8">
        <v>119.4</v>
      </c>
      <c r="F140" s="8">
        <f ca="1">IFERROR(__xludf.DUMMYFUNCTION("GOOGLEFINANCE(""BOM:"" &amp; B140,""price"")"),117.05)</f>
        <v>117.05</v>
      </c>
      <c r="G140" s="8">
        <f t="shared" ca="1" si="21"/>
        <v>-1.9681742043551158</v>
      </c>
      <c r="H140" s="12">
        <f t="shared" si="22"/>
        <v>538334948095.80005</v>
      </c>
      <c r="I140" s="13">
        <f t="shared" ca="1" si="23"/>
        <v>527739578514.34998</v>
      </c>
      <c r="J140" s="63"/>
      <c r="K140" s="8">
        <v>526827</v>
      </c>
      <c r="L140" s="8" t="s">
        <v>586</v>
      </c>
      <c r="M140" s="12">
        <v>4172665</v>
      </c>
      <c r="N140" s="10">
        <v>40.5</v>
      </c>
      <c r="O140" s="10">
        <f ca="1">IFERROR(__xludf.DUMMYFUNCTION("GOOGLEFINANCE(""BOM:"" &amp; K140,""price"")"),35.75)</f>
        <v>35.75</v>
      </c>
      <c r="P140" s="8">
        <f t="shared" ca="1" si="38"/>
        <v>-11.728395061728394</v>
      </c>
      <c r="Q140" s="12">
        <f t="shared" si="39"/>
        <v>168992932.5</v>
      </c>
      <c r="R140" s="13">
        <f t="shared" ca="1" si="40"/>
        <v>149172773.75</v>
      </c>
      <c r="S140" s="63"/>
      <c r="T140" s="8">
        <v>531319</v>
      </c>
      <c r="U140" s="8" t="s">
        <v>587</v>
      </c>
      <c r="V140" s="12">
        <v>4541965</v>
      </c>
      <c r="W140" s="8">
        <v>7.32</v>
      </c>
      <c r="X140" s="11">
        <f ca="1">IFERROR(__xludf.DUMMYFUNCTION("GOOGLEFINANCE(""BOM:"" &amp; T140,""price"")"),8.4)</f>
        <v>8.4</v>
      </c>
      <c r="Y140" s="8">
        <f t="shared" ca="1" si="36"/>
        <v>14.754098360655737</v>
      </c>
      <c r="Z140" s="12">
        <f t="shared" si="25"/>
        <v>33247183.800000001</v>
      </c>
      <c r="AA140" s="13">
        <f t="shared" ca="1" si="26"/>
        <v>38152506</v>
      </c>
      <c r="AB140" s="63"/>
      <c r="AC140" s="8">
        <v>531173</v>
      </c>
      <c r="AD140" s="8" t="s">
        <v>588</v>
      </c>
      <c r="AE140" s="12">
        <v>24720778</v>
      </c>
      <c r="AF140" s="8">
        <v>56.8</v>
      </c>
      <c r="AG140" s="8">
        <f ca="1">IFERROR(__xludf.DUMMYFUNCTION("GOOGLEFINANCE(""BOM:"" &amp; AC140,""price"")"),60.08)</f>
        <v>60.08</v>
      </c>
      <c r="AH140" s="8">
        <f t="shared" ca="1" si="8"/>
        <v>5.7746478873239457</v>
      </c>
      <c r="AI140" s="12">
        <f t="shared" si="9"/>
        <v>1404140190.3999999</v>
      </c>
      <c r="AJ140" s="13">
        <f t="shared" ca="1" si="10"/>
        <v>1485224342.24</v>
      </c>
    </row>
    <row r="141" spans="1:36" x14ac:dyDescent="0.25">
      <c r="A141" s="63"/>
      <c r="B141" s="8">
        <v>543498</v>
      </c>
      <c r="C141" s="8" t="s">
        <v>589</v>
      </c>
      <c r="D141" s="20">
        <v>4421107932</v>
      </c>
      <c r="E141" s="8">
        <v>70.02</v>
      </c>
      <c r="F141" s="8">
        <f ca="1">IFERROR(__xludf.DUMMYFUNCTION("GOOGLEFINANCE(""BOM:"" &amp; B141,""price"")"),65.97)</f>
        <v>65.97</v>
      </c>
      <c r="G141" s="8">
        <f t="shared" ca="1" si="21"/>
        <v>-5.7840616966580942</v>
      </c>
      <c r="H141" s="12">
        <f t="shared" si="22"/>
        <v>309565977398.63995</v>
      </c>
      <c r="I141" s="13">
        <f t="shared" ca="1" si="23"/>
        <v>291660490274.03998</v>
      </c>
      <c r="J141" s="63"/>
      <c r="K141" s="8">
        <v>523425</v>
      </c>
      <c r="L141" s="8" t="s">
        <v>590</v>
      </c>
      <c r="M141" s="12">
        <v>4275000</v>
      </c>
      <c r="N141" s="10">
        <v>9</v>
      </c>
      <c r="O141" s="10">
        <f ca="1">IFERROR(__xludf.DUMMYFUNCTION("GOOGLEFINANCE(""BOM:"" &amp; K141,""price"")"),8.63)</f>
        <v>8.6300000000000008</v>
      </c>
      <c r="P141" s="8">
        <f t="shared" ca="1" si="38"/>
        <v>-4.1111111111111018</v>
      </c>
      <c r="Q141" s="12">
        <f t="shared" si="39"/>
        <v>38475000</v>
      </c>
      <c r="R141" s="13">
        <f t="shared" ca="1" si="40"/>
        <v>36893250</v>
      </c>
      <c r="S141" s="63"/>
      <c r="T141" s="8">
        <v>540749</v>
      </c>
      <c r="U141" s="8" t="s">
        <v>591</v>
      </c>
      <c r="V141" s="12">
        <v>163986129</v>
      </c>
      <c r="W141" s="8">
        <v>329.95</v>
      </c>
      <c r="X141" s="11">
        <f ca="1">IFERROR(__xludf.DUMMYFUNCTION("GOOGLEFINANCE(""BOM:"" &amp; T141,""price"")"),284)</f>
        <v>284</v>
      </c>
      <c r="Y141" s="8">
        <f t="shared" ca="1" si="36"/>
        <v>-13.926352477648127</v>
      </c>
      <c r="Z141" s="12">
        <f t="shared" si="25"/>
        <v>54107223263.549995</v>
      </c>
      <c r="AA141" s="13">
        <f t="shared" ca="1" si="26"/>
        <v>46572060636</v>
      </c>
      <c r="AB141" s="63"/>
      <c r="AC141" s="8">
        <v>530199</v>
      </c>
      <c r="AD141" s="8" t="s">
        <v>592</v>
      </c>
      <c r="AE141" s="12">
        <v>90821380</v>
      </c>
      <c r="AF141" s="8">
        <v>252.3</v>
      </c>
      <c r="AG141" s="8">
        <f ca="1">IFERROR(__xludf.DUMMYFUNCTION("GOOGLEFINANCE(""BOM:"" &amp; AC141,""price"")"),220)</f>
        <v>220</v>
      </c>
      <c r="AH141" s="8">
        <f t="shared" ca="1" si="8"/>
        <v>-12.802219579865243</v>
      </c>
      <c r="AI141" s="12">
        <f t="shared" si="9"/>
        <v>22914234174</v>
      </c>
      <c r="AJ141" s="13">
        <f t="shared" ca="1" si="10"/>
        <v>19980703600</v>
      </c>
    </row>
    <row r="142" spans="1:36" x14ac:dyDescent="0.25">
      <c r="A142" s="63"/>
      <c r="B142" s="8">
        <v>520059</v>
      </c>
      <c r="C142" s="8" t="s">
        <v>593</v>
      </c>
      <c r="D142" s="20">
        <v>98733125</v>
      </c>
      <c r="E142" s="8">
        <v>89.19</v>
      </c>
      <c r="F142" s="8">
        <f ca="1">IFERROR(__xludf.DUMMYFUNCTION("GOOGLEFINANCE(""BOM:"" &amp; B142,""price"")"),79.26)</f>
        <v>79.260000000000005</v>
      </c>
      <c r="G142" s="8">
        <f t="shared" ca="1" si="21"/>
        <v>-11.13353514968045</v>
      </c>
      <c r="H142" s="12">
        <f t="shared" si="22"/>
        <v>8806007418.75</v>
      </c>
      <c r="I142" s="13">
        <f t="shared" ca="1" si="23"/>
        <v>7825587487.500001</v>
      </c>
      <c r="J142" s="63"/>
      <c r="K142" s="8">
        <v>526365</v>
      </c>
      <c r="L142" s="8" t="s">
        <v>594</v>
      </c>
      <c r="M142" s="12">
        <v>20489175</v>
      </c>
      <c r="N142" s="10">
        <v>36.25</v>
      </c>
      <c r="O142" s="10">
        <f ca="1">IFERROR(__xludf.DUMMYFUNCTION("GOOGLEFINANCE(""BOM:"" &amp; K142,""price"")"),32.4)</f>
        <v>32.4</v>
      </c>
      <c r="P142" s="8">
        <f t="shared" ca="1" si="38"/>
        <v>-10.620689655172418</v>
      </c>
      <c r="Q142" s="12">
        <f t="shared" si="39"/>
        <v>742732593.75</v>
      </c>
      <c r="R142" s="13">
        <f t="shared" ca="1" si="40"/>
        <v>663849270</v>
      </c>
      <c r="S142" s="63"/>
      <c r="T142" s="8">
        <v>511768</v>
      </c>
      <c r="U142" s="8" t="s">
        <v>595</v>
      </c>
      <c r="V142" s="12">
        <v>21433350</v>
      </c>
      <c r="W142" s="8">
        <v>763.1</v>
      </c>
      <c r="X142" s="11">
        <f ca="1">IFERROR(__xludf.DUMMYFUNCTION("GOOGLEFINANCE(""BOM:"" &amp; T142,""price"")"),720)</f>
        <v>720</v>
      </c>
      <c r="Y142" s="8">
        <f t="shared" ca="1" si="36"/>
        <v>-5.6480146769754977</v>
      </c>
      <c r="Z142" s="12">
        <f t="shared" si="25"/>
        <v>16355789385</v>
      </c>
      <c r="AA142" s="13">
        <f t="shared" ca="1" si="26"/>
        <v>15432012000</v>
      </c>
      <c r="AB142" s="63"/>
      <c r="AC142" s="8">
        <v>500420</v>
      </c>
      <c r="AD142" s="8" t="s">
        <v>596</v>
      </c>
      <c r="AE142" s="12">
        <v>337712188</v>
      </c>
      <c r="AF142" s="8">
        <v>2668.2</v>
      </c>
      <c r="AG142" s="8">
        <f ca="1">IFERROR(__xludf.DUMMYFUNCTION("GOOGLEFINANCE(""BOM:"" &amp; AC142,""price"")"),2513)</f>
        <v>2513</v>
      </c>
      <c r="AH142" s="8">
        <f t="shared" ca="1" si="8"/>
        <v>-5.8166554231316923</v>
      </c>
      <c r="AI142" s="12">
        <f t="shared" si="9"/>
        <v>901083660021.59998</v>
      </c>
      <c r="AJ142" s="13">
        <f t="shared" ca="1" si="10"/>
        <v>848670728444</v>
      </c>
    </row>
    <row r="143" spans="1:36" x14ac:dyDescent="0.25">
      <c r="A143" s="63"/>
      <c r="B143" s="8">
        <v>520043</v>
      </c>
      <c r="C143" s="8" t="s">
        <v>597</v>
      </c>
      <c r="D143" s="20">
        <v>39616418</v>
      </c>
      <c r="E143" s="8">
        <v>194.95</v>
      </c>
      <c r="F143" s="8">
        <f ca="1">IFERROR(__xludf.DUMMYFUNCTION("GOOGLEFINANCE(""BOM:"" &amp; B143,""price"")"),162.65)</f>
        <v>162.65</v>
      </c>
      <c r="G143" s="8">
        <f t="shared" ca="1" si="21"/>
        <v>-16.568350859194659</v>
      </c>
      <c r="H143" s="12">
        <f t="shared" si="22"/>
        <v>7723220689.0999994</v>
      </c>
      <c r="I143" s="13">
        <f t="shared" ca="1" si="23"/>
        <v>6443610387.6999998</v>
      </c>
      <c r="J143" s="63"/>
      <c r="K143" s="8">
        <v>534369</v>
      </c>
      <c r="L143" s="8" t="s">
        <v>598</v>
      </c>
      <c r="M143" s="12">
        <v>66730395</v>
      </c>
      <c r="N143" s="10">
        <v>120.15</v>
      </c>
      <c r="O143" s="10">
        <f ca="1">IFERROR(__xludf.DUMMYFUNCTION("GOOGLEFINANCE(""BOM:"" &amp; K143,""price"")"),104.3)</f>
        <v>104.3</v>
      </c>
      <c r="P143" s="8">
        <f t="shared" ca="1" si="38"/>
        <v>-13.191843528922186</v>
      </c>
      <c r="Q143" s="12">
        <f t="shared" si="39"/>
        <v>8017656959.25</v>
      </c>
      <c r="R143" s="13">
        <f t="shared" ca="1" si="40"/>
        <v>6959980198.5</v>
      </c>
      <c r="S143" s="63"/>
      <c r="T143" s="8">
        <v>511688</v>
      </c>
      <c r="U143" s="8" t="s">
        <v>599</v>
      </c>
      <c r="V143" s="12">
        <v>6321094</v>
      </c>
      <c r="W143" s="8">
        <v>8.19</v>
      </c>
      <c r="X143" s="11">
        <f ca="1">IFERROR(__xludf.DUMMYFUNCTION("GOOGLEFINANCE(""BOM:"" &amp; T143,""price"")"),8.4)</f>
        <v>8.4</v>
      </c>
      <c r="Y143" s="8">
        <f t="shared" ca="1" si="36"/>
        <v>2.564102564102575</v>
      </c>
      <c r="Z143" s="12">
        <f t="shared" si="25"/>
        <v>51769759.859999999</v>
      </c>
      <c r="AA143" s="13">
        <f t="shared" ca="1" si="26"/>
        <v>53097189.600000001</v>
      </c>
      <c r="AB143" s="63"/>
      <c r="AC143" s="8">
        <v>500422</v>
      </c>
      <c r="AD143" s="8" t="s">
        <v>600</v>
      </c>
      <c r="AE143" s="12">
        <v>10948665</v>
      </c>
      <c r="AF143" s="8">
        <v>34.950000000000003</v>
      </c>
      <c r="AG143" s="8">
        <f ca="1">IFERROR(__xludf.DUMMYFUNCTION("GOOGLEFINANCE(""BOM:"" &amp; AC143,""price"")"),28.07)</f>
        <v>28.07</v>
      </c>
      <c r="AH143" s="8">
        <f t="shared" ca="1" si="8"/>
        <v>-19.685264663805441</v>
      </c>
      <c r="AI143" s="12">
        <f t="shared" si="9"/>
        <v>382655841.75000006</v>
      </c>
      <c r="AJ143" s="13">
        <f t="shared" ca="1" si="10"/>
        <v>307329026.55000001</v>
      </c>
    </row>
    <row r="144" spans="1:36" x14ac:dyDescent="0.25">
      <c r="A144" s="63"/>
      <c r="B144" s="8">
        <v>543214</v>
      </c>
      <c r="C144" s="8" t="s">
        <v>601</v>
      </c>
      <c r="D144" s="20">
        <v>11844992</v>
      </c>
      <c r="E144" s="8">
        <v>898.7</v>
      </c>
      <c r="F144" s="8">
        <f ca="1">IFERROR(__xludf.DUMMYFUNCTION("GOOGLEFINANCE(""BOM:"" &amp; B144,""price"")"),900)</f>
        <v>900</v>
      </c>
      <c r="G144" s="8">
        <f t="shared" ca="1" si="21"/>
        <v>0.14465338822743457</v>
      </c>
      <c r="H144" s="12">
        <f t="shared" si="22"/>
        <v>10645094310.4</v>
      </c>
      <c r="I144" s="13">
        <f t="shared" ca="1" si="23"/>
        <v>10660492800</v>
      </c>
      <c r="J144" s="63"/>
      <c r="K144" s="8">
        <v>533158</v>
      </c>
      <c r="L144" s="8" t="s">
        <v>602</v>
      </c>
      <c r="M144" s="12">
        <v>27439164</v>
      </c>
      <c r="N144" s="10">
        <v>1341.5</v>
      </c>
      <c r="O144" s="10">
        <f ca="1">IFERROR(__xludf.DUMMYFUNCTION("GOOGLEFINANCE(""BOM:"" &amp; K144,""price"")"),1293.05)</f>
        <v>1293.05</v>
      </c>
      <c r="P144" s="8">
        <f t="shared" ca="1" si="38"/>
        <v>-3.6116287737607187</v>
      </c>
      <c r="Q144" s="12">
        <f t="shared" si="39"/>
        <v>36809638506</v>
      </c>
      <c r="R144" s="13">
        <f t="shared" ca="1" si="40"/>
        <v>35480211010.199997</v>
      </c>
      <c r="S144" s="63"/>
      <c r="T144" s="8">
        <v>531417</v>
      </c>
      <c r="U144" s="8" t="s">
        <v>603</v>
      </c>
      <c r="V144" s="12">
        <v>97495378</v>
      </c>
      <c r="W144" s="8">
        <v>3.4</v>
      </c>
      <c r="X144" s="11">
        <f ca="1">IFERROR(__xludf.DUMMYFUNCTION("GOOGLEFINANCE(""BOM:"" &amp; T144,""price"")"),2.44)</f>
        <v>2.44</v>
      </c>
      <c r="Y144" s="8">
        <f t="shared" ca="1" si="36"/>
        <v>-28.235294117647058</v>
      </c>
      <c r="Z144" s="12">
        <f t="shared" si="25"/>
        <v>331484285.19999999</v>
      </c>
      <c r="AA144" s="13">
        <f t="shared" ca="1" si="26"/>
        <v>237888722.31999999</v>
      </c>
      <c r="AB144" s="63"/>
      <c r="AC144" s="8">
        <v>512101</v>
      </c>
      <c r="AD144" s="8" t="s">
        <v>604</v>
      </c>
      <c r="AE144" s="12">
        <v>229900</v>
      </c>
      <c r="AF144" s="8">
        <v>17.399999999999999</v>
      </c>
      <c r="AG144" s="8">
        <f ca="1">IFERROR(__xludf.DUMMYFUNCTION("GOOGLEFINANCE(""BOM:"" &amp; AC144,""price"")"),17.4)</f>
        <v>17.399999999999999</v>
      </c>
      <c r="AH144" s="8">
        <f t="shared" ca="1" si="8"/>
        <v>0</v>
      </c>
      <c r="AI144" s="12">
        <f t="shared" si="9"/>
        <v>4000259.9999999995</v>
      </c>
      <c r="AJ144" s="13">
        <f t="shared" ca="1" si="10"/>
        <v>4000259.9999999995</v>
      </c>
    </row>
    <row r="145" spans="1:36" x14ac:dyDescent="0.25">
      <c r="A145" s="63"/>
      <c r="B145" s="8">
        <v>520021</v>
      </c>
      <c r="C145" s="8" t="s">
        <v>605</v>
      </c>
      <c r="D145" s="20">
        <v>21095043</v>
      </c>
      <c r="E145" s="8">
        <v>113.1</v>
      </c>
      <c r="F145" s="8">
        <f ca="1">IFERROR(__xludf.DUMMYFUNCTION("GOOGLEFINANCE(""BOM:"" &amp; B145,""price"")"),97.35)</f>
        <v>97.35</v>
      </c>
      <c r="G145" s="8">
        <f t="shared" ca="1" si="21"/>
        <v>-13.925729442970821</v>
      </c>
      <c r="H145" s="12">
        <f t="shared" si="22"/>
        <v>2385849363.2999997</v>
      </c>
      <c r="I145" s="13">
        <f t="shared" ca="1" si="23"/>
        <v>2053602436.05</v>
      </c>
      <c r="J145" s="63"/>
      <c r="K145" s="8">
        <v>500414</v>
      </c>
      <c r="L145" s="8" t="s">
        <v>606</v>
      </c>
      <c r="M145" s="12">
        <v>98515535</v>
      </c>
      <c r="N145" s="10">
        <v>136.5</v>
      </c>
      <c r="O145" s="10">
        <f ca="1">IFERROR(__xludf.DUMMYFUNCTION("GOOGLEFINANCE(""BOM:"" &amp; K145,""price"")"),137.5)</f>
        <v>137.5</v>
      </c>
      <c r="P145" s="8">
        <f t="shared" ca="1" si="38"/>
        <v>0.73260073260073255</v>
      </c>
      <c r="Q145" s="12">
        <f t="shared" si="39"/>
        <v>13447370527.5</v>
      </c>
      <c r="R145" s="13">
        <f t="shared" ca="1" si="40"/>
        <v>13545886062.5</v>
      </c>
      <c r="S145" s="63"/>
      <c r="T145" s="8">
        <v>511377</v>
      </c>
      <c r="U145" s="8" t="s">
        <v>607</v>
      </c>
      <c r="V145" s="12">
        <v>3654000</v>
      </c>
      <c r="W145" s="8">
        <v>29</v>
      </c>
      <c r="X145" s="11">
        <f ca="1">IFERROR(__xludf.DUMMYFUNCTION("GOOGLEFINANCE(""BOM:"" &amp; T145,""price"")"),35.6)</f>
        <v>35.6</v>
      </c>
      <c r="Y145" s="8">
        <f t="shared" ca="1" si="36"/>
        <v>22.758620689655178</v>
      </c>
      <c r="Z145" s="12">
        <f t="shared" si="25"/>
        <v>105966000</v>
      </c>
      <c r="AA145" s="13">
        <f t="shared" ca="1" si="26"/>
        <v>130082400</v>
      </c>
      <c r="AB145" s="63"/>
      <c r="AC145" s="8">
        <v>532384</v>
      </c>
      <c r="AD145" s="8" t="s">
        <v>608</v>
      </c>
      <c r="AE145" s="12">
        <v>10099987</v>
      </c>
      <c r="AF145" s="8">
        <v>183.6</v>
      </c>
      <c r="AG145" s="8">
        <f ca="1">IFERROR(__xludf.DUMMYFUNCTION("GOOGLEFINANCE(""BOM:"" &amp; AC145,""price"")"),175.65)</f>
        <v>175.65</v>
      </c>
      <c r="AH145" s="8">
        <f t="shared" ca="1" si="8"/>
        <v>-4.3300653594771177</v>
      </c>
      <c r="AI145" s="12">
        <f t="shared" si="9"/>
        <v>1854357613.2</v>
      </c>
      <c r="AJ145" s="13">
        <f t="shared" ca="1" si="10"/>
        <v>1774062716.55</v>
      </c>
    </row>
    <row r="146" spans="1:36" x14ac:dyDescent="0.25">
      <c r="A146" s="63"/>
      <c r="B146" s="8">
        <v>506122</v>
      </c>
      <c r="C146" s="8" t="s">
        <v>609</v>
      </c>
      <c r="D146" s="20">
        <v>600000</v>
      </c>
      <c r="E146" s="8">
        <v>102.5</v>
      </c>
      <c r="F146" s="8">
        <f ca="1">IFERROR(__xludf.DUMMYFUNCTION("GOOGLEFINANCE(""BOM:"" &amp; B146,""price"")"),104)</f>
        <v>104</v>
      </c>
      <c r="G146" s="8">
        <f t="shared" ca="1" si="21"/>
        <v>1.4634146341463417</v>
      </c>
      <c r="H146" s="12">
        <f t="shared" si="22"/>
        <v>61500000</v>
      </c>
      <c r="I146" s="13">
        <f t="shared" ca="1" si="23"/>
        <v>62400000</v>
      </c>
      <c r="J146" s="63"/>
      <c r="K146" s="8">
        <v>500114</v>
      </c>
      <c r="L146" s="8" t="s">
        <v>610</v>
      </c>
      <c r="M146" s="12">
        <v>879690947</v>
      </c>
      <c r="N146" s="10">
        <v>3764.7</v>
      </c>
      <c r="O146" s="10">
        <f ca="1">IFERROR(__xludf.DUMMYFUNCTION("GOOGLEFINANCE(""BOM:"" &amp; K146,""price"")"),3794.2)</f>
        <v>3794.2</v>
      </c>
      <c r="P146" s="8">
        <f t="shared" ca="1" si="38"/>
        <v>0.78359497436714753</v>
      </c>
      <c r="Q146" s="12">
        <f t="shared" si="39"/>
        <v>3311772508170.8999</v>
      </c>
      <c r="R146" s="13">
        <f t="shared" ca="1" si="40"/>
        <v>3337723391107.3999</v>
      </c>
      <c r="S146" s="63"/>
      <c r="T146" s="8">
        <v>538834</v>
      </c>
      <c r="U146" s="8" t="s">
        <v>611</v>
      </c>
      <c r="V146" s="12">
        <v>12084900</v>
      </c>
      <c r="W146" s="8">
        <v>24.21</v>
      </c>
      <c r="X146" s="11">
        <f ca="1">IFERROR(__xludf.DUMMYFUNCTION("GOOGLEFINANCE(""BOM:"" &amp; T146,""price"")"),19.2)</f>
        <v>19.2</v>
      </c>
      <c r="Y146" s="8">
        <f t="shared" ca="1" si="36"/>
        <v>-20.693928128872372</v>
      </c>
      <c r="Z146" s="12">
        <f t="shared" si="25"/>
        <v>292575429</v>
      </c>
      <c r="AA146" s="13">
        <f t="shared" ca="1" si="26"/>
        <v>232030080</v>
      </c>
      <c r="AB146" s="63"/>
      <c r="AC146" s="8">
        <v>506690</v>
      </c>
      <c r="AD146" s="8" t="s">
        <v>612</v>
      </c>
      <c r="AE146" s="12">
        <v>68551385</v>
      </c>
      <c r="AF146" s="8">
        <v>515.5</v>
      </c>
      <c r="AG146" s="8">
        <f ca="1">IFERROR(__xludf.DUMMYFUNCTION("GOOGLEFINANCE(""BOM:"" &amp; AC146,""price"")"),496)</f>
        <v>496</v>
      </c>
      <c r="AH146" s="8">
        <f t="shared" ca="1" si="8"/>
        <v>-3.7827352085354025</v>
      </c>
      <c r="AI146" s="12">
        <f t="shared" si="9"/>
        <v>35338238967.5</v>
      </c>
      <c r="AJ146" s="13">
        <f t="shared" ca="1" si="10"/>
        <v>34001486960</v>
      </c>
    </row>
    <row r="147" spans="1:36" x14ac:dyDescent="0.25">
      <c r="A147" s="63"/>
      <c r="B147" s="8">
        <v>526349</v>
      </c>
      <c r="C147" s="8" t="s">
        <v>613</v>
      </c>
      <c r="D147" s="12">
        <v>464700</v>
      </c>
      <c r="E147" s="8">
        <v>1</v>
      </c>
      <c r="F147" s="8">
        <f ca="1">IFERROR(__xludf.DUMMYFUNCTION("GOOGLEFINANCE(""BOM:"" &amp; B147,""price"")"),1)</f>
        <v>1</v>
      </c>
      <c r="G147" s="8">
        <f t="shared" ca="1" si="21"/>
        <v>0</v>
      </c>
      <c r="H147" s="12">
        <f t="shared" si="22"/>
        <v>464700</v>
      </c>
      <c r="I147" s="13">
        <f t="shared" ca="1" si="23"/>
        <v>464700</v>
      </c>
      <c r="J147" s="63"/>
      <c r="K147" s="8">
        <v>539518</v>
      </c>
      <c r="L147" s="8" t="s">
        <v>614</v>
      </c>
      <c r="M147" s="12">
        <v>21838252</v>
      </c>
      <c r="N147" s="10">
        <v>177.4</v>
      </c>
      <c r="O147" s="10">
        <f ca="1">IFERROR(__xludf.DUMMYFUNCTION("GOOGLEFINANCE(""BOM:"" &amp; K147,""price"")"),144.1)</f>
        <v>144.1</v>
      </c>
      <c r="P147" s="8">
        <f t="shared" ca="1" si="38"/>
        <v>-18.771138669673061</v>
      </c>
      <c r="Q147" s="12">
        <f t="shared" si="39"/>
        <v>3874105904.8000002</v>
      </c>
      <c r="R147" s="13">
        <f t="shared" ca="1" si="40"/>
        <v>3146892113.1999998</v>
      </c>
      <c r="S147" s="63"/>
      <c r="T147" s="8">
        <v>531127</v>
      </c>
      <c r="U147" s="8" t="s">
        <v>615</v>
      </c>
      <c r="V147" s="12">
        <v>97975970</v>
      </c>
      <c r="W147" s="8">
        <v>11.74</v>
      </c>
      <c r="X147" s="11">
        <f ca="1">IFERROR(__xludf.DUMMYFUNCTION("GOOGLEFINANCE(""BOM:"" &amp; T147,""price"")"),8.48)</f>
        <v>8.48</v>
      </c>
      <c r="Y147" s="8">
        <f t="shared" ca="1" si="36"/>
        <v>-27.768313458262352</v>
      </c>
      <c r="Z147" s="12">
        <f t="shared" si="25"/>
        <v>1150237887.8</v>
      </c>
      <c r="AA147" s="13">
        <f t="shared" ca="1" si="26"/>
        <v>830836225.60000002</v>
      </c>
      <c r="AB147" s="63"/>
      <c r="AC147" s="8">
        <v>531762</v>
      </c>
      <c r="AD147" s="8" t="s">
        <v>616</v>
      </c>
      <c r="AE147" s="12">
        <v>3943000</v>
      </c>
      <c r="AF147" s="8">
        <v>21.1</v>
      </c>
      <c r="AG147" s="8">
        <f ca="1">IFERROR(__xludf.DUMMYFUNCTION("GOOGLEFINANCE(""BOM:"" &amp; AC147,""price"")"),18.9)</f>
        <v>18.899999999999999</v>
      </c>
      <c r="AH147" s="8">
        <f t="shared" ca="1" si="8"/>
        <v>-10.426540284360202</v>
      </c>
      <c r="AI147" s="12">
        <f t="shared" si="9"/>
        <v>83197300</v>
      </c>
      <c r="AJ147" s="13">
        <f t="shared" ca="1" si="10"/>
        <v>74522700</v>
      </c>
    </row>
    <row r="148" spans="1:36" x14ac:dyDescent="0.25">
      <c r="A148" s="63"/>
      <c r="B148" s="8">
        <v>532933</v>
      </c>
      <c r="C148" s="8" t="s">
        <v>617</v>
      </c>
      <c r="D148" s="20">
        <v>14503497</v>
      </c>
      <c r="E148" s="8">
        <v>65.61</v>
      </c>
      <c r="F148" s="8">
        <f ca="1">IFERROR(__xludf.DUMMYFUNCTION("GOOGLEFINANCE(""BOM:"" &amp; B148,""price"")"),51.79)</f>
        <v>51.79</v>
      </c>
      <c r="G148" s="8">
        <f t="shared" ca="1" si="21"/>
        <v>-21.063862216125592</v>
      </c>
      <c r="H148" s="12">
        <f t="shared" si="22"/>
        <v>951574438.16999996</v>
      </c>
      <c r="I148" s="13">
        <f t="shared" ca="1" si="23"/>
        <v>751136109.63</v>
      </c>
      <c r="J148" s="63"/>
      <c r="K148" s="8">
        <v>541338</v>
      </c>
      <c r="L148" s="8" t="s">
        <v>618</v>
      </c>
      <c r="M148" s="12">
        <v>6116400</v>
      </c>
      <c r="N148" s="10">
        <v>53.96</v>
      </c>
      <c r="O148" s="10">
        <f ca="1">IFERROR(__xludf.DUMMYFUNCTION("GOOGLEFINANCE(""BOM:"" &amp; K148,""price"")"),30.74)</f>
        <v>30.74</v>
      </c>
      <c r="P148" s="8">
        <f t="shared" ca="1" si="38"/>
        <v>-43.031875463306157</v>
      </c>
      <c r="Q148" s="12">
        <f t="shared" si="39"/>
        <v>330040944</v>
      </c>
      <c r="R148" s="13">
        <f t="shared" ca="1" si="40"/>
        <v>188018136</v>
      </c>
      <c r="S148" s="63"/>
      <c r="T148" s="8">
        <v>523343</v>
      </c>
      <c r="U148" s="8" t="s">
        <v>619</v>
      </c>
      <c r="V148" s="12">
        <v>670000</v>
      </c>
      <c r="W148" s="8">
        <v>0</v>
      </c>
      <c r="X148" s="11">
        <f ca="1">IFERROR(__xludf.DUMMYFUNCTION("GOOGLEFINANCE(""BOM:"" &amp; T148,""price"")"),0)</f>
        <v>0</v>
      </c>
      <c r="Y148" s="8">
        <v>0</v>
      </c>
      <c r="Z148" s="12">
        <f t="shared" si="25"/>
        <v>0</v>
      </c>
      <c r="AA148" s="13">
        <f t="shared" ca="1" si="26"/>
        <v>0</v>
      </c>
      <c r="AB148" s="63"/>
      <c r="AC148" s="8">
        <v>511523</v>
      </c>
      <c r="AD148" s="8" t="s">
        <v>620</v>
      </c>
      <c r="AE148" s="12">
        <v>19592730</v>
      </c>
      <c r="AF148" s="8">
        <v>22.77</v>
      </c>
      <c r="AG148" s="8">
        <f ca="1">IFERROR(__xludf.DUMMYFUNCTION("GOOGLEFINANCE(""BOM:"" &amp; AC148,""price"")"),20.81)</f>
        <v>20.81</v>
      </c>
      <c r="AH148" s="8">
        <f t="shared" ca="1" si="8"/>
        <v>-8.6078173034694814</v>
      </c>
      <c r="AI148" s="12">
        <f t="shared" si="9"/>
        <v>446126462.09999996</v>
      </c>
      <c r="AJ148" s="13">
        <f t="shared" ca="1" si="10"/>
        <v>407724711.29999995</v>
      </c>
    </row>
    <row r="149" spans="1:36" x14ac:dyDescent="0.25">
      <c r="A149" s="63"/>
      <c r="B149" s="8">
        <v>532934</v>
      </c>
      <c r="C149" s="8" t="s">
        <v>621</v>
      </c>
      <c r="D149" s="20">
        <v>13774861</v>
      </c>
      <c r="E149" s="8">
        <v>208.1</v>
      </c>
      <c r="F149" s="8">
        <f ca="1">IFERROR(__xludf.DUMMYFUNCTION("GOOGLEFINANCE(""BOM:"" &amp; B149,""price"")"),174.8)</f>
        <v>174.8</v>
      </c>
      <c r="G149" s="8">
        <f t="shared" ca="1" si="21"/>
        <v>-16.00192215281114</v>
      </c>
      <c r="H149" s="12">
        <f t="shared" si="22"/>
        <v>2866548574.0999999</v>
      </c>
      <c r="I149" s="13">
        <f t="shared" ca="1" si="23"/>
        <v>2407845702.8000002</v>
      </c>
      <c r="J149" s="63"/>
      <c r="K149" s="8">
        <v>512595</v>
      </c>
      <c r="L149" s="8" t="s">
        <v>622</v>
      </c>
      <c r="M149" s="12">
        <v>165633</v>
      </c>
      <c r="N149" s="10">
        <v>620.35</v>
      </c>
      <c r="O149" s="10">
        <f ca="1">IFERROR(__xludf.DUMMYFUNCTION("GOOGLEFINANCE(""BOM:"" &amp; K149,""price"")"),599.35)</f>
        <v>599.35</v>
      </c>
      <c r="P149" s="8">
        <f t="shared" ca="1" si="38"/>
        <v>-3.3851857822197142</v>
      </c>
      <c r="Q149" s="12">
        <f t="shared" si="39"/>
        <v>102750431.55</v>
      </c>
      <c r="R149" s="13">
        <f t="shared" ca="1" si="40"/>
        <v>99272138.549999997</v>
      </c>
      <c r="S149" s="63"/>
      <c r="T149" s="8">
        <v>532164</v>
      </c>
      <c r="U149" s="8" t="s">
        <v>623</v>
      </c>
      <c r="V149" s="12">
        <v>8623140</v>
      </c>
      <c r="W149" s="8">
        <v>7.16</v>
      </c>
      <c r="X149" s="11">
        <f ca="1">IFERROR(__xludf.DUMMYFUNCTION("GOOGLEFINANCE(""BOM:"" &amp; T149,""price"")"),7.8)</f>
        <v>7.8</v>
      </c>
      <c r="Y149" s="8">
        <f t="shared" ref="Y149:Y175" ca="1" si="41">((X149-W149)/W149)*100</f>
        <v>8.9385474860335137</v>
      </c>
      <c r="Z149" s="12">
        <f t="shared" si="25"/>
        <v>61741682.399999999</v>
      </c>
      <c r="AA149" s="13">
        <f t="shared" ca="1" si="26"/>
        <v>67260492</v>
      </c>
      <c r="AB149" s="63"/>
      <c r="AC149" s="8">
        <v>526953</v>
      </c>
      <c r="AD149" s="8" t="s">
        <v>624</v>
      </c>
      <c r="AE149" s="12">
        <v>13247876</v>
      </c>
      <c r="AF149" s="8">
        <v>344.9</v>
      </c>
      <c r="AG149" s="8">
        <f ca="1">IFERROR(__xludf.DUMMYFUNCTION("GOOGLEFINANCE(""BOM:"" &amp; AC149,""price"")"),327.95)</f>
        <v>327.95</v>
      </c>
      <c r="AH149" s="8">
        <f t="shared" ca="1" si="8"/>
        <v>-4.9144679617280342</v>
      </c>
      <c r="AI149" s="12">
        <f t="shared" si="9"/>
        <v>4569192432.3999996</v>
      </c>
      <c r="AJ149" s="13">
        <f t="shared" ca="1" si="10"/>
        <v>4344640934.1999998</v>
      </c>
    </row>
    <row r="150" spans="1:36" x14ac:dyDescent="0.25">
      <c r="A150" s="63"/>
      <c r="B150" s="8">
        <v>513532</v>
      </c>
      <c r="C150" s="8" t="s">
        <v>625</v>
      </c>
      <c r="D150" s="20">
        <v>16792780</v>
      </c>
      <c r="E150" s="8">
        <v>253</v>
      </c>
      <c r="F150" s="8">
        <f ca="1">IFERROR(__xludf.DUMMYFUNCTION("GOOGLEFINANCE(""BOM:"" &amp; B150,""price"")"),214.95)</f>
        <v>214.95</v>
      </c>
      <c r="G150" s="8">
        <f t="shared" ca="1" si="21"/>
        <v>-15.039525691699609</v>
      </c>
      <c r="H150" s="12">
        <f t="shared" si="22"/>
        <v>4248573340</v>
      </c>
      <c r="I150" s="13">
        <f t="shared" ca="1" si="23"/>
        <v>3609608061</v>
      </c>
      <c r="J150" s="63"/>
      <c r="K150" s="8">
        <v>532156</v>
      </c>
      <c r="L150" s="8" t="s">
        <v>626</v>
      </c>
      <c r="M150" s="12">
        <v>164296373</v>
      </c>
      <c r="N150" s="10">
        <v>428.25</v>
      </c>
      <c r="O150" s="10">
        <f ca="1">IFERROR(__xludf.DUMMYFUNCTION("GOOGLEFINANCE(""BOM:"" &amp; K150,""price"")"),364)</f>
        <v>364</v>
      </c>
      <c r="P150" s="8">
        <f t="shared" ca="1" si="38"/>
        <v>-15.002918855808522</v>
      </c>
      <c r="Q150" s="12">
        <f t="shared" si="39"/>
        <v>70359921737.25</v>
      </c>
      <c r="R150" s="13">
        <f t="shared" ca="1" si="40"/>
        <v>59803879772</v>
      </c>
      <c r="S150" s="63"/>
      <c r="T150" s="8">
        <v>535910</v>
      </c>
      <c r="U150" s="8" t="s">
        <v>627</v>
      </c>
      <c r="V150" s="12">
        <v>9332722</v>
      </c>
      <c r="W150" s="8">
        <v>148</v>
      </c>
      <c r="X150" s="11">
        <f ca="1">IFERROR(__xludf.DUMMYFUNCTION("GOOGLEFINANCE(""BOM:"" &amp; T150,""price"")"),149.6)</f>
        <v>149.6</v>
      </c>
      <c r="Y150" s="8">
        <f t="shared" ca="1" si="41"/>
        <v>1.0810810810810774</v>
      </c>
      <c r="Z150" s="12">
        <f t="shared" si="25"/>
        <v>1381242856</v>
      </c>
      <c r="AA150" s="13">
        <f t="shared" ca="1" si="26"/>
        <v>1396175211.2</v>
      </c>
      <c r="AB150" s="63"/>
      <c r="AC150" s="8">
        <v>543298</v>
      </c>
      <c r="AD150" s="8" t="s">
        <v>628</v>
      </c>
      <c r="AE150" s="12">
        <v>9219008</v>
      </c>
      <c r="AF150" s="8">
        <v>54</v>
      </c>
      <c r="AG150" s="8">
        <f ca="1">IFERROR(__xludf.DUMMYFUNCTION("GOOGLEFINANCE(""BOM:"" &amp; AC150,""price"")"),49.3)</f>
        <v>49.3</v>
      </c>
      <c r="AH150" s="8">
        <f t="shared" ca="1" si="8"/>
        <v>-8.7037037037037095</v>
      </c>
      <c r="AI150" s="12">
        <f t="shared" si="9"/>
        <v>497826432</v>
      </c>
      <c r="AJ150" s="13">
        <f t="shared" ca="1" si="10"/>
        <v>454497094.39999998</v>
      </c>
    </row>
    <row r="151" spans="1:36" x14ac:dyDescent="0.25">
      <c r="A151" s="63"/>
      <c r="B151" s="8">
        <v>539636</v>
      </c>
      <c r="C151" s="8" t="s">
        <v>629</v>
      </c>
      <c r="D151" s="20">
        <v>94985813</v>
      </c>
      <c r="E151" s="8">
        <v>221.2</v>
      </c>
      <c r="F151" s="8">
        <f ca="1">IFERROR(__xludf.DUMMYFUNCTION("GOOGLEFINANCE(""BOM:"" &amp; B151,""price"")"),205)</f>
        <v>205</v>
      </c>
      <c r="G151" s="8">
        <f t="shared" ca="1" si="21"/>
        <v>-7.3236889692585851</v>
      </c>
      <c r="H151" s="12">
        <f t="shared" si="22"/>
        <v>21010861835.599998</v>
      </c>
      <c r="I151" s="13">
        <f t="shared" ca="1" si="23"/>
        <v>19472091665</v>
      </c>
      <c r="J151" s="63"/>
      <c r="K151" s="8">
        <v>540252</v>
      </c>
      <c r="L151" s="8" t="s">
        <v>630</v>
      </c>
      <c r="M151" s="12">
        <v>50310160</v>
      </c>
      <c r="N151" s="10">
        <v>9.4600000000000009</v>
      </c>
      <c r="O151" s="10">
        <f ca="1">IFERROR(__xludf.DUMMYFUNCTION("GOOGLEFINANCE(""BOM:"" &amp; K151,""price"")"),8.05)</f>
        <v>8.0500000000000007</v>
      </c>
      <c r="P151" s="8">
        <f t="shared" ca="1" si="38"/>
        <v>-14.904862579281183</v>
      </c>
      <c r="Q151" s="12">
        <f t="shared" si="39"/>
        <v>475934113.60000002</v>
      </c>
      <c r="R151" s="13">
        <f t="shared" ca="1" si="40"/>
        <v>404996788.00000006</v>
      </c>
      <c r="S151" s="63"/>
      <c r="T151" s="8">
        <v>507938</v>
      </c>
      <c r="U151" s="8" t="s">
        <v>631</v>
      </c>
      <c r="V151" s="12">
        <v>745406</v>
      </c>
      <c r="W151" s="8">
        <v>5.69</v>
      </c>
      <c r="X151" s="11">
        <f ca="1">IFERROR(__xludf.DUMMYFUNCTION("GOOGLEFINANCE(""BOM:"" &amp; T151,""price"")"),5.7)</f>
        <v>5.7</v>
      </c>
      <c r="Y151" s="8">
        <f t="shared" ca="1" si="41"/>
        <v>0.17574692442881873</v>
      </c>
      <c r="Z151" s="12">
        <f t="shared" si="25"/>
        <v>4241360.1400000006</v>
      </c>
      <c r="AA151" s="13">
        <f t="shared" ca="1" si="26"/>
        <v>4248814.2</v>
      </c>
      <c r="AB151" s="63"/>
      <c r="AC151" s="8">
        <v>524711</v>
      </c>
      <c r="AD151" s="8" t="s">
        <v>632</v>
      </c>
      <c r="AE151" s="12">
        <v>34129596</v>
      </c>
      <c r="AF151" s="8">
        <v>14.01</v>
      </c>
      <c r="AG151" s="8">
        <f ca="1">IFERROR(__xludf.DUMMYFUNCTION("GOOGLEFINANCE(""BOM:"" &amp; AC151,""price"")"),11.4)</f>
        <v>11.4</v>
      </c>
      <c r="AH151" s="8">
        <f t="shared" ca="1" si="8"/>
        <v>-18.62955032119914</v>
      </c>
      <c r="AI151" s="12">
        <f t="shared" si="9"/>
        <v>478155639.95999998</v>
      </c>
      <c r="AJ151" s="13">
        <f t="shared" ca="1" si="10"/>
        <v>389077394.40000004</v>
      </c>
    </row>
    <row r="152" spans="1:36" x14ac:dyDescent="0.25">
      <c r="A152" s="63"/>
      <c r="B152" s="8">
        <v>540293</v>
      </c>
      <c r="C152" s="8" t="s">
        <v>633</v>
      </c>
      <c r="D152" s="20">
        <v>120705612</v>
      </c>
      <c r="E152" s="8">
        <v>403.05</v>
      </c>
      <c r="F152" s="8">
        <f ca="1">IFERROR(__xludf.DUMMYFUNCTION("GOOGLEFINANCE(""BOM:"" &amp; B152,""price"")"),389.2)</f>
        <v>389.2</v>
      </c>
      <c r="G152" s="8">
        <f t="shared" ca="1" si="21"/>
        <v>-3.4362982260265533</v>
      </c>
      <c r="H152" s="12">
        <f t="shared" si="22"/>
        <v>48650396916.599998</v>
      </c>
      <c r="I152" s="13">
        <f t="shared" ca="1" si="23"/>
        <v>46978624190.400002</v>
      </c>
      <c r="J152" s="63"/>
      <c r="K152" s="8">
        <v>530675</v>
      </c>
      <c r="L152" s="8" t="s">
        <v>634</v>
      </c>
      <c r="M152" s="12">
        <v>2725600</v>
      </c>
      <c r="N152" s="10">
        <v>46.98</v>
      </c>
      <c r="O152" s="10">
        <f ca="1">IFERROR(__xludf.DUMMYFUNCTION("GOOGLEFINANCE(""BOM:"" &amp; K152,""price"")"),37.5)</f>
        <v>37.5</v>
      </c>
      <c r="P152" s="8">
        <f t="shared" ca="1" si="38"/>
        <v>-20.178799489144311</v>
      </c>
      <c r="Q152" s="12">
        <f t="shared" si="39"/>
        <v>128048687.99999999</v>
      </c>
      <c r="R152" s="13">
        <f t="shared" ca="1" si="40"/>
        <v>102210000</v>
      </c>
      <c r="S152" s="63"/>
      <c r="T152" s="8">
        <v>538446</v>
      </c>
      <c r="U152" s="8" t="s">
        <v>635</v>
      </c>
      <c r="V152" s="12">
        <v>23405306</v>
      </c>
      <c r="W152" s="8">
        <v>255</v>
      </c>
      <c r="X152" s="11">
        <f ca="1">IFERROR(__xludf.DUMMYFUNCTION("GOOGLEFINANCE(""BOM:"" &amp; T152,""price"")"),254.55)</f>
        <v>254.55</v>
      </c>
      <c r="Y152" s="8">
        <f t="shared" ca="1" si="41"/>
        <v>-0.17647058823528966</v>
      </c>
      <c r="Z152" s="12">
        <f t="shared" si="25"/>
        <v>5968353030</v>
      </c>
      <c r="AA152" s="13">
        <f t="shared" ca="1" si="26"/>
        <v>5957820642.3000002</v>
      </c>
      <c r="AB152" s="63"/>
      <c r="AC152" s="8">
        <v>532660</v>
      </c>
      <c r="AD152" s="8" t="s">
        <v>636</v>
      </c>
      <c r="AE152" s="12">
        <v>81431205</v>
      </c>
      <c r="AF152" s="8" t="s">
        <v>44</v>
      </c>
      <c r="AG152" s="8" t="s">
        <v>44</v>
      </c>
      <c r="AH152" s="8"/>
      <c r="AI152" s="12"/>
      <c r="AJ152" s="13"/>
    </row>
    <row r="153" spans="1:36" x14ac:dyDescent="0.25">
      <c r="A153" s="63"/>
      <c r="B153" s="8">
        <v>539359</v>
      </c>
      <c r="C153" s="8" t="s">
        <v>637</v>
      </c>
      <c r="D153" s="20">
        <v>88245480</v>
      </c>
      <c r="E153" s="8">
        <v>37.799999999999997</v>
      </c>
      <c r="F153" s="8">
        <f ca="1">IFERROR(__xludf.DUMMYFUNCTION("GOOGLEFINANCE(""BOM:"" &amp; B153,""price"")"),31.47)</f>
        <v>31.47</v>
      </c>
      <c r="G153" s="8">
        <f t="shared" ca="1" si="21"/>
        <v>-16.746031746031743</v>
      </c>
      <c r="H153" s="12">
        <f t="shared" si="22"/>
        <v>3335679143.9999995</v>
      </c>
      <c r="I153" s="13">
        <f t="shared" ca="1" si="23"/>
        <v>2777085255.5999999</v>
      </c>
      <c r="J153" s="64"/>
      <c r="K153" s="14">
        <v>512587</v>
      </c>
      <c r="L153" s="14" t="s">
        <v>638</v>
      </c>
      <c r="M153" s="15">
        <v>5101254</v>
      </c>
      <c r="N153" s="17">
        <v>83.82</v>
      </c>
      <c r="O153" s="17">
        <f ca="1">IFERROR(__xludf.DUMMYFUNCTION("GOOGLEFINANCE(""BOM:"" &amp; K153,""price"")"),64.6)</f>
        <v>64.599999999999994</v>
      </c>
      <c r="P153" s="14">
        <f t="shared" ca="1" si="38"/>
        <v>-22.930088284418993</v>
      </c>
      <c r="Q153" s="15">
        <f t="shared" si="39"/>
        <v>427587110.27999997</v>
      </c>
      <c r="R153" s="16">
        <f t="shared" ca="1" si="40"/>
        <v>329541008.39999998</v>
      </c>
      <c r="S153" s="63"/>
      <c r="T153" s="8">
        <v>530167</v>
      </c>
      <c r="U153" s="8" t="s">
        <v>639</v>
      </c>
      <c r="V153" s="12">
        <v>2059700</v>
      </c>
      <c r="W153" s="8">
        <v>34.25</v>
      </c>
      <c r="X153" s="11">
        <f ca="1">IFERROR(__xludf.DUMMYFUNCTION("GOOGLEFINANCE(""BOM:"" &amp; T153,""price"")"),29.35)</f>
        <v>29.35</v>
      </c>
      <c r="Y153" s="8">
        <f t="shared" ca="1" si="41"/>
        <v>-14.306569343065689</v>
      </c>
      <c r="Z153" s="12">
        <f t="shared" si="25"/>
        <v>70544725</v>
      </c>
      <c r="AA153" s="13">
        <f t="shared" ca="1" si="26"/>
        <v>60452195</v>
      </c>
      <c r="AB153" s="63"/>
      <c r="AC153" s="8">
        <v>538634</v>
      </c>
      <c r="AD153" s="8" t="s">
        <v>640</v>
      </c>
      <c r="AE153" s="12">
        <v>2695700</v>
      </c>
      <c r="AF153" s="8">
        <v>210</v>
      </c>
      <c r="AG153" s="8">
        <f ca="1">IFERROR(__xludf.DUMMYFUNCTION("GOOGLEFINANCE(""BOM:"" &amp; AC153,""price"")"),192)</f>
        <v>192</v>
      </c>
      <c r="AH153" s="8">
        <f t="shared" ref="AH153:AH182" ca="1" si="42">((AG153-AF153)/AF153)*100</f>
        <v>-8.5714285714285712</v>
      </c>
      <c r="AI153" s="12">
        <f t="shared" ref="AI153:AI182" si="43">AE153*AF153</f>
        <v>566097000</v>
      </c>
      <c r="AJ153" s="13">
        <f t="shared" ref="AJ153:AJ182" ca="1" si="44">AE153*AG153</f>
        <v>517574400</v>
      </c>
    </row>
    <row r="154" spans="1:36" x14ac:dyDescent="0.25">
      <c r="A154" s="63"/>
      <c r="B154" s="8">
        <v>520073</v>
      </c>
      <c r="C154" s="8" t="s">
        <v>641</v>
      </c>
      <c r="D154" s="20">
        <v>10188610</v>
      </c>
      <c r="E154" s="8">
        <v>1142.75</v>
      </c>
      <c r="F154" s="8">
        <f ca="1">IFERROR(__xludf.DUMMYFUNCTION("GOOGLEFINANCE(""BOM:"" &amp; B154,""price"")"),1180)</f>
        <v>1180</v>
      </c>
      <c r="G154" s="8">
        <f t="shared" ca="1" si="21"/>
        <v>3.2596805950557868</v>
      </c>
      <c r="H154" s="12">
        <f t="shared" si="22"/>
        <v>11643034077.5</v>
      </c>
      <c r="I154" s="13">
        <f t="shared" ca="1" si="23"/>
        <v>12022559800</v>
      </c>
      <c r="J154" s="62" t="s">
        <v>642</v>
      </c>
      <c r="K154" s="6">
        <v>540755</v>
      </c>
      <c r="L154" s="6" t="s">
        <v>643</v>
      </c>
      <c r="M154" s="7">
        <v>1754399100</v>
      </c>
      <c r="N154" s="10">
        <v>387.05</v>
      </c>
      <c r="O154" s="10">
        <f ca="1">IFERROR(__xludf.DUMMYFUNCTION("GOOGLEFINANCE(""BOM:"" &amp; K154,""price"")"),329.95)</f>
        <v>329.95</v>
      </c>
      <c r="P154" s="8">
        <f t="shared" ca="1" si="38"/>
        <v>-14.752615941092886</v>
      </c>
      <c r="Q154" s="7">
        <f t="shared" si="39"/>
        <v>679040171655</v>
      </c>
      <c r="R154" s="9">
        <f t="shared" ca="1" si="40"/>
        <v>578863983045</v>
      </c>
      <c r="S154" s="63"/>
      <c r="T154" s="8">
        <v>511549</v>
      </c>
      <c r="U154" s="8" t="s">
        <v>644</v>
      </c>
      <c r="V154" s="12">
        <v>4409300</v>
      </c>
      <c r="W154" s="8">
        <v>156.85</v>
      </c>
      <c r="X154" s="11">
        <f ca="1">IFERROR(__xludf.DUMMYFUNCTION("GOOGLEFINANCE(""BOM:"" &amp; T154,""price"")"),148)</f>
        <v>148</v>
      </c>
      <c r="Y154" s="8">
        <f t="shared" ca="1" si="41"/>
        <v>-5.6423334395919635</v>
      </c>
      <c r="Z154" s="12">
        <f t="shared" si="25"/>
        <v>691598705</v>
      </c>
      <c r="AA154" s="13">
        <f t="shared" ca="1" si="26"/>
        <v>652576400</v>
      </c>
      <c r="AB154" s="63"/>
      <c r="AC154" s="8">
        <v>524212</v>
      </c>
      <c r="AD154" s="8" t="s">
        <v>645</v>
      </c>
      <c r="AE154" s="12">
        <v>29407737</v>
      </c>
      <c r="AF154" s="8">
        <v>164.25</v>
      </c>
      <c r="AG154" s="8">
        <f ca="1">IFERROR(__xludf.DUMMYFUNCTION("GOOGLEFINANCE(""BOM:"" &amp; AC154,""price"")"),145)</f>
        <v>145</v>
      </c>
      <c r="AH154" s="8">
        <f t="shared" ca="1" si="42"/>
        <v>-11.71993911719939</v>
      </c>
      <c r="AI154" s="12">
        <f t="shared" si="43"/>
        <v>4830220802.25</v>
      </c>
      <c r="AJ154" s="13">
        <f t="shared" ca="1" si="44"/>
        <v>4264121865</v>
      </c>
    </row>
    <row r="155" spans="1:36" x14ac:dyDescent="0.25">
      <c r="A155" s="63"/>
      <c r="B155" s="8">
        <v>517522</v>
      </c>
      <c r="C155" s="8" t="s">
        <v>646</v>
      </c>
      <c r="D155" s="20">
        <v>50195470</v>
      </c>
      <c r="E155" s="8">
        <v>653.25</v>
      </c>
      <c r="F155" s="8">
        <f ca="1">IFERROR(__xludf.DUMMYFUNCTION("GOOGLEFINANCE(""BOM:"" &amp; B155,""price"")"),581.05)</f>
        <v>581.04999999999995</v>
      </c>
      <c r="G155" s="8">
        <f t="shared" ca="1" si="21"/>
        <v>-11.052430156907777</v>
      </c>
      <c r="H155" s="12">
        <f t="shared" si="22"/>
        <v>32790190777.5</v>
      </c>
      <c r="I155" s="13">
        <f t="shared" ca="1" si="23"/>
        <v>29166077843.499996</v>
      </c>
      <c r="J155" s="63"/>
      <c r="K155" s="8">
        <v>540716</v>
      </c>
      <c r="L155" s="8" t="s">
        <v>647</v>
      </c>
      <c r="M155" s="12">
        <v>491015081</v>
      </c>
      <c r="N155" s="10">
        <v>1641.95</v>
      </c>
      <c r="O155" s="10">
        <f ca="1">IFERROR(__xludf.DUMMYFUNCTION("GOOGLEFINANCE(""BOM:"" &amp; K155,""price"")"),1685.05)</f>
        <v>1685.05</v>
      </c>
      <c r="P155" s="8">
        <f t="shared" ca="1" si="38"/>
        <v>2.624927677456677</v>
      </c>
      <c r="Q155" s="12">
        <f t="shared" si="39"/>
        <v>806222212247.95007</v>
      </c>
      <c r="R155" s="13">
        <f t="shared" ca="1" si="40"/>
        <v>827384962239.04993</v>
      </c>
      <c r="S155" s="63"/>
      <c r="T155" s="8">
        <v>526237</v>
      </c>
      <c r="U155" s="8" t="s">
        <v>648</v>
      </c>
      <c r="V155" s="12">
        <v>8797272</v>
      </c>
      <c r="W155" s="8">
        <v>41.25</v>
      </c>
      <c r="X155" s="11">
        <f ca="1">IFERROR(__xludf.DUMMYFUNCTION("GOOGLEFINANCE(""BOM:"" &amp; T155,""price"")"),42)</f>
        <v>42</v>
      </c>
      <c r="Y155" s="8">
        <f t="shared" ca="1" si="41"/>
        <v>1.8181818181818181</v>
      </c>
      <c r="Z155" s="12">
        <f t="shared" si="25"/>
        <v>362887470</v>
      </c>
      <c r="AA155" s="13">
        <f t="shared" ca="1" si="26"/>
        <v>369485424</v>
      </c>
      <c r="AB155" s="63"/>
      <c r="AC155" s="8">
        <v>524661</v>
      </c>
      <c r="AD155" s="8" t="s">
        <v>649</v>
      </c>
      <c r="AE155" s="12">
        <v>8316410</v>
      </c>
      <c r="AF155" s="8">
        <v>4.49</v>
      </c>
      <c r="AG155" s="8">
        <f ca="1">IFERROR(__xludf.DUMMYFUNCTION("GOOGLEFINANCE(""BOM:"" &amp; AC155,""price"")"),3.76)</f>
        <v>3.76</v>
      </c>
      <c r="AH155" s="8">
        <f t="shared" ca="1" si="42"/>
        <v>-16.258351893095778</v>
      </c>
      <c r="AI155" s="12">
        <f t="shared" si="43"/>
        <v>37340680.899999999</v>
      </c>
      <c r="AJ155" s="13">
        <f t="shared" ca="1" si="44"/>
        <v>31269701.599999998</v>
      </c>
    </row>
    <row r="156" spans="1:36" x14ac:dyDescent="0.25">
      <c r="A156" s="63"/>
      <c r="B156" s="8">
        <v>532988</v>
      </c>
      <c r="C156" s="8" t="s">
        <v>650</v>
      </c>
      <c r="D156" s="20">
        <v>6570029</v>
      </c>
      <c r="E156" s="8">
        <v>363.05</v>
      </c>
      <c r="F156" s="8">
        <f ca="1">IFERROR(__xludf.DUMMYFUNCTION("GOOGLEFINANCE(""BOM:"" &amp; B156,""price"")"),314)</f>
        <v>314</v>
      </c>
      <c r="G156" s="8">
        <f t="shared" ca="1" si="21"/>
        <v>-13.510535738878945</v>
      </c>
      <c r="H156" s="12">
        <f t="shared" si="22"/>
        <v>2385249028.4500003</v>
      </c>
      <c r="I156" s="13">
        <f t="shared" ca="1" si="23"/>
        <v>2062989106</v>
      </c>
      <c r="J156" s="63"/>
      <c r="K156" s="8">
        <v>540769</v>
      </c>
      <c r="L156" s="8" t="s">
        <v>651</v>
      </c>
      <c r="M156" s="12">
        <v>1647999818</v>
      </c>
      <c r="N156" s="10">
        <v>269.10000000000002</v>
      </c>
      <c r="O156" s="10">
        <f ca="1">IFERROR(__xludf.DUMMYFUNCTION("GOOGLEFINANCE(""BOM:"" &amp; K156,""price"")"),227.55)</f>
        <v>227.55</v>
      </c>
      <c r="P156" s="8">
        <f t="shared" ca="1" si="38"/>
        <v>-15.440356744704573</v>
      </c>
      <c r="Q156" s="12">
        <f t="shared" si="39"/>
        <v>443476751023.80005</v>
      </c>
      <c r="R156" s="13">
        <f t="shared" ca="1" si="40"/>
        <v>375002358585.90002</v>
      </c>
      <c r="S156" s="63"/>
      <c r="T156" s="8">
        <v>512065</v>
      </c>
      <c r="U156" s="8" t="s">
        <v>652</v>
      </c>
      <c r="V156" s="12">
        <v>218450</v>
      </c>
      <c r="W156" s="8">
        <v>4</v>
      </c>
      <c r="X156" s="11">
        <f ca="1">IFERROR(__xludf.DUMMYFUNCTION("GOOGLEFINANCE(""BOM:"" &amp; T156,""price"")"),4)</f>
        <v>4</v>
      </c>
      <c r="Y156" s="8">
        <f t="shared" ca="1" si="41"/>
        <v>0</v>
      </c>
      <c r="Z156" s="12">
        <f t="shared" si="25"/>
        <v>873800</v>
      </c>
      <c r="AA156" s="13">
        <f t="shared" ca="1" si="26"/>
        <v>873800</v>
      </c>
      <c r="AB156" s="63"/>
      <c r="AC156" s="8">
        <v>543329</v>
      </c>
      <c r="AD156" s="8" t="s">
        <v>653</v>
      </c>
      <c r="AE156" s="12">
        <v>21794375</v>
      </c>
      <c r="AF156" s="8">
        <v>578.25</v>
      </c>
      <c r="AG156" s="8">
        <f ca="1">IFERROR(__xludf.DUMMYFUNCTION("GOOGLEFINANCE(""BOM:"" &amp; AC156,""price"")"),512.35)</f>
        <v>512.35</v>
      </c>
      <c r="AH156" s="8">
        <f t="shared" ca="1" si="42"/>
        <v>-11.396454820579329</v>
      </c>
      <c r="AI156" s="12">
        <f t="shared" si="43"/>
        <v>12602597343.75</v>
      </c>
      <c r="AJ156" s="13">
        <f t="shared" ca="1" si="44"/>
        <v>11166348031.25</v>
      </c>
    </row>
    <row r="157" spans="1:36" x14ac:dyDescent="0.25">
      <c r="A157" s="63"/>
      <c r="B157" s="8">
        <v>505800</v>
      </c>
      <c r="C157" s="8" t="s">
        <v>654</v>
      </c>
      <c r="D157" s="20">
        <v>14124845</v>
      </c>
      <c r="E157" s="8">
        <v>1108.95</v>
      </c>
      <c r="F157" s="8">
        <f ca="1">IFERROR(__xludf.DUMMYFUNCTION("GOOGLEFINANCE(""BOM:"" &amp; B157,""price"")"),1085.65)</f>
        <v>1085.6500000000001</v>
      </c>
      <c r="G157" s="8">
        <f t="shared" ca="1" si="21"/>
        <v>-2.1010866134631816</v>
      </c>
      <c r="H157" s="12">
        <f t="shared" si="22"/>
        <v>15663746862.75</v>
      </c>
      <c r="I157" s="13">
        <f t="shared" ca="1" si="23"/>
        <v>15334637974.250002</v>
      </c>
      <c r="J157" s="64"/>
      <c r="K157" s="14">
        <v>543412</v>
      </c>
      <c r="L157" s="14" t="s">
        <v>655</v>
      </c>
      <c r="M157" s="15">
        <v>576058341</v>
      </c>
      <c r="N157" s="17">
        <v>546.04999999999995</v>
      </c>
      <c r="O157" s="17">
        <f ca="1">IFERROR(__xludf.DUMMYFUNCTION("GOOGLEFINANCE(""BOM:"" &amp; K157,""price"")"),542.65)</f>
        <v>542.65</v>
      </c>
      <c r="P157" s="14">
        <f t="shared" ca="1" si="38"/>
        <v>-0.6226536031498906</v>
      </c>
      <c r="Q157" s="15">
        <f t="shared" si="39"/>
        <v>314556657103.04999</v>
      </c>
      <c r="R157" s="16">
        <f t="shared" ca="1" si="40"/>
        <v>312598058743.64996</v>
      </c>
      <c r="S157" s="63"/>
      <c r="T157" s="8">
        <v>540254</v>
      </c>
      <c r="U157" s="8" t="s">
        <v>656</v>
      </c>
      <c r="V157" s="12">
        <v>5922200</v>
      </c>
      <c r="W157" s="8">
        <v>32</v>
      </c>
      <c r="X157" s="11">
        <f ca="1">IFERROR(__xludf.DUMMYFUNCTION("GOOGLEFINANCE(""BOM:"" &amp; T157,""price"")"),31.36)</f>
        <v>31.36</v>
      </c>
      <c r="Y157" s="8">
        <f t="shared" ca="1" si="41"/>
        <v>-2.0000000000000018</v>
      </c>
      <c r="Z157" s="12">
        <f t="shared" si="25"/>
        <v>189510400</v>
      </c>
      <c r="AA157" s="13">
        <f t="shared" ca="1" si="26"/>
        <v>185720192</v>
      </c>
      <c r="AB157" s="63"/>
      <c r="AC157" s="8">
        <v>532300</v>
      </c>
      <c r="AD157" s="8" t="s">
        <v>657</v>
      </c>
      <c r="AE157" s="12">
        <v>143549064</v>
      </c>
      <c r="AF157" s="8">
        <v>613.70000000000005</v>
      </c>
      <c r="AG157" s="8">
        <f ca="1">IFERROR(__xludf.DUMMYFUNCTION("GOOGLEFINANCE(""BOM:"" &amp; AC157,""price"")"),583.55)</f>
        <v>583.54999999999995</v>
      </c>
      <c r="AH157" s="8">
        <f t="shared" ca="1" si="42"/>
        <v>-4.912823855303909</v>
      </c>
      <c r="AI157" s="12">
        <f t="shared" si="43"/>
        <v>88096060576.800003</v>
      </c>
      <c r="AJ157" s="13">
        <f t="shared" ca="1" si="44"/>
        <v>83768056297.199997</v>
      </c>
    </row>
    <row r="158" spans="1:36" x14ac:dyDescent="0.25">
      <c r="A158" s="63"/>
      <c r="B158" s="8">
        <v>522207</v>
      </c>
      <c r="C158" s="8" t="s">
        <v>658</v>
      </c>
      <c r="D158" s="20">
        <v>5806577</v>
      </c>
      <c r="E158" s="8">
        <v>93.48</v>
      </c>
      <c r="F158" s="8">
        <f ca="1">IFERROR(__xludf.DUMMYFUNCTION("GOOGLEFINANCE(""BOM:"" &amp; B158,""price"")"),83.05)</f>
        <v>83.05</v>
      </c>
      <c r="G158" s="8">
        <f t="shared" ca="1" si="21"/>
        <v>-11.157466837826281</v>
      </c>
      <c r="H158" s="12">
        <f t="shared" si="22"/>
        <v>542798817.96000004</v>
      </c>
      <c r="I158" s="13">
        <f t="shared" ca="1" si="23"/>
        <v>482236219.84999996</v>
      </c>
      <c r="J158" s="62" t="s">
        <v>659</v>
      </c>
      <c r="K158" s="6">
        <v>543212</v>
      </c>
      <c r="L158" s="6" t="s">
        <v>660</v>
      </c>
      <c r="M158" s="7">
        <v>112260889</v>
      </c>
      <c r="N158" s="10">
        <v>385.65</v>
      </c>
      <c r="O158" s="10">
        <f ca="1">IFERROR(__xludf.DUMMYFUNCTION("GOOGLEFINANCE(""BOM:"" &amp; K158,""price"")"),357.1)</f>
        <v>357.1</v>
      </c>
      <c r="P158" s="8">
        <f t="shared" ca="1" si="38"/>
        <v>-7.4030856994684191</v>
      </c>
      <c r="Q158" s="7">
        <f t="shared" si="39"/>
        <v>43293411842.849998</v>
      </c>
      <c r="R158" s="9">
        <f t="shared" ca="1" si="40"/>
        <v>40088363461.900002</v>
      </c>
      <c r="S158" s="63"/>
      <c r="T158" s="8">
        <v>530341</v>
      </c>
      <c r="U158" s="8" t="s">
        <v>661</v>
      </c>
      <c r="V158" s="12">
        <v>6732200</v>
      </c>
      <c r="W158" s="8">
        <v>145</v>
      </c>
      <c r="X158" s="11">
        <f ca="1">IFERROR(__xludf.DUMMYFUNCTION("GOOGLEFINANCE(""BOM:"" &amp; T158,""price"")"),124.8)</f>
        <v>124.8</v>
      </c>
      <c r="Y158" s="8">
        <f t="shared" ca="1" si="41"/>
        <v>-13.931034482758623</v>
      </c>
      <c r="Z158" s="12">
        <f t="shared" si="25"/>
        <v>976169000</v>
      </c>
      <c r="AA158" s="13">
        <f t="shared" ca="1" si="26"/>
        <v>840178560</v>
      </c>
      <c r="AB158" s="63"/>
      <c r="AC158" s="8">
        <v>530665</v>
      </c>
      <c r="AD158" s="8" t="s">
        <v>662</v>
      </c>
      <c r="AE158" s="12">
        <v>41601350</v>
      </c>
      <c r="AF158" s="8">
        <v>5.05</v>
      </c>
      <c r="AG158" s="8">
        <f ca="1">IFERROR(__xludf.DUMMYFUNCTION("GOOGLEFINANCE(""BOM:"" &amp; AC158,""price"")"),4.08)</f>
        <v>4.08</v>
      </c>
      <c r="AH158" s="8">
        <f t="shared" ca="1" si="42"/>
        <v>-19.207920792079204</v>
      </c>
      <c r="AI158" s="12">
        <f t="shared" si="43"/>
        <v>210086817.5</v>
      </c>
      <c r="AJ158" s="13">
        <f t="shared" ca="1" si="44"/>
        <v>169733508</v>
      </c>
    </row>
    <row r="159" spans="1:36" x14ac:dyDescent="0.25">
      <c r="A159" s="63"/>
      <c r="B159" s="8">
        <v>532987</v>
      </c>
      <c r="C159" s="8" t="s">
        <v>663</v>
      </c>
      <c r="D159" s="20">
        <v>7658852</v>
      </c>
      <c r="E159" s="8">
        <v>759.1</v>
      </c>
      <c r="F159" s="8">
        <f ca="1">IFERROR(__xludf.DUMMYFUNCTION("GOOGLEFINANCE(""BOM:"" &amp; B159,""price"")"),714.25)</f>
        <v>714.25</v>
      </c>
      <c r="G159" s="8">
        <f t="shared" ca="1" si="21"/>
        <v>-5.9083124752996996</v>
      </c>
      <c r="H159" s="12">
        <f t="shared" si="22"/>
        <v>5813834553.1999998</v>
      </c>
      <c r="I159" s="13">
        <f t="shared" ca="1" si="23"/>
        <v>5470335041</v>
      </c>
      <c r="J159" s="64"/>
      <c r="K159" s="14">
        <v>526947</v>
      </c>
      <c r="L159" s="14" t="s">
        <v>664</v>
      </c>
      <c r="M159" s="15">
        <v>110585574</v>
      </c>
      <c r="N159" s="17">
        <v>337.35</v>
      </c>
      <c r="O159" s="17">
        <f ca="1">IFERROR(__xludf.DUMMYFUNCTION("GOOGLEFINANCE(""BOM:"" &amp; K159,""price"")"),300)</f>
        <v>300</v>
      </c>
      <c r="P159" s="14">
        <f t="shared" ca="1" si="38"/>
        <v>-11.071587372165412</v>
      </c>
      <c r="Q159" s="15">
        <f t="shared" si="39"/>
        <v>37306043388.900002</v>
      </c>
      <c r="R159" s="16">
        <f t="shared" ca="1" si="40"/>
        <v>33175672200</v>
      </c>
      <c r="S159" s="63"/>
      <c r="T159" s="8">
        <v>533398</v>
      </c>
      <c r="U159" s="8" t="s">
        <v>665</v>
      </c>
      <c r="V159" s="12">
        <v>401359229</v>
      </c>
      <c r="W159" s="8">
        <v>1319.85</v>
      </c>
      <c r="X159" s="11">
        <f ca="1">IFERROR(__xludf.DUMMYFUNCTION("GOOGLEFINANCE(""BOM:"" &amp; T159,""price"")"),1486)</f>
        <v>1486</v>
      </c>
      <c r="Y159" s="8">
        <f t="shared" ca="1" si="41"/>
        <v>12.588551729363193</v>
      </c>
      <c r="Z159" s="12">
        <f t="shared" si="25"/>
        <v>529733978395.64996</v>
      </c>
      <c r="AA159" s="13">
        <f t="shared" ca="1" si="26"/>
        <v>596419814294</v>
      </c>
      <c r="AB159" s="63"/>
      <c r="AC159" s="8">
        <v>532039</v>
      </c>
      <c r="AD159" s="8" t="s">
        <v>666</v>
      </c>
      <c r="AE159" s="12">
        <v>55194076</v>
      </c>
      <c r="AF159" s="8">
        <v>70</v>
      </c>
      <c r="AG159" s="8">
        <f ca="1">IFERROR(__xludf.DUMMYFUNCTION("GOOGLEFINANCE(""BOM:"" &amp; AC159,""price"")"),59)</f>
        <v>59</v>
      </c>
      <c r="AH159" s="8">
        <f t="shared" ca="1" si="42"/>
        <v>-15.714285714285714</v>
      </c>
      <c r="AI159" s="12">
        <f t="shared" si="43"/>
        <v>3863585320</v>
      </c>
      <c r="AJ159" s="13">
        <f t="shared" ca="1" si="44"/>
        <v>3256450484</v>
      </c>
    </row>
    <row r="160" spans="1:36" x14ac:dyDescent="0.25">
      <c r="A160" s="63"/>
      <c r="B160" s="8">
        <v>530919</v>
      </c>
      <c r="C160" s="8" t="s">
        <v>667</v>
      </c>
      <c r="D160" s="20">
        <v>5638898</v>
      </c>
      <c r="E160" s="8">
        <v>1054</v>
      </c>
      <c r="F160" s="8">
        <f ca="1">IFERROR(__xludf.DUMMYFUNCTION("GOOGLEFINANCE(""BOM:"" &amp; B160,""price"")"),929.2)</f>
        <v>929.2</v>
      </c>
      <c r="G160" s="8">
        <f t="shared" ca="1" si="21"/>
        <v>-11.840607210626182</v>
      </c>
      <c r="H160" s="12">
        <f t="shared" si="22"/>
        <v>5943398492</v>
      </c>
      <c r="I160" s="13">
        <f t="shared" ca="1" si="23"/>
        <v>5239664021.6000004</v>
      </c>
      <c r="J160" s="62" t="s">
        <v>668</v>
      </c>
      <c r="K160" s="6">
        <v>502219</v>
      </c>
      <c r="L160" s="6" t="s">
        <v>669</v>
      </c>
      <c r="M160" s="7">
        <v>128084771</v>
      </c>
      <c r="N160" s="10">
        <v>569.75</v>
      </c>
      <c r="O160" s="10">
        <f ca="1">IFERROR(__xludf.DUMMYFUNCTION("GOOGLEFINANCE(""BOM:"" &amp; K160,""price"")"),498.1)</f>
        <v>498.1</v>
      </c>
      <c r="P160" s="8">
        <f t="shared" ca="1" si="38"/>
        <v>-12.575691092584462</v>
      </c>
      <c r="Q160" s="7">
        <f t="shared" si="39"/>
        <v>72976298277.25</v>
      </c>
      <c r="R160" s="9">
        <f t="shared" ca="1" si="40"/>
        <v>63799024435.100006</v>
      </c>
      <c r="S160" s="63"/>
      <c r="T160" s="8">
        <v>511766</v>
      </c>
      <c r="U160" s="8" t="s">
        <v>670</v>
      </c>
      <c r="V160" s="12">
        <v>16171292</v>
      </c>
      <c r="W160" s="8">
        <v>309.39999999999998</v>
      </c>
      <c r="X160" s="11">
        <f ca="1">IFERROR(__xludf.DUMMYFUNCTION("GOOGLEFINANCE(""BOM:"" &amp; T160,""price"")"),270)</f>
        <v>270</v>
      </c>
      <c r="Y160" s="8">
        <f t="shared" ca="1" si="41"/>
        <v>-12.734324499030375</v>
      </c>
      <c r="Z160" s="12">
        <f t="shared" si="25"/>
        <v>5003397744.7999992</v>
      </c>
      <c r="AA160" s="13">
        <f t="shared" ca="1" si="26"/>
        <v>4366248840</v>
      </c>
      <c r="AB160" s="63"/>
      <c r="AC160" s="8">
        <v>541400</v>
      </c>
      <c r="AD160" s="8" t="s">
        <v>671</v>
      </c>
      <c r="AE160" s="12">
        <v>15203462</v>
      </c>
      <c r="AF160" s="8">
        <v>106.55</v>
      </c>
      <c r="AG160" s="8">
        <f ca="1">IFERROR(__xludf.DUMMYFUNCTION("GOOGLEFINANCE(""BOM:"" &amp; AC160,""price"")"),94.55)</f>
        <v>94.55</v>
      </c>
      <c r="AH160" s="8">
        <f t="shared" ca="1" si="42"/>
        <v>-11.262318160488034</v>
      </c>
      <c r="AI160" s="12">
        <f t="shared" si="43"/>
        <v>1619928876.0999999</v>
      </c>
      <c r="AJ160" s="13">
        <f t="shared" ca="1" si="44"/>
        <v>1437487332.0999999</v>
      </c>
    </row>
    <row r="161" spans="1:36" x14ac:dyDescent="0.25">
      <c r="A161" s="63"/>
      <c r="B161" s="8">
        <v>520008</v>
      </c>
      <c r="C161" s="8" t="s">
        <v>672</v>
      </c>
      <c r="D161" s="20">
        <v>134947869</v>
      </c>
      <c r="E161" s="8">
        <v>123.8</v>
      </c>
      <c r="F161" s="8">
        <f ca="1">IFERROR(__xludf.DUMMYFUNCTION("GOOGLEFINANCE(""BOM:"" &amp; B161,""price"")"),146.05)</f>
        <v>146.05000000000001</v>
      </c>
      <c r="G161" s="8">
        <f t="shared" ca="1" si="21"/>
        <v>17.97253634894993</v>
      </c>
      <c r="H161" s="12">
        <f t="shared" si="22"/>
        <v>16706546182.199999</v>
      </c>
      <c r="I161" s="13">
        <f t="shared" ca="1" si="23"/>
        <v>19709136267.450001</v>
      </c>
      <c r="J161" s="64"/>
      <c r="K161" s="14">
        <v>532993</v>
      </c>
      <c r="L161" s="14" t="s">
        <v>673</v>
      </c>
      <c r="M161" s="15">
        <v>10098907</v>
      </c>
      <c r="N161" s="17">
        <v>347.25</v>
      </c>
      <c r="O161" s="17">
        <f ca="1">IFERROR(__xludf.DUMMYFUNCTION("GOOGLEFINANCE(""BOM:"" &amp; K161,""price"")"),385)</f>
        <v>385</v>
      </c>
      <c r="P161" s="14">
        <f t="shared" ca="1" si="38"/>
        <v>10.871130309575234</v>
      </c>
      <c r="Q161" s="15">
        <f t="shared" si="39"/>
        <v>3506845455.75</v>
      </c>
      <c r="R161" s="16">
        <f t="shared" ca="1" si="40"/>
        <v>3888079195</v>
      </c>
      <c r="S161" s="63"/>
      <c r="T161" s="8">
        <v>538668</v>
      </c>
      <c r="U161" s="8" t="s">
        <v>674</v>
      </c>
      <c r="V161" s="12">
        <v>4344750</v>
      </c>
      <c r="W161" s="8">
        <v>245</v>
      </c>
      <c r="X161" s="11">
        <f ca="1">IFERROR(__xludf.DUMMYFUNCTION("GOOGLEFINANCE(""BOM:"" &amp; T161,""price"")"),235)</f>
        <v>235</v>
      </c>
      <c r="Y161" s="8">
        <f t="shared" ca="1" si="41"/>
        <v>-4.0816326530612246</v>
      </c>
      <c r="Z161" s="12">
        <f t="shared" si="25"/>
        <v>1064463750</v>
      </c>
      <c r="AA161" s="13">
        <f t="shared" ca="1" si="26"/>
        <v>1021016250</v>
      </c>
      <c r="AB161" s="64"/>
      <c r="AC161" s="14">
        <v>532321</v>
      </c>
      <c r="AD161" s="14" t="s">
        <v>675</v>
      </c>
      <c r="AE161" s="15">
        <v>1021345450</v>
      </c>
      <c r="AF161" s="14">
        <v>925.15</v>
      </c>
      <c r="AG161" s="14">
        <f ca="1">IFERROR(__xludf.DUMMYFUNCTION("GOOGLEFINANCE(""BOM:"" &amp; AC161,""price"")"),1013.75)</f>
        <v>1013.75</v>
      </c>
      <c r="AH161" s="14">
        <f t="shared" ca="1" si="42"/>
        <v>9.5768253796681648</v>
      </c>
      <c r="AI161" s="15">
        <f t="shared" si="43"/>
        <v>944897743067.5</v>
      </c>
      <c r="AJ161" s="16">
        <f t="shared" ca="1" si="44"/>
        <v>1035388949937.5</v>
      </c>
    </row>
    <row r="162" spans="1:36" x14ac:dyDescent="0.25">
      <c r="A162" s="63"/>
      <c r="B162" s="8">
        <v>532661</v>
      </c>
      <c r="C162" s="8" t="s">
        <v>676</v>
      </c>
      <c r="D162" s="20">
        <v>16187746</v>
      </c>
      <c r="E162" s="8">
        <v>738.1</v>
      </c>
      <c r="F162" s="8">
        <f ca="1">IFERROR(__xludf.DUMMYFUNCTION("GOOGLEFINANCE(""BOM:"" &amp; B162,""price"")"),688.3)</f>
        <v>688.3</v>
      </c>
      <c r="G162" s="8">
        <f t="shared" ca="1" si="21"/>
        <v>-6.747053244817784</v>
      </c>
      <c r="H162" s="12">
        <f t="shared" si="22"/>
        <v>11948175322.6</v>
      </c>
      <c r="I162" s="13">
        <f t="shared" ca="1" si="23"/>
        <v>11142025571.799999</v>
      </c>
      <c r="J162" s="62" t="s">
        <v>677</v>
      </c>
      <c r="K162" s="6">
        <v>543309</v>
      </c>
      <c r="L162" s="6" t="s">
        <v>678</v>
      </c>
      <c r="M162" s="7">
        <v>13059998</v>
      </c>
      <c r="N162" s="10">
        <v>29</v>
      </c>
      <c r="O162" s="10">
        <f ca="1">IFERROR(__xludf.DUMMYFUNCTION("GOOGLEFINANCE(""BOM:"" &amp; K162,""price"")"),32.9)</f>
        <v>32.9</v>
      </c>
      <c r="P162" s="8">
        <f t="shared" ca="1" si="38"/>
        <v>13.448275862068963</v>
      </c>
      <c r="Q162" s="7">
        <f t="shared" si="39"/>
        <v>378739942</v>
      </c>
      <c r="R162" s="9">
        <f t="shared" ca="1" si="40"/>
        <v>429673934.19999999</v>
      </c>
      <c r="S162" s="63"/>
      <c r="T162" s="8">
        <v>530557</v>
      </c>
      <c r="U162" s="8" t="s">
        <v>679</v>
      </c>
      <c r="V162" s="12">
        <v>1064576400</v>
      </c>
      <c r="W162" s="8">
        <v>0.79</v>
      </c>
      <c r="X162" s="11">
        <f ca="1">IFERROR(__xludf.DUMMYFUNCTION("GOOGLEFINANCE(""BOM:"" &amp; T162,""price"")"),0.66)</f>
        <v>0.66</v>
      </c>
      <c r="Y162" s="8">
        <f t="shared" ca="1" si="41"/>
        <v>-16.455696202531644</v>
      </c>
      <c r="Z162" s="12">
        <f t="shared" si="25"/>
        <v>841015356</v>
      </c>
      <c r="AA162" s="13">
        <f t="shared" ca="1" si="26"/>
        <v>702620424</v>
      </c>
      <c r="AB162" s="65" t="s">
        <v>680</v>
      </c>
      <c r="AC162" s="6">
        <v>532215</v>
      </c>
      <c r="AD162" s="6" t="s">
        <v>681</v>
      </c>
      <c r="AE162" s="7">
        <v>3067642855</v>
      </c>
      <c r="AF162" s="8">
        <v>1099.3499999999999</v>
      </c>
      <c r="AG162" s="8">
        <f ca="1">IFERROR(__xludf.DUMMYFUNCTION("GOOGLEFINANCE(""BOM:"" &amp; AC162,""price"")"),1048.3)</f>
        <v>1048.3</v>
      </c>
      <c r="AH162" s="8">
        <f t="shared" ca="1" si="42"/>
        <v>-4.6436530677218322</v>
      </c>
      <c r="AI162" s="7">
        <f t="shared" si="43"/>
        <v>3372413172644.2495</v>
      </c>
      <c r="AJ162" s="9">
        <f t="shared" ca="1" si="44"/>
        <v>3215810004896.5</v>
      </c>
    </row>
    <row r="163" spans="1:36" x14ac:dyDescent="0.25">
      <c r="A163" s="63"/>
      <c r="B163" s="8">
        <v>543325</v>
      </c>
      <c r="C163" s="8" t="s">
        <v>682</v>
      </c>
      <c r="D163" s="20">
        <v>27233311</v>
      </c>
      <c r="E163" s="8">
        <v>2066.85</v>
      </c>
      <c r="F163" s="8">
        <f ca="1">IFERROR(__xludf.DUMMYFUNCTION("GOOGLEFINANCE(""BOM:"" &amp; B163,""price"")"),1745.75)</f>
        <v>1745.75</v>
      </c>
      <c r="G163" s="8">
        <f t="shared" ca="1" si="21"/>
        <v>-15.535718605607563</v>
      </c>
      <c r="H163" s="12">
        <f t="shared" si="22"/>
        <v>56287168840.349998</v>
      </c>
      <c r="I163" s="13">
        <f t="shared" ca="1" si="23"/>
        <v>47542552678.25</v>
      </c>
      <c r="J163" s="63"/>
      <c r="K163" s="8">
        <v>526853</v>
      </c>
      <c r="L163" s="8" t="s">
        <v>683</v>
      </c>
      <c r="M163" s="12">
        <v>23450259</v>
      </c>
      <c r="N163" s="10">
        <v>71.11</v>
      </c>
      <c r="O163" s="10">
        <f ca="1">IFERROR(__xludf.DUMMYFUNCTION("GOOGLEFINANCE(""BOM:"" &amp; K163,""price"")"),56.11)</f>
        <v>56.11</v>
      </c>
      <c r="P163" s="8">
        <f t="shared" ca="1" si="38"/>
        <v>-21.094079594993673</v>
      </c>
      <c r="Q163" s="12">
        <f t="shared" si="39"/>
        <v>1667547917.49</v>
      </c>
      <c r="R163" s="13">
        <f t="shared" ca="1" si="40"/>
        <v>1315794032.49</v>
      </c>
      <c r="S163" s="63"/>
      <c r="T163" s="8">
        <v>531272</v>
      </c>
      <c r="U163" s="8" t="s">
        <v>684</v>
      </c>
      <c r="V163" s="12">
        <v>3084494</v>
      </c>
      <c r="W163" s="8">
        <v>12.24</v>
      </c>
      <c r="X163" s="11">
        <f ca="1">IFERROR(__xludf.DUMMYFUNCTION("GOOGLEFINANCE(""BOM:"" &amp; T163,""price"")"),8.92)</f>
        <v>8.92</v>
      </c>
      <c r="Y163" s="8">
        <f t="shared" ca="1" si="41"/>
        <v>-27.124183006535951</v>
      </c>
      <c r="Z163" s="12">
        <f t="shared" si="25"/>
        <v>37754206.560000002</v>
      </c>
      <c r="AA163" s="13">
        <f t="shared" ca="1" si="26"/>
        <v>27513686.48</v>
      </c>
      <c r="AB163" s="63"/>
      <c r="AC163" s="8">
        <v>541153</v>
      </c>
      <c r="AD163" s="8" t="s">
        <v>685</v>
      </c>
      <c r="AE163" s="12">
        <v>1609035400</v>
      </c>
      <c r="AF163" s="8">
        <v>199.85</v>
      </c>
      <c r="AG163" s="8">
        <f ca="1">IFERROR(__xludf.DUMMYFUNCTION("GOOGLEFINANCE(""BOM:"" &amp; AC163,""price"")"),180.1)</f>
        <v>180.1</v>
      </c>
      <c r="AH163" s="8">
        <f t="shared" ca="1" si="42"/>
        <v>-9.8824118088566433</v>
      </c>
      <c r="AI163" s="12">
        <f t="shared" si="43"/>
        <v>321565724690</v>
      </c>
      <c r="AJ163" s="13">
        <f t="shared" ca="1" si="44"/>
        <v>289787275540</v>
      </c>
    </row>
    <row r="164" spans="1:36" x14ac:dyDescent="0.25">
      <c r="A164" s="63"/>
      <c r="B164" s="8">
        <v>515043</v>
      </c>
      <c r="C164" s="8" t="s">
        <v>686</v>
      </c>
      <c r="D164" s="20">
        <v>90153824</v>
      </c>
      <c r="E164" s="8">
        <v>130.44999999999999</v>
      </c>
      <c r="F164" s="8">
        <f ca="1">IFERROR(__xludf.DUMMYFUNCTION("GOOGLEFINANCE(""BOM:"" &amp; B164,""price"")"),127.5)</f>
        <v>127.5</v>
      </c>
      <c r="G164" s="8">
        <f t="shared" ca="1" si="21"/>
        <v>-2.2614028363357521</v>
      </c>
      <c r="H164" s="12">
        <f t="shared" si="22"/>
        <v>11760566340.799999</v>
      </c>
      <c r="I164" s="13">
        <f t="shared" ca="1" si="23"/>
        <v>11494612560</v>
      </c>
      <c r="J164" s="63"/>
      <c r="K164" s="8">
        <v>538837</v>
      </c>
      <c r="L164" s="8" t="s">
        <v>687</v>
      </c>
      <c r="M164" s="12">
        <v>14794432</v>
      </c>
      <c r="N164" s="10">
        <v>55.9</v>
      </c>
      <c r="O164" s="10">
        <f ca="1">IFERROR(__xludf.DUMMYFUNCTION("GOOGLEFINANCE(""BOM:"" &amp; K164,""price"")"),51.24)</f>
        <v>51.24</v>
      </c>
      <c r="P164" s="8">
        <f t="shared" ca="1" si="38"/>
        <v>-8.3363148479427487</v>
      </c>
      <c r="Q164" s="12">
        <f t="shared" si="39"/>
        <v>827008748.79999995</v>
      </c>
      <c r="R164" s="13">
        <f t="shared" ca="1" si="40"/>
        <v>758066695.68000007</v>
      </c>
      <c r="S164" s="63"/>
      <c r="T164" s="8">
        <v>538772</v>
      </c>
      <c r="U164" s="8" t="s">
        <v>688</v>
      </c>
      <c r="V164" s="12">
        <v>94259180</v>
      </c>
      <c r="W164" s="8">
        <v>78.5</v>
      </c>
      <c r="X164" s="11">
        <f ca="1">IFERROR(__xludf.DUMMYFUNCTION("GOOGLEFINANCE(""BOM:"" &amp; T164,""price"")"),65.17)</f>
        <v>65.17</v>
      </c>
      <c r="Y164" s="8">
        <f t="shared" ca="1" si="41"/>
        <v>-16.98089171974522</v>
      </c>
      <c r="Z164" s="12">
        <f t="shared" si="25"/>
        <v>7399345630</v>
      </c>
      <c r="AA164" s="13">
        <f t="shared" ca="1" si="26"/>
        <v>6142870760.6000004</v>
      </c>
      <c r="AB164" s="63"/>
      <c r="AC164" s="8">
        <v>542867</v>
      </c>
      <c r="AD164" s="8" t="s">
        <v>689</v>
      </c>
      <c r="AE164" s="12">
        <v>168427988</v>
      </c>
      <c r="AF164" s="8">
        <v>351.15</v>
      </c>
      <c r="AG164" s="8">
        <f ca="1">IFERROR(__xludf.DUMMYFUNCTION("GOOGLEFINANCE(""BOM:"" &amp; AC164,""price"")"),352.8)</f>
        <v>352.8</v>
      </c>
      <c r="AH164" s="8">
        <f t="shared" ca="1" si="42"/>
        <v>0.46988466467322626</v>
      </c>
      <c r="AI164" s="12">
        <f t="shared" si="43"/>
        <v>59143487986.199997</v>
      </c>
      <c r="AJ164" s="13">
        <f t="shared" ca="1" si="44"/>
        <v>59421394166.400002</v>
      </c>
    </row>
    <row r="165" spans="1:36" x14ac:dyDescent="0.25">
      <c r="A165" s="63"/>
      <c r="B165" s="8">
        <v>539353</v>
      </c>
      <c r="C165" s="8" t="s">
        <v>690</v>
      </c>
      <c r="D165" s="12">
        <v>2383214</v>
      </c>
      <c r="E165" s="8">
        <v>555</v>
      </c>
      <c r="F165" s="8">
        <f ca="1">IFERROR(__xludf.DUMMYFUNCTION("GOOGLEFINANCE(""BOM:"" &amp; B165,""price"")"),460.75)</f>
        <v>460.75</v>
      </c>
      <c r="G165" s="8">
        <f t="shared" ca="1" si="21"/>
        <v>-16.981981981981981</v>
      </c>
      <c r="H165" s="12">
        <f t="shared" si="22"/>
        <v>1322683770</v>
      </c>
      <c r="I165" s="13">
        <f t="shared" ca="1" si="23"/>
        <v>1098065850.5</v>
      </c>
      <c r="J165" s="63"/>
      <c r="K165" s="8">
        <v>530239</v>
      </c>
      <c r="L165" s="8" t="s">
        <v>691</v>
      </c>
      <c r="M165" s="12">
        <v>145006847</v>
      </c>
      <c r="N165" s="10">
        <v>106.9</v>
      </c>
      <c r="O165" s="10">
        <f ca="1">IFERROR(__xludf.DUMMYFUNCTION("GOOGLEFINANCE(""BOM:"" &amp; K165,""price"")"),100)</f>
        <v>100</v>
      </c>
      <c r="P165" s="8">
        <f t="shared" ca="1" si="38"/>
        <v>-6.4546304957904628</v>
      </c>
      <c r="Q165" s="12">
        <f t="shared" si="39"/>
        <v>15501231944.300001</v>
      </c>
      <c r="R165" s="13">
        <f t="shared" ca="1" si="40"/>
        <v>14500684700</v>
      </c>
      <c r="S165" s="63"/>
      <c r="T165" s="8">
        <v>531212</v>
      </c>
      <c r="U165" s="8" t="s">
        <v>692</v>
      </c>
      <c r="V165" s="12">
        <v>6400580</v>
      </c>
      <c r="W165" s="8">
        <v>49.8</v>
      </c>
      <c r="X165" s="11">
        <f ca="1">IFERROR(__xludf.DUMMYFUNCTION("GOOGLEFINANCE(""BOM:"" &amp; T165,""price"")"),41.27)</f>
        <v>41.27</v>
      </c>
      <c r="Y165" s="8">
        <f t="shared" ca="1" si="41"/>
        <v>-17.128514056224891</v>
      </c>
      <c r="Z165" s="12">
        <f t="shared" si="25"/>
        <v>318748884</v>
      </c>
      <c r="AA165" s="13">
        <f t="shared" ca="1" si="26"/>
        <v>264151936.60000002</v>
      </c>
      <c r="AB165" s="63"/>
      <c r="AC165" s="8">
        <v>532210</v>
      </c>
      <c r="AD165" s="8" t="s">
        <v>693</v>
      </c>
      <c r="AE165" s="12">
        <v>727285903</v>
      </c>
      <c r="AF165" s="8">
        <v>137.44999999999999</v>
      </c>
      <c r="AG165" s="8">
        <f ca="1">IFERROR(__xludf.DUMMYFUNCTION("GOOGLEFINANCE(""BOM:"" &amp; AC165,""price"")"),134.6)</f>
        <v>134.6</v>
      </c>
      <c r="AH165" s="8">
        <f t="shared" ca="1" si="42"/>
        <v>-2.0734812659148742</v>
      </c>
      <c r="AI165" s="12">
        <f t="shared" si="43"/>
        <v>99965447367.349991</v>
      </c>
      <c r="AJ165" s="13">
        <f t="shared" ca="1" si="44"/>
        <v>97892682543.800003</v>
      </c>
    </row>
    <row r="166" spans="1:36" x14ac:dyDescent="0.25">
      <c r="A166" s="63"/>
      <c r="B166" s="8">
        <v>520075</v>
      </c>
      <c r="C166" s="8" t="s">
        <v>694</v>
      </c>
      <c r="D166" s="20">
        <v>9563405</v>
      </c>
      <c r="E166" s="8">
        <v>163.65</v>
      </c>
      <c r="F166" s="8">
        <f ca="1">IFERROR(__xludf.DUMMYFUNCTION("GOOGLEFINANCE(""BOM:"" &amp; B166,""price"")"),141.25)</f>
        <v>141.25</v>
      </c>
      <c r="G166" s="8">
        <f t="shared" ca="1" si="21"/>
        <v>-13.687748243201959</v>
      </c>
      <c r="H166" s="12">
        <f t="shared" si="22"/>
        <v>1565051228.25</v>
      </c>
      <c r="I166" s="13">
        <f t="shared" ca="1" si="23"/>
        <v>1350830956.25</v>
      </c>
      <c r="J166" s="63"/>
      <c r="K166" s="8">
        <v>539268</v>
      </c>
      <c r="L166" s="8" t="s">
        <v>695</v>
      </c>
      <c r="M166" s="12">
        <v>401434394</v>
      </c>
      <c r="N166" s="10">
        <v>703.35</v>
      </c>
      <c r="O166" s="10">
        <f ca="1">IFERROR(__xludf.DUMMYFUNCTION("GOOGLEFINANCE(""BOM:"" &amp; K166,""price"")"),702.15)</f>
        <v>702.15</v>
      </c>
      <c r="P166" s="8">
        <f t="shared" ca="1" si="38"/>
        <v>-0.17061207080401583</v>
      </c>
      <c r="Q166" s="12">
        <f t="shared" si="39"/>
        <v>282348881019.90002</v>
      </c>
      <c r="R166" s="13">
        <f t="shared" ca="1" si="40"/>
        <v>281867159747.09998</v>
      </c>
      <c r="S166" s="63"/>
      <c r="T166" s="8">
        <v>539110</v>
      </c>
      <c r="U166" s="8" t="s">
        <v>696</v>
      </c>
      <c r="V166" s="12">
        <v>4983300</v>
      </c>
      <c r="W166" s="8">
        <v>26.1</v>
      </c>
      <c r="X166" s="11">
        <f ca="1">IFERROR(__xludf.DUMMYFUNCTION("GOOGLEFINANCE(""BOM:"" &amp; T166,""price"")"),25)</f>
        <v>25</v>
      </c>
      <c r="Y166" s="8">
        <f t="shared" ca="1" si="41"/>
        <v>-4.2145593869731854</v>
      </c>
      <c r="Z166" s="12">
        <f t="shared" si="25"/>
        <v>130064130</v>
      </c>
      <c r="AA166" s="13">
        <f t="shared" ca="1" si="26"/>
        <v>124582500</v>
      </c>
      <c r="AB166" s="63"/>
      <c r="AC166" s="8">
        <v>532772</v>
      </c>
      <c r="AD166" s="8" t="s">
        <v>697</v>
      </c>
      <c r="AE166" s="12">
        <v>307049565</v>
      </c>
      <c r="AF166" s="8">
        <v>129.25</v>
      </c>
      <c r="AG166" s="8">
        <f ca="1">IFERROR(__xludf.DUMMYFUNCTION("GOOGLEFINANCE(""BOM:"" &amp; AC166,""price"")"),119.1)</f>
        <v>119.1</v>
      </c>
      <c r="AH166" s="8">
        <f t="shared" ca="1" si="42"/>
        <v>-7.8529980657640275</v>
      </c>
      <c r="AI166" s="12">
        <f t="shared" si="43"/>
        <v>39686156276.25</v>
      </c>
      <c r="AJ166" s="13">
        <f t="shared" ca="1" si="44"/>
        <v>36569603191.5</v>
      </c>
    </row>
    <row r="167" spans="1:36" x14ac:dyDescent="0.25">
      <c r="A167" s="63"/>
      <c r="B167" s="8">
        <v>541163</v>
      </c>
      <c r="C167" s="8" t="s">
        <v>698</v>
      </c>
      <c r="D167" s="20">
        <v>60190708</v>
      </c>
      <c r="E167" s="8">
        <v>522.54999999999995</v>
      </c>
      <c r="F167" s="8">
        <f ca="1">IFERROR(__xludf.DUMMYFUNCTION("GOOGLEFINANCE(""BOM:"" &amp; B167,""price"")"),520.1)</f>
        <v>520.1</v>
      </c>
      <c r="G167" s="8">
        <f t="shared" ca="1" si="21"/>
        <v>-0.46885465505691937</v>
      </c>
      <c r="H167" s="12">
        <f t="shared" si="22"/>
        <v>31452654465.399998</v>
      </c>
      <c r="I167" s="13">
        <f t="shared" ca="1" si="23"/>
        <v>31305187230.800003</v>
      </c>
      <c r="J167" s="63"/>
      <c r="K167" s="8">
        <v>532890</v>
      </c>
      <c r="L167" s="8" t="s">
        <v>699</v>
      </c>
      <c r="M167" s="12">
        <v>147323686</v>
      </c>
      <c r="N167" s="10">
        <v>28.5</v>
      </c>
      <c r="O167" s="10">
        <f ca="1">IFERROR(__xludf.DUMMYFUNCTION("GOOGLEFINANCE(""BOM:"" &amp; K167,""price"")"),20.7)</f>
        <v>20.7</v>
      </c>
      <c r="P167" s="8">
        <f t="shared" ca="1" si="38"/>
        <v>-27.368421052631582</v>
      </c>
      <c r="Q167" s="12">
        <f t="shared" si="39"/>
        <v>4198725051</v>
      </c>
      <c r="R167" s="13">
        <f t="shared" ca="1" si="40"/>
        <v>3049600300.1999998</v>
      </c>
      <c r="S167" s="63"/>
      <c r="T167" s="8">
        <v>532256</v>
      </c>
      <c r="U167" s="8" t="s">
        <v>700</v>
      </c>
      <c r="V167" s="12">
        <v>4965350</v>
      </c>
      <c r="W167" s="8">
        <v>3432</v>
      </c>
      <c r="X167" s="11">
        <f ca="1">IFERROR(__xludf.DUMMYFUNCTION("GOOGLEFINANCE(""BOM:"" &amp; T167,""price"")"),3340.35)</f>
        <v>3340.35</v>
      </c>
      <c r="Y167" s="8">
        <f t="shared" ca="1" si="41"/>
        <v>-2.6704545454545481</v>
      </c>
      <c r="Z167" s="12">
        <f t="shared" si="25"/>
        <v>17041081200</v>
      </c>
      <c r="AA167" s="13">
        <f t="shared" ca="1" si="26"/>
        <v>16586006872.5</v>
      </c>
      <c r="AB167" s="63"/>
      <c r="AC167" s="8">
        <v>532180</v>
      </c>
      <c r="AD167" s="8" t="s">
        <v>701</v>
      </c>
      <c r="AE167" s="12">
        <v>250904560</v>
      </c>
      <c r="AF167" s="8">
        <v>47.8</v>
      </c>
      <c r="AG167" s="8">
        <f ca="1">IFERROR(__xludf.DUMMYFUNCTION("GOOGLEFINANCE(""BOM:"" &amp; AC167,""price"")"),41.25)</f>
        <v>41.25</v>
      </c>
      <c r="AH167" s="8">
        <f t="shared" ca="1" si="42"/>
        <v>-13.702928870292883</v>
      </c>
      <c r="AI167" s="12">
        <f t="shared" si="43"/>
        <v>11993237968</v>
      </c>
      <c r="AJ167" s="13">
        <f t="shared" ca="1" si="44"/>
        <v>10349813100</v>
      </c>
    </row>
    <row r="168" spans="1:36" x14ac:dyDescent="0.25">
      <c r="A168" s="63"/>
      <c r="B168" s="8">
        <v>543358</v>
      </c>
      <c r="C168" s="8" t="s">
        <v>702</v>
      </c>
      <c r="D168" s="20">
        <v>51938315</v>
      </c>
      <c r="E168" s="8">
        <v>1025.6500000000001</v>
      </c>
      <c r="F168" s="8">
        <f ca="1">IFERROR(__xludf.DUMMYFUNCTION("GOOGLEFINANCE(""BOM:"" &amp; B168,""price"")"),1028.1)</f>
        <v>1028.0999999999999</v>
      </c>
      <c r="G168" s="8">
        <f t="shared" ca="1" si="21"/>
        <v>0.23887290986202098</v>
      </c>
      <c r="H168" s="12">
        <f t="shared" si="22"/>
        <v>53270532779.750008</v>
      </c>
      <c r="I168" s="13">
        <f t="shared" ca="1" si="23"/>
        <v>53397781651.499992</v>
      </c>
      <c r="J168" s="63"/>
      <c r="K168" s="8">
        <v>540729</v>
      </c>
      <c r="L168" s="8" t="s">
        <v>703</v>
      </c>
      <c r="M168" s="12">
        <v>6312000</v>
      </c>
      <c r="N168" s="10">
        <v>98</v>
      </c>
      <c r="O168" s="10">
        <f ca="1">IFERROR(__xludf.DUMMYFUNCTION("GOOGLEFINANCE(""BOM:"" &amp; K168,""price"")"),64)</f>
        <v>64</v>
      </c>
      <c r="P168" s="8">
        <f t="shared" ca="1" si="38"/>
        <v>-34.693877551020407</v>
      </c>
      <c r="Q168" s="12">
        <f t="shared" si="39"/>
        <v>618576000</v>
      </c>
      <c r="R168" s="13">
        <f t="shared" ca="1" si="40"/>
        <v>403968000</v>
      </c>
      <c r="S168" s="63"/>
      <c r="T168" s="8">
        <v>512489</v>
      </c>
      <c r="U168" s="8" t="s">
        <v>704</v>
      </c>
      <c r="V168" s="12">
        <v>1786319</v>
      </c>
      <c r="W168" s="8">
        <v>102.85</v>
      </c>
      <c r="X168" s="11">
        <f ca="1">IFERROR(__xludf.DUMMYFUNCTION("GOOGLEFINANCE(""BOM:"" &amp; T168,""price"")"),118.28)</f>
        <v>118.28</v>
      </c>
      <c r="Y168" s="8">
        <f t="shared" ca="1" si="41"/>
        <v>15.002430724355866</v>
      </c>
      <c r="Z168" s="12">
        <f t="shared" si="25"/>
        <v>183722909.14999998</v>
      </c>
      <c r="AA168" s="13">
        <f t="shared" ca="1" si="26"/>
        <v>211285811.31999999</v>
      </c>
      <c r="AB168" s="63"/>
      <c r="AC168" s="8">
        <v>500469</v>
      </c>
      <c r="AD168" s="8" t="s">
        <v>705</v>
      </c>
      <c r="AE168" s="12">
        <v>2085527490</v>
      </c>
      <c r="AF168" s="8">
        <v>152.6</v>
      </c>
      <c r="AG168" s="8">
        <f ca="1">IFERROR(__xludf.DUMMYFUNCTION("GOOGLEFINANCE(""BOM:"" &amp; AC168,""price"")"),150.15)</f>
        <v>150.15</v>
      </c>
      <c r="AH168" s="8">
        <f t="shared" ca="1" si="42"/>
        <v>-1.6055045871559557</v>
      </c>
      <c r="AI168" s="12">
        <f t="shared" si="43"/>
        <v>318251494974</v>
      </c>
      <c r="AJ168" s="13">
        <f t="shared" ca="1" si="44"/>
        <v>313141952623.5</v>
      </c>
    </row>
    <row r="169" spans="1:36" x14ac:dyDescent="0.25">
      <c r="A169" s="63"/>
      <c r="B169" s="8">
        <v>538992</v>
      </c>
      <c r="C169" s="8" t="s">
        <v>706</v>
      </c>
      <c r="D169" s="20">
        <v>4745040</v>
      </c>
      <c r="E169" s="8">
        <v>2090.8000000000002</v>
      </c>
      <c r="F169" s="8">
        <f ca="1">IFERROR(__xludf.DUMMYFUNCTION("GOOGLEFINANCE(""BOM:"" &amp; B169,""price"")"),1877.2)</f>
        <v>1877.2</v>
      </c>
      <c r="G169" s="8">
        <f t="shared" ca="1" si="21"/>
        <v>-10.216185192270908</v>
      </c>
      <c r="H169" s="12">
        <f t="shared" si="22"/>
        <v>9920929632</v>
      </c>
      <c r="I169" s="13">
        <f t="shared" ca="1" si="23"/>
        <v>8907389088</v>
      </c>
      <c r="J169" s="64"/>
      <c r="K169" s="14">
        <v>524394</v>
      </c>
      <c r="L169" s="14" t="s">
        <v>707</v>
      </c>
      <c r="M169" s="15">
        <v>21866581</v>
      </c>
      <c r="N169" s="17">
        <v>512</v>
      </c>
      <c r="O169" s="17">
        <f ca="1">IFERROR(__xludf.DUMMYFUNCTION("GOOGLEFINANCE(""BOM:"" &amp; K169,""price"")"),445)</f>
        <v>445</v>
      </c>
      <c r="P169" s="14">
        <f t="shared" ca="1" si="38"/>
        <v>-13.0859375</v>
      </c>
      <c r="Q169" s="15">
        <f t="shared" si="39"/>
        <v>11195689472</v>
      </c>
      <c r="R169" s="16">
        <f t="shared" ca="1" si="40"/>
        <v>9730628545</v>
      </c>
      <c r="S169" s="63"/>
      <c r="T169" s="8">
        <v>538894</v>
      </c>
      <c r="U169" s="8" t="s">
        <v>708</v>
      </c>
      <c r="V169" s="12">
        <v>4858775</v>
      </c>
      <c r="W169" s="8">
        <v>19.53</v>
      </c>
      <c r="X169" s="11">
        <f ca="1">IFERROR(__xludf.DUMMYFUNCTION("GOOGLEFINANCE(""BOM:"" &amp; T169,""price"")"),18.75)</f>
        <v>18.75</v>
      </c>
      <c r="Y169" s="8">
        <f t="shared" ca="1" si="41"/>
        <v>-3.9938556067588378</v>
      </c>
      <c r="Z169" s="12">
        <f t="shared" si="25"/>
        <v>94891875.75</v>
      </c>
      <c r="AA169" s="13">
        <f t="shared" ca="1" si="26"/>
        <v>91102031.25</v>
      </c>
      <c r="AB169" s="63"/>
      <c r="AC169" s="8">
        <v>500180</v>
      </c>
      <c r="AD169" s="8" t="s">
        <v>709</v>
      </c>
      <c r="AE169" s="12">
        <v>5543529215</v>
      </c>
      <c r="AF169" s="8">
        <v>1431.15</v>
      </c>
      <c r="AG169" s="8">
        <f ca="1">IFERROR(__xludf.DUMMYFUNCTION("GOOGLEFINANCE(""BOM:"" &amp; AC169,""price"")"),1448.2)</f>
        <v>1448.2</v>
      </c>
      <c r="AH169" s="8">
        <f t="shared" ca="1" si="42"/>
        <v>1.1913496139468227</v>
      </c>
      <c r="AI169" s="12">
        <f t="shared" si="43"/>
        <v>7933621836047.251</v>
      </c>
      <c r="AJ169" s="13">
        <f t="shared" ca="1" si="44"/>
        <v>8028139009163</v>
      </c>
    </row>
    <row r="170" spans="1:36" x14ac:dyDescent="0.25">
      <c r="A170" s="63"/>
      <c r="B170" s="8">
        <v>505790</v>
      </c>
      <c r="C170" s="8" t="s">
        <v>710</v>
      </c>
      <c r="D170" s="20">
        <v>155941920</v>
      </c>
      <c r="E170" s="8">
        <v>2916.2</v>
      </c>
      <c r="F170" s="8">
        <f ca="1">IFERROR(__xludf.DUMMYFUNCTION("GOOGLEFINANCE(""BOM:"" &amp; B170,""price"")"),2812.3)</f>
        <v>2812.3</v>
      </c>
      <c r="G170" s="8">
        <f t="shared" ca="1" si="21"/>
        <v>-3.5628557712090956</v>
      </c>
      <c r="H170" s="12">
        <f t="shared" si="22"/>
        <v>454757827104</v>
      </c>
      <c r="I170" s="13">
        <f t="shared" ca="1" si="23"/>
        <v>438555461616</v>
      </c>
      <c r="J170" s="62" t="s">
        <v>711</v>
      </c>
      <c r="K170" s="6">
        <v>523031</v>
      </c>
      <c r="L170" s="6" t="s">
        <v>712</v>
      </c>
      <c r="M170" s="7">
        <v>2192800</v>
      </c>
      <c r="N170" s="10">
        <v>11.34</v>
      </c>
      <c r="O170" s="10">
        <f ca="1">IFERROR(__xludf.DUMMYFUNCTION("GOOGLEFINANCE(""BOM:"" &amp; K170,""price"")"),11.34)</f>
        <v>11.34</v>
      </c>
      <c r="P170" s="8">
        <f t="shared" ca="1" si="38"/>
        <v>0</v>
      </c>
      <c r="Q170" s="7">
        <f t="shared" si="39"/>
        <v>24866352</v>
      </c>
      <c r="R170" s="9">
        <f t="shared" ca="1" si="40"/>
        <v>24866352</v>
      </c>
      <c r="S170" s="63"/>
      <c r="T170" s="8">
        <v>531996</v>
      </c>
      <c r="U170" s="8" t="s">
        <v>713</v>
      </c>
      <c r="V170" s="12">
        <v>39318560</v>
      </c>
      <c r="W170" s="8">
        <v>9.31</v>
      </c>
      <c r="X170" s="11">
        <f ca="1">IFERROR(__xludf.DUMMYFUNCTION("GOOGLEFINANCE(""BOM:"" &amp; T170,""price"")"),10.11)</f>
        <v>10.11</v>
      </c>
      <c r="Y170" s="8">
        <f t="shared" ca="1" si="41"/>
        <v>8.5929108485499341</v>
      </c>
      <c r="Z170" s="12">
        <f t="shared" si="25"/>
        <v>366055793.60000002</v>
      </c>
      <c r="AA170" s="13">
        <f t="shared" ca="1" si="26"/>
        <v>397510641.59999996</v>
      </c>
      <c r="AB170" s="63"/>
      <c r="AC170" s="8">
        <v>532174</v>
      </c>
      <c r="AD170" s="8" t="s">
        <v>714</v>
      </c>
      <c r="AE170" s="12">
        <v>6940736211</v>
      </c>
      <c r="AF170" s="8">
        <v>1086.9000000000001</v>
      </c>
      <c r="AG170" s="8">
        <f ca="1">IFERROR(__xludf.DUMMYFUNCTION("GOOGLEFINANCE(""BOM:"" &amp; AC170,""price"")"),1095.75)</f>
        <v>1095.75</v>
      </c>
      <c r="AH170" s="8">
        <f t="shared" ca="1" si="42"/>
        <v>0.81424234060170286</v>
      </c>
      <c r="AI170" s="12">
        <f t="shared" si="43"/>
        <v>7543886187735.9004</v>
      </c>
      <c r="AJ170" s="13">
        <f t="shared" ca="1" si="44"/>
        <v>7605311703203.25</v>
      </c>
    </row>
    <row r="171" spans="1:36" x14ac:dyDescent="0.25">
      <c r="A171" s="63"/>
      <c r="B171" s="8">
        <v>505075</v>
      </c>
      <c r="C171" s="8" t="s">
        <v>715</v>
      </c>
      <c r="D171" s="20">
        <v>132107180</v>
      </c>
      <c r="E171" s="8">
        <v>7.97</v>
      </c>
      <c r="F171" s="8">
        <f ca="1">IFERROR(__xludf.DUMMYFUNCTION("GOOGLEFINANCE(""BOM:"" &amp; B171,""price"")"),6.21)</f>
        <v>6.21</v>
      </c>
      <c r="G171" s="8">
        <f t="shared" ca="1" si="21"/>
        <v>-22.082810539523209</v>
      </c>
      <c r="H171" s="12">
        <f t="shared" si="22"/>
        <v>1052894224.6</v>
      </c>
      <c r="I171" s="13">
        <f t="shared" ca="1" si="23"/>
        <v>820385587.79999995</v>
      </c>
      <c r="J171" s="63"/>
      <c r="K171" s="8">
        <v>526187</v>
      </c>
      <c r="L171" s="8" t="s">
        <v>716</v>
      </c>
      <c r="M171" s="12">
        <v>5752660</v>
      </c>
      <c r="N171" s="10">
        <v>6.64</v>
      </c>
      <c r="O171" s="10">
        <f ca="1">IFERROR(__xludf.DUMMYFUNCTION("GOOGLEFINANCE(""BOM:"" &amp; K171,""price"")"),6)</f>
        <v>6</v>
      </c>
      <c r="P171" s="8">
        <f t="shared" ca="1" si="38"/>
        <v>-9.6385542168674654</v>
      </c>
      <c r="Q171" s="12">
        <f t="shared" si="39"/>
        <v>38197662.399999999</v>
      </c>
      <c r="R171" s="13">
        <f t="shared" ca="1" si="40"/>
        <v>34515960</v>
      </c>
      <c r="S171" s="63"/>
      <c r="T171" s="8">
        <v>531254</v>
      </c>
      <c r="U171" s="8" t="s">
        <v>717</v>
      </c>
      <c r="V171" s="12">
        <v>5290280</v>
      </c>
      <c r="W171" s="8">
        <v>115.1</v>
      </c>
      <c r="X171" s="11">
        <f ca="1">IFERROR(__xludf.DUMMYFUNCTION("GOOGLEFINANCE(""BOM:"" &amp; T171,""price"")"),90.2)</f>
        <v>90.2</v>
      </c>
      <c r="Y171" s="8">
        <f t="shared" ca="1" si="41"/>
        <v>-21.633362293657683</v>
      </c>
      <c r="Z171" s="12">
        <f t="shared" si="25"/>
        <v>608911228</v>
      </c>
      <c r="AA171" s="13">
        <f t="shared" ca="1" si="26"/>
        <v>477183256</v>
      </c>
      <c r="AB171" s="63"/>
      <c r="AC171" s="8">
        <v>500116</v>
      </c>
      <c r="AD171" s="8" t="s">
        <v>718</v>
      </c>
      <c r="AE171" s="12">
        <v>10744725800</v>
      </c>
      <c r="AF171" s="8">
        <v>87.56</v>
      </c>
      <c r="AG171" s="8">
        <f ca="1">IFERROR(__xludf.DUMMYFUNCTION("GOOGLEFINANCE(""BOM:"" &amp; AC171,""price"")"),80.92)</f>
        <v>80.92</v>
      </c>
      <c r="AH171" s="8">
        <f t="shared" ca="1" si="42"/>
        <v>-7.5833714024668808</v>
      </c>
      <c r="AI171" s="12">
        <f t="shared" si="43"/>
        <v>940808191048</v>
      </c>
      <c r="AJ171" s="13">
        <f t="shared" ca="1" si="44"/>
        <v>869463211736</v>
      </c>
    </row>
    <row r="172" spans="1:36" x14ac:dyDescent="0.25">
      <c r="A172" s="63"/>
      <c r="B172" s="8">
        <v>535602</v>
      </c>
      <c r="C172" s="8" t="s">
        <v>719</v>
      </c>
      <c r="D172" s="20">
        <v>29329395</v>
      </c>
      <c r="E172" s="8">
        <v>1375.7</v>
      </c>
      <c r="F172" s="8">
        <f ca="1">IFERROR(__xludf.DUMMYFUNCTION("GOOGLEFINANCE(""BOM:"" &amp; B172,""price"")"),1364.8)</f>
        <v>1364.8</v>
      </c>
      <c r="G172" s="8">
        <f t="shared" ca="1" si="21"/>
        <v>-0.79232390782874829</v>
      </c>
      <c r="H172" s="12">
        <f t="shared" si="22"/>
        <v>40348448701.5</v>
      </c>
      <c r="I172" s="13">
        <f t="shared" ca="1" si="23"/>
        <v>40028758296</v>
      </c>
      <c r="J172" s="63"/>
      <c r="K172" s="8">
        <v>540788</v>
      </c>
      <c r="L172" s="8" t="s">
        <v>720</v>
      </c>
      <c r="M172" s="12">
        <v>10244020</v>
      </c>
      <c r="N172" s="10">
        <v>32</v>
      </c>
      <c r="O172" s="10">
        <f ca="1">IFERROR(__xludf.DUMMYFUNCTION("GOOGLEFINANCE(""BOM:"" &amp; K172,""price"")"),31)</f>
        <v>31</v>
      </c>
      <c r="P172" s="8">
        <f t="shared" ca="1" si="38"/>
        <v>-3.125</v>
      </c>
      <c r="Q172" s="12">
        <f t="shared" si="39"/>
        <v>327808640</v>
      </c>
      <c r="R172" s="13">
        <f t="shared" ca="1" si="40"/>
        <v>317564620</v>
      </c>
      <c r="S172" s="63"/>
      <c r="T172" s="8">
        <v>539598</v>
      </c>
      <c r="U172" s="8" t="s">
        <v>721</v>
      </c>
      <c r="V172" s="12">
        <v>6095600</v>
      </c>
      <c r="W172" s="8">
        <v>158.94999999999999</v>
      </c>
      <c r="X172" s="11">
        <f ca="1">IFERROR(__xludf.DUMMYFUNCTION("GOOGLEFINANCE(""BOM:"" &amp; T172,""price"")"),150.45)</f>
        <v>150.44999999999999</v>
      </c>
      <c r="Y172" s="8">
        <f t="shared" ca="1" si="41"/>
        <v>-5.3475935828877015</v>
      </c>
      <c r="Z172" s="12">
        <f t="shared" si="25"/>
        <v>968895619.99999988</v>
      </c>
      <c r="AA172" s="13">
        <f t="shared" ca="1" si="26"/>
        <v>917083019.99999988</v>
      </c>
      <c r="AB172" s="63"/>
      <c r="AC172" s="8">
        <v>539437</v>
      </c>
      <c r="AD172" s="8" t="s">
        <v>722</v>
      </c>
      <c r="AE172" s="12">
        <v>6218966224</v>
      </c>
      <c r="AF172" s="8">
        <v>82.27</v>
      </c>
      <c r="AG172" s="8">
        <f ca="1">IFERROR(__xludf.DUMMYFUNCTION("GOOGLEFINANCE(""BOM:"" &amp; AC172,""price"")"),75.39)</f>
        <v>75.39</v>
      </c>
      <c r="AH172" s="8">
        <f t="shared" ca="1" si="42"/>
        <v>-8.3627081560714682</v>
      </c>
      <c r="AI172" s="12">
        <f t="shared" si="43"/>
        <v>511634351248.47998</v>
      </c>
      <c r="AJ172" s="13">
        <f t="shared" ca="1" si="44"/>
        <v>468847863627.35999</v>
      </c>
    </row>
    <row r="173" spans="1:36" x14ac:dyDescent="0.25">
      <c r="A173" s="63"/>
      <c r="B173" s="8">
        <v>532776</v>
      </c>
      <c r="C173" s="8" t="s">
        <v>723</v>
      </c>
      <c r="D173" s="20">
        <v>120852842</v>
      </c>
      <c r="E173" s="8">
        <v>45.5</v>
      </c>
      <c r="F173" s="8">
        <f ca="1">IFERROR(__xludf.DUMMYFUNCTION("GOOGLEFINANCE(""BOM:"" &amp; B173,""price"")"),37.69)</f>
        <v>37.69</v>
      </c>
      <c r="G173" s="8">
        <f t="shared" ca="1" si="21"/>
        <v>-17.164835164835171</v>
      </c>
      <c r="H173" s="12">
        <f t="shared" si="22"/>
        <v>5498804311</v>
      </c>
      <c r="I173" s="13">
        <f t="shared" ca="1" si="23"/>
        <v>4554943614.9799995</v>
      </c>
      <c r="J173" s="63"/>
      <c r="K173" s="8">
        <v>526546</v>
      </c>
      <c r="L173" s="8" t="s">
        <v>724</v>
      </c>
      <c r="M173" s="12">
        <v>5865348</v>
      </c>
      <c r="N173" s="10">
        <v>59.1</v>
      </c>
      <c r="O173" s="10">
        <f ca="1">IFERROR(__xludf.DUMMYFUNCTION("GOOGLEFINANCE(""BOM:"" &amp; K173,""price"")"),42.25)</f>
        <v>42.25</v>
      </c>
      <c r="P173" s="8">
        <f t="shared" ca="1" si="38"/>
        <v>-28.510998307952622</v>
      </c>
      <c r="Q173" s="12">
        <f t="shared" si="39"/>
        <v>346642066.80000001</v>
      </c>
      <c r="R173" s="13">
        <f t="shared" ca="1" si="40"/>
        <v>247810953</v>
      </c>
      <c r="S173" s="63"/>
      <c r="T173" s="8">
        <v>532900</v>
      </c>
      <c r="U173" s="8" t="s">
        <v>725</v>
      </c>
      <c r="V173" s="12">
        <v>449001930</v>
      </c>
      <c r="W173" s="8">
        <v>188.25</v>
      </c>
      <c r="X173" s="11">
        <f ca="1">IFERROR(__xludf.DUMMYFUNCTION("GOOGLEFINANCE(""BOM:"" &amp; T173,""price"")"),60.5)</f>
        <v>60.5</v>
      </c>
      <c r="Y173" s="8">
        <f t="shared" ca="1" si="41"/>
        <v>-67.861885790172636</v>
      </c>
      <c r="Z173" s="12">
        <f t="shared" si="25"/>
        <v>84524613322.5</v>
      </c>
      <c r="AA173" s="13">
        <f t="shared" ca="1" si="26"/>
        <v>27164616765</v>
      </c>
      <c r="AB173" s="63"/>
      <c r="AC173" s="8">
        <v>532187</v>
      </c>
      <c r="AD173" s="8" t="s">
        <v>726</v>
      </c>
      <c r="AE173" s="12">
        <v>771195172</v>
      </c>
      <c r="AF173" s="8">
        <v>1526.15</v>
      </c>
      <c r="AG173" s="8">
        <f ca="1">IFERROR(__xludf.DUMMYFUNCTION("GOOGLEFINANCE(""BOM:"" &amp; AC173,""price"")"),1549.1)</f>
        <v>1549.1</v>
      </c>
      <c r="AH173" s="8">
        <f t="shared" ca="1" si="42"/>
        <v>1.5037840317137776</v>
      </c>
      <c r="AI173" s="12">
        <f t="shared" si="43"/>
        <v>1176959511747.8</v>
      </c>
      <c r="AJ173" s="13">
        <f t="shared" ca="1" si="44"/>
        <v>1194658440945.2</v>
      </c>
    </row>
    <row r="174" spans="1:36" x14ac:dyDescent="0.25">
      <c r="A174" s="63"/>
      <c r="B174" s="8">
        <v>520141</v>
      </c>
      <c r="C174" s="8" t="s">
        <v>727</v>
      </c>
      <c r="D174" s="20">
        <v>14064906</v>
      </c>
      <c r="E174" s="8">
        <v>10.09</v>
      </c>
      <c r="F174" s="8">
        <f ca="1">IFERROR(__xludf.DUMMYFUNCTION("GOOGLEFINANCE(""BOM:"" &amp; B174,""price"")"),10.07)</f>
        <v>10.07</v>
      </c>
      <c r="G174" s="8">
        <f t="shared" ca="1" si="21"/>
        <v>-0.19821605550049132</v>
      </c>
      <c r="H174" s="12">
        <f t="shared" si="22"/>
        <v>141914901.53999999</v>
      </c>
      <c r="I174" s="13">
        <f t="shared" ca="1" si="23"/>
        <v>141633603.42000002</v>
      </c>
      <c r="J174" s="63"/>
      <c r="K174" s="8">
        <v>523489</v>
      </c>
      <c r="L174" s="8" t="s">
        <v>728</v>
      </c>
      <c r="M174" s="12">
        <v>6650649</v>
      </c>
      <c r="N174" s="10">
        <v>38.35</v>
      </c>
      <c r="O174" s="10">
        <f ca="1">IFERROR(__xludf.DUMMYFUNCTION("GOOGLEFINANCE(""BOM:"" &amp; K174,""price"")"),33.86)</f>
        <v>33.86</v>
      </c>
      <c r="P174" s="8">
        <f t="shared" ca="1" si="38"/>
        <v>-11.707953063885272</v>
      </c>
      <c r="Q174" s="12">
        <f t="shared" si="39"/>
        <v>255052389.15000001</v>
      </c>
      <c r="R174" s="13">
        <f t="shared" ca="1" si="40"/>
        <v>225190975.13999999</v>
      </c>
      <c r="S174" s="63"/>
      <c r="T174" s="8">
        <v>538860</v>
      </c>
      <c r="U174" s="8" t="s">
        <v>729</v>
      </c>
      <c r="V174" s="12">
        <v>81089750</v>
      </c>
      <c r="W174" s="8">
        <v>1.66</v>
      </c>
      <c r="X174" s="11">
        <f ca="1">IFERROR(__xludf.DUMMYFUNCTION("GOOGLEFINANCE(""BOM:"" &amp; T174,""price"")"),1.48)</f>
        <v>1.48</v>
      </c>
      <c r="Y174" s="8">
        <f t="shared" ca="1" si="41"/>
        <v>-10.843373493975902</v>
      </c>
      <c r="Z174" s="12">
        <f t="shared" si="25"/>
        <v>134608985</v>
      </c>
      <c r="AA174" s="13">
        <f t="shared" ca="1" si="26"/>
        <v>120012830</v>
      </c>
      <c r="AB174" s="63"/>
      <c r="AC174" s="8">
        <v>532209</v>
      </c>
      <c r="AD174" s="8" t="s">
        <v>730</v>
      </c>
      <c r="AE174" s="12">
        <v>950002545</v>
      </c>
      <c r="AF174" s="8">
        <v>144.1</v>
      </c>
      <c r="AG174" s="8">
        <f ca="1">IFERROR(__xludf.DUMMYFUNCTION("GOOGLEFINANCE(""BOM:"" &amp; AC174,""price"")"),134)</f>
        <v>134</v>
      </c>
      <c r="AH174" s="8">
        <f t="shared" ca="1" si="42"/>
        <v>-7.0090215128383022</v>
      </c>
      <c r="AI174" s="12">
        <f t="shared" si="43"/>
        <v>136895366734.5</v>
      </c>
      <c r="AJ174" s="13">
        <f t="shared" ca="1" si="44"/>
        <v>127300341030</v>
      </c>
    </row>
    <row r="175" spans="1:36" x14ac:dyDescent="0.25">
      <c r="A175" s="63"/>
      <c r="B175" s="8">
        <v>543387</v>
      </c>
      <c r="C175" s="8" t="s">
        <v>731</v>
      </c>
      <c r="D175" s="20">
        <v>30437902</v>
      </c>
      <c r="E175" s="8">
        <v>637.70000000000005</v>
      </c>
      <c r="F175" s="8">
        <f ca="1">IFERROR(__xludf.DUMMYFUNCTION("GOOGLEFINANCE(""BOM:"" &amp; B175,""price"")"),609)</f>
        <v>609</v>
      </c>
      <c r="G175" s="8">
        <f t="shared" ca="1" si="21"/>
        <v>-4.5005488474204238</v>
      </c>
      <c r="H175" s="12">
        <f t="shared" si="22"/>
        <v>19410250105.400002</v>
      </c>
      <c r="I175" s="13">
        <f t="shared" ca="1" si="23"/>
        <v>18536682318</v>
      </c>
      <c r="J175" s="63"/>
      <c r="K175" s="8">
        <v>542248</v>
      </c>
      <c r="L175" s="8" t="s">
        <v>732</v>
      </c>
      <c r="M175" s="12">
        <v>15713430</v>
      </c>
      <c r="N175" s="10">
        <v>28.01</v>
      </c>
      <c r="O175" s="10">
        <f ca="1">IFERROR(__xludf.DUMMYFUNCTION("GOOGLEFINANCE(""BOM:"" &amp; K175,""price"")"),27.62)</f>
        <v>27.62</v>
      </c>
      <c r="P175" s="8">
        <f t="shared" ca="1" si="38"/>
        <v>-1.3923598714744754</v>
      </c>
      <c r="Q175" s="12">
        <f t="shared" si="39"/>
        <v>440133174.30000001</v>
      </c>
      <c r="R175" s="13">
        <f t="shared" ca="1" si="40"/>
        <v>434004936.60000002</v>
      </c>
      <c r="S175" s="63"/>
      <c r="T175" s="8">
        <v>531255</v>
      </c>
      <c r="U175" s="8" t="s">
        <v>733</v>
      </c>
      <c r="V175" s="12">
        <v>4148921</v>
      </c>
      <c r="W175" s="8">
        <v>50.45</v>
      </c>
      <c r="X175" s="11">
        <f ca="1">IFERROR(__xludf.DUMMYFUNCTION("GOOGLEFINANCE(""BOM:"" &amp; T175,""price"")"),44.33)</f>
        <v>44.33</v>
      </c>
      <c r="Y175" s="8">
        <f t="shared" ca="1" si="41"/>
        <v>-12.130822596630335</v>
      </c>
      <c r="Z175" s="12">
        <f t="shared" si="25"/>
        <v>209313064.45000002</v>
      </c>
      <c r="AA175" s="13">
        <f t="shared" ca="1" si="26"/>
        <v>183921667.93000001</v>
      </c>
      <c r="AB175" s="63"/>
      <c r="AC175" s="8">
        <v>590003</v>
      </c>
      <c r="AD175" s="8" t="s">
        <v>734</v>
      </c>
      <c r="AE175" s="12">
        <v>788307120</v>
      </c>
      <c r="AF175" s="8">
        <v>185.6</v>
      </c>
      <c r="AG175" s="8">
        <f ca="1">IFERROR(__xludf.DUMMYFUNCTION("GOOGLEFINANCE(""BOM:"" &amp; AC175,""price"")"),183.35)</f>
        <v>183.35</v>
      </c>
      <c r="AH175" s="8">
        <f t="shared" ca="1" si="42"/>
        <v>-1.2122844827586208</v>
      </c>
      <c r="AI175" s="12">
        <f t="shared" si="43"/>
        <v>146309801472</v>
      </c>
      <c r="AJ175" s="13">
        <f t="shared" ca="1" si="44"/>
        <v>144536110452</v>
      </c>
    </row>
    <row r="176" spans="1:36" x14ac:dyDescent="0.25">
      <c r="A176" s="63"/>
      <c r="B176" s="8">
        <v>543300</v>
      </c>
      <c r="C176" s="8" t="s">
        <v>735</v>
      </c>
      <c r="D176" s="20">
        <v>584352708</v>
      </c>
      <c r="E176" s="8">
        <v>670.75</v>
      </c>
      <c r="F176" s="8">
        <f ca="1">IFERROR(__xludf.DUMMYFUNCTION("GOOGLEFINANCE(""BOM:"" &amp; B176,""price"")"),705.55)</f>
        <v>705.55</v>
      </c>
      <c r="G176" s="8">
        <f t="shared" ca="1" si="21"/>
        <v>5.188222139396192</v>
      </c>
      <c r="H176" s="12">
        <f t="shared" si="22"/>
        <v>391954578891</v>
      </c>
      <c r="I176" s="13">
        <f t="shared" ca="1" si="23"/>
        <v>412290053129.39996</v>
      </c>
      <c r="J176" s="63"/>
      <c r="K176" s="8">
        <v>541299</v>
      </c>
      <c r="L176" s="8" t="s">
        <v>736</v>
      </c>
      <c r="M176" s="12">
        <v>4333068</v>
      </c>
      <c r="N176" s="10">
        <v>23.3</v>
      </c>
      <c r="O176" s="10">
        <f ca="1">IFERROR(__xludf.DUMMYFUNCTION("GOOGLEFINANCE(""BOM:"" &amp; K176,""price"")"),15.71)</f>
        <v>15.71</v>
      </c>
      <c r="P176" s="8">
        <f t="shared" ca="1" si="38"/>
        <v>-32.57510729613734</v>
      </c>
      <c r="Q176" s="12">
        <f t="shared" si="39"/>
        <v>100960484.40000001</v>
      </c>
      <c r="R176" s="13">
        <f t="shared" ca="1" si="40"/>
        <v>68072498.280000001</v>
      </c>
      <c r="S176" s="63"/>
      <c r="T176" s="8">
        <v>539481</v>
      </c>
      <c r="U176" s="8" t="s">
        <v>737</v>
      </c>
      <c r="V176" s="12">
        <v>2604800</v>
      </c>
      <c r="W176" s="8" t="s">
        <v>60</v>
      </c>
      <c r="X176" s="8" t="s">
        <v>60</v>
      </c>
      <c r="Y176" s="8"/>
      <c r="Z176" s="12"/>
      <c r="AA176" s="13"/>
      <c r="AB176" s="63"/>
      <c r="AC176" s="8">
        <v>500247</v>
      </c>
      <c r="AD176" s="8" t="s">
        <v>738</v>
      </c>
      <c r="AE176" s="12">
        <v>1980829333</v>
      </c>
      <c r="AF176" s="8">
        <v>1727.25</v>
      </c>
      <c r="AG176" s="8">
        <f ca="1">IFERROR(__xludf.DUMMYFUNCTION("GOOGLEFINANCE(""BOM:"" &amp; AC176,""price"")"),1785.8)</f>
        <v>1785.8</v>
      </c>
      <c r="AH176" s="8">
        <f t="shared" ca="1" si="42"/>
        <v>3.3897814444926877</v>
      </c>
      <c r="AI176" s="12">
        <f t="shared" si="43"/>
        <v>3421387465424.25</v>
      </c>
      <c r="AJ176" s="13">
        <f t="shared" ca="1" si="44"/>
        <v>3537365022871.3999</v>
      </c>
    </row>
    <row r="177" spans="1:36" x14ac:dyDescent="0.25">
      <c r="A177" s="63"/>
      <c r="B177" s="8">
        <v>513687</v>
      </c>
      <c r="C177" s="8" t="s">
        <v>739</v>
      </c>
      <c r="D177" s="20">
        <v>6492290</v>
      </c>
      <c r="E177" s="8">
        <v>5.28</v>
      </c>
      <c r="F177" s="8">
        <f ca="1">IFERROR(__xludf.DUMMYFUNCTION("GOOGLEFINANCE(""BOM:"" &amp; B177,""price"")"),4.41)</f>
        <v>4.41</v>
      </c>
      <c r="G177" s="8">
        <f t="shared" ca="1" si="21"/>
        <v>-16.47727272727273</v>
      </c>
      <c r="H177" s="12">
        <f t="shared" si="22"/>
        <v>34279291.200000003</v>
      </c>
      <c r="I177" s="13">
        <f t="shared" ca="1" si="23"/>
        <v>28630998.900000002</v>
      </c>
      <c r="J177" s="63"/>
      <c r="K177" s="8">
        <v>539267</v>
      </c>
      <c r="L177" s="8" t="s">
        <v>740</v>
      </c>
      <c r="M177" s="12">
        <v>14335306</v>
      </c>
      <c r="N177" s="10">
        <v>16.75</v>
      </c>
      <c r="O177" s="10">
        <f ca="1">IFERROR(__xludf.DUMMYFUNCTION("GOOGLEFINANCE(""BOM:"" &amp; K177,""price"")"),13.78)</f>
        <v>13.78</v>
      </c>
      <c r="P177" s="8">
        <f t="shared" ca="1" si="38"/>
        <v>-17.731343283582092</v>
      </c>
      <c r="Q177" s="12">
        <f t="shared" si="39"/>
        <v>240116375.5</v>
      </c>
      <c r="R177" s="13">
        <f t="shared" ca="1" si="40"/>
        <v>197540516.67999998</v>
      </c>
      <c r="S177" s="63"/>
      <c r="T177" s="8">
        <v>511702</v>
      </c>
      <c r="U177" s="8" t="s">
        <v>741</v>
      </c>
      <c r="V177" s="12">
        <v>2836377</v>
      </c>
      <c r="W177" s="8">
        <v>49.5</v>
      </c>
      <c r="X177" s="11">
        <f ca="1">IFERROR(__xludf.DUMMYFUNCTION("GOOGLEFINANCE(""BOM:"" &amp; T177,""price"")"),46.16)</f>
        <v>46.16</v>
      </c>
      <c r="Y177" s="8">
        <f t="shared" ref="Y177:Y193" ca="1" si="45">((X177-W177)/W177)*100</f>
        <v>-6.7474747474747545</v>
      </c>
      <c r="Z177" s="12">
        <f t="shared" ref="Z177:Z193" si="46">V177*W177</f>
        <v>140400661.5</v>
      </c>
      <c r="AA177" s="13">
        <f t="shared" ref="AA177:AA193" ca="1" si="47">V177*X177</f>
        <v>130927162.31999999</v>
      </c>
      <c r="AB177" s="63"/>
      <c r="AC177" s="8">
        <v>532652</v>
      </c>
      <c r="AD177" s="8" t="s">
        <v>742</v>
      </c>
      <c r="AE177" s="12">
        <v>297728126</v>
      </c>
      <c r="AF177" s="8">
        <v>233.3</v>
      </c>
      <c r="AG177" s="8">
        <f ca="1">IFERROR(__xludf.DUMMYFUNCTION("GOOGLEFINANCE(""BOM:"" &amp; AC177,""price"")"),225.1)</f>
        <v>225.1</v>
      </c>
      <c r="AH177" s="8">
        <f t="shared" ca="1" si="42"/>
        <v>-3.514787826832412</v>
      </c>
      <c r="AI177" s="12">
        <f t="shared" si="43"/>
        <v>69459971795.800003</v>
      </c>
      <c r="AJ177" s="13">
        <f t="shared" ca="1" si="44"/>
        <v>67018601162.599998</v>
      </c>
    </row>
    <row r="178" spans="1:36" x14ac:dyDescent="0.25">
      <c r="A178" s="63"/>
      <c r="B178" s="8">
        <v>513262</v>
      </c>
      <c r="C178" s="8" t="s">
        <v>743</v>
      </c>
      <c r="D178" s="20">
        <v>30893114</v>
      </c>
      <c r="E178" s="8">
        <v>253.95</v>
      </c>
      <c r="F178" s="8">
        <f ca="1">IFERROR(__xludf.DUMMYFUNCTION("GOOGLEFINANCE(""BOM:"" &amp; B178,""price"")"),223)</f>
        <v>223</v>
      </c>
      <c r="G178" s="8">
        <f t="shared" ca="1" si="21"/>
        <v>-12.187438472140181</v>
      </c>
      <c r="H178" s="12">
        <f t="shared" si="22"/>
        <v>7845306300.2999992</v>
      </c>
      <c r="I178" s="13">
        <f t="shared" ca="1" si="23"/>
        <v>6889164422</v>
      </c>
      <c r="J178" s="63"/>
      <c r="K178" s="8">
        <v>542918</v>
      </c>
      <c r="L178" s="8" t="s">
        <v>744</v>
      </c>
      <c r="M178" s="12">
        <v>10341524</v>
      </c>
      <c r="N178" s="10">
        <v>24</v>
      </c>
      <c r="O178" s="10">
        <f ca="1">IFERROR(__xludf.DUMMYFUNCTION("GOOGLEFINANCE(""BOM:"" &amp; K178,""price"")"),24.48)</f>
        <v>24.48</v>
      </c>
      <c r="P178" s="8">
        <f t="shared" ca="1" si="38"/>
        <v>2.0000000000000018</v>
      </c>
      <c r="Q178" s="12">
        <f t="shared" si="39"/>
        <v>248196576</v>
      </c>
      <c r="R178" s="13">
        <f t="shared" ca="1" si="40"/>
        <v>253160507.52000001</v>
      </c>
      <c r="S178" s="63"/>
      <c r="T178" s="8">
        <v>533344</v>
      </c>
      <c r="U178" s="8" t="s">
        <v>745</v>
      </c>
      <c r="V178" s="12">
        <v>642264217</v>
      </c>
      <c r="W178" s="8">
        <v>44.99</v>
      </c>
      <c r="X178" s="11">
        <f ca="1">IFERROR(__xludf.DUMMYFUNCTION("GOOGLEFINANCE(""BOM:"" &amp; T178,""price"")"),40.15)</f>
        <v>40.15</v>
      </c>
      <c r="Y178" s="8">
        <f t="shared" ca="1" si="45"/>
        <v>-10.757946210268955</v>
      </c>
      <c r="Z178" s="12">
        <f t="shared" si="46"/>
        <v>28895467122.830002</v>
      </c>
      <c r="AA178" s="13">
        <f t="shared" ca="1" si="47"/>
        <v>25786908312.549999</v>
      </c>
      <c r="AB178" s="63"/>
      <c r="AC178" s="8">
        <v>540065</v>
      </c>
      <c r="AD178" s="8" t="s">
        <v>746</v>
      </c>
      <c r="AE178" s="12">
        <v>595473476</v>
      </c>
      <c r="AF178" s="8">
        <v>266.7</v>
      </c>
      <c r="AG178" s="8">
        <f ca="1">IFERROR(__xludf.DUMMYFUNCTION("GOOGLEFINANCE(""BOM:"" &amp; AC178,""price"")"),239.95)</f>
        <v>239.95</v>
      </c>
      <c r="AH178" s="8">
        <f t="shared" ca="1" si="42"/>
        <v>-10.029996250468692</v>
      </c>
      <c r="AI178" s="12">
        <f t="shared" si="43"/>
        <v>158812776049.19998</v>
      </c>
      <c r="AJ178" s="13">
        <f t="shared" ca="1" si="44"/>
        <v>142883860566.19998</v>
      </c>
    </row>
    <row r="179" spans="1:36" x14ac:dyDescent="0.25">
      <c r="A179" s="63"/>
      <c r="B179" s="8">
        <v>517168</v>
      </c>
      <c r="C179" s="8" t="s">
        <v>747</v>
      </c>
      <c r="D179" s="20">
        <v>62427744</v>
      </c>
      <c r="E179" s="8">
        <v>598.25</v>
      </c>
      <c r="F179" s="8">
        <f ca="1">IFERROR(__xludf.DUMMYFUNCTION("GOOGLEFINANCE(""BOM:"" &amp; B179,""price"")"),507.8)</f>
        <v>507.8</v>
      </c>
      <c r="G179" s="8">
        <f t="shared" ca="1" si="21"/>
        <v>-15.119097367321352</v>
      </c>
      <c r="H179" s="12">
        <f t="shared" si="22"/>
        <v>37347397848</v>
      </c>
      <c r="I179" s="13">
        <f t="shared" ca="1" si="23"/>
        <v>31700808403.200001</v>
      </c>
      <c r="J179" s="63"/>
      <c r="K179" s="8">
        <v>543328</v>
      </c>
      <c r="L179" s="8" t="s">
        <v>748</v>
      </c>
      <c r="M179" s="12">
        <v>31397613</v>
      </c>
      <c r="N179" s="10">
        <v>665</v>
      </c>
      <c r="O179" s="10">
        <f ca="1">IFERROR(__xludf.DUMMYFUNCTION("GOOGLEFINANCE(""BOM:"" &amp; K179,""price"")"),616.1)</f>
        <v>616.1</v>
      </c>
      <c r="P179" s="8">
        <f t="shared" ca="1" si="38"/>
        <v>-7.3533834586466131</v>
      </c>
      <c r="Q179" s="12">
        <f t="shared" si="39"/>
        <v>20879412645</v>
      </c>
      <c r="R179" s="13">
        <f t="shared" ca="1" si="40"/>
        <v>19344069369.299999</v>
      </c>
      <c r="S179" s="63"/>
      <c r="T179" s="8">
        <v>523862</v>
      </c>
      <c r="U179" s="8" t="s">
        <v>749</v>
      </c>
      <c r="V179" s="12">
        <v>1853350</v>
      </c>
      <c r="W179" s="8">
        <v>12.74</v>
      </c>
      <c r="X179" s="11">
        <f ca="1">IFERROR(__xludf.DUMMYFUNCTION("GOOGLEFINANCE(""BOM:"" &amp; T179,""price"")"),14)</f>
        <v>14</v>
      </c>
      <c r="Y179" s="8">
        <f t="shared" ca="1" si="45"/>
        <v>9.8901098901098887</v>
      </c>
      <c r="Z179" s="12">
        <f t="shared" si="46"/>
        <v>23611679</v>
      </c>
      <c r="AA179" s="13">
        <f t="shared" ca="1" si="47"/>
        <v>25946900</v>
      </c>
      <c r="AB179" s="63"/>
      <c r="AC179" s="8">
        <v>532218</v>
      </c>
      <c r="AD179" s="8" t="s">
        <v>750</v>
      </c>
      <c r="AE179" s="12">
        <v>2023422054</v>
      </c>
      <c r="AF179" s="8">
        <v>32.36</v>
      </c>
      <c r="AG179" s="8">
        <f ca="1">IFERROR(__xludf.DUMMYFUNCTION("GOOGLEFINANCE(""BOM:"" &amp; AC179,""price"")"),27.29)</f>
        <v>27.29</v>
      </c>
      <c r="AH179" s="8">
        <f t="shared" ca="1" si="42"/>
        <v>-15.667490729295427</v>
      </c>
      <c r="AI179" s="12">
        <f t="shared" si="43"/>
        <v>65477937667.440002</v>
      </c>
      <c r="AJ179" s="13">
        <f t="shared" ca="1" si="44"/>
        <v>55219187853.659996</v>
      </c>
    </row>
    <row r="180" spans="1:36" x14ac:dyDescent="0.25">
      <c r="A180" s="63"/>
      <c r="B180" s="8">
        <v>520056</v>
      </c>
      <c r="C180" s="8" t="s">
        <v>751</v>
      </c>
      <c r="D180" s="20">
        <v>20140293</v>
      </c>
      <c r="E180" s="8">
        <v>9178.5</v>
      </c>
      <c r="F180" s="8">
        <f ca="1">IFERROR(__xludf.DUMMYFUNCTION("GOOGLEFINANCE(""BOM:"" &amp; B180,""price"")"),8104.15)</f>
        <v>8104.15</v>
      </c>
      <c r="G180" s="8">
        <f t="shared" ca="1" si="21"/>
        <v>-11.705071634798719</v>
      </c>
      <c r="H180" s="12">
        <f t="shared" si="22"/>
        <v>184857679300.5</v>
      </c>
      <c r="I180" s="13">
        <f t="shared" ca="1" si="23"/>
        <v>163219955515.94998</v>
      </c>
      <c r="J180" s="63"/>
      <c r="K180" s="8">
        <v>539524</v>
      </c>
      <c r="L180" s="8" t="s">
        <v>752</v>
      </c>
      <c r="M180" s="12">
        <v>83351876</v>
      </c>
      <c r="N180" s="10">
        <v>2324.5</v>
      </c>
      <c r="O180" s="10">
        <f ca="1">IFERROR(__xludf.DUMMYFUNCTION("GOOGLEFINANCE(""BOM:"" &amp; K180,""price"")"),2299)</f>
        <v>2299</v>
      </c>
      <c r="P180" s="8">
        <f t="shared" ca="1" si="38"/>
        <v>-1.097010109701011</v>
      </c>
      <c r="Q180" s="12">
        <f t="shared" si="39"/>
        <v>193751435762</v>
      </c>
      <c r="R180" s="13">
        <f t="shared" ca="1" si="40"/>
        <v>191625962924</v>
      </c>
      <c r="S180" s="63"/>
      <c r="T180" s="8">
        <v>534060</v>
      </c>
      <c r="U180" s="8" t="s">
        <v>753</v>
      </c>
      <c r="V180" s="12">
        <v>528929346</v>
      </c>
      <c r="W180" s="8">
        <v>2.91</v>
      </c>
      <c r="X180" s="11">
        <f ca="1">IFERROR(__xludf.DUMMYFUNCTION("GOOGLEFINANCE(""BOM:"" &amp; T180,""price"")"),2.28)</f>
        <v>2.2799999999999998</v>
      </c>
      <c r="Y180" s="8">
        <f t="shared" ca="1" si="45"/>
        <v>-21.649484536082486</v>
      </c>
      <c r="Z180" s="12">
        <f t="shared" si="46"/>
        <v>1539184396.8600001</v>
      </c>
      <c r="AA180" s="13">
        <f t="shared" ca="1" si="47"/>
        <v>1205958908.8799999</v>
      </c>
      <c r="AB180" s="64"/>
      <c r="AC180" s="14">
        <v>532648</v>
      </c>
      <c r="AD180" s="14" t="s">
        <v>754</v>
      </c>
      <c r="AE180" s="15">
        <v>25054611459</v>
      </c>
      <c r="AF180" s="14">
        <v>24.91</v>
      </c>
      <c r="AG180" s="14">
        <f ca="1">IFERROR(__xludf.DUMMYFUNCTION("GOOGLEFINANCE(""BOM:"" &amp; AC180,""price"")"),23.2)</f>
        <v>23.2</v>
      </c>
      <c r="AH180" s="14">
        <f t="shared" ca="1" si="42"/>
        <v>-6.8647129666800515</v>
      </c>
      <c r="AI180" s="15">
        <f t="shared" si="43"/>
        <v>624110371443.69006</v>
      </c>
      <c r="AJ180" s="16">
        <f t="shared" ca="1" si="44"/>
        <v>581266985848.79993</v>
      </c>
    </row>
    <row r="181" spans="1:36" x14ac:dyDescent="0.25">
      <c r="A181" s="63"/>
      <c r="B181" s="8">
        <v>590072</v>
      </c>
      <c r="C181" s="8" t="s">
        <v>755</v>
      </c>
      <c r="D181" s="20">
        <v>3850498</v>
      </c>
      <c r="E181" s="8">
        <v>688.75</v>
      </c>
      <c r="F181" s="8">
        <f ca="1">IFERROR(__xludf.DUMMYFUNCTION("GOOGLEFINANCE(""BOM:"" &amp; B181,""price"")"),677.25)</f>
        <v>677.25</v>
      </c>
      <c r="G181" s="8">
        <f t="shared" ca="1" si="21"/>
        <v>-1.6696914700544463</v>
      </c>
      <c r="H181" s="12">
        <f t="shared" si="22"/>
        <v>2652030497.5</v>
      </c>
      <c r="I181" s="13">
        <f t="shared" ca="1" si="23"/>
        <v>2607749770.5</v>
      </c>
      <c r="J181" s="63"/>
      <c r="K181" s="8">
        <v>534422</v>
      </c>
      <c r="L181" s="8" t="s">
        <v>756</v>
      </c>
      <c r="M181" s="12">
        <v>10500000</v>
      </c>
      <c r="N181" s="10">
        <v>5.86</v>
      </c>
      <c r="O181" s="10">
        <f ca="1">IFERROR(__xludf.DUMMYFUNCTION("GOOGLEFINANCE(""BOM:"" &amp; K181,""price"")"),4.2)</f>
        <v>4.2</v>
      </c>
      <c r="P181" s="8">
        <f t="shared" ca="1" si="38"/>
        <v>-28.327645051194537</v>
      </c>
      <c r="Q181" s="12">
        <f t="shared" si="39"/>
        <v>61530000</v>
      </c>
      <c r="R181" s="13">
        <f t="shared" ca="1" si="40"/>
        <v>44100000</v>
      </c>
      <c r="S181" s="63"/>
      <c r="T181" s="8">
        <v>512481</v>
      </c>
      <c r="U181" s="8" t="s">
        <v>757</v>
      </c>
      <c r="V181" s="12">
        <v>13500000</v>
      </c>
      <c r="W181" s="8">
        <v>6.5</v>
      </c>
      <c r="X181" s="11">
        <f ca="1">IFERROR(__xludf.DUMMYFUNCTION("GOOGLEFINANCE(""BOM:"" &amp; T181,""price"")"),5.39)</f>
        <v>5.39</v>
      </c>
      <c r="Y181" s="8">
        <f t="shared" ca="1" si="45"/>
        <v>-17.07692307692308</v>
      </c>
      <c r="Z181" s="12">
        <f t="shared" si="46"/>
        <v>87750000</v>
      </c>
      <c r="AA181" s="13">
        <f t="shared" ca="1" si="47"/>
        <v>72765000</v>
      </c>
      <c r="AB181" s="65" t="s">
        <v>758</v>
      </c>
      <c r="AC181" s="6">
        <v>534804</v>
      </c>
      <c r="AD181" s="6" t="s">
        <v>759</v>
      </c>
      <c r="AE181" s="7">
        <v>29645582</v>
      </c>
      <c r="AF181" s="8">
        <v>1162.3499999999999</v>
      </c>
      <c r="AG181" s="8">
        <f ca="1">IFERROR(__xludf.DUMMYFUNCTION("GOOGLEFINANCE(""BOM:"" &amp; AC181,""price"")"),1117.25)</f>
        <v>1117.25</v>
      </c>
      <c r="AH181" s="8">
        <f t="shared" ca="1" si="42"/>
        <v>-3.8800705467372056</v>
      </c>
      <c r="AI181" s="7">
        <f t="shared" si="43"/>
        <v>34458542237.699997</v>
      </c>
      <c r="AJ181" s="9">
        <f t="shared" ca="1" si="44"/>
        <v>33121526489.5</v>
      </c>
    </row>
    <row r="182" spans="1:36" x14ac:dyDescent="0.25">
      <c r="A182" s="63"/>
      <c r="B182" s="8">
        <v>532509</v>
      </c>
      <c r="C182" s="8" t="s">
        <v>760</v>
      </c>
      <c r="D182" s="20">
        <v>134306920</v>
      </c>
      <c r="E182" s="8">
        <v>432.4</v>
      </c>
      <c r="F182" s="8">
        <f ca="1">IFERROR(__xludf.DUMMYFUNCTION("GOOGLEFINANCE(""BOM:"" &amp; B182,""price"")"),412.3)</f>
        <v>412.3</v>
      </c>
      <c r="G182" s="8">
        <f t="shared" ca="1" si="21"/>
        <v>-4.6484736355226559</v>
      </c>
      <c r="H182" s="12">
        <f t="shared" si="22"/>
        <v>58074312208</v>
      </c>
      <c r="I182" s="13">
        <f t="shared" ca="1" si="23"/>
        <v>55374743116</v>
      </c>
      <c r="J182" s="63"/>
      <c r="K182" s="8">
        <v>526301</v>
      </c>
      <c r="L182" s="8" t="s">
        <v>761</v>
      </c>
      <c r="M182" s="12">
        <v>7944153</v>
      </c>
      <c r="N182" s="10">
        <v>40.4</v>
      </c>
      <c r="O182" s="10">
        <f ca="1">IFERROR(__xludf.DUMMYFUNCTION("GOOGLEFINANCE(""BOM:"" &amp; K182,""price"")"),30.67)</f>
        <v>30.67</v>
      </c>
      <c r="P182" s="8">
        <f t="shared" ca="1" si="38"/>
        <v>-24.084158415841578</v>
      </c>
      <c r="Q182" s="12">
        <f t="shared" si="39"/>
        <v>320943781.19999999</v>
      </c>
      <c r="R182" s="13">
        <f t="shared" ca="1" si="40"/>
        <v>243647172.51000002</v>
      </c>
      <c r="S182" s="63"/>
      <c r="T182" s="8">
        <v>524000</v>
      </c>
      <c r="U182" s="8" t="s">
        <v>762</v>
      </c>
      <c r="V182" s="12">
        <v>764285649</v>
      </c>
      <c r="W182" s="8">
        <v>463</v>
      </c>
      <c r="X182" s="11">
        <f ca="1">IFERROR(__xludf.DUMMYFUNCTION("GOOGLEFINANCE(""BOM:"" &amp; T182,""price"")"),467)</f>
        <v>467</v>
      </c>
      <c r="Y182" s="8">
        <f t="shared" ca="1" si="45"/>
        <v>0.86393088552915775</v>
      </c>
      <c r="Z182" s="12">
        <f t="shared" si="46"/>
        <v>353864255487</v>
      </c>
      <c r="AA182" s="13">
        <f t="shared" ca="1" si="47"/>
        <v>356921398083</v>
      </c>
      <c r="AB182" s="64"/>
      <c r="AC182" s="14">
        <v>532835</v>
      </c>
      <c r="AD182" s="14" t="s">
        <v>763</v>
      </c>
      <c r="AE182" s="15">
        <v>9651044</v>
      </c>
      <c r="AF182" s="14">
        <v>5725</v>
      </c>
      <c r="AG182" s="14">
        <f ca="1">IFERROR(__xludf.DUMMYFUNCTION("GOOGLEFINANCE(""BOM:"" &amp; AC182,""price"")"),5450)</f>
        <v>5450</v>
      </c>
      <c r="AH182" s="14">
        <f t="shared" ca="1" si="42"/>
        <v>-4.8034934497816595</v>
      </c>
      <c r="AI182" s="15">
        <f t="shared" si="43"/>
        <v>55252226900</v>
      </c>
      <c r="AJ182" s="16">
        <f t="shared" ca="1" si="44"/>
        <v>52598189800</v>
      </c>
    </row>
    <row r="183" spans="1:36" x14ac:dyDescent="0.25">
      <c r="A183" s="63"/>
      <c r="B183" s="8">
        <v>505160</v>
      </c>
      <c r="C183" s="8" t="s">
        <v>764</v>
      </c>
      <c r="D183" s="20">
        <v>60965565</v>
      </c>
      <c r="E183" s="8">
        <v>279</v>
      </c>
      <c r="F183" s="8">
        <f ca="1">IFERROR(__xludf.DUMMYFUNCTION("GOOGLEFINANCE(""BOM:"" &amp; B183,""price"")"),262.5)</f>
        <v>262.5</v>
      </c>
      <c r="G183" s="8">
        <f t="shared" ca="1" si="21"/>
        <v>-5.913978494623656</v>
      </c>
      <c r="H183" s="12">
        <f t="shared" si="22"/>
        <v>17009392635</v>
      </c>
      <c r="I183" s="13">
        <f t="shared" ca="1" si="23"/>
        <v>16003460812.5</v>
      </c>
      <c r="J183" s="63"/>
      <c r="K183" s="8">
        <v>542650</v>
      </c>
      <c r="L183" s="8" t="s">
        <v>765</v>
      </c>
      <c r="M183" s="12">
        <v>51172117</v>
      </c>
      <c r="N183" s="10">
        <v>1713.65</v>
      </c>
      <c r="O183" s="10">
        <f ca="1">IFERROR(__xludf.DUMMYFUNCTION("GOOGLEFINANCE(""BOM:"" &amp; K183,""price"")"),1699.95)</f>
        <v>1699.95</v>
      </c>
      <c r="P183" s="8">
        <f t="shared" ca="1" si="38"/>
        <v>-0.79946313424561866</v>
      </c>
      <c r="Q183" s="12">
        <f t="shared" si="39"/>
        <v>87691098297.050003</v>
      </c>
      <c r="R183" s="13">
        <f t="shared" ca="1" si="40"/>
        <v>86990040294.150009</v>
      </c>
      <c r="S183" s="63"/>
      <c r="T183" s="8">
        <v>531735</v>
      </c>
      <c r="U183" s="8" t="s">
        <v>766</v>
      </c>
      <c r="V183" s="12">
        <v>3435890</v>
      </c>
      <c r="W183" s="8">
        <v>43.83</v>
      </c>
      <c r="X183" s="11">
        <f ca="1">IFERROR(__xludf.DUMMYFUNCTION("GOOGLEFINANCE(""BOM:"" &amp; T183,""price"")"),43.83)</f>
        <v>43.83</v>
      </c>
      <c r="Y183" s="8">
        <f t="shared" ca="1" si="45"/>
        <v>0</v>
      </c>
      <c r="Z183" s="12">
        <f t="shared" si="46"/>
        <v>150595058.69999999</v>
      </c>
      <c r="AA183" s="13">
        <f t="shared" ca="1" si="47"/>
        <v>150595058.69999999</v>
      </c>
      <c r="AB183" s="65" t="s">
        <v>767</v>
      </c>
      <c r="AC183" s="6">
        <v>543261</v>
      </c>
      <c r="AD183" s="6" t="s">
        <v>768</v>
      </c>
      <c r="AE183" s="7">
        <v>302801601</v>
      </c>
      <c r="AF183" s="8" t="s">
        <v>44</v>
      </c>
      <c r="AG183" s="8" t="s">
        <v>44</v>
      </c>
      <c r="AH183" s="8"/>
      <c r="AI183" s="7"/>
      <c r="AJ183" s="9"/>
    </row>
    <row r="184" spans="1:36" x14ac:dyDescent="0.25">
      <c r="A184" s="63"/>
      <c r="B184" s="8">
        <v>538987</v>
      </c>
      <c r="C184" s="8" t="s">
        <v>769</v>
      </c>
      <c r="D184" s="20">
        <v>4977819</v>
      </c>
      <c r="E184" s="8">
        <v>663.1</v>
      </c>
      <c r="F184" s="8">
        <f ca="1">IFERROR(__xludf.DUMMYFUNCTION("GOOGLEFINANCE(""BOM:"" &amp; B184,""price"")"),545.35)</f>
        <v>545.35</v>
      </c>
      <c r="G184" s="8">
        <f t="shared" ca="1" si="21"/>
        <v>-17.757502639119288</v>
      </c>
      <c r="H184" s="12">
        <f t="shared" si="22"/>
        <v>3300791778.9000001</v>
      </c>
      <c r="I184" s="13">
        <f t="shared" ca="1" si="23"/>
        <v>2714653591.6500001</v>
      </c>
      <c r="J184" s="63"/>
      <c r="K184" s="8">
        <v>530897</v>
      </c>
      <c r="L184" s="8" t="s">
        <v>770</v>
      </c>
      <c r="M184" s="12">
        <v>3319476</v>
      </c>
      <c r="N184" s="10">
        <v>171.1</v>
      </c>
      <c r="O184" s="10">
        <f ca="1">IFERROR(__xludf.DUMMYFUNCTION("GOOGLEFINANCE(""BOM:"" &amp; K184,""price"")"),155.5)</f>
        <v>155.5</v>
      </c>
      <c r="P184" s="8">
        <f t="shared" ca="1" si="38"/>
        <v>-9.1174751607247195</v>
      </c>
      <c r="Q184" s="12">
        <f t="shared" si="39"/>
        <v>567962343.60000002</v>
      </c>
      <c r="R184" s="13">
        <f t="shared" ca="1" si="40"/>
        <v>516178518</v>
      </c>
      <c r="S184" s="63"/>
      <c r="T184" s="8">
        <v>512217</v>
      </c>
      <c r="U184" s="8" t="s">
        <v>771</v>
      </c>
      <c r="V184" s="12">
        <v>6063413</v>
      </c>
      <c r="W184" s="8">
        <v>28.2</v>
      </c>
      <c r="X184" s="11">
        <f ca="1">IFERROR(__xludf.DUMMYFUNCTION("GOOGLEFINANCE(""BOM:"" &amp; T184,""price"")"),27.21)</f>
        <v>27.21</v>
      </c>
      <c r="Y184" s="8">
        <f t="shared" ca="1" si="45"/>
        <v>-3.5106382978723349</v>
      </c>
      <c r="Z184" s="12">
        <f t="shared" si="46"/>
        <v>170988246.59999999</v>
      </c>
      <c r="AA184" s="13">
        <f t="shared" ca="1" si="47"/>
        <v>164985467.73000002</v>
      </c>
      <c r="AB184" s="63"/>
      <c r="AC184" s="8">
        <v>543225</v>
      </c>
      <c r="AD184" s="8" t="s">
        <v>772</v>
      </c>
      <c r="AE184" s="12">
        <v>2603000000</v>
      </c>
      <c r="AF184" s="8">
        <v>153.5</v>
      </c>
      <c r="AG184" s="8">
        <f ca="1">IFERROR(__xludf.DUMMYFUNCTION("GOOGLEFINANCE(""BOM:"" &amp; AC184,""price"")"),100)</f>
        <v>100</v>
      </c>
      <c r="AH184" s="8">
        <v>0</v>
      </c>
      <c r="AI184" s="12">
        <f t="shared" ref="AI184:AI221" si="48">AE184*AF184</f>
        <v>399560500000</v>
      </c>
      <c r="AJ184" s="13">
        <f t="shared" ref="AJ184:AJ221" ca="1" si="49">AE184*AG184</f>
        <v>260300000000</v>
      </c>
    </row>
    <row r="185" spans="1:36" x14ac:dyDescent="0.25">
      <c r="A185" s="63"/>
      <c r="B185" s="8">
        <v>540762</v>
      </c>
      <c r="C185" s="8" t="s">
        <v>773</v>
      </c>
      <c r="D185" s="20">
        <v>191919905</v>
      </c>
      <c r="E185" s="8">
        <v>3717.75</v>
      </c>
      <c r="F185" s="8">
        <f ca="1">IFERROR(__xludf.DUMMYFUNCTION("GOOGLEFINANCE(""BOM:"" &amp; B185,""price"")"),3731.05)</f>
        <v>3731.05</v>
      </c>
      <c r="G185" s="8">
        <f t="shared" ca="1" si="21"/>
        <v>0.35774325869141771</v>
      </c>
      <c r="H185" s="12">
        <f t="shared" si="22"/>
        <v>713510226813.75</v>
      </c>
      <c r="I185" s="13">
        <f t="shared" ca="1" si="23"/>
        <v>716062761550.25</v>
      </c>
      <c r="J185" s="63"/>
      <c r="K185" s="8">
        <v>514330</v>
      </c>
      <c r="L185" s="8" t="s">
        <v>774</v>
      </c>
      <c r="M185" s="12">
        <v>5418552</v>
      </c>
      <c r="N185" s="10">
        <v>86.45</v>
      </c>
      <c r="O185" s="10">
        <f ca="1">IFERROR(__xludf.DUMMYFUNCTION("GOOGLEFINANCE(""BOM:"" &amp; K185,""price"")"),78.19)</f>
        <v>78.19</v>
      </c>
      <c r="P185" s="8">
        <f t="shared" ca="1" si="38"/>
        <v>-9.5546558704453499</v>
      </c>
      <c r="Q185" s="12">
        <f t="shared" si="39"/>
        <v>468433820.40000004</v>
      </c>
      <c r="R185" s="13">
        <f t="shared" ca="1" si="40"/>
        <v>423676580.88</v>
      </c>
      <c r="S185" s="63"/>
      <c r="T185" s="8">
        <v>538647</v>
      </c>
      <c r="U185" s="8" t="s">
        <v>775</v>
      </c>
      <c r="V185" s="12">
        <v>6256210</v>
      </c>
      <c r="W185" s="8">
        <v>46.21</v>
      </c>
      <c r="X185" s="11">
        <f ca="1">IFERROR(__xludf.DUMMYFUNCTION("GOOGLEFINANCE(""BOM:"" &amp; T185,""price"")"),28.93)</f>
        <v>28.93</v>
      </c>
      <c r="Y185" s="8">
        <f t="shared" ca="1" si="45"/>
        <v>-37.394503354252329</v>
      </c>
      <c r="Z185" s="12">
        <f t="shared" si="46"/>
        <v>289099464.10000002</v>
      </c>
      <c r="AA185" s="13">
        <f t="shared" ca="1" si="47"/>
        <v>180992155.30000001</v>
      </c>
      <c r="AB185" s="63"/>
      <c r="AC185" s="8">
        <v>542602</v>
      </c>
      <c r="AD185" s="8" t="s">
        <v>776</v>
      </c>
      <c r="AE185" s="12">
        <v>947893743</v>
      </c>
      <c r="AF185" s="8">
        <v>378.3</v>
      </c>
      <c r="AG185" s="8">
        <f ca="1">IFERROR(__xludf.DUMMYFUNCTION("GOOGLEFINANCE(""BOM:"" &amp; AC185,""price"")"),367)</f>
        <v>367</v>
      </c>
      <c r="AH185" s="8">
        <f t="shared" ref="AH185:AH221" ca="1" si="50">((AG185-AF185)/AF185)*100</f>
        <v>-2.9870473169442269</v>
      </c>
      <c r="AI185" s="12">
        <f t="shared" si="48"/>
        <v>358588202976.90002</v>
      </c>
      <c r="AJ185" s="13">
        <f t="shared" ca="1" si="49"/>
        <v>347877003681</v>
      </c>
    </row>
    <row r="186" spans="1:36" x14ac:dyDescent="0.25">
      <c r="A186" s="63"/>
      <c r="B186" s="8">
        <v>505978</v>
      </c>
      <c r="C186" s="8" t="s">
        <v>777</v>
      </c>
      <c r="D186" s="20">
        <v>4977819</v>
      </c>
      <c r="E186" s="8">
        <v>3223</v>
      </c>
      <c r="F186" s="8">
        <f ca="1">IFERROR(__xludf.DUMMYFUNCTION("GOOGLEFINANCE(""BOM:"" &amp; B186,""price"")"),2805)</f>
        <v>2805</v>
      </c>
      <c r="G186" s="8">
        <f t="shared" ca="1" si="21"/>
        <v>-12.969283276450511</v>
      </c>
      <c r="H186" s="12">
        <f t="shared" si="22"/>
        <v>16043510637</v>
      </c>
      <c r="I186" s="13">
        <f t="shared" ca="1" si="23"/>
        <v>13962782295</v>
      </c>
      <c r="J186" s="63"/>
      <c r="K186" s="8">
        <v>533259</v>
      </c>
      <c r="L186" s="8" t="s">
        <v>778</v>
      </c>
      <c r="M186" s="12">
        <v>31810443</v>
      </c>
      <c r="N186" s="10">
        <v>352.2</v>
      </c>
      <c r="O186" s="10">
        <f ca="1">IFERROR(__xludf.DUMMYFUNCTION("GOOGLEFINANCE(""BOM:"" &amp; K186,""price"")"),305.95)</f>
        <v>305.95</v>
      </c>
      <c r="P186" s="8">
        <f t="shared" ca="1" si="38"/>
        <v>-13.131743327654741</v>
      </c>
      <c r="Q186" s="12">
        <f t="shared" si="39"/>
        <v>11203638024.6</v>
      </c>
      <c r="R186" s="13">
        <f t="shared" ca="1" si="40"/>
        <v>9732405035.8500004</v>
      </c>
      <c r="S186" s="63"/>
      <c r="T186" s="8">
        <v>534109</v>
      </c>
      <c r="U186" s="8" t="s">
        <v>779</v>
      </c>
      <c r="V186" s="12">
        <v>11502585</v>
      </c>
      <c r="W186" s="8">
        <v>9.3000000000000007</v>
      </c>
      <c r="X186" s="11">
        <f ca="1">IFERROR(__xludf.DUMMYFUNCTION("GOOGLEFINANCE(""BOM:"" &amp; T186,""price"")"),9.76)</f>
        <v>9.76</v>
      </c>
      <c r="Y186" s="8">
        <f t="shared" ca="1" si="45"/>
        <v>4.9462365591397743</v>
      </c>
      <c r="Z186" s="12">
        <f t="shared" si="46"/>
        <v>106974040.50000001</v>
      </c>
      <c r="AA186" s="13">
        <f t="shared" ca="1" si="47"/>
        <v>112265229.59999999</v>
      </c>
      <c r="AB186" s="63"/>
      <c r="AC186" s="8">
        <v>542543</v>
      </c>
      <c r="AD186" s="8" t="s">
        <v>780</v>
      </c>
      <c r="AE186" s="12">
        <v>664000000</v>
      </c>
      <c r="AF186" s="8">
        <v>92</v>
      </c>
      <c r="AG186" s="8">
        <f ca="1">IFERROR(__xludf.DUMMYFUNCTION("GOOGLEFINANCE(""BOM:"" &amp; AC186,""price"")"),92)</f>
        <v>92</v>
      </c>
      <c r="AH186" s="8">
        <f t="shared" ca="1" si="50"/>
        <v>0</v>
      </c>
      <c r="AI186" s="12">
        <f t="shared" si="48"/>
        <v>61088000000</v>
      </c>
      <c r="AJ186" s="13">
        <f t="shared" ca="1" si="49"/>
        <v>61088000000</v>
      </c>
    </row>
    <row r="187" spans="1:36" x14ac:dyDescent="0.25">
      <c r="A187" s="63"/>
      <c r="B187" s="8">
        <v>500464</v>
      </c>
      <c r="C187" s="8" t="s">
        <v>781</v>
      </c>
      <c r="D187" s="20">
        <v>22001368</v>
      </c>
      <c r="E187" s="8">
        <v>164.2</v>
      </c>
      <c r="F187" s="8">
        <f ca="1">IFERROR(__xludf.DUMMYFUNCTION("GOOGLEFINANCE(""BOM:"" &amp; B187,""price"")"),144)</f>
        <v>144</v>
      </c>
      <c r="G187" s="8">
        <f t="shared" ca="1" si="21"/>
        <v>-12.302070645554195</v>
      </c>
      <c r="H187" s="12">
        <f t="shared" si="22"/>
        <v>3612624625.5999999</v>
      </c>
      <c r="I187" s="13">
        <f t="shared" ca="1" si="23"/>
        <v>3168196992</v>
      </c>
      <c r="J187" s="63"/>
      <c r="K187" s="8">
        <v>516110</v>
      </c>
      <c r="L187" s="8" t="s">
        <v>782</v>
      </c>
      <c r="M187" s="12">
        <v>31043800</v>
      </c>
      <c r="N187" s="10">
        <v>9.0500000000000007</v>
      </c>
      <c r="O187" s="10">
        <f ca="1">IFERROR(__xludf.DUMMYFUNCTION("GOOGLEFINANCE(""BOM:"" &amp; K187,""price"")"),6.97)</f>
        <v>6.97</v>
      </c>
      <c r="P187" s="8">
        <f t="shared" ca="1" si="38"/>
        <v>-22.98342541436465</v>
      </c>
      <c r="Q187" s="12">
        <f t="shared" si="39"/>
        <v>280946390</v>
      </c>
      <c r="R187" s="13">
        <f t="shared" ca="1" si="40"/>
        <v>216375286</v>
      </c>
      <c r="S187" s="63"/>
      <c r="T187" s="8">
        <v>538646</v>
      </c>
      <c r="U187" s="8" t="s">
        <v>783</v>
      </c>
      <c r="V187" s="12">
        <v>6805300</v>
      </c>
      <c r="W187" s="8">
        <v>66.37</v>
      </c>
      <c r="X187" s="11">
        <v>66.37</v>
      </c>
      <c r="Y187" s="8">
        <f t="shared" si="45"/>
        <v>0</v>
      </c>
      <c r="Z187" s="12">
        <f t="shared" si="46"/>
        <v>451667761.00000006</v>
      </c>
      <c r="AA187" s="13">
        <f t="shared" si="47"/>
        <v>451667761.00000006</v>
      </c>
      <c r="AB187" s="64"/>
      <c r="AC187" s="14">
        <v>543217</v>
      </c>
      <c r="AD187" s="14" t="s">
        <v>784</v>
      </c>
      <c r="AE187" s="15">
        <v>593018182</v>
      </c>
      <c r="AF187" s="14">
        <v>338.22</v>
      </c>
      <c r="AG187" s="14">
        <f ca="1">IFERROR(__xludf.DUMMYFUNCTION("GOOGLEFINANCE(""BOM:"" &amp; AC187,""price"")"),343.11)</f>
        <v>343.11</v>
      </c>
      <c r="AH187" s="14">
        <f t="shared" ca="1" si="50"/>
        <v>1.4458045059428732</v>
      </c>
      <c r="AI187" s="15">
        <f t="shared" si="48"/>
        <v>200570609516.04001</v>
      </c>
      <c r="AJ187" s="16">
        <f t="shared" ca="1" si="49"/>
        <v>203470468426.02002</v>
      </c>
    </row>
    <row r="188" spans="1:36" x14ac:dyDescent="0.25">
      <c r="A188" s="63"/>
      <c r="B188" s="8">
        <v>539314</v>
      </c>
      <c r="C188" s="8" t="s">
        <v>785</v>
      </c>
      <c r="D188" s="20">
        <v>10137500</v>
      </c>
      <c r="E188" s="8">
        <v>181.95</v>
      </c>
      <c r="F188" s="8">
        <f ca="1">IFERROR(__xludf.DUMMYFUNCTION("GOOGLEFINANCE(""BOM:"" &amp; B188,""price"")"),157.5)</f>
        <v>157.5</v>
      </c>
      <c r="G188" s="8">
        <f t="shared" ca="1" si="21"/>
        <v>-13.437757625721346</v>
      </c>
      <c r="H188" s="12">
        <f t="shared" si="22"/>
        <v>1844518125</v>
      </c>
      <c r="I188" s="13">
        <f t="shared" ca="1" si="23"/>
        <v>1596656250</v>
      </c>
      <c r="J188" s="63"/>
      <c r="K188" s="8">
        <v>539428</v>
      </c>
      <c r="L188" s="8" t="s">
        <v>786</v>
      </c>
      <c r="M188" s="12">
        <v>20313600</v>
      </c>
      <c r="N188" s="10">
        <v>28.46</v>
      </c>
      <c r="O188" s="10">
        <f ca="1">IFERROR(__xludf.DUMMYFUNCTION("GOOGLEFINANCE(""BOM:"" &amp; K188,""price"")"),23.48)</f>
        <v>23.48</v>
      </c>
      <c r="P188" s="8">
        <f t="shared" ca="1" si="38"/>
        <v>-17.498243148278288</v>
      </c>
      <c r="Q188" s="12">
        <f t="shared" si="39"/>
        <v>578125056</v>
      </c>
      <c r="R188" s="13">
        <f t="shared" ca="1" si="40"/>
        <v>476963328</v>
      </c>
      <c r="S188" s="63"/>
      <c r="T188" s="8">
        <v>507962</v>
      </c>
      <c r="U188" s="8" t="s">
        <v>787</v>
      </c>
      <c r="V188" s="12">
        <v>3885882</v>
      </c>
      <c r="W188" s="8">
        <v>21.79</v>
      </c>
      <c r="X188" s="11">
        <f ca="1">IFERROR(__xludf.DUMMYFUNCTION("GOOGLEFINANCE(""BOM:"" &amp; T188,""price"")"),21.79)</f>
        <v>21.79</v>
      </c>
      <c r="Y188" s="8">
        <f t="shared" ca="1" si="45"/>
        <v>0</v>
      </c>
      <c r="Z188" s="12">
        <f t="shared" si="46"/>
        <v>84673368.780000001</v>
      </c>
      <c r="AA188" s="13">
        <f t="shared" ca="1" si="47"/>
        <v>84673368.780000001</v>
      </c>
      <c r="AB188" s="65" t="s">
        <v>788</v>
      </c>
      <c r="AC188" s="6">
        <v>500547</v>
      </c>
      <c r="AD188" s="6" t="s">
        <v>789</v>
      </c>
      <c r="AE188" s="7">
        <v>2147689393</v>
      </c>
      <c r="AF188" s="8">
        <v>623.5</v>
      </c>
      <c r="AG188" s="8">
        <f ca="1">IFERROR(__xludf.DUMMYFUNCTION("GOOGLEFINANCE(""BOM:"" &amp; AC188,""price"")"),603)</f>
        <v>603</v>
      </c>
      <c r="AH188" s="8">
        <f t="shared" ca="1" si="50"/>
        <v>-3.2878909382518042</v>
      </c>
      <c r="AI188" s="7">
        <f t="shared" si="48"/>
        <v>1339084336535.5</v>
      </c>
      <c r="AJ188" s="9">
        <f t="shared" ca="1" si="49"/>
        <v>1295056703979</v>
      </c>
    </row>
    <row r="189" spans="1:36" x14ac:dyDescent="0.25">
      <c r="A189" s="63"/>
      <c r="B189" s="8">
        <v>541578</v>
      </c>
      <c r="C189" s="8" t="s">
        <v>790</v>
      </c>
      <c r="D189" s="20">
        <v>152786400</v>
      </c>
      <c r="E189" s="8">
        <v>508</v>
      </c>
      <c r="F189" s="8">
        <f ca="1">IFERROR(__xludf.DUMMYFUNCTION("GOOGLEFINANCE(""BOM:"" &amp; B189,""price"")"),511.25)</f>
        <v>511.25</v>
      </c>
      <c r="G189" s="8">
        <f t="shared" ca="1" si="21"/>
        <v>0.63976377952755903</v>
      </c>
      <c r="H189" s="12">
        <f t="shared" si="22"/>
        <v>77615491200</v>
      </c>
      <c r="I189" s="13">
        <f t="shared" ca="1" si="23"/>
        <v>78112047000</v>
      </c>
      <c r="J189" s="63"/>
      <c r="K189" s="8">
        <v>539871</v>
      </c>
      <c r="L189" s="8" t="s">
        <v>791</v>
      </c>
      <c r="M189" s="12">
        <v>52903327</v>
      </c>
      <c r="N189" s="10">
        <v>679.35</v>
      </c>
      <c r="O189" s="10">
        <f ca="1">IFERROR(__xludf.DUMMYFUNCTION("GOOGLEFINANCE(""BOM:"" &amp; K189,""price"")"),575.75)</f>
        <v>575.75</v>
      </c>
      <c r="P189" s="8">
        <f t="shared" ca="1" si="38"/>
        <v>-15.249871200412162</v>
      </c>
      <c r="Q189" s="12">
        <f t="shared" si="39"/>
        <v>35939875197.450005</v>
      </c>
      <c r="R189" s="13">
        <f t="shared" ca="1" si="40"/>
        <v>30459090520.25</v>
      </c>
      <c r="S189" s="63"/>
      <c r="T189" s="8">
        <v>539495</v>
      </c>
      <c r="U189" s="8" t="s">
        <v>792</v>
      </c>
      <c r="V189" s="12">
        <v>845050</v>
      </c>
      <c r="W189" s="8">
        <v>30.45</v>
      </c>
      <c r="X189" s="11">
        <f ca="1">IFERROR(__xludf.DUMMYFUNCTION("GOOGLEFINANCE(""BOM:"" &amp; T189,""price"")"),38)</f>
        <v>38</v>
      </c>
      <c r="Y189" s="8">
        <f t="shared" ca="1" si="45"/>
        <v>24.794745484400661</v>
      </c>
      <c r="Z189" s="12">
        <f t="shared" si="46"/>
        <v>25731772.5</v>
      </c>
      <c r="AA189" s="13">
        <f t="shared" ca="1" si="47"/>
        <v>32111900</v>
      </c>
      <c r="AB189" s="63"/>
      <c r="AC189" s="8">
        <v>500110</v>
      </c>
      <c r="AD189" s="8" t="s">
        <v>793</v>
      </c>
      <c r="AE189" s="12">
        <v>147857152</v>
      </c>
      <c r="AF189" s="8">
        <v>893.05</v>
      </c>
      <c r="AG189" s="8">
        <f ca="1">IFERROR(__xludf.DUMMYFUNCTION("GOOGLEFINANCE(""BOM:"" &amp; AC189,""price"")"),904.55)</f>
        <v>904.55</v>
      </c>
      <c r="AH189" s="8">
        <f t="shared" ca="1" si="50"/>
        <v>1.2877218520799509</v>
      </c>
      <c r="AI189" s="12">
        <f t="shared" si="48"/>
        <v>132043829593.59999</v>
      </c>
      <c r="AJ189" s="13">
        <f t="shared" ca="1" si="49"/>
        <v>133744186841.59999</v>
      </c>
    </row>
    <row r="190" spans="1:36" x14ac:dyDescent="0.25">
      <c r="A190" s="63"/>
      <c r="B190" s="8">
        <v>505232</v>
      </c>
      <c r="C190" s="8" t="s">
        <v>794</v>
      </c>
      <c r="D190" s="20">
        <v>2197511</v>
      </c>
      <c r="E190" s="8">
        <v>2381</v>
      </c>
      <c r="F190" s="8">
        <f ca="1">IFERROR(__xludf.DUMMYFUNCTION("GOOGLEFINANCE(""BOM:"" &amp; B190,""price"")"),3981)</f>
        <v>3981</v>
      </c>
      <c r="G190" s="8">
        <f t="shared" ca="1" si="21"/>
        <v>67.198656026879462</v>
      </c>
      <c r="H190" s="12">
        <f t="shared" si="22"/>
        <v>5232273691</v>
      </c>
      <c r="I190" s="13">
        <f t="shared" ca="1" si="23"/>
        <v>8748291291</v>
      </c>
      <c r="J190" s="63"/>
      <c r="K190" s="8">
        <v>526139</v>
      </c>
      <c r="L190" s="8" t="s">
        <v>795</v>
      </c>
      <c r="M190" s="12">
        <v>65425445</v>
      </c>
      <c r="N190" s="10">
        <v>10.25</v>
      </c>
      <c r="O190" s="10">
        <f ca="1">IFERROR(__xludf.DUMMYFUNCTION("GOOGLEFINANCE(""BOM:"" &amp; K190,""price"")"),8.27)</f>
        <v>8.27</v>
      </c>
      <c r="P190" s="8">
        <f t="shared" ca="1" si="38"/>
        <v>-19.31707317073171</v>
      </c>
      <c r="Q190" s="12">
        <f t="shared" si="39"/>
        <v>670610811.25</v>
      </c>
      <c r="R190" s="13">
        <f t="shared" ca="1" si="40"/>
        <v>541068430.14999998</v>
      </c>
      <c r="S190" s="63"/>
      <c r="T190" s="8">
        <v>500358</v>
      </c>
      <c r="U190" s="8" t="s">
        <v>796</v>
      </c>
      <c r="V190" s="12">
        <v>8993289</v>
      </c>
      <c r="W190" s="8">
        <v>6.28</v>
      </c>
      <c r="X190" s="11">
        <f ca="1">IFERROR(__xludf.DUMMYFUNCTION("GOOGLEFINANCE(""BOM:"" &amp; T190,""price"")"),5.13)</f>
        <v>5.13</v>
      </c>
      <c r="Y190" s="8">
        <f t="shared" ca="1" si="45"/>
        <v>-18.31210191082803</v>
      </c>
      <c r="Z190" s="12">
        <f t="shared" si="46"/>
        <v>56477854.920000002</v>
      </c>
      <c r="AA190" s="13">
        <f t="shared" ca="1" si="47"/>
        <v>46135572.57</v>
      </c>
      <c r="AB190" s="63"/>
      <c r="AC190" s="8">
        <v>523232</v>
      </c>
      <c r="AD190" s="8" t="s">
        <v>797</v>
      </c>
      <c r="AE190" s="12">
        <v>2899798</v>
      </c>
      <c r="AF190" s="8">
        <v>100.88</v>
      </c>
      <c r="AG190" s="8">
        <v>100.88</v>
      </c>
      <c r="AH190" s="8">
        <f t="shared" si="50"/>
        <v>0</v>
      </c>
      <c r="AI190" s="12">
        <f t="shared" si="48"/>
        <v>292531622.24000001</v>
      </c>
      <c r="AJ190" s="13">
        <f t="shared" si="49"/>
        <v>292531622.24000001</v>
      </c>
    </row>
    <row r="191" spans="1:36" x14ac:dyDescent="0.25">
      <c r="A191" s="63"/>
      <c r="B191" s="8">
        <v>539398</v>
      </c>
      <c r="C191" s="8" t="s">
        <v>798</v>
      </c>
      <c r="D191" s="20">
        <v>10791000</v>
      </c>
      <c r="E191" s="8">
        <v>148.80000000000001</v>
      </c>
      <c r="F191" s="8">
        <f ca="1">IFERROR(__xludf.DUMMYFUNCTION("GOOGLEFINANCE(""BOM:"" &amp; B191,""price"")"),148)</f>
        <v>148</v>
      </c>
      <c r="G191" s="8">
        <f t="shared" ca="1" si="21"/>
        <v>-0.53763440860215816</v>
      </c>
      <c r="H191" s="12">
        <f t="shared" si="22"/>
        <v>1605700800.0000002</v>
      </c>
      <c r="I191" s="13">
        <f t="shared" ca="1" si="23"/>
        <v>1597068000</v>
      </c>
      <c r="J191" s="63"/>
      <c r="K191" s="8">
        <v>543350</v>
      </c>
      <c r="L191" s="8" t="s">
        <v>799</v>
      </c>
      <c r="M191" s="12">
        <v>102030758</v>
      </c>
      <c r="N191" s="10">
        <v>631.45000000000005</v>
      </c>
      <c r="O191" s="10">
        <f ca="1">IFERROR(__xludf.DUMMYFUNCTION("GOOGLEFINANCE(""BOM:"" &amp; K191,""price"")"),627.55)</f>
        <v>627.54999999999995</v>
      </c>
      <c r="P191" s="8">
        <f t="shared" ca="1" si="38"/>
        <v>-0.6176260986618245</v>
      </c>
      <c r="Q191" s="12">
        <f t="shared" si="39"/>
        <v>64427322139.100006</v>
      </c>
      <c r="R191" s="13">
        <f t="shared" ca="1" si="40"/>
        <v>64029402182.899994</v>
      </c>
      <c r="S191" s="63"/>
      <c r="T191" s="8">
        <v>530925</v>
      </c>
      <c r="U191" s="8" t="s">
        <v>800</v>
      </c>
      <c r="V191" s="12">
        <v>1775954</v>
      </c>
      <c r="W191" s="8">
        <v>26</v>
      </c>
      <c r="X191" s="11">
        <f ca="1">IFERROR(__xludf.DUMMYFUNCTION("GOOGLEFINANCE(""BOM:"" &amp; T191,""price"")"),25.2)</f>
        <v>25.2</v>
      </c>
      <c r="Y191" s="8">
        <f t="shared" ca="1" si="45"/>
        <v>-3.0769230769230793</v>
      </c>
      <c r="Z191" s="12">
        <f t="shared" si="46"/>
        <v>46174804</v>
      </c>
      <c r="AA191" s="13">
        <f t="shared" ca="1" si="47"/>
        <v>44754040.799999997</v>
      </c>
      <c r="AB191" s="63"/>
      <c r="AC191" s="8">
        <v>500104</v>
      </c>
      <c r="AD191" s="8" t="s">
        <v>801</v>
      </c>
      <c r="AE191" s="12">
        <v>1413428718</v>
      </c>
      <c r="AF191" s="8">
        <v>516.79999999999995</v>
      </c>
      <c r="AG191" s="8">
        <f ca="1">IFERROR(__xludf.DUMMYFUNCTION("GOOGLEFINANCE(""BOM:"" &amp; AC191,""price"")"),475.8)</f>
        <v>475.8</v>
      </c>
      <c r="AH191" s="8">
        <f t="shared" ca="1" si="50"/>
        <v>-7.9334365325077298</v>
      </c>
      <c r="AI191" s="12">
        <f t="shared" si="48"/>
        <v>730459961462.3999</v>
      </c>
      <c r="AJ191" s="13">
        <f t="shared" ca="1" si="49"/>
        <v>672509384024.40002</v>
      </c>
    </row>
    <row r="192" spans="1:36" x14ac:dyDescent="0.25">
      <c r="A192" s="63"/>
      <c r="B192" s="8">
        <v>590073</v>
      </c>
      <c r="C192" s="8" t="s">
        <v>802</v>
      </c>
      <c r="D192" s="20">
        <v>23873251</v>
      </c>
      <c r="E192" s="8">
        <v>636.65</v>
      </c>
      <c r="F192" s="8">
        <f ca="1">IFERROR(__xludf.DUMMYFUNCTION("GOOGLEFINANCE(""BOM:"" &amp; B192,""price"")"),599.15)</f>
        <v>599.15</v>
      </c>
      <c r="G192" s="8">
        <f t="shared" ca="1" si="21"/>
        <v>-5.8902065499096841</v>
      </c>
      <c r="H192" s="12">
        <f t="shared" si="22"/>
        <v>15198905249.15</v>
      </c>
      <c r="I192" s="13">
        <f t="shared" ca="1" si="23"/>
        <v>14303658336.65</v>
      </c>
      <c r="J192" s="64"/>
      <c r="K192" s="14">
        <v>531043</v>
      </c>
      <c r="L192" s="14" t="s">
        <v>803</v>
      </c>
      <c r="M192" s="15">
        <v>2797050</v>
      </c>
      <c r="N192" s="17">
        <v>26.66</v>
      </c>
      <c r="O192" s="17">
        <f ca="1">IFERROR(__xludf.DUMMYFUNCTION("GOOGLEFINANCE(""BOM:"" &amp; K192,""price"")"),24.5)</f>
        <v>24.5</v>
      </c>
      <c r="P192" s="14">
        <f t="shared" ca="1" si="38"/>
        <v>-8.1020255063765951</v>
      </c>
      <c r="Q192" s="15">
        <f t="shared" si="39"/>
        <v>74569353</v>
      </c>
      <c r="R192" s="16">
        <f t="shared" ca="1" si="40"/>
        <v>68527725</v>
      </c>
      <c r="S192" s="63"/>
      <c r="T192" s="8">
        <v>531228</v>
      </c>
      <c r="U192" s="8" t="s">
        <v>804</v>
      </c>
      <c r="V192" s="12">
        <v>11615109</v>
      </c>
      <c r="W192" s="8">
        <v>11.6</v>
      </c>
      <c r="X192" s="11">
        <f ca="1">IFERROR(__xludf.DUMMYFUNCTION("GOOGLEFINANCE(""BOM:"" &amp; T192,""price"")"),9.29)</f>
        <v>9.2899999999999991</v>
      </c>
      <c r="Y192" s="8">
        <f t="shared" ca="1" si="45"/>
        <v>-19.913793103448281</v>
      </c>
      <c r="Z192" s="12">
        <f t="shared" si="46"/>
        <v>134735264.40000001</v>
      </c>
      <c r="AA192" s="13">
        <f t="shared" ca="1" si="47"/>
        <v>107904362.60999998</v>
      </c>
      <c r="AB192" s="63"/>
      <c r="AC192" s="8">
        <v>530965</v>
      </c>
      <c r="AD192" s="8" t="s">
        <v>805</v>
      </c>
      <c r="AE192" s="12">
        <v>14101491754</v>
      </c>
      <c r="AF192" s="8">
        <v>169.7</v>
      </c>
      <c r="AG192" s="8">
        <f ca="1">IFERROR(__xludf.DUMMYFUNCTION("GOOGLEFINANCE(""BOM:"" &amp; AC192,""price"")"),167.75)</f>
        <v>167.75</v>
      </c>
      <c r="AH192" s="8">
        <f t="shared" ca="1" si="50"/>
        <v>-1.149086623453146</v>
      </c>
      <c r="AI192" s="12">
        <f t="shared" si="48"/>
        <v>2393023150653.7998</v>
      </c>
      <c r="AJ192" s="13">
        <f t="shared" ca="1" si="49"/>
        <v>2365525241733.5</v>
      </c>
    </row>
    <row r="193" spans="1:36" x14ac:dyDescent="0.25">
      <c r="A193" s="63"/>
      <c r="B193" s="8">
        <v>533023</v>
      </c>
      <c r="C193" s="8" t="s">
        <v>806</v>
      </c>
      <c r="D193" s="20">
        <v>18875321</v>
      </c>
      <c r="E193" s="8">
        <v>14851.1</v>
      </c>
      <c r="F193" s="8">
        <f ca="1">IFERROR(__xludf.DUMMYFUNCTION("GOOGLEFINANCE(""BOM:"" &amp; B193,""price"")"),14980)</f>
        <v>14980</v>
      </c>
      <c r="G193" s="8">
        <f t="shared" ca="1" si="21"/>
        <v>0.86794917548194839</v>
      </c>
      <c r="H193" s="12">
        <f t="shared" si="22"/>
        <v>280319279703.10004</v>
      </c>
      <c r="I193" s="13">
        <f t="shared" ca="1" si="23"/>
        <v>282752308580</v>
      </c>
      <c r="J193" s="62" t="s">
        <v>807</v>
      </c>
      <c r="K193" s="6">
        <v>542580</v>
      </c>
      <c r="L193" s="6" t="s">
        <v>808</v>
      </c>
      <c r="M193" s="7">
        <v>10478072</v>
      </c>
      <c r="N193" s="10">
        <v>156.30000000000001</v>
      </c>
      <c r="O193" s="10">
        <f ca="1">IFERROR(__xludf.DUMMYFUNCTION("GOOGLEFINANCE(""BOM:"" &amp; K193,""price"")"),154.1)</f>
        <v>154.1</v>
      </c>
      <c r="P193" s="8">
        <f t="shared" ca="1" si="38"/>
        <v>-1.4075495841330883</v>
      </c>
      <c r="Q193" s="7">
        <f t="shared" si="39"/>
        <v>1637722653.6000001</v>
      </c>
      <c r="R193" s="9">
        <f t="shared" ca="1" si="40"/>
        <v>1614670895.2</v>
      </c>
      <c r="S193" s="63"/>
      <c r="T193" s="8">
        <v>531583</v>
      </c>
      <c r="U193" s="8" t="s">
        <v>809</v>
      </c>
      <c r="V193" s="12">
        <v>5808959</v>
      </c>
      <c r="W193" s="8">
        <v>18.2</v>
      </c>
      <c r="X193" s="11">
        <f ca="1">IFERROR(__xludf.DUMMYFUNCTION("GOOGLEFINANCE(""BOM:"" &amp; T193,""price"")"),22.05)</f>
        <v>22.05</v>
      </c>
      <c r="Y193" s="8">
        <f t="shared" ca="1" si="45"/>
        <v>21.15384615384616</v>
      </c>
      <c r="Z193" s="12">
        <f t="shared" si="46"/>
        <v>105723053.8</v>
      </c>
      <c r="AA193" s="13">
        <f t="shared" ca="1" si="47"/>
        <v>128087545.95</v>
      </c>
      <c r="AB193" s="63"/>
      <c r="AC193" s="8">
        <v>500109</v>
      </c>
      <c r="AD193" s="8" t="s">
        <v>810</v>
      </c>
      <c r="AE193" s="12">
        <v>1732985530</v>
      </c>
      <c r="AF193" s="8">
        <v>229.45</v>
      </c>
      <c r="AG193" s="8">
        <f ca="1">IFERROR(__xludf.DUMMYFUNCTION("GOOGLEFINANCE(""BOM:"" &amp; AC193,""price"")"),218.7)</f>
        <v>218.7</v>
      </c>
      <c r="AH193" s="8">
        <f t="shared" ca="1" si="50"/>
        <v>-4.6851165831335804</v>
      </c>
      <c r="AI193" s="12">
        <f t="shared" si="48"/>
        <v>397633529858.5</v>
      </c>
      <c r="AJ193" s="13">
        <f t="shared" ca="1" si="49"/>
        <v>379003935411</v>
      </c>
    </row>
    <row r="194" spans="1:36" x14ac:dyDescent="0.25">
      <c r="A194" s="64"/>
      <c r="B194" s="14">
        <v>505163</v>
      </c>
      <c r="C194" s="14" t="s">
        <v>811</v>
      </c>
      <c r="D194" s="21">
        <v>8912926</v>
      </c>
      <c r="E194" s="8">
        <v>881.5</v>
      </c>
      <c r="F194" s="14">
        <f ca="1">IFERROR(__xludf.DUMMYFUNCTION("GOOGLEFINANCE(""BOM:"" &amp; B194,""price"")"),820)</f>
        <v>820</v>
      </c>
      <c r="G194" s="14">
        <f t="shared" ca="1" si="21"/>
        <v>-6.9767441860465116</v>
      </c>
      <c r="H194" s="15">
        <f t="shared" si="22"/>
        <v>7856744269</v>
      </c>
      <c r="I194" s="16">
        <f t="shared" ca="1" si="23"/>
        <v>7308599320</v>
      </c>
      <c r="J194" s="63"/>
      <c r="K194" s="8">
        <v>500002</v>
      </c>
      <c r="L194" s="8" t="s">
        <v>812</v>
      </c>
      <c r="M194" s="12">
        <v>210510475</v>
      </c>
      <c r="N194" s="10">
        <v>5485.65</v>
      </c>
      <c r="O194" s="10">
        <f ca="1">IFERROR(__xludf.DUMMYFUNCTION("GOOGLEFINANCE(""BOM:"" &amp; K194,""price"")"),6350)</f>
        <v>6350</v>
      </c>
      <c r="P194" s="8">
        <f t="shared" ca="1" si="38"/>
        <v>15.756564855577743</v>
      </c>
      <c r="Q194" s="12">
        <f t="shared" si="39"/>
        <v>1154786787183.75</v>
      </c>
      <c r="R194" s="13">
        <f t="shared" ca="1" si="40"/>
        <v>1336741516250</v>
      </c>
      <c r="S194" s="63"/>
      <c r="T194" s="8">
        <v>531033</v>
      </c>
      <c r="U194" s="8" t="s">
        <v>813</v>
      </c>
      <c r="V194" s="12">
        <v>2329200</v>
      </c>
      <c r="W194" s="8" t="s">
        <v>44</v>
      </c>
      <c r="X194" s="8" t="s">
        <v>44</v>
      </c>
      <c r="Y194" s="8"/>
      <c r="Z194" s="12"/>
      <c r="AA194" s="13"/>
      <c r="AB194" s="63"/>
      <c r="AC194" s="8">
        <v>543400</v>
      </c>
      <c r="AD194" s="8" t="s">
        <v>814</v>
      </c>
      <c r="AE194" s="12">
        <v>6050000</v>
      </c>
      <c r="AF194" s="8">
        <v>12.75</v>
      </c>
      <c r="AG194" s="8">
        <f ca="1">IFERROR(__xludf.DUMMYFUNCTION("GOOGLEFINANCE(""BOM:"" &amp; AC194,""price"")"),8.98)</f>
        <v>8.98</v>
      </c>
      <c r="AH194" s="8">
        <f t="shared" ca="1" si="50"/>
        <v>-29.56862745098039</v>
      </c>
      <c r="AI194" s="12">
        <f t="shared" si="48"/>
        <v>77137500</v>
      </c>
      <c r="AJ194" s="13">
        <f t="shared" ca="1" si="49"/>
        <v>54329000</v>
      </c>
    </row>
    <row r="195" spans="1:36" x14ac:dyDescent="0.25">
      <c r="A195" s="62" t="s">
        <v>815</v>
      </c>
      <c r="B195" s="6">
        <v>531508</v>
      </c>
      <c r="C195" s="6" t="s">
        <v>816</v>
      </c>
      <c r="D195" s="7">
        <v>72061638</v>
      </c>
      <c r="E195" s="6">
        <v>343</v>
      </c>
      <c r="F195" s="8">
        <f ca="1">IFERROR(__xludf.DUMMYFUNCTION("GOOGLEFINANCE(""BOM:"" &amp; B195,""price"")"),333.45)</f>
        <v>333.45</v>
      </c>
      <c r="G195" s="8">
        <f t="shared" ca="1" si="21"/>
        <v>-2.7842565597667672</v>
      </c>
      <c r="H195" s="7">
        <f t="shared" si="22"/>
        <v>24717141834</v>
      </c>
      <c r="I195" s="9">
        <f t="shared" ca="1" si="23"/>
        <v>24028953191.099998</v>
      </c>
      <c r="J195" s="63"/>
      <c r="K195" s="8">
        <v>500103</v>
      </c>
      <c r="L195" s="8" t="s">
        <v>817</v>
      </c>
      <c r="M195" s="12">
        <v>3480978143</v>
      </c>
      <c r="N195" s="10">
        <v>235.2</v>
      </c>
      <c r="O195" s="10">
        <f ca="1">IFERROR(__xludf.DUMMYFUNCTION("GOOGLEFINANCE(""BOM:"" &amp; K195,""price"")"),247.2)</f>
        <v>247.2</v>
      </c>
      <c r="P195" s="8">
        <f t="shared" ca="1" si="38"/>
        <v>5.1020408163265305</v>
      </c>
      <c r="Q195" s="12">
        <f t="shared" si="39"/>
        <v>818726059233.59998</v>
      </c>
      <c r="R195" s="13">
        <f t="shared" ca="1" si="40"/>
        <v>860497796949.59998</v>
      </c>
      <c r="S195" s="63"/>
      <c r="T195" s="8">
        <v>511585</v>
      </c>
      <c r="U195" s="8" t="s">
        <v>818</v>
      </c>
      <c r="V195" s="12">
        <v>9969164</v>
      </c>
      <c r="W195" s="8">
        <v>3.23</v>
      </c>
      <c r="X195" s="11">
        <f ca="1">IFERROR(__xludf.DUMMYFUNCTION("GOOGLEFINANCE(""BOM:"" &amp; T195,""price"")"),2.8)</f>
        <v>2.8</v>
      </c>
      <c r="Y195" s="8">
        <f t="shared" ref="Y195:Y213" ca="1" si="51">((X195-W195)/W195)*100</f>
        <v>-13.312693498452017</v>
      </c>
      <c r="Z195" s="12">
        <f t="shared" ref="Z195:Z218" si="52">V195*W195</f>
        <v>32200399.719999999</v>
      </c>
      <c r="AA195" s="13">
        <f t="shared" ref="AA195:AA218" ca="1" si="53">V195*X195</f>
        <v>27913659.199999999</v>
      </c>
      <c r="AB195" s="63"/>
      <c r="AC195" s="8">
        <v>530053</v>
      </c>
      <c r="AD195" s="8" t="s">
        <v>819</v>
      </c>
      <c r="AE195" s="12">
        <v>19666462</v>
      </c>
      <c r="AF195" s="8">
        <v>36.35</v>
      </c>
      <c r="AG195" s="8">
        <f ca="1">IFERROR(__xludf.DUMMYFUNCTION("GOOGLEFINANCE(""BOM:"" &amp; AC195,""price"")"),32.75)</f>
        <v>32.75</v>
      </c>
      <c r="AH195" s="8">
        <f t="shared" ca="1" si="50"/>
        <v>-9.9037138927097708</v>
      </c>
      <c r="AI195" s="12">
        <f t="shared" si="48"/>
        <v>714875893.70000005</v>
      </c>
      <c r="AJ195" s="13">
        <f t="shared" ca="1" si="49"/>
        <v>644076630.5</v>
      </c>
    </row>
    <row r="196" spans="1:36" x14ac:dyDescent="0.25">
      <c r="A196" s="63"/>
      <c r="B196" s="8">
        <v>504176</v>
      </c>
      <c r="C196" s="8" t="s">
        <v>820</v>
      </c>
      <c r="D196" s="12">
        <v>8833460</v>
      </c>
      <c r="E196" s="8">
        <v>567.54999999999995</v>
      </c>
      <c r="F196" s="8">
        <f ca="1">IFERROR(__xludf.DUMMYFUNCTION("GOOGLEFINANCE(""BOM:"" &amp; B196,""price"")"),613.3)</f>
        <v>613.29999999999995</v>
      </c>
      <c r="G196" s="8">
        <f t="shared" ca="1" si="21"/>
        <v>8.0609637917364108</v>
      </c>
      <c r="H196" s="12">
        <f t="shared" si="22"/>
        <v>5013430223</v>
      </c>
      <c r="I196" s="13">
        <f t="shared" ca="1" si="23"/>
        <v>5417561018</v>
      </c>
      <c r="J196" s="63"/>
      <c r="K196" s="8">
        <v>500093</v>
      </c>
      <c r="L196" s="8" t="s">
        <v>821</v>
      </c>
      <c r="M196" s="12">
        <v>1524355185</v>
      </c>
      <c r="N196" s="10">
        <v>464.95</v>
      </c>
      <c r="O196" s="10">
        <f ca="1">IFERROR(__xludf.DUMMYFUNCTION("GOOGLEFINANCE(""BOM:"" &amp; K196,""price"")"),539.95)</f>
        <v>539.95000000000005</v>
      </c>
      <c r="P196" s="8">
        <f t="shared" ca="1" si="38"/>
        <v>16.130766749112819</v>
      </c>
      <c r="Q196" s="12">
        <f t="shared" si="39"/>
        <v>708748943265.75</v>
      </c>
      <c r="R196" s="13">
        <f t="shared" ca="1" si="40"/>
        <v>823075582140.75012</v>
      </c>
      <c r="S196" s="63"/>
      <c r="T196" s="8">
        <v>543256</v>
      </c>
      <c r="U196" s="8" t="s">
        <v>822</v>
      </c>
      <c r="V196" s="12">
        <v>9786251</v>
      </c>
      <c r="W196" s="8">
        <v>22.4</v>
      </c>
      <c r="X196" s="11">
        <f ca="1">IFERROR(__xludf.DUMMYFUNCTION("GOOGLEFINANCE(""BOM:"" &amp; T196,""price"")"),19.75)</f>
        <v>19.75</v>
      </c>
      <c r="Y196" s="8">
        <f t="shared" ca="1" si="51"/>
        <v>-11.830357142857137</v>
      </c>
      <c r="Z196" s="12">
        <f t="shared" si="52"/>
        <v>219212022.39999998</v>
      </c>
      <c r="AA196" s="13">
        <f t="shared" ca="1" si="53"/>
        <v>193278457.25</v>
      </c>
      <c r="AB196" s="63"/>
      <c r="AC196" s="8">
        <v>500325</v>
      </c>
      <c r="AD196" s="8" t="s">
        <v>823</v>
      </c>
      <c r="AE196" s="12">
        <v>6708771051</v>
      </c>
      <c r="AF196" s="8">
        <v>2986</v>
      </c>
      <c r="AG196" s="8">
        <f ca="1">IFERROR(__xludf.DUMMYFUNCTION("GOOGLEFINANCE(""BOM:"" &amp; AC196,""price"")"),2976.8)</f>
        <v>2976.8</v>
      </c>
      <c r="AH196" s="8">
        <f t="shared" ca="1" si="50"/>
        <v>-0.30810448760883519</v>
      </c>
      <c r="AI196" s="12">
        <f t="shared" si="48"/>
        <v>20032390358286</v>
      </c>
      <c r="AJ196" s="13">
        <f t="shared" ca="1" si="49"/>
        <v>19970669664616.801</v>
      </c>
    </row>
    <row r="197" spans="1:36" x14ac:dyDescent="0.25">
      <c r="A197" s="63"/>
      <c r="B197" s="8">
        <v>504058</v>
      </c>
      <c r="C197" s="8" t="s">
        <v>824</v>
      </c>
      <c r="D197" s="12">
        <v>7420262</v>
      </c>
      <c r="E197" s="8">
        <v>710</v>
      </c>
      <c r="F197" s="8">
        <f ca="1">IFERROR(__xludf.DUMMYFUNCTION("GOOGLEFINANCE(""BOM:"" &amp; B197,""price"")"),548)</f>
        <v>548</v>
      </c>
      <c r="G197" s="8">
        <f t="shared" ca="1" si="21"/>
        <v>-22.816901408450704</v>
      </c>
      <c r="H197" s="12">
        <f t="shared" si="22"/>
        <v>5268386020</v>
      </c>
      <c r="I197" s="13">
        <f t="shared" ca="1" si="23"/>
        <v>4066303576</v>
      </c>
      <c r="J197" s="63"/>
      <c r="K197" s="8">
        <v>532309</v>
      </c>
      <c r="L197" s="8" t="s">
        <v>825</v>
      </c>
      <c r="M197" s="12">
        <v>66658777</v>
      </c>
      <c r="N197" s="10">
        <v>306.35000000000002</v>
      </c>
      <c r="O197" s="10">
        <f ca="1">IFERROR(__xludf.DUMMYFUNCTION("GOOGLEFINANCE(""BOM:"" &amp; K197,""price"")"),267.15)</f>
        <v>267.14999999999998</v>
      </c>
      <c r="P197" s="8">
        <f t="shared" ca="1" si="38"/>
        <v>-12.795821772482469</v>
      </c>
      <c r="Q197" s="12">
        <f t="shared" si="39"/>
        <v>20420916333.950001</v>
      </c>
      <c r="R197" s="13">
        <f t="shared" ca="1" si="40"/>
        <v>17807892275.549999</v>
      </c>
      <c r="S197" s="63"/>
      <c r="T197" s="8">
        <v>530271</v>
      </c>
      <c r="U197" s="8" t="s">
        <v>826</v>
      </c>
      <c r="V197" s="12">
        <v>4717700</v>
      </c>
      <c r="W197" s="8">
        <v>19.3</v>
      </c>
      <c r="X197" s="11">
        <f ca="1">IFERROR(__xludf.DUMMYFUNCTION("GOOGLEFINANCE(""BOM:"" &amp; T197,""price"")"),18.33)</f>
        <v>18.329999999999998</v>
      </c>
      <c r="Y197" s="8">
        <f t="shared" ca="1" si="51"/>
        <v>-5.0259067357513079</v>
      </c>
      <c r="Z197" s="12">
        <f t="shared" si="52"/>
        <v>91051610</v>
      </c>
      <c r="AA197" s="13">
        <f t="shared" ca="1" si="53"/>
        <v>86475440.999999985</v>
      </c>
      <c r="AB197" s="64"/>
      <c r="AC197" s="14">
        <v>532435</v>
      </c>
      <c r="AD197" s="14" t="s">
        <v>827</v>
      </c>
      <c r="AE197" s="15">
        <v>15799436</v>
      </c>
      <c r="AF197" s="14">
        <v>21.6</v>
      </c>
      <c r="AG197" s="14">
        <f ca="1">IFERROR(__xludf.DUMMYFUNCTION("GOOGLEFINANCE(""BOM:"" &amp; AC197,""price"")"),10.83)</f>
        <v>10.83</v>
      </c>
      <c r="AH197" s="14">
        <f t="shared" ca="1" si="50"/>
        <v>-49.861111111111114</v>
      </c>
      <c r="AI197" s="15">
        <f t="shared" si="48"/>
        <v>341267817.60000002</v>
      </c>
      <c r="AJ197" s="16">
        <f t="shared" ca="1" si="49"/>
        <v>171107891.88</v>
      </c>
    </row>
    <row r="198" spans="1:36" x14ac:dyDescent="0.25">
      <c r="A198" s="64"/>
      <c r="B198" s="14">
        <v>504093</v>
      </c>
      <c r="C198" s="14" t="s">
        <v>828</v>
      </c>
      <c r="D198" s="15">
        <v>7149512</v>
      </c>
      <c r="E198" s="8">
        <v>425</v>
      </c>
      <c r="F198" s="14">
        <f ca="1">IFERROR(__xludf.DUMMYFUNCTION("GOOGLEFINANCE(""BOM:"" &amp; B198,""price"")"),410)</f>
        <v>410</v>
      </c>
      <c r="G198" s="14">
        <f t="shared" ca="1" si="21"/>
        <v>-3.5294117647058822</v>
      </c>
      <c r="H198" s="15">
        <f t="shared" si="22"/>
        <v>3038542600</v>
      </c>
      <c r="I198" s="16">
        <f t="shared" ca="1" si="23"/>
        <v>2931299920</v>
      </c>
      <c r="J198" s="63"/>
      <c r="K198" s="8">
        <v>522275</v>
      </c>
      <c r="L198" s="8" t="s">
        <v>829</v>
      </c>
      <c r="M198" s="12">
        <v>254301901</v>
      </c>
      <c r="N198" s="10">
        <v>955</v>
      </c>
      <c r="O198" s="10">
        <f ca="1">IFERROR(__xludf.DUMMYFUNCTION("GOOGLEFINANCE(""BOM:"" &amp; K198,""price"")"),850)</f>
        <v>850</v>
      </c>
      <c r="P198" s="8">
        <f t="shared" ca="1" si="38"/>
        <v>-10.99476439790576</v>
      </c>
      <c r="Q198" s="12">
        <f t="shared" si="39"/>
        <v>242858315455</v>
      </c>
      <c r="R198" s="13">
        <f t="shared" ca="1" si="40"/>
        <v>216156615850</v>
      </c>
      <c r="S198" s="63"/>
      <c r="T198" s="8">
        <v>511169</v>
      </c>
      <c r="U198" s="8" t="s">
        <v>830</v>
      </c>
      <c r="V198" s="12">
        <v>3669890</v>
      </c>
      <c r="W198" s="8">
        <v>7.65</v>
      </c>
      <c r="X198" s="11">
        <f ca="1">IFERROR(__xludf.DUMMYFUNCTION("GOOGLEFINANCE(""BOM:"" &amp; T198,""price"")"),8.43)</f>
        <v>8.43</v>
      </c>
      <c r="Y198" s="8">
        <f t="shared" ca="1" si="51"/>
        <v>10.196078431372541</v>
      </c>
      <c r="Z198" s="12">
        <f t="shared" si="52"/>
        <v>28074658.5</v>
      </c>
      <c r="AA198" s="13">
        <f t="shared" ca="1" si="53"/>
        <v>30937172.699999999</v>
      </c>
      <c r="AB198" s="65" t="s">
        <v>831</v>
      </c>
      <c r="AC198" s="6">
        <v>540774</v>
      </c>
      <c r="AD198" s="6" t="s">
        <v>832</v>
      </c>
      <c r="AE198" s="7">
        <v>35423785</v>
      </c>
      <c r="AF198" s="8">
        <v>553.6</v>
      </c>
      <c r="AG198" s="8">
        <f ca="1">IFERROR(__xludf.DUMMYFUNCTION("GOOGLEFINANCE(""BOM:"" &amp; AC198,""price"")"),540.65)</f>
        <v>540.65</v>
      </c>
      <c r="AH198" s="8">
        <f t="shared" ca="1" si="50"/>
        <v>-2.339234104046251</v>
      </c>
      <c r="AI198" s="7">
        <f t="shared" si="48"/>
        <v>19610607376</v>
      </c>
      <c r="AJ198" s="9">
        <f t="shared" ca="1" si="49"/>
        <v>19151869360.25</v>
      </c>
    </row>
    <row r="199" spans="1:36" x14ac:dyDescent="0.25">
      <c r="A199" s="62" t="s">
        <v>833</v>
      </c>
      <c r="B199" s="6">
        <v>500008</v>
      </c>
      <c r="C199" s="6" t="s">
        <v>834</v>
      </c>
      <c r="D199" s="7">
        <v>169387178</v>
      </c>
      <c r="E199" s="6">
        <v>846.1</v>
      </c>
      <c r="F199" s="8">
        <f ca="1">IFERROR(__xludf.DUMMYFUNCTION("GOOGLEFINANCE(""BOM:"" &amp; B199,""price"")"),760.6)</f>
        <v>760.6</v>
      </c>
      <c r="G199" s="8">
        <f t="shared" ca="1" si="21"/>
        <v>-10.105188511996218</v>
      </c>
      <c r="H199" s="7">
        <f t="shared" si="22"/>
        <v>143318491305.80002</v>
      </c>
      <c r="I199" s="9">
        <f t="shared" ca="1" si="23"/>
        <v>128835887586.8</v>
      </c>
      <c r="J199" s="63"/>
      <c r="K199" s="8">
        <v>540614</v>
      </c>
      <c r="L199" s="8" t="s">
        <v>835</v>
      </c>
      <c r="M199" s="12">
        <v>380675385</v>
      </c>
      <c r="N199" s="10">
        <v>2.14</v>
      </c>
      <c r="O199" s="10">
        <f ca="1">IFERROR(__xludf.DUMMYFUNCTION("GOOGLEFINANCE(""BOM:"" &amp; K199,""price"")"),1.84)</f>
        <v>1.84</v>
      </c>
      <c r="P199" s="8">
        <f t="shared" ca="1" si="38"/>
        <v>-14.018691588785048</v>
      </c>
      <c r="Q199" s="12">
        <f t="shared" si="39"/>
        <v>814645323.9000001</v>
      </c>
      <c r="R199" s="13">
        <f t="shared" ca="1" si="40"/>
        <v>700442708.39999998</v>
      </c>
      <c r="S199" s="63"/>
      <c r="T199" s="8">
        <v>538540</v>
      </c>
      <c r="U199" s="8" t="s">
        <v>836</v>
      </c>
      <c r="V199" s="12">
        <v>50325000</v>
      </c>
      <c r="W199" s="8">
        <v>1.05</v>
      </c>
      <c r="X199" s="11">
        <f ca="1">IFERROR(__xludf.DUMMYFUNCTION("GOOGLEFINANCE(""BOM:"" &amp; T199,""price"")"),0.93)</f>
        <v>0.93</v>
      </c>
      <c r="Y199" s="8">
        <f t="shared" ca="1" si="51"/>
        <v>-11.428571428571429</v>
      </c>
      <c r="Z199" s="12">
        <f t="shared" si="52"/>
        <v>52841250</v>
      </c>
      <c r="AA199" s="13">
        <f t="shared" ca="1" si="53"/>
        <v>46802250</v>
      </c>
      <c r="AB199" s="63"/>
      <c r="AC199" s="8">
        <v>523160</v>
      </c>
      <c r="AD199" s="8" t="s">
        <v>837</v>
      </c>
      <c r="AE199" s="12">
        <v>5482922</v>
      </c>
      <c r="AF199" s="8">
        <v>1468.95</v>
      </c>
      <c r="AG199" s="8">
        <f ca="1">IFERROR(__xludf.DUMMYFUNCTION("GOOGLEFINANCE(""BOM:"" &amp; AC199,""price"")"),1339)</f>
        <v>1339</v>
      </c>
      <c r="AH199" s="8">
        <f t="shared" ca="1" si="50"/>
        <v>-8.846454950815211</v>
      </c>
      <c r="AI199" s="12">
        <f t="shared" si="48"/>
        <v>8054138271.9000006</v>
      </c>
      <c r="AJ199" s="13">
        <f t="shared" ca="1" si="49"/>
        <v>7341632558</v>
      </c>
    </row>
    <row r="200" spans="1:36" x14ac:dyDescent="0.25">
      <c r="A200" s="63"/>
      <c r="B200" s="8">
        <v>500086</v>
      </c>
      <c r="C200" s="8" t="s">
        <v>838</v>
      </c>
      <c r="D200" s="12">
        <v>842849432</v>
      </c>
      <c r="E200" s="8">
        <v>324.05</v>
      </c>
      <c r="F200" s="8">
        <f ca="1">IFERROR(__xludf.DUMMYFUNCTION("GOOGLEFINANCE(""BOM:"" &amp; B200,""price"")"),305.05)</f>
        <v>305.05</v>
      </c>
      <c r="G200" s="8">
        <f t="shared" ca="1" si="21"/>
        <v>-5.8632927017435579</v>
      </c>
      <c r="H200" s="12">
        <f t="shared" si="22"/>
        <v>273125358439.60001</v>
      </c>
      <c r="I200" s="13">
        <f t="shared" ca="1" si="23"/>
        <v>257111219231.60001</v>
      </c>
      <c r="J200" s="63"/>
      <c r="K200" s="8">
        <v>517571</v>
      </c>
      <c r="L200" s="8" t="s">
        <v>839</v>
      </c>
      <c r="M200" s="12">
        <v>8599556</v>
      </c>
      <c r="N200" s="10" t="s">
        <v>44</v>
      </c>
      <c r="O200" s="10" t="s">
        <v>44</v>
      </c>
      <c r="P200" s="8"/>
      <c r="Q200" s="12"/>
      <c r="R200" s="13"/>
      <c r="S200" s="63"/>
      <c r="T200" s="8">
        <v>539875</v>
      </c>
      <c r="U200" s="8" t="s">
        <v>840</v>
      </c>
      <c r="V200" s="12">
        <v>11559100</v>
      </c>
      <c r="W200" s="8">
        <v>93.5</v>
      </c>
      <c r="X200" s="11">
        <f ca="1">IFERROR(__xludf.DUMMYFUNCTION("GOOGLEFINANCE(""BOM:"" &amp; T200,""price"")"),100)</f>
        <v>100</v>
      </c>
      <c r="Y200" s="8">
        <f t="shared" ca="1" si="51"/>
        <v>6.9518716577540109</v>
      </c>
      <c r="Z200" s="12">
        <f t="shared" si="52"/>
        <v>1080775850</v>
      </c>
      <c r="AA200" s="13">
        <f t="shared" ca="1" si="53"/>
        <v>1155910000</v>
      </c>
      <c r="AB200" s="63"/>
      <c r="AC200" s="8">
        <v>502294</v>
      </c>
      <c r="AD200" s="8" t="s">
        <v>841</v>
      </c>
      <c r="AE200" s="12">
        <v>19998500</v>
      </c>
      <c r="AF200" s="8">
        <v>76.05</v>
      </c>
      <c r="AG200" s="8">
        <f ca="1">IFERROR(__xludf.DUMMYFUNCTION("GOOGLEFINANCE(""BOM:"" &amp; AC200,""price"")"),62.05)</f>
        <v>62.05</v>
      </c>
      <c r="AH200" s="8">
        <f t="shared" ca="1" si="50"/>
        <v>-18.408941485864563</v>
      </c>
      <c r="AI200" s="12">
        <f t="shared" si="48"/>
        <v>1520885925</v>
      </c>
      <c r="AJ200" s="13">
        <f t="shared" ca="1" si="49"/>
        <v>1240906925</v>
      </c>
    </row>
    <row r="201" spans="1:36" x14ac:dyDescent="0.25">
      <c r="A201" s="63"/>
      <c r="B201" s="8">
        <v>517230</v>
      </c>
      <c r="C201" s="8" t="s">
        <v>842</v>
      </c>
      <c r="D201" s="12">
        <v>9804488</v>
      </c>
      <c r="E201" s="8">
        <v>5.7</v>
      </c>
      <c r="F201" s="8">
        <f ca="1">IFERROR(__xludf.DUMMYFUNCTION("GOOGLEFINANCE(""BOM:"" &amp; B201,""price"")"),5.3)</f>
        <v>5.3</v>
      </c>
      <c r="G201" s="8">
        <f t="shared" ca="1" si="21"/>
        <v>-7.0175438596491295</v>
      </c>
      <c r="H201" s="12">
        <f t="shared" si="22"/>
        <v>55885581.600000001</v>
      </c>
      <c r="I201" s="13">
        <f t="shared" ca="1" si="23"/>
        <v>51963786.399999999</v>
      </c>
      <c r="J201" s="63"/>
      <c r="K201" s="8">
        <v>532717</v>
      </c>
      <c r="L201" s="8" t="s">
        <v>843</v>
      </c>
      <c r="M201" s="12">
        <v>10616748</v>
      </c>
      <c r="N201" s="10">
        <v>1092.0999999999999</v>
      </c>
      <c r="O201" s="10">
        <f ca="1">IFERROR(__xludf.DUMMYFUNCTION("GOOGLEFINANCE(""BOM:"" &amp; K201,""price"")"),983.8)</f>
        <v>983.8</v>
      </c>
      <c r="P201" s="8">
        <f t="shared" ref="P201:P218" ca="1" si="54">((O201-N201)/N201)*100</f>
        <v>-9.9166742972255246</v>
      </c>
      <c r="Q201" s="12">
        <f t="shared" ref="Q201:Q218" si="55">M201*N201</f>
        <v>11594550490.799999</v>
      </c>
      <c r="R201" s="13">
        <f t="shared" ref="R201:R218" ca="1" si="56">M201*O201</f>
        <v>10444756682.4</v>
      </c>
      <c r="S201" s="63"/>
      <c r="T201" s="8">
        <v>532092</v>
      </c>
      <c r="U201" s="8" t="s">
        <v>844</v>
      </c>
      <c r="V201" s="12">
        <v>40140322</v>
      </c>
      <c r="W201" s="8">
        <v>7.21</v>
      </c>
      <c r="X201" s="11">
        <f ca="1">IFERROR(__xludf.DUMMYFUNCTION("GOOGLEFINANCE(""BOM:"" &amp; T201,""price"")"),5.4)</f>
        <v>5.4</v>
      </c>
      <c r="Y201" s="8">
        <f t="shared" ca="1" si="51"/>
        <v>-25.104022191400826</v>
      </c>
      <c r="Z201" s="12">
        <f t="shared" si="52"/>
        <v>289411721.62</v>
      </c>
      <c r="AA201" s="13">
        <f t="shared" ca="1" si="53"/>
        <v>216757738.80000001</v>
      </c>
      <c r="AB201" s="63"/>
      <c r="AC201" s="8">
        <v>504879</v>
      </c>
      <c r="AD201" s="8" t="s">
        <v>845</v>
      </c>
      <c r="AE201" s="12">
        <v>118832935</v>
      </c>
      <c r="AF201" s="8">
        <v>64.48</v>
      </c>
      <c r="AG201" s="8">
        <f ca="1">IFERROR(__xludf.DUMMYFUNCTION("GOOGLEFINANCE(""BOM:"" &amp; AC201,""price"")"),47.68)</f>
        <v>47.68</v>
      </c>
      <c r="AH201" s="8">
        <f t="shared" ca="1" si="50"/>
        <v>-26.054590570719611</v>
      </c>
      <c r="AI201" s="12">
        <f t="shared" si="48"/>
        <v>7662347648.8000002</v>
      </c>
      <c r="AJ201" s="13">
        <f t="shared" ca="1" si="49"/>
        <v>5665954340.8000002</v>
      </c>
    </row>
    <row r="202" spans="1:36" x14ac:dyDescent="0.25">
      <c r="A202" s="64"/>
      <c r="B202" s="14">
        <v>538733</v>
      </c>
      <c r="C202" s="14" t="s">
        <v>846</v>
      </c>
      <c r="D202" s="15">
        <v>10064866</v>
      </c>
      <c r="E202" s="8">
        <v>4.9000000000000004</v>
      </c>
      <c r="F202" s="14">
        <f ca="1">IFERROR(__xludf.DUMMYFUNCTION("GOOGLEFINANCE(""BOM:"" &amp; B202,""price"")"),4.13)</f>
        <v>4.13</v>
      </c>
      <c r="G202" s="14">
        <f t="shared" ca="1" si="21"/>
        <v>-15.714285714285722</v>
      </c>
      <c r="H202" s="15">
        <f t="shared" si="22"/>
        <v>49317843.400000006</v>
      </c>
      <c r="I202" s="16">
        <f t="shared" ca="1" si="23"/>
        <v>41567896.579999998</v>
      </c>
      <c r="J202" s="63"/>
      <c r="K202" s="8">
        <v>539083</v>
      </c>
      <c r="L202" s="8" t="s">
        <v>847</v>
      </c>
      <c r="M202" s="12">
        <v>277275365</v>
      </c>
      <c r="N202" s="10">
        <v>584.70000000000005</v>
      </c>
      <c r="O202" s="10">
        <f ca="1">IFERROR(__xludf.DUMMYFUNCTION("GOOGLEFINANCE(""BOM:"" &amp; K202,""price"")"),521.45)</f>
        <v>521.45000000000005</v>
      </c>
      <c r="P202" s="8">
        <f t="shared" ca="1" si="54"/>
        <v>-10.81751325466051</v>
      </c>
      <c r="Q202" s="12">
        <f t="shared" si="55"/>
        <v>162122905915.5</v>
      </c>
      <c r="R202" s="13">
        <f t="shared" ca="1" si="56"/>
        <v>144585239079.25</v>
      </c>
      <c r="S202" s="63"/>
      <c r="T202" s="8">
        <v>511254</v>
      </c>
      <c r="U202" s="8" t="s">
        <v>848</v>
      </c>
      <c r="V202" s="12">
        <v>301250</v>
      </c>
      <c r="W202" s="8">
        <v>61.75</v>
      </c>
      <c r="X202" s="11">
        <f ca="1">IFERROR(__xludf.DUMMYFUNCTION("GOOGLEFINANCE(""BOM:"" &amp; T202,""price"")"),61.75)</f>
        <v>61.75</v>
      </c>
      <c r="Y202" s="8">
        <f t="shared" ca="1" si="51"/>
        <v>0</v>
      </c>
      <c r="Z202" s="12">
        <f t="shared" si="52"/>
        <v>18602187.5</v>
      </c>
      <c r="AA202" s="13">
        <f t="shared" ca="1" si="53"/>
        <v>18602187.5</v>
      </c>
      <c r="AB202" s="63"/>
      <c r="AC202" s="8">
        <v>534076</v>
      </c>
      <c r="AD202" s="8" t="s">
        <v>849</v>
      </c>
      <c r="AE202" s="12">
        <v>160082907</v>
      </c>
      <c r="AF202" s="8">
        <v>577.65</v>
      </c>
      <c r="AG202" s="8">
        <f ca="1">IFERROR(__xludf.DUMMYFUNCTION("GOOGLEFINANCE(""BOM:"" &amp; AC202,""price"")"),549.55)</f>
        <v>549.54999999999995</v>
      </c>
      <c r="AH202" s="8">
        <f t="shared" ca="1" si="50"/>
        <v>-4.8645373496061666</v>
      </c>
      <c r="AI202" s="12">
        <f t="shared" si="48"/>
        <v>92471891228.550003</v>
      </c>
      <c r="AJ202" s="13">
        <f t="shared" ca="1" si="49"/>
        <v>87973561541.849991</v>
      </c>
    </row>
    <row r="203" spans="1:36" x14ac:dyDescent="0.25">
      <c r="A203" s="62" t="s">
        <v>850</v>
      </c>
      <c r="B203" s="6">
        <v>526073</v>
      </c>
      <c r="C203" s="6" t="s">
        <v>851</v>
      </c>
      <c r="D203" s="7">
        <v>1767190</v>
      </c>
      <c r="E203" s="6">
        <v>1550.05</v>
      </c>
      <c r="F203" s="8">
        <f ca="1">IFERROR(__xludf.DUMMYFUNCTION("GOOGLEFINANCE(""BOM:"" &amp; B203,""price"")"),1482)</f>
        <v>1482</v>
      </c>
      <c r="G203" s="8">
        <f t="shared" ca="1" si="21"/>
        <v>-4.3901809619044521</v>
      </c>
      <c r="H203" s="7">
        <f t="shared" si="22"/>
        <v>2739232859.5</v>
      </c>
      <c r="I203" s="9">
        <f t="shared" ca="1" si="23"/>
        <v>2618975580</v>
      </c>
      <c r="J203" s="63"/>
      <c r="K203" s="8">
        <v>543297</v>
      </c>
      <c r="L203" s="8" t="s">
        <v>852</v>
      </c>
      <c r="M203" s="12">
        <v>10907087</v>
      </c>
      <c r="N203" s="10">
        <v>7000</v>
      </c>
      <c r="O203" s="10">
        <f ca="1">IFERROR(__xludf.DUMMYFUNCTION("GOOGLEFINANCE(""BOM:"" &amp; K203,""price"")"),5804)</f>
        <v>5804</v>
      </c>
      <c r="P203" s="8">
        <f t="shared" ca="1" si="54"/>
        <v>-17.085714285714285</v>
      </c>
      <c r="Q203" s="12">
        <f t="shared" si="55"/>
        <v>76349609000</v>
      </c>
      <c r="R203" s="13">
        <f t="shared" ca="1" si="56"/>
        <v>63304732948</v>
      </c>
      <c r="S203" s="63"/>
      <c r="T203" s="8">
        <v>511754</v>
      </c>
      <c r="U203" s="8" t="s">
        <v>853</v>
      </c>
      <c r="V203" s="12">
        <v>4677700</v>
      </c>
      <c r="W203" s="8">
        <v>578.9</v>
      </c>
      <c r="X203" s="11">
        <f ca="1">IFERROR(__xludf.DUMMYFUNCTION("GOOGLEFINANCE(""BOM:"" &amp; T203,""price"")"),507.35)</f>
        <v>507.35</v>
      </c>
      <c r="Y203" s="8">
        <f t="shared" ca="1" si="51"/>
        <v>-12.359647607531517</v>
      </c>
      <c r="Z203" s="12">
        <f t="shared" si="52"/>
        <v>2707920530</v>
      </c>
      <c r="AA203" s="13">
        <f t="shared" ca="1" si="53"/>
        <v>2373231095</v>
      </c>
      <c r="AB203" s="64"/>
      <c r="AC203" s="14">
        <v>520113</v>
      </c>
      <c r="AD203" s="14" t="s">
        <v>854</v>
      </c>
      <c r="AE203" s="15">
        <v>20068961</v>
      </c>
      <c r="AF203" s="14">
        <v>3302.7</v>
      </c>
      <c r="AG203" s="14">
        <f ca="1">IFERROR(__xludf.DUMMYFUNCTION("GOOGLEFINANCE(""BOM:"" &amp; AC203,""price"")"),3337)</f>
        <v>3337</v>
      </c>
      <c r="AH203" s="14">
        <f t="shared" ca="1" si="50"/>
        <v>1.0385442213946221</v>
      </c>
      <c r="AI203" s="15">
        <f t="shared" si="48"/>
        <v>66281757494.699997</v>
      </c>
      <c r="AJ203" s="16">
        <f t="shared" ca="1" si="49"/>
        <v>66970122857</v>
      </c>
    </row>
    <row r="204" spans="1:36" x14ac:dyDescent="0.25">
      <c r="A204" s="63"/>
      <c r="B204" s="8">
        <v>535458</v>
      </c>
      <c r="C204" s="8" t="s">
        <v>855</v>
      </c>
      <c r="D204" s="12">
        <v>24128171</v>
      </c>
      <c r="E204" s="8">
        <v>32</v>
      </c>
      <c r="F204" s="8">
        <f ca="1">IFERROR(__xludf.DUMMYFUNCTION("GOOGLEFINANCE(""BOM:"" &amp; B204,""price"")"),33.38)</f>
        <v>33.380000000000003</v>
      </c>
      <c r="G204" s="8">
        <f t="shared" ca="1" si="21"/>
        <v>4.312500000000008</v>
      </c>
      <c r="H204" s="12">
        <f t="shared" si="22"/>
        <v>772101472</v>
      </c>
      <c r="I204" s="13">
        <f t="shared" ca="1" si="23"/>
        <v>805398347.98000002</v>
      </c>
      <c r="J204" s="63"/>
      <c r="K204" s="8">
        <v>504076</v>
      </c>
      <c r="L204" s="8" t="s">
        <v>856</v>
      </c>
      <c r="M204" s="12">
        <v>16652356</v>
      </c>
      <c r="N204" s="10">
        <v>58.16</v>
      </c>
      <c r="O204" s="10">
        <f ca="1">IFERROR(__xludf.DUMMYFUNCTION("GOOGLEFINANCE(""BOM:"" &amp; K204,""price"")"),51.99)</f>
        <v>51.99</v>
      </c>
      <c r="P204" s="8">
        <f t="shared" ca="1" si="54"/>
        <v>-10.608665749656113</v>
      </c>
      <c r="Q204" s="12">
        <f t="shared" si="55"/>
        <v>968501024.95999992</v>
      </c>
      <c r="R204" s="13">
        <f t="shared" ca="1" si="56"/>
        <v>865755988.44000006</v>
      </c>
      <c r="S204" s="63"/>
      <c r="T204" s="8">
        <v>540181</v>
      </c>
      <c r="U204" s="8" t="s">
        <v>857</v>
      </c>
      <c r="V204" s="12">
        <v>10579686</v>
      </c>
      <c r="W204" s="8">
        <v>50.7</v>
      </c>
      <c r="X204" s="11">
        <f ca="1">IFERROR(__xludf.DUMMYFUNCTION("GOOGLEFINANCE(""BOM:"" &amp; T204,""price"")"),44.6)</f>
        <v>44.6</v>
      </c>
      <c r="Y204" s="8">
        <f t="shared" ca="1" si="51"/>
        <v>-12.031558185404341</v>
      </c>
      <c r="Z204" s="12">
        <f t="shared" si="52"/>
        <v>536390080.20000005</v>
      </c>
      <c r="AA204" s="13">
        <f t="shared" ca="1" si="53"/>
        <v>471853995.60000002</v>
      </c>
      <c r="AB204" s="65" t="s">
        <v>858</v>
      </c>
      <c r="AC204" s="6">
        <v>539544</v>
      </c>
      <c r="AD204" s="6" t="s">
        <v>859</v>
      </c>
      <c r="AE204" s="7">
        <v>3246255</v>
      </c>
      <c r="AF204" s="8">
        <v>6.47</v>
      </c>
      <c r="AG204" s="8">
        <f ca="1">IFERROR(__xludf.DUMMYFUNCTION("GOOGLEFINANCE(""BOM:"" &amp; AC204,""price"")"),5.99)</f>
        <v>5.99</v>
      </c>
      <c r="AH204" s="8">
        <f t="shared" ca="1" si="50"/>
        <v>-7.4188562596599619</v>
      </c>
      <c r="AI204" s="7">
        <f t="shared" si="48"/>
        <v>21003269.849999998</v>
      </c>
      <c r="AJ204" s="9">
        <f t="shared" ca="1" si="49"/>
        <v>19445067.449999999</v>
      </c>
    </row>
    <row r="205" spans="1:36" x14ac:dyDescent="0.25">
      <c r="A205" s="63"/>
      <c r="B205" s="8">
        <v>530367</v>
      </c>
      <c r="C205" s="8" t="s">
        <v>860</v>
      </c>
      <c r="D205" s="12">
        <v>96622040</v>
      </c>
      <c r="E205" s="8">
        <v>315.5</v>
      </c>
      <c r="F205" s="8">
        <f ca="1">IFERROR(__xludf.DUMMYFUNCTION("GOOGLEFINANCE(""BOM:"" &amp; B205,""price"")"),272.1)</f>
        <v>272.10000000000002</v>
      </c>
      <c r="G205" s="8">
        <f t="shared" ca="1" si="21"/>
        <v>-13.755942947702051</v>
      </c>
      <c r="H205" s="12">
        <f t="shared" si="22"/>
        <v>30484253620</v>
      </c>
      <c r="I205" s="13">
        <f t="shared" ca="1" si="23"/>
        <v>26290857084.000004</v>
      </c>
      <c r="J205" s="63"/>
      <c r="K205" s="8">
        <v>513250</v>
      </c>
      <c r="L205" s="8" t="s">
        <v>861</v>
      </c>
      <c r="M205" s="12">
        <v>634046191</v>
      </c>
      <c r="N205" s="10">
        <v>26.31</v>
      </c>
      <c r="O205" s="10">
        <f ca="1">IFERROR(__xludf.DUMMYFUNCTION("GOOGLEFINANCE(""BOM:"" &amp; K205,""price"")"),20.91)</f>
        <v>20.91</v>
      </c>
      <c r="P205" s="8">
        <f t="shared" ca="1" si="54"/>
        <v>-20.52451539338654</v>
      </c>
      <c r="Q205" s="12">
        <f t="shared" si="55"/>
        <v>16681755285.209999</v>
      </c>
      <c r="R205" s="13">
        <f t="shared" ca="1" si="56"/>
        <v>13257905853.809999</v>
      </c>
      <c r="S205" s="63"/>
      <c r="T205" s="8">
        <v>539124</v>
      </c>
      <c r="U205" s="8" t="s">
        <v>862</v>
      </c>
      <c r="V205" s="12">
        <v>4653200</v>
      </c>
      <c r="W205" s="8">
        <v>39.79</v>
      </c>
      <c r="X205" s="11">
        <f ca="1">IFERROR(__xludf.DUMMYFUNCTION("GOOGLEFINANCE(""BOM:"" &amp; T205,""price"")"),26.85)</f>
        <v>26.85</v>
      </c>
      <c r="Y205" s="8">
        <f t="shared" ca="1" si="51"/>
        <v>-32.520733852726813</v>
      </c>
      <c r="Z205" s="12">
        <f t="shared" si="52"/>
        <v>185150828</v>
      </c>
      <c r="AA205" s="13">
        <f t="shared" ca="1" si="53"/>
        <v>124938420</v>
      </c>
      <c r="AB205" s="63"/>
      <c r="AC205" s="8">
        <v>539042</v>
      </c>
      <c r="AD205" s="8" t="s">
        <v>863</v>
      </c>
      <c r="AE205" s="12">
        <v>12215561</v>
      </c>
      <c r="AF205" s="8">
        <v>977.55</v>
      </c>
      <c r="AG205" s="8">
        <f ca="1">IFERROR(__xludf.DUMMYFUNCTION("GOOGLEFINANCE(""BOM:"" &amp; AC205,""price"")"),909)</f>
        <v>909</v>
      </c>
      <c r="AH205" s="8">
        <f t="shared" ca="1" si="50"/>
        <v>-7.0124290317630775</v>
      </c>
      <c r="AI205" s="12">
        <f t="shared" si="48"/>
        <v>11941321655.549999</v>
      </c>
      <c r="AJ205" s="13">
        <f t="shared" ca="1" si="49"/>
        <v>11103944949</v>
      </c>
    </row>
    <row r="206" spans="1:36" x14ac:dyDescent="0.25">
      <c r="A206" s="63"/>
      <c r="B206" s="8">
        <v>500472</v>
      </c>
      <c r="C206" s="8" t="s">
        <v>864</v>
      </c>
      <c r="D206" s="12">
        <v>48930996</v>
      </c>
      <c r="E206" s="8">
        <v>4705</v>
      </c>
      <c r="F206" s="8">
        <f ca="1">IFERROR(__xludf.DUMMYFUNCTION("GOOGLEFINANCE(""BOM:"" &amp; B206,""price"")"),4162.6)</f>
        <v>4162.6000000000004</v>
      </c>
      <c r="G206" s="8">
        <f t="shared" ca="1" si="21"/>
        <v>-11.528161530286921</v>
      </c>
      <c r="H206" s="12">
        <f t="shared" si="22"/>
        <v>230220336180</v>
      </c>
      <c r="I206" s="13">
        <f t="shared" ca="1" si="23"/>
        <v>203680163949.60001</v>
      </c>
      <c r="J206" s="63"/>
      <c r="K206" s="8">
        <v>532714</v>
      </c>
      <c r="L206" s="8" t="s">
        <v>865</v>
      </c>
      <c r="M206" s="12">
        <v>254518570</v>
      </c>
      <c r="N206" s="10">
        <v>716.15</v>
      </c>
      <c r="O206" s="10">
        <f ca="1">IFERROR(__xludf.DUMMYFUNCTION("GOOGLEFINANCE(""BOM:"" &amp; K206,""price"")"),694)</f>
        <v>694</v>
      </c>
      <c r="P206" s="8">
        <f t="shared" ca="1" si="54"/>
        <v>-3.0929274593311429</v>
      </c>
      <c r="Q206" s="12">
        <f t="shared" si="55"/>
        <v>182273473905.5</v>
      </c>
      <c r="R206" s="13">
        <f t="shared" ca="1" si="56"/>
        <v>176635887580</v>
      </c>
      <c r="S206" s="63"/>
      <c r="T206" s="8">
        <v>539404</v>
      </c>
      <c r="U206" s="8" t="s">
        <v>866</v>
      </c>
      <c r="V206" s="12">
        <v>74859854</v>
      </c>
      <c r="W206" s="8">
        <v>234.9</v>
      </c>
      <c r="X206" s="11">
        <f ca="1">IFERROR(__xludf.DUMMYFUNCTION("GOOGLEFINANCE(""BOM:"" &amp; T206,""price"")"),211)</f>
        <v>211</v>
      </c>
      <c r="Y206" s="8">
        <f t="shared" ca="1" si="51"/>
        <v>-10.174542358450408</v>
      </c>
      <c r="Z206" s="12">
        <f t="shared" si="52"/>
        <v>17584579704.600002</v>
      </c>
      <c r="AA206" s="13">
        <f t="shared" ca="1" si="53"/>
        <v>15795429194</v>
      </c>
      <c r="AB206" s="63"/>
      <c r="AC206" s="8">
        <v>513349</v>
      </c>
      <c r="AD206" s="8" t="s">
        <v>867</v>
      </c>
      <c r="AE206" s="12">
        <v>35444514</v>
      </c>
      <c r="AF206" s="8">
        <v>733.75</v>
      </c>
      <c r="AG206" s="8">
        <f ca="1">IFERROR(__xludf.DUMMYFUNCTION("GOOGLEFINANCE(""BOM:"" &amp; AC206,""price"")"),723.95)</f>
        <v>723.95</v>
      </c>
      <c r="AH206" s="8">
        <f t="shared" ca="1" si="50"/>
        <v>-1.3356047700170297</v>
      </c>
      <c r="AI206" s="12">
        <f t="shared" si="48"/>
        <v>26007412147.5</v>
      </c>
      <c r="AJ206" s="13">
        <f t="shared" ca="1" si="49"/>
        <v>25660055910.300003</v>
      </c>
    </row>
    <row r="207" spans="1:36" x14ac:dyDescent="0.25">
      <c r="A207" s="63"/>
      <c r="B207" s="8">
        <v>505827</v>
      </c>
      <c r="C207" s="8" t="s">
        <v>868</v>
      </c>
      <c r="D207" s="12">
        <v>3490757</v>
      </c>
      <c r="E207" s="8">
        <v>343.45</v>
      </c>
      <c r="F207" s="8">
        <f ca="1">IFERROR(__xludf.DUMMYFUNCTION("GOOGLEFINANCE(""BOM:"" &amp; B207,""price"")"),290)</f>
        <v>290</v>
      </c>
      <c r="G207" s="8">
        <f t="shared" ca="1" si="21"/>
        <v>-15.562672878148199</v>
      </c>
      <c r="H207" s="12">
        <f t="shared" si="22"/>
        <v>1198900491.6499999</v>
      </c>
      <c r="I207" s="13">
        <f t="shared" ca="1" si="23"/>
        <v>1012319530</v>
      </c>
      <c r="J207" s="63"/>
      <c r="K207" s="8">
        <v>543187</v>
      </c>
      <c r="L207" s="8" t="s">
        <v>869</v>
      </c>
      <c r="M207" s="12">
        <v>42105545</v>
      </c>
      <c r="N207" s="10">
        <v>6050.1</v>
      </c>
      <c r="O207" s="10">
        <f ca="1">IFERROR(__xludf.DUMMYFUNCTION("GOOGLEFINANCE(""BOM:"" &amp; K207,""price"")"),6957.1)</f>
        <v>6957.1</v>
      </c>
      <c r="P207" s="8">
        <f t="shared" ca="1" si="54"/>
        <v>14.991487744004232</v>
      </c>
      <c r="Q207" s="12">
        <f t="shared" si="55"/>
        <v>254742757804.50003</v>
      </c>
      <c r="R207" s="13">
        <f t="shared" ca="1" si="56"/>
        <v>292932487119.5</v>
      </c>
      <c r="S207" s="63"/>
      <c r="T207" s="8">
        <v>539218</v>
      </c>
      <c r="U207" s="8" t="s">
        <v>870</v>
      </c>
      <c r="V207" s="12">
        <v>6380908</v>
      </c>
      <c r="W207" s="8">
        <v>128</v>
      </c>
      <c r="X207" s="11">
        <f ca="1">IFERROR(__xludf.DUMMYFUNCTION("GOOGLEFINANCE(""BOM:"" &amp; T207,""price"")"),197)</f>
        <v>197</v>
      </c>
      <c r="Y207" s="8">
        <f t="shared" ca="1" si="51"/>
        <v>53.90625</v>
      </c>
      <c r="Z207" s="12">
        <f t="shared" si="52"/>
        <v>816756224</v>
      </c>
      <c r="AA207" s="13">
        <f t="shared" ca="1" si="53"/>
        <v>1257038876</v>
      </c>
      <c r="AB207" s="63"/>
      <c r="AC207" s="8">
        <v>506235</v>
      </c>
      <c r="AD207" s="8" t="s">
        <v>871</v>
      </c>
      <c r="AE207" s="12">
        <v>253580662</v>
      </c>
      <c r="AF207" s="8">
        <v>99.14</v>
      </c>
      <c r="AG207" s="8">
        <f ca="1">IFERROR(__xludf.DUMMYFUNCTION("GOOGLEFINANCE(""BOM:"" &amp; AC207,""price"")"),83.75)</f>
        <v>83.75</v>
      </c>
      <c r="AH207" s="8">
        <f t="shared" ca="1" si="50"/>
        <v>-15.523502118216664</v>
      </c>
      <c r="AI207" s="12">
        <f t="shared" si="48"/>
        <v>25139986830.68</v>
      </c>
      <c r="AJ207" s="13">
        <f t="shared" ca="1" si="49"/>
        <v>21237380442.5</v>
      </c>
    </row>
    <row r="208" spans="1:36" x14ac:dyDescent="0.25">
      <c r="A208" s="64"/>
      <c r="B208" s="14">
        <v>522113</v>
      </c>
      <c r="C208" s="14" t="s">
        <v>872</v>
      </c>
      <c r="D208" s="15">
        <v>74164002</v>
      </c>
      <c r="E208" s="8">
        <v>2705.35</v>
      </c>
      <c r="F208" s="14">
        <f ca="1">IFERROR(__xludf.DUMMYFUNCTION("GOOGLEFINANCE(""BOM:"" &amp; B208,""price"")"),2856)</f>
        <v>2856</v>
      </c>
      <c r="G208" s="14">
        <f t="shared" ca="1" si="21"/>
        <v>5.5685955606483484</v>
      </c>
      <c r="H208" s="15">
        <f t="shared" si="22"/>
        <v>200639582810.69998</v>
      </c>
      <c r="I208" s="16">
        <f t="shared" ca="1" si="23"/>
        <v>211812389712</v>
      </c>
      <c r="J208" s="63"/>
      <c r="K208" s="8">
        <v>534139</v>
      </c>
      <c r="L208" s="8" t="s">
        <v>873</v>
      </c>
      <c r="M208" s="12">
        <v>237357450</v>
      </c>
      <c r="N208" s="10">
        <v>626.6</v>
      </c>
      <c r="O208" s="10">
        <f ca="1">IFERROR(__xludf.DUMMYFUNCTION("GOOGLEFINANCE(""BOM:"" &amp; K208,""price"")"),748)</f>
        <v>748</v>
      </c>
      <c r="P208" s="8">
        <f t="shared" ca="1" si="54"/>
        <v>19.374401532077876</v>
      </c>
      <c r="Q208" s="12">
        <f t="shared" si="55"/>
        <v>148728178170</v>
      </c>
      <c r="R208" s="13">
        <f t="shared" ca="1" si="56"/>
        <v>177543372600</v>
      </c>
      <c r="S208" s="63"/>
      <c r="T208" s="8">
        <v>511577</v>
      </c>
      <c r="U208" s="8" t="s">
        <v>874</v>
      </c>
      <c r="V208" s="12">
        <v>2717520</v>
      </c>
      <c r="W208" s="8">
        <v>20.82</v>
      </c>
      <c r="X208" s="11">
        <f ca="1">IFERROR(__xludf.DUMMYFUNCTION("GOOGLEFINANCE(""BOM:"" &amp; T208,""price"")"),20.82)</f>
        <v>20.82</v>
      </c>
      <c r="Y208" s="8">
        <f t="shared" ca="1" si="51"/>
        <v>0</v>
      </c>
      <c r="Z208" s="12">
        <f t="shared" si="52"/>
        <v>56578766.399999999</v>
      </c>
      <c r="AA208" s="13">
        <f t="shared" ca="1" si="53"/>
        <v>56578766.399999999</v>
      </c>
      <c r="AB208" s="63"/>
      <c r="AC208" s="8">
        <v>526519</v>
      </c>
      <c r="AD208" s="8" t="s">
        <v>875</v>
      </c>
      <c r="AE208" s="12">
        <v>15665308</v>
      </c>
      <c r="AF208" s="8">
        <v>182.5</v>
      </c>
      <c r="AG208" s="8">
        <f ca="1">IFERROR(__xludf.DUMMYFUNCTION("GOOGLEFINANCE(""BOM:"" &amp; AC208,""price"")"),152.9)</f>
        <v>152.9</v>
      </c>
      <c r="AH208" s="8">
        <f t="shared" ca="1" si="50"/>
        <v>-16.219178082191775</v>
      </c>
      <c r="AI208" s="12">
        <f t="shared" si="48"/>
        <v>2858918710</v>
      </c>
      <c r="AJ208" s="13">
        <f t="shared" ca="1" si="49"/>
        <v>2395225593.2000003</v>
      </c>
    </row>
    <row r="209" spans="1:36" x14ac:dyDescent="0.25">
      <c r="A209" s="62" t="s">
        <v>876</v>
      </c>
      <c r="B209" s="6">
        <v>514336</v>
      </c>
      <c r="C209" s="6" t="s">
        <v>877</v>
      </c>
      <c r="D209" s="7">
        <v>12496100</v>
      </c>
      <c r="E209" s="6">
        <v>10.76</v>
      </c>
      <c r="F209" s="8">
        <f ca="1">IFERROR(__xludf.DUMMYFUNCTION("GOOGLEFINANCE(""BOM:"" &amp; B209,""price"")"),13.06)</f>
        <v>13.06</v>
      </c>
      <c r="G209" s="8">
        <f t="shared" ca="1" si="21"/>
        <v>21.375464684014879</v>
      </c>
      <c r="H209" s="7">
        <f t="shared" si="22"/>
        <v>134458036</v>
      </c>
      <c r="I209" s="9">
        <f t="shared" ca="1" si="23"/>
        <v>163199066</v>
      </c>
      <c r="J209" s="63"/>
      <c r="K209" s="8">
        <v>500550</v>
      </c>
      <c r="L209" s="8" t="s">
        <v>878</v>
      </c>
      <c r="M209" s="12">
        <v>354267108</v>
      </c>
      <c r="N209" s="10">
        <v>4697.2</v>
      </c>
      <c r="O209" s="10">
        <f ca="1">IFERROR(__xludf.DUMMYFUNCTION("GOOGLEFINANCE(""BOM:"" &amp; K209,""price"")"),5230)</f>
        <v>5230</v>
      </c>
      <c r="P209" s="8">
        <f t="shared" ca="1" si="54"/>
        <v>11.342927701609472</v>
      </c>
      <c r="Q209" s="12">
        <f t="shared" si="55"/>
        <v>1664063459697.5999</v>
      </c>
      <c r="R209" s="13">
        <f t="shared" ca="1" si="56"/>
        <v>1852816974840</v>
      </c>
      <c r="S209" s="63"/>
      <c r="T209" s="8">
        <v>543066</v>
      </c>
      <c r="U209" s="8" t="s">
        <v>879</v>
      </c>
      <c r="V209" s="12">
        <v>943262138</v>
      </c>
      <c r="W209" s="8">
        <v>717.75</v>
      </c>
      <c r="X209" s="11">
        <f ca="1">IFERROR(__xludf.DUMMYFUNCTION("GOOGLEFINANCE(""BOM:"" &amp; T209,""price"")"),682.45)</f>
        <v>682.45</v>
      </c>
      <c r="Y209" s="8">
        <f t="shared" ca="1" si="51"/>
        <v>-4.9181469871124985</v>
      </c>
      <c r="Z209" s="12">
        <f t="shared" si="52"/>
        <v>677026399549.5</v>
      </c>
      <c r="AA209" s="13">
        <f t="shared" ca="1" si="53"/>
        <v>643729246078.1001</v>
      </c>
      <c r="AB209" s="63"/>
      <c r="AC209" s="8">
        <v>500343</v>
      </c>
      <c r="AD209" s="8" t="s">
        <v>880</v>
      </c>
      <c r="AE209" s="12">
        <v>40336985</v>
      </c>
      <c r="AF209" s="8">
        <v>37.880000000000003</v>
      </c>
      <c r="AG209" s="8">
        <f ca="1">IFERROR(__xludf.DUMMYFUNCTION("GOOGLEFINANCE(""BOM:"" &amp; AC209,""price"")"),33.55)</f>
        <v>33.549999999999997</v>
      </c>
      <c r="AH209" s="8">
        <f t="shared" ca="1" si="50"/>
        <v>-11.430834213305188</v>
      </c>
      <c r="AI209" s="12">
        <f t="shared" si="48"/>
        <v>1527964991.8000002</v>
      </c>
      <c r="AJ209" s="13">
        <f t="shared" ca="1" si="49"/>
        <v>1353305846.75</v>
      </c>
    </row>
    <row r="210" spans="1:36" x14ac:dyDescent="0.25">
      <c r="A210" s="63"/>
      <c r="B210" s="8">
        <v>539206</v>
      </c>
      <c r="C210" s="8" t="s">
        <v>881</v>
      </c>
      <c r="D210" s="12">
        <v>3033650</v>
      </c>
      <c r="E210" s="8">
        <v>38.299999999999997</v>
      </c>
      <c r="F210" s="8">
        <f ca="1">IFERROR(__xludf.DUMMYFUNCTION("GOOGLEFINANCE(""BOM:"" &amp; B210,""price"")"),34.71)</f>
        <v>34.71</v>
      </c>
      <c r="G210" s="8">
        <f t="shared" ca="1" si="21"/>
        <v>-9.3733681462140908</v>
      </c>
      <c r="H210" s="12">
        <f t="shared" si="22"/>
        <v>116188794.99999999</v>
      </c>
      <c r="I210" s="13">
        <f t="shared" ca="1" si="23"/>
        <v>105297991.5</v>
      </c>
      <c r="J210" s="63"/>
      <c r="K210" s="8">
        <v>538562</v>
      </c>
      <c r="L210" s="8" t="s">
        <v>882</v>
      </c>
      <c r="M210" s="12">
        <v>102665011</v>
      </c>
      <c r="N210" s="10">
        <v>334.55</v>
      </c>
      <c r="O210" s="10">
        <f ca="1">IFERROR(__xludf.DUMMYFUNCTION("GOOGLEFINANCE(""BOM:"" &amp; K210,""price"")"),324)</f>
        <v>324</v>
      </c>
      <c r="P210" s="8">
        <f t="shared" ca="1" si="54"/>
        <v>-3.1534897623673626</v>
      </c>
      <c r="Q210" s="12">
        <f t="shared" si="55"/>
        <v>34346579430.050003</v>
      </c>
      <c r="R210" s="13">
        <f t="shared" ca="1" si="56"/>
        <v>33263463564</v>
      </c>
      <c r="S210" s="63"/>
      <c r="T210" s="8">
        <v>538857</v>
      </c>
      <c r="U210" s="8" t="s">
        <v>883</v>
      </c>
      <c r="V210" s="12">
        <v>6988405</v>
      </c>
      <c r="W210" s="8">
        <v>5.15</v>
      </c>
      <c r="X210" s="11">
        <f ca="1">IFERROR(__xludf.DUMMYFUNCTION("GOOGLEFINANCE(""BOM:"" &amp; T210,""price"")"),4.18)</f>
        <v>4.18</v>
      </c>
      <c r="Y210" s="8">
        <f t="shared" ca="1" si="51"/>
        <v>-18.834951456310691</v>
      </c>
      <c r="Z210" s="12">
        <f t="shared" si="52"/>
        <v>35990285.75</v>
      </c>
      <c r="AA210" s="13">
        <f t="shared" ca="1" si="53"/>
        <v>29211532.899999999</v>
      </c>
      <c r="AB210" s="63"/>
      <c r="AC210" s="8">
        <v>515055</v>
      </c>
      <c r="AD210" s="8" t="s">
        <v>884</v>
      </c>
      <c r="AE210" s="12">
        <v>293963701</v>
      </c>
      <c r="AF210" s="8">
        <v>354.55</v>
      </c>
      <c r="AG210" s="8">
        <f ca="1">IFERROR(__xludf.DUMMYFUNCTION("GOOGLEFINANCE(""BOM:"" &amp; AC210,""price"")"),312.3)</f>
        <v>312.3</v>
      </c>
      <c r="AH210" s="8">
        <f t="shared" ca="1" si="50"/>
        <v>-11.916513890847554</v>
      </c>
      <c r="AI210" s="12">
        <f t="shared" si="48"/>
        <v>104224830189.55</v>
      </c>
      <c r="AJ210" s="13">
        <f t="shared" ca="1" si="49"/>
        <v>91804863822.300003</v>
      </c>
    </row>
    <row r="211" spans="1:36" x14ac:dyDescent="0.25">
      <c r="A211" s="63"/>
      <c r="B211" s="8">
        <v>539470</v>
      </c>
      <c r="C211" s="8" t="s">
        <v>885</v>
      </c>
      <c r="D211" s="12">
        <v>198965500</v>
      </c>
      <c r="E211" s="8">
        <v>1.33</v>
      </c>
      <c r="F211" s="8">
        <f ca="1">IFERROR(__xludf.DUMMYFUNCTION("GOOGLEFINANCE(""BOM:"" &amp; B211,""price"")"),1.05)</f>
        <v>1.05</v>
      </c>
      <c r="G211" s="8">
        <f t="shared" ca="1" si="21"/>
        <v>-21.05263157894737</v>
      </c>
      <c r="H211" s="12">
        <f t="shared" si="22"/>
        <v>264624115</v>
      </c>
      <c r="I211" s="13">
        <f t="shared" ca="1" si="23"/>
        <v>208913775</v>
      </c>
      <c r="J211" s="63"/>
      <c r="K211" s="8">
        <v>539255</v>
      </c>
      <c r="L211" s="8" t="s">
        <v>886</v>
      </c>
      <c r="M211" s="12">
        <v>2982492</v>
      </c>
      <c r="N211" s="10">
        <v>662.75</v>
      </c>
      <c r="O211" s="10">
        <f ca="1">IFERROR(__xludf.DUMMYFUNCTION("GOOGLEFINANCE(""BOM:"" &amp; K211,""price"")"),615.95)</f>
        <v>615.95000000000005</v>
      </c>
      <c r="P211" s="8">
        <f t="shared" ca="1" si="54"/>
        <v>-7.0614862316107061</v>
      </c>
      <c r="Q211" s="12">
        <f t="shared" si="55"/>
        <v>1976646573</v>
      </c>
      <c r="R211" s="13">
        <f t="shared" ca="1" si="56"/>
        <v>1837065947.4000001</v>
      </c>
      <c r="S211" s="63"/>
      <c r="T211" s="8">
        <v>512399</v>
      </c>
      <c r="U211" s="8" t="s">
        <v>887</v>
      </c>
      <c r="V211" s="12">
        <v>49978100</v>
      </c>
      <c r="W211" s="8">
        <v>18.63</v>
      </c>
      <c r="X211" s="11">
        <f ca="1">IFERROR(__xludf.DUMMYFUNCTION("GOOGLEFINANCE(""BOM:"" &amp; T211,""price"")"),12.5)</f>
        <v>12.5</v>
      </c>
      <c r="Y211" s="8">
        <f t="shared" ca="1" si="51"/>
        <v>-32.903918411164781</v>
      </c>
      <c r="Z211" s="12">
        <f t="shared" si="52"/>
        <v>931092003</v>
      </c>
      <c r="AA211" s="13">
        <f t="shared" ca="1" si="53"/>
        <v>624726250</v>
      </c>
      <c r="AB211" s="63"/>
      <c r="AC211" s="8">
        <v>500013</v>
      </c>
      <c r="AD211" s="8" t="s">
        <v>888</v>
      </c>
      <c r="AE211" s="12">
        <v>156801416</v>
      </c>
      <c r="AF211" s="8">
        <v>11.07</v>
      </c>
      <c r="AG211" s="8">
        <f ca="1">IFERROR(__xludf.DUMMYFUNCTION("GOOGLEFINANCE(""BOM:"" &amp; AC211,""price"")"),9.03)</f>
        <v>9.0299999999999994</v>
      </c>
      <c r="AH211" s="8">
        <f t="shared" ca="1" si="50"/>
        <v>-18.428184281842828</v>
      </c>
      <c r="AI211" s="12">
        <f t="shared" si="48"/>
        <v>1735791675.1200001</v>
      </c>
      <c r="AJ211" s="13">
        <f t="shared" ca="1" si="49"/>
        <v>1415916786.4799998</v>
      </c>
    </row>
    <row r="212" spans="1:36" x14ac:dyDescent="0.25">
      <c r="A212" s="64"/>
      <c r="B212" s="14">
        <v>511509</v>
      </c>
      <c r="C212" s="14" t="s">
        <v>889</v>
      </c>
      <c r="D212" s="15">
        <v>12644503</v>
      </c>
      <c r="E212" s="8">
        <v>43.16</v>
      </c>
      <c r="F212" s="14">
        <f ca="1">IFERROR(__xludf.DUMMYFUNCTION("GOOGLEFINANCE(""BOM:"" &amp; B212,""price"")"),42.87)</f>
        <v>42.87</v>
      </c>
      <c r="G212" s="14">
        <f t="shared" ca="1" si="21"/>
        <v>-0.67191844300277848</v>
      </c>
      <c r="H212" s="15">
        <f t="shared" si="22"/>
        <v>545736749.4799999</v>
      </c>
      <c r="I212" s="16">
        <f t="shared" ca="1" si="23"/>
        <v>542069843.61000001</v>
      </c>
      <c r="J212" s="63"/>
      <c r="K212" s="8">
        <v>533298</v>
      </c>
      <c r="L212" s="8" t="s">
        <v>890</v>
      </c>
      <c r="M212" s="12">
        <v>48677774</v>
      </c>
      <c r="N212" s="10">
        <v>29</v>
      </c>
      <c r="O212" s="10">
        <f ca="1">IFERROR(__xludf.DUMMYFUNCTION("GOOGLEFINANCE(""BOM:"" &amp; K212,""price"")"),31.89)</f>
        <v>31.89</v>
      </c>
      <c r="P212" s="8">
        <f t="shared" ca="1" si="54"/>
        <v>9.9655172413793132</v>
      </c>
      <c r="Q212" s="12">
        <f t="shared" si="55"/>
        <v>1411655446</v>
      </c>
      <c r="R212" s="13">
        <f t="shared" ca="1" si="56"/>
        <v>1552334212.8600001</v>
      </c>
      <c r="S212" s="63"/>
      <c r="T212" s="8">
        <v>511760</v>
      </c>
      <c r="U212" s="8" t="s">
        <v>891</v>
      </c>
      <c r="V212" s="12">
        <v>126876150</v>
      </c>
      <c r="W212" s="8">
        <v>0.85</v>
      </c>
      <c r="X212" s="11">
        <f ca="1">IFERROR(__xludf.DUMMYFUNCTION("GOOGLEFINANCE(""BOM:"" &amp; T212,""price"")"),0.68)</f>
        <v>0.68</v>
      </c>
      <c r="Y212" s="8">
        <f t="shared" ca="1" si="51"/>
        <v>-19.999999999999993</v>
      </c>
      <c r="Z212" s="12">
        <f t="shared" si="52"/>
        <v>107844727.5</v>
      </c>
      <c r="AA212" s="13">
        <f t="shared" ca="1" si="53"/>
        <v>86275782</v>
      </c>
      <c r="AB212" s="63"/>
      <c r="AC212" s="8">
        <v>523007</v>
      </c>
      <c r="AD212" s="8" t="s">
        <v>892</v>
      </c>
      <c r="AE212" s="12">
        <v>7078680</v>
      </c>
      <c r="AF212" s="8">
        <v>180.75</v>
      </c>
      <c r="AG212" s="8">
        <f ca="1">IFERROR(__xludf.DUMMYFUNCTION("GOOGLEFINANCE(""BOM:"" &amp; AC212,""price"")"),145)</f>
        <v>145</v>
      </c>
      <c r="AH212" s="8">
        <f t="shared" ca="1" si="50"/>
        <v>-19.778699861687414</v>
      </c>
      <c r="AI212" s="12">
        <f t="shared" si="48"/>
        <v>1279471410</v>
      </c>
      <c r="AJ212" s="13">
        <f t="shared" ca="1" si="49"/>
        <v>1026408600</v>
      </c>
    </row>
    <row r="213" spans="1:36" x14ac:dyDescent="0.25">
      <c r="A213" s="62" t="s">
        <v>893</v>
      </c>
      <c r="B213" s="6">
        <v>507526</v>
      </c>
      <c r="C213" s="6" t="s">
        <v>894</v>
      </c>
      <c r="D213" s="7">
        <v>17221300</v>
      </c>
      <c r="E213" s="6">
        <v>545.70000000000005</v>
      </c>
      <c r="F213" s="8">
        <f ca="1">IFERROR(__xludf.DUMMYFUNCTION("GOOGLEFINANCE(""BOM:"" &amp; B213,""price"")"),475.35)</f>
        <v>475.35</v>
      </c>
      <c r="G213" s="8">
        <f t="shared" ca="1" si="21"/>
        <v>-12.891698735568996</v>
      </c>
      <c r="H213" s="7">
        <f t="shared" si="22"/>
        <v>9397663410</v>
      </c>
      <c r="I213" s="9">
        <f t="shared" ca="1" si="23"/>
        <v>8186144955</v>
      </c>
      <c r="J213" s="63"/>
      <c r="K213" s="8">
        <v>532667</v>
      </c>
      <c r="L213" s="8" t="s">
        <v>895</v>
      </c>
      <c r="M213" s="12">
        <v>9788775399</v>
      </c>
      <c r="N213" s="10">
        <v>44.3</v>
      </c>
      <c r="O213" s="10">
        <f ca="1">IFERROR(__xludf.DUMMYFUNCTION("GOOGLEFINANCE(""BOM:"" &amp; K213,""price"")"),40.47)</f>
        <v>40.47</v>
      </c>
      <c r="P213" s="8">
        <f t="shared" ca="1" si="54"/>
        <v>-8.6455981941309226</v>
      </c>
      <c r="Q213" s="12">
        <f t="shared" si="55"/>
        <v>433642750175.69995</v>
      </c>
      <c r="R213" s="13">
        <f t="shared" ca="1" si="56"/>
        <v>396151740397.52997</v>
      </c>
      <c r="S213" s="63"/>
      <c r="T213" s="8">
        <v>538212</v>
      </c>
      <c r="U213" s="8" t="s">
        <v>896</v>
      </c>
      <c r="V213" s="12">
        <v>242097500</v>
      </c>
      <c r="W213" s="8">
        <v>0.8</v>
      </c>
      <c r="X213" s="11">
        <f ca="1">IFERROR(__xludf.DUMMYFUNCTION("GOOGLEFINANCE(""BOM:"" &amp; T213,""price"")"),0.69)</f>
        <v>0.69</v>
      </c>
      <c r="Y213" s="8">
        <f t="shared" ca="1" si="51"/>
        <v>-13.750000000000012</v>
      </c>
      <c r="Z213" s="12">
        <f t="shared" si="52"/>
        <v>193678000</v>
      </c>
      <c r="AA213" s="13">
        <f t="shared" ca="1" si="53"/>
        <v>167047275</v>
      </c>
      <c r="AB213" s="63"/>
      <c r="AC213" s="8">
        <v>507828</v>
      </c>
      <c r="AD213" s="8" t="s">
        <v>897</v>
      </c>
      <c r="AE213" s="12">
        <v>58262873</v>
      </c>
      <c r="AF213" s="8">
        <v>14.18</v>
      </c>
      <c r="AG213" s="8">
        <f ca="1">IFERROR(__xludf.DUMMYFUNCTION("GOOGLEFINANCE(""BOM:"" &amp; AC213,""price"")"),13.32)</f>
        <v>13.32</v>
      </c>
      <c r="AH213" s="8">
        <f t="shared" ca="1" si="50"/>
        <v>-6.0648801128349747</v>
      </c>
      <c r="AI213" s="12">
        <f t="shared" si="48"/>
        <v>826167539.13999999</v>
      </c>
      <c r="AJ213" s="13">
        <f t="shared" ca="1" si="49"/>
        <v>776061468.36000001</v>
      </c>
    </row>
    <row r="214" spans="1:36" x14ac:dyDescent="0.25">
      <c r="A214" s="63"/>
      <c r="B214" s="8">
        <v>531216</v>
      </c>
      <c r="C214" s="8" t="s">
        <v>898</v>
      </c>
      <c r="D214" s="12">
        <v>319366440</v>
      </c>
      <c r="E214" s="8">
        <v>11.05</v>
      </c>
      <c r="F214" s="8">
        <f ca="1">IFERROR(__xludf.DUMMYFUNCTION("GOOGLEFINANCE(""BOM:"" &amp; B214,""price"")"),10.05)</f>
        <v>10.050000000000001</v>
      </c>
      <c r="G214" s="8">
        <f t="shared" ca="1" si="21"/>
        <v>-9.0497737556561084</v>
      </c>
      <c r="H214" s="12">
        <f t="shared" si="22"/>
        <v>3528999162</v>
      </c>
      <c r="I214" s="13">
        <f t="shared" ca="1" si="23"/>
        <v>3209632722</v>
      </c>
      <c r="J214" s="63"/>
      <c r="K214" s="8">
        <v>532051</v>
      </c>
      <c r="L214" s="8" t="s">
        <v>899</v>
      </c>
      <c r="M214" s="12">
        <v>15091117</v>
      </c>
      <c r="N214" s="10">
        <v>1191.5</v>
      </c>
      <c r="O214" s="10">
        <f ca="1">IFERROR(__xludf.DUMMYFUNCTION("GOOGLEFINANCE(""BOM:"" &amp; K214,""price"")"),956)</f>
        <v>956</v>
      </c>
      <c r="P214" s="8">
        <f t="shared" ca="1" si="54"/>
        <v>-19.765002098195552</v>
      </c>
      <c r="Q214" s="12">
        <f t="shared" si="55"/>
        <v>17981065905.5</v>
      </c>
      <c r="R214" s="13">
        <f t="shared" ca="1" si="56"/>
        <v>14427107852</v>
      </c>
      <c r="S214" s="63"/>
      <c r="T214" s="8">
        <v>507952</v>
      </c>
      <c r="U214" s="8" t="s">
        <v>900</v>
      </c>
      <c r="V214" s="12">
        <v>48200</v>
      </c>
      <c r="W214" s="8">
        <v>0</v>
      </c>
      <c r="X214" s="11">
        <f ca="1">IFERROR(__xludf.DUMMYFUNCTION("GOOGLEFINANCE(""BOM:"" &amp; T214,""price"")"),0)</f>
        <v>0</v>
      </c>
      <c r="Y214" s="8">
        <v>0</v>
      </c>
      <c r="Z214" s="12">
        <f t="shared" si="52"/>
        <v>0</v>
      </c>
      <c r="AA214" s="13">
        <f t="shared" ca="1" si="53"/>
        <v>0</v>
      </c>
      <c r="AB214" s="63"/>
      <c r="AC214" s="8">
        <v>501270</v>
      </c>
      <c r="AD214" s="8" t="s">
        <v>901</v>
      </c>
      <c r="AE214" s="12">
        <v>187400</v>
      </c>
      <c r="AF214" s="8">
        <v>1.34</v>
      </c>
      <c r="AG214" s="8">
        <f ca="1">IFERROR(__xludf.DUMMYFUNCTION("GOOGLEFINANCE(""BOM:"" &amp; AC214,""price"")"),1.34)</f>
        <v>1.34</v>
      </c>
      <c r="AH214" s="8">
        <f t="shared" ca="1" si="50"/>
        <v>0</v>
      </c>
      <c r="AI214" s="12">
        <f t="shared" si="48"/>
        <v>251116.00000000003</v>
      </c>
      <c r="AJ214" s="13">
        <f t="shared" ca="1" si="49"/>
        <v>251116.00000000003</v>
      </c>
    </row>
    <row r="215" spans="1:36" x14ac:dyDescent="0.25">
      <c r="A215" s="63"/>
      <c r="B215" s="8">
        <v>533104</v>
      </c>
      <c r="C215" s="8" t="s">
        <v>902</v>
      </c>
      <c r="D215" s="12">
        <v>28800834</v>
      </c>
      <c r="E215" s="8">
        <v>786.55</v>
      </c>
      <c r="F215" s="8">
        <f ca="1">IFERROR(__xludf.DUMMYFUNCTION("GOOGLEFINANCE(""BOM:"" &amp; B215,""price"")"),664.8)</f>
        <v>664.8</v>
      </c>
      <c r="G215" s="8">
        <f t="shared" ca="1" si="21"/>
        <v>-15.478990528256309</v>
      </c>
      <c r="H215" s="12">
        <f t="shared" si="22"/>
        <v>22653295982.699997</v>
      </c>
      <c r="I215" s="13">
        <f t="shared" ca="1" si="23"/>
        <v>19146794443.199997</v>
      </c>
      <c r="J215" s="63"/>
      <c r="K215" s="8">
        <v>533203</v>
      </c>
      <c r="L215" s="8" t="s">
        <v>903</v>
      </c>
      <c r="M215" s="12">
        <v>19499706</v>
      </c>
      <c r="N215" s="10">
        <v>5.87</v>
      </c>
      <c r="O215" s="10">
        <f ca="1">IFERROR(__xludf.DUMMYFUNCTION("GOOGLEFINANCE(""BOM:"" &amp; K215,""price"")"),7.69)</f>
        <v>7.69</v>
      </c>
      <c r="P215" s="8">
        <f t="shared" ca="1" si="54"/>
        <v>31.005110732538334</v>
      </c>
      <c r="Q215" s="12">
        <f t="shared" si="55"/>
        <v>114463274.22</v>
      </c>
      <c r="R215" s="13">
        <f t="shared" ca="1" si="56"/>
        <v>149952739.14000002</v>
      </c>
      <c r="S215" s="63"/>
      <c r="T215" s="8">
        <v>539683</v>
      </c>
      <c r="U215" s="8" t="s">
        <v>904</v>
      </c>
      <c r="V215" s="12">
        <v>684460</v>
      </c>
      <c r="W215" s="8">
        <v>0</v>
      </c>
      <c r="X215" s="11">
        <f ca="1">IFERROR(__xludf.DUMMYFUNCTION("GOOGLEFINANCE(""BOM:"" &amp; T215,""price"")"),0)</f>
        <v>0</v>
      </c>
      <c r="Y215" s="8">
        <v>0</v>
      </c>
      <c r="Z215" s="12">
        <f t="shared" si="52"/>
        <v>0</v>
      </c>
      <c r="AA215" s="13">
        <f t="shared" ca="1" si="53"/>
        <v>0</v>
      </c>
      <c r="AB215" s="63"/>
      <c r="AC215" s="8">
        <v>531381</v>
      </c>
      <c r="AD215" s="8" t="s">
        <v>905</v>
      </c>
      <c r="AE215" s="12">
        <v>8600000</v>
      </c>
      <c r="AF215" s="8">
        <v>124.65</v>
      </c>
      <c r="AG215" s="8">
        <f ca="1">IFERROR(__xludf.DUMMYFUNCTION("GOOGLEFINANCE(""BOM:"" &amp; AC215,""price"")"),120.6)</f>
        <v>120.6</v>
      </c>
      <c r="AH215" s="8">
        <f t="shared" ca="1" si="50"/>
        <v>-3.2490974729241966</v>
      </c>
      <c r="AI215" s="12">
        <f t="shared" si="48"/>
        <v>1071990000</v>
      </c>
      <c r="AJ215" s="13">
        <f t="shared" ca="1" si="49"/>
        <v>1037160000</v>
      </c>
    </row>
    <row r="216" spans="1:36" x14ac:dyDescent="0.25">
      <c r="A216" s="63"/>
      <c r="B216" s="8">
        <v>507488</v>
      </c>
      <c r="C216" s="8" t="s">
        <v>906</v>
      </c>
      <c r="D216" s="12">
        <v>17847543</v>
      </c>
      <c r="E216" s="8">
        <v>615.5</v>
      </c>
      <c r="F216" s="8">
        <f ca="1">IFERROR(__xludf.DUMMYFUNCTION("GOOGLEFINANCE(""BOM:"" &amp; B216,""price"")"),630.45)</f>
        <v>630.45000000000005</v>
      </c>
      <c r="G216" s="8">
        <f t="shared" ca="1" si="21"/>
        <v>2.4289195775792116</v>
      </c>
      <c r="H216" s="12">
        <f t="shared" si="22"/>
        <v>10985162716.5</v>
      </c>
      <c r="I216" s="13">
        <f t="shared" ca="1" si="23"/>
        <v>11251983484.35</v>
      </c>
      <c r="J216" s="63"/>
      <c r="K216" s="8">
        <v>533553</v>
      </c>
      <c r="L216" s="8" t="s">
        <v>907</v>
      </c>
      <c r="M216" s="12">
        <v>31125738</v>
      </c>
      <c r="N216" s="10">
        <v>293.89999999999998</v>
      </c>
      <c r="O216" s="10">
        <f ca="1">IFERROR(__xludf.DUMMYFUNCTION("GOOGLEFINANCE(""BOM:"" &amp; K216,""price"")"),300)</f>
        <v>300</v>
      </c>
      <c r="P216" s="8">
        <f t="shared" ca="1" si="54"/>
        <v>2.0755358965634652</v>
      </c>
      <c r="Q216" s="12">
        <f t="shared" si="55"/>
        <v>9147854398.1999989</v>
      </c>
      <c r="R216" s="13">
        <f t="shared" ca="1" si="56"/>
        <v>9337721400</v>
      </c>
      <c r="S216" s="63"/>
      <c r="T216" s="8">
        <v>531962</v>
      </c>
      <c r="U216" s="8" t="s">
        <v>908</v>
      </c>
      <c r="V216" s="12">
        <v>4916590</v>
      </c>
      <c r="W216" s="8">
        <v>32</v>
      </c>
      <c r="X216" s="11">
        <f ca="1">IFERROR(__xludf.DUMMYFUNCTION("GOOGLEFINANCE(""BOM:"" &amp; T216,""price"")"),27.18)</f>
        <v>27.18</v>
      </c>
      <c r="Y216" s="8">
        <f t="shared" ref="Y216:Y218" ca="1" si="57">((X216-W216)/W216)*100</f>
        <v>-15.0625</v>
      </c>
      <c r="Z216" s="12">
        <f t="shared" si="52"/>
        <v>157330880</v>
      </c>
      <c r="AA216" s="13">
        <f t="shared" ca="1" si="53"/>
        <v>133632916.2</v>
      </c>
      <c r="AB216" s="63"/>
      <c r="AC216" s="8">
        <v>539301</v>
      </c>
      <c r="AD216" s="8" t="s">
        <v>909</v>
      </c>
      <c r="AE216" s="12">
        <v>42206555</v>
      </c>
      <c r="AF216" s="8">
        <v>627.79999999999995</v>
      </c>
      <c r="AG216" s="8">
        <f ca="1">IFERROR(__xludf.DUMMYFUNCTION("GOOGLEFINANCE(""BOM:"" &amp; AC216,""price"")"),695.25)</f>
        <v>695.25</v>
      </c>
      <c r="AH216" s="8">
        <f t="shared" ca="1" si="50"/>
        <v>10.743867473717753</v>
      </c>
      <c r="AI216" s="12">
        <f t="shared" si="48"/>
        <v>26497275228.999996</v>
      </c>
      <c r="AJ216" s="13">
        <f t="shared" ca="1" si="49"/>
        <v>29344107363.75</v>
      </c>
    </row>
    <row r="217" spans="1:36" x14ac:dyDescent="0.25">
      <c r="A217" s="63"/>
      <c r="B217" s="8">
        <v>507438</v>
      </c>
      <c r="C217" s="8" t="s">
        <v>910</v>
      </c>
      <c r="D217" s="12">
        <v>8954965</v>
      </c>
      <c r="E217" s="8">
        <v>468.5</v>
      </c>
      <c r="F217" s="8">
        <f ca="1">IFERROR(__xludf.DUMMYFUNCTION("GOOGLEFINANCE(""BOM:"" &amp; B217,""price"")"),411.5)</f>
        <v>411.5</v>
      </c>
      <c r="G217" s="8">
        <f t="shared" ca="1" si="21"/>
        <v>-12.166488794023479</v>
      </c>
      <c r="H217" s="12">
        <f t="shared" si="22"/>
        <v>4195401102.5</v>
      </c>
      <c r="I217" s="13">
        <f t="shared" ca="1" si="23"/>
        <v>3684968097.5</v>
      </c>
      <c r="J217" s="63"/>
      <c r="K217" s="8">
        <v>500411</v>
      </c>
      <c r="L217" s="8" t="s">
        <v>911</v>
      </c>
      <c r="M217" s="12">
        <v>118972020</v>
      </c>
      <c r="N217" s="10">
        <v>3629.95</v>
      </c>
      <c r="O217" s="10">
        <f ca="1">IFERROR(__xludf.DUMMYFUNCTION("GOOGLEFINANCE(""BOM:"" &amp; K217,""price"")"),4168)</f>
        <v>4168</v>
      </c>
      <c r="P217" s="8">
        <f t="shared" ca="1" si="54"/>
        <v>14.822518216504365</v>
      </c>
      <c r="Q217" s="12">
        <f t="shared" si="55"/>
        <v>431862483999</v>
      </c>
      <c r="R217" s="13">
        <f t="shared" ca="1" si="56"/>
        <v>495875379360</v>
      </c>
      <c r="S217" s="63"/>
      <c r="T217" s="8">
        <v>512463</v>
      </c>
      <c r="U217" s="8" t="s">
        <v>912</v>
      </c>
      <c r="V217" s="12">
        <v>1271783506</v>
      </c>
      <c r="W217" s="8">
        <v>38</v>
      </c>
      <c r="X217" s="11">
        <f ca="1">IFERROR(__xludf.DUMMYFUNCTION("GOOGLEFINANCE(""BOM:"" &amp; T217,""price"")"),27.65)</f>
        <v>27.65</v>
      </c>
      <c r="Y217" s="8">
        <f t="shared" ca="1" si="57"/>
        <v>-27.236842105263158</v>
      </c>
      <c r="Z217" s="12">
        <f t="shared" si="52"/>
        <v>48327773228</v>
      </c>
      <c r="AA217" s="13">
        <f t="shared" ca="1" si="53"/>
        <v>35164813940.900002</v>
      </c>
      <c r="AB217" s="63"/>
      <c r="AC217" s="8">
        <v>523716</v>
      </c>
      <c r="AD217" s="8" t="s">
        <v>913</v>
      </c>
      <c r="AE217" s="12">
        <v>100219748</v>
      </c>
      <c r="AF217" s="8">
        <v>306.14999999999998</v>
      </c>
      <c r="AG217" s="8">
        <f ca="1">IFERROR(__xludf.DUMMYFUNCTION("GOOGLEFINANCE(""BOM:"" &amp; AC217,""price"")"),275)</f>
        <v>275</v>
      </c>
      <c r="AH217" s="8">
        <f t="shared" ca="1" si="50"/>
        <v>-10.174750939082143</v>
      </c>
      <c r="AI217" s="12">
        <f t="shared" si="48"/>
        <v>30682275850.199997</v>
      </c>
      <c r="AJ217" s="13">
        <f t="shared" ca="1" si="49"/>
        <v>27560430700</v>
      </c>
    </row>
    <row r="218" spans="1:36" x14ac:dyDescent="0.25">
      <c r="A218" s="63"/>
      <c r="B218" s="8">
        <v>507155</v>
      </c>
      <c r="C218" s="8" t="s">
        <v>914</v>
      </c>
      <c r="D218" s="12">
        <v>16800976</v>
      </c>
      <c r="E218" s="8">
        <v>198</v>
      </c>
      <c r="F218" s="8">
        <f ca="1">IFERROR(__xludf.DUMMYFUNCTION("GOOGLEFINANCE(""BOM:"" &amp; B218,""price"")"),162.7)</f>
        <v>162.69999999999999</v>
      </c>
      <c r="G218" s="8">
        <f t="shared" ca="1" si="21"/>
        <v>-17.828282828282834</v>
      </c>
      <c r="H218" s="12">
        <f t="shared" si="22"/>
        <v>3326593248</v>
      </c>
      <c r="I218" s="13">
        <f t="shared" ca="1" si="23"/>
        <v>2733518795.1999998</v>
      </c>
      <c r="J218" s="63"/>
      <c r="K218" s="8">
        <v>533655</v>
      </c>
      <c r="L218" s="8" t="s">
        <v>915</v>
      </c>
      <c r="M218" s="12">
        <v>323239138</v>
      </c>
      <c r="N218" s="10">
        <v>491.6</v>
      </c>
      <c r="O218" s="10">
        <f ca="1">IFERROR(__xludf.DUMMYFUNCTION("GOOGLEFINANCE(""BOM:"" &amp; K218,""price"")"),538.2)</f>
        <v>538.20000000000005</v>
      </c>
      <c r="P218" s="8">
        <f t="shared" ca="1" si="54"/>
        <v>9.479251423921891</v>
      </c>
      <c r="Q218" s="12">
        <f t="shared" si="55"/>
        <v>158904360240.80002</v>
      </c>
      <c r="R218" s="13">
        <f t="shared" ca="1" si="56"/>
        <v>173967304071.60001</v>
      </c>
      <c r="S218" s="63"/>
      <c r="T218" s="8">
        <v>508961</v>
      </c>
      <c r="U218" s="8" t="s">
        <v>916</v>
      </c>
      <c r="V218" s="12">
        <v>1239910</v>
      </c>
      <c r="W218" s="8">
        <v>120.05</v>
      </c>
      <c r="X218" s="11">
        <f ca="1">IFERROR(__xludf.DUMMYFUNCTION("GOOGLEFINANCE(""BOM:"" &amp; T218,""price"")"),123.8)</f>
        <v>123.8</v>
      </c>
      <c r="Y218" s="8">
        <f t="shared" ca="1" si="57"/>
        <v>3.1236984589754266</v>
      </c>
      <c r="Z218" s="12">
        <f t="shared" si="52"/>
        <v>148851195.5</v>
      </c>
      <c r="AA218" s="13">
        <f t="shared" ca="1" si="53"/>
        <v>153500858</v>
      </c>
      <c r="AB218" s="63"/>
      <c r="AC218" s="8">
        <v>506194</v>
      </c>
      <c r="AD218" s="8" t="s">
        <v>917</v>
      </c>
      <c r="AE218" s="12">
        <v>41113281</v>
      </c>
      <c r="AF218" s="8">
        <v>346.4</v>
      </c>
      <c r="AG218" s="8">
        <f ca="1">IFERROR(__xludf.DUMMYFUNCTION("GOOGLEFINANCE(""BOM:"" &amp; AC218,""price"")"),328.3)</f>
        <v>328.3</v>
      </c>
      <c r="AH218" s="8">
        <f t="shared" ca="1" si="50"/>
        <v>-5.2251732101616533</v>
      </c>
      <c r="AI218" s="12">
        <f t="shared" si="48"/>
        <v>14241640538.4</v>
      </c>
      <c r="AJ218" s="13">
        <f t="shared" ca="1" si="49"/>
        <v>13497490152.300001</v>
      </c>
    </row>
    <row r="219" spans="1:36" ht="15.75" customHeight="1" x14ac:dyDescent="0.3">
      <c r="A219" s="63"/>
      <c r="B219" s="8">
        <v>507435</v>
      </c>
      <c r="C219" s="8" t="s">
        <v>918</v>
      </c>
      <c r="D219" s="12">
        <v>33660195</v>
      </c>
      <c r="E219" s="8" t="s">
        <v>44</v>
      </c>
      <c r="F219" s="8" t="s">
        <v>44</v>
      </c>
      <c r="G219" s="8"/>
      <c r="H219" s="12"/>
      <c r="I219" s="13"/>
      <c r="J219" s="63"/>
      <c r="K219" s="8">
        <v>533644</v>
      </c>
      <c r="L219" s="8" t="s">
        <v>919</v>
      </c>
      <c r="M219" s="12">
        <v>200289880</v>
      </c>
      <c r="N219" s="10" t="s">
        <v>44</v>
      </c>
      <c r="O219" s="10" t="s">
        <v>44</v>
      </c>
      <c r="P219" s="8"/>
      <c r="Q219" s="12"/>
      <c r="R219" s="13"/>
      <c r="S219" s="63"/>
      <c r="T219" s="8">
        <v>532498</v>
      </c>
      <c r="U219" s="8" t="s">
        <v>920</v>
      </c>
      <c r="V219" s="12">
        <v>66587314</v>
      </c>
      <c r="W219" s="22">
        <v>1923.55</v>
      </c>
      <c r="X219" s="23">
        <f ca="1">IFERROR(__xludf.DUMMYFUNCTION("GOOGLEFINANCE(""BOM:"" &amp; T219,""price"")"),1923.55)</f>
        <v>1923.55</v>
      </c>
      <c r="Y219" s="22">
        <v>0</v>
      </c>
      <c r="Z219" s="24"/>
      <c r="AA219" s="25"/>
      <c r="AB219" s="63"/>
      <c r="AC219" s="8">
        <v>539099</v>
      </c>
      <c r="AD219" s="8" t="s">
        <v>921</v>
      </c>
      <c r="AE219" s="12">
        <v>7499999</v>
      </c>
      <c r="AF219" s="8">
        <v>13</v>
      </c>
      <c r="AG219" s="8">
        <f ca="1">IFERROR(__xludf.DUMMYFUNCTION("GOOGLEFINANCE(""BOM:"" &amp; AC219,""price"")"),12.35)</f>
        <v>12.35</v>
      </c>
      <c r="AH219" s="8">
        <f t="shared" ca="1" si="50"/>
        <v>-5.0000000000000027</v>
      </c>
      <c r="AI219" s="12">
        <f t="shared" si="48"/>
        <v>97499987</v>
      </c>
      <c r="AJ219" s="13">
        <f t="shared" ca="1" si="49"/>
        <v>92624987.649999991</v>
      </c>
    </row>
    <row r="220" spans="1:36" x14ac:dyDescent="0.25">
      <c r="A220" s="63"/>
      <c r="B220" s="8">
        <v>531879</v>
      </c>
      <c r="C220" s="8" t="s">
        <v>922</v>
      </c>
      <c r="D220" s="12">
        <v>13159507</v>
      </c>
      <c r="E220" s="8" t="s">
        <v>60</v>
      </c>
      <c r="F220" s="8" t="s">
        <v>60</v>
      </c>
      <c r="G220" s="8"/>
      <c r="H220" s="12"/>
      <c r="I220" s="13"/>
      <c r="J220" s="63"/>
      <c r="K220" s="8">
        <v>526987</v>
      </c>
      <c r="L220" s="8" t="s">
        <v>923</v>
      </c>
      <c r="M220" s="12">
        <v>556548690</v>
      </c>
      <c r="N220" s="10">
        <v>22.89</v>
      </c>
      <c r="O220" s="10">
        <f ca="1">IFERROR(__xludf.DUMMYFUNCTION("GOOGLEFINANCE(""BOM:"" &amp; K220,""price"")"),18.92)</f>
        <v>18.920000000000002</v>
      </c>
      <c r="P220" s="8">
        <f t="shared" ref="P220:P231" ca="1" si="58">((O220-N220)/N220)*100</f>
        <v>-17.343818261249449</v>
      </c>
      <c r="Q220" s="12">
        <f t="shared" ref="Q220:Q231" si="59">M220*N220</f>
        <v>12739399514.1</v>
      </c>
      <c r="R220" s="13">
        <f t="shared" ref="R220:R231" ca="1" si="60">M220*O220</f>
        <v>10529901214.800001</v>
      </c>
      <c r="S220" s="63"/>
      <c r="T220" s="8">
        <v>541358</v>
      </c>
      <c r="U220" s="8" t="s">
        <v>924</v>
      </c>
      <c r="V220" s="12">
        <v>3135640</v>
      </c>
      <c r="W220" s="8">
        <v>45.76</v>
      </c>
      <c r="X220" s="11">
        <f ca="1">IFERROR(__xludf.DUMMYFUNCTION("GOOGLEFINANCE(""BOM:"" &amp; T220,""price"")"),61.8)</f>
        <v>61.8</v>
      </c>
      <c r="Y220" s="8">
        <f t="shared" ref="Y220:Y224" ca="1" si="61">((X220-W220)/W220)*100</f>
        <v>35.052447552447553</v>
      </c>
      <c r="Z220" s="12">
        <f t="shared" ref="Z220:Z293" si="62">V220*W220</f>
        <v>143486886.40000001</v>
      </c>
      <c r="AA220" s="13">
        <f t="shared" ref="AA220:AA293" ca="1" si="63">V220*X220</f>
        <v>193782552</v>
      </c>
      <c r="AB220" s="63"/>
      <c r="AC220" s="8">
        <v>538576</v>
      </c>
      <c r="AD220" s="8" t="s">
        <v>925</v>
      </c>
      <c r="AE220" s="12">
        <v>2029600</v>
      </c>
      <c r="AF220" s="8">
        <v>114</v>
      </c>
      <c r="AG220" s="8">
        <f ca="1">IFERROR(__xludf.DUMMYFUNCTION("GOOGLEFINANCE(""BOM:"" &amp; AC220,""price"")"),114)</f>
        <v>114</v>
      </c>
      <c r="AH220" s="8">
        <f t="shared" ca="1" si="50"/>
        <v>0</v>
      </c>
      <c r="AI220" s="12">
        <f t="shared" si="48"/>
        <v>231374400</v>
      </c>
      <c r="AJ220" s="13">
        <f t="shared" ca="1" si="49"/>
        <v>231374400</v>
      </c>
    </row>
    <row r="221" spans="1:36" x14ac:dyDescent="0.25">
      <c r="A221" s="63"/>
      <c r="B221" s="8">
        <v>532497</v>
      </c>
      <c r="C221" s="8" t="s">
        <v>926</v>
      </c>
      <c r="D221" s="12">
        <v>132609042</v>
      </c>
      <c r="E221" s="8">
        <v>1594.95</v>
      </c>
      <c r="F221" s="8">
        <f ca="1">IFERROR(__xludf.DUMMYFUNCTION("GOOGLEFINANCE(""BOM:"" &amp; B221,""price"")"),1726.45)</f>
        <v>1726.45</v>
      </c>
      <c r="G221" s="8">
        <f t="shared" ref="G221:G240" ca="1" si="64">((F221-E221)/E221)*100</f>
        <v>8.2447725634032416</v>
      </c>
      <c r="H221" s="12">
        <f t="shared" ref="H221:H240" si="65">D221*E221</f>
        <v>211504791537.89999</v>
      </c>
      <c r="I221" s="13">
        <f t="shared" ref="I221:I240" ca="1" si="66">D221*F221</f>
        <v>228942880560.89999</v>
      </c>
      <c r="J221" s="63"/>
      <c r="K221" s="8">
        <v>522091</v>
      </c>
      <c r="L221" s="8" t="s">
        <v>927</v>
      </c>
      <c r="M221" s="12">
        <v>5173947</v>
      </c>
      <c r="N221" s="10">
        <v>274.35000000000002</v>
      </c>
      <c r="O221" s="10">
        <f ca="1">IFERROR(__xludf.DUMMYFUNCTION("GOOGLEFINANCE(""BOM:"" &amp; K221,""price"")"),153.05)</f>
        <v>153.05000000000001</v>
      </c>
      <c r="P221" s="8">
        <f t="shared" ca="1" si="58"/>
        <v>-44.213595771824309</v>
      </c>
      <c r="Q221" s="12">
        <f t="shared" si="59"/>
        <v>1419472359.45</v>
      </c>
      <c r="R221" s="13">
        <f t="shared" ca="1" si="60"/>
        <v>791872588.35000002</v>
      </c>
      <c r="S221" s="63"/>
      <c r="T221" s="8">
        <v>530439</v>
      </c>
      <c r="U221" s="8" t="s">
        <v>928</v>
      </c>
      <c r="V221" s="12">
        <v>7715295</v>
      </c>
      <c r="W221" s="8">
        <v>10.45</v>
      </c>
      <c r="X221" s="11">
        <f ca="1">IFERROR(__xludf.DUMMYFUNCTION("GOOGLEFINANCE(""BOM:"" &amp; T221,""price"")"),10.01)</f>
        <v>10.01</v>
      </c>
      <c r="Y221" s="8">
        <f t="shared" ca="1" si="61"/>
        <v>-4.210526315789469</v>
      </c>
      <c r="Z221" s="12">
        <f t="shared" si="62"/>
        <v>80624832.75</v>
      </c>
      <c r="AA221" s="13">
        <f t="shared" ca="1" si="63"/>
        <v>77230102.950000003</v>
      </c>
      <c r="AB221" s="63"/>
      <c r="AC221" s="8">
        <v>514215</v>
      </c>
      <c r="AD221" s="8" t="s">
        <v>929</v>
      </c>
      <c r="AE221" s="12">
        <v>20870445</v>
      </c>
      <c r="AF221" s="8">
        <v>167.25</v>
      </c>
      <c r="AG221" s="8">
        <f ca="1">IFERROR(__xludf.DUMMYFUNCTION("GOOGLEFINANCE(""BOM:"" &amp; AC221,""price"")"),146.35)</f>
        <v>146.35</v>
      </c>
      <c r="AH221" s="8">
        <f t="shared" ca="1" si="50"/>
        <v>-12.496263079222723</v>
      </c>
      <c r="AI221" s="12">
        <f t="shared" si="48"/>
        <v>3490581926.25</v>
      </c>
      <c r="AJ221" s="13">
        <f t="shared" ca="1" si="49"/>
        <v>3054389625.75</v>
      </c>
    </row>
    <row r="222" spans="1:36" x14ac:dyDescent="0.25">
      <c r="A222" s="63"/>
      <c r="B222" s="8">
        <v>533294</v>
      </c>
      <c r="C222" s="8" t="s">
        <v>930</v>
      </c>
      <c r="D222" s="12">
        <v>23971448</v>
      </c>
      <c r="E222" s="8">
        <v>23.96</v>
      </c>
      <c r="F222" s="8">
        <f ca="1">IFERROR(__xludf.DUMMYFUNCTION("GOOGLEFINANCE(""BOM:"" &amp; B222,""price"")"),20.18)</f>
        <v>20.18</v>
      </c>
      <c r="G222" s="8">
        <f t="shared" ca="1" si="64"/>
        <v>-15.776293823038401</v>
      </c>
      <c r="H222" s="12">
        <f t="shared" si="65"/>
        <v>574355894.08000004</v>
      </c>
      <c r="I222" s="13">
        <f t="shared" ca="1" si="66"/>
        <v>483743820.63999999</v>
      </c>
      <c r="J222" s="64"/>
      <c r="K222" s="14">
        <v>532757</v>
      </c>
      <c r="L222" s="14" t="s">
        <v>931</v>
      </c>
      <c r="M222" s="15">
        <v>10117117</v>
      </c>
      <c r="N222" s="17">
        <v>8675</v>
      </c>
      <c r="O222" s="17">
        <f ca="1">IFERROR(__xludf.DUMMYFUNCTION("GOOGLEFINANCE(""BOM:"" &amp; K222,""price"")"),9497.25)</f>
        <v>9497.25</v>
      </c>
      <c r="P222" s="14">
        <f t="shared" ca="1" si="58"/>
        <v>9.478386167146974</v>
      </c>
      <c r="Q222" s="15">
        <f t="shared" si="59"/>
        <v>87765989975</v>
      </c>
      <c r="R222" s="16">
        <f t="shared" ca="1" si="60"/>
        <v>96084789428.25</v>
      </c>
      <c r="S222" s="63"/>
      <c r="T222" s="8">
        <v>512197</v>
      </c>
      <c r="U222" s="8" t="s">
        <v>932</v>
      </c>
      <c r="V222" s="12">
        <v>2673100</v>
      </c>
      <c r="W222" s="8">
        <v>4.43</v>
      </c>
      <c r="X222" s="11">
        <f ca="1">IFERROR(__xludf.DUMMYFUNCTION("GOOGLEFINANCE(""BOM:"" &amp; T222,""price"")"),3.97)</f>
        <v>3.97</v>
      </c>
      <c r="Y222" s="8">
        <f t="shared" ca="1" si="61"/>
        <v>-10.383747178329561</v>
      </c>
      <c r="Z222" s="12">
        <f t="shared" si="62"/>
        <v>11841833</v>
      </c>
      <c r="AA222" s="13">
        <f t="shared" ca="1" si="63"/>
        <v>10612207</v>
      </c>
      <c r="AB222" s="63"/>
      <c r="AC222" s="8">
        <v>502216</v>
      </c>
      <c r="AD222" s="8" t="s">
        <v>933</v>
      </c>
      <c r="AE222" s="12">
        <v>78850</v>
      </c>
      <c r="AF222" s="8" t="s">
        <v>44</v>
      </c>
      <c r="AG222" s="8" t="s">
        <v>44</v>
      </c>
      <c r="AH222" s="8"/>
      <c r="AI222" s="12"/>
      <c r="AJ222" s="13"/>
    </row>
    <row r="223" spans="1:36" x14ac:dyDescent="0.25">
      <c r="A223" s="63"/>
      <c r="B223" s="8">
        <v>507514</v>
      </c>
      <c r="C223" s="8" t="s">
        <v>934</v>
      </c>
      <c r="D223" s="12">
        <v>67930524</v>
      </c>
      <c r="E223" s="8">
        <v>270.95</v>
      </c>
      <c r="F223" s="8">
        <f ca="1">IFERROR(__xludf.DUMMYFUNCTION("GOOGLEFINANCE(""BOM:"" &amp; B223,""price"")"),263.1)</f>
        <v>263.10000000000002</v>
      </c>
      <c r="G223" s="8">
        <f t="shared" ca="1" si="64"/>
        <v>-2.8972135080272987</v>
      </c>
      <c r="H223" s="12">
        <f t="shared" si="65"/>
        <v>18405775477.799999</v>
      </c>
      <c r="I223" s="13">
        <f t="shared" ca="1" si="66"/>
        <v>17872520864.400002</v>
      </c>
      <c r="J223" s="62" t="s">
        <v>935</v>
      </c>
      <c r="K223" s="6">
        <v>532978</v>
      </c>
      <c r="L223" s="6" t="s">
        <v>936</v>
      </c>
      <c r="M223" s="7">
        <v>1501210225</v>
      </c>
      <c r="N223" s="10">
        <v>1613.55</v>
      </c>
      <c r="O223" s="10">
        <f ca="1">IFERROR(__xludf.DUMMYFUNCTION("GOOGLEFINANCE(""BOM:"" &amp; K223,""price"")"),1643.05)</f>
        <v>1643.05</v>
      </c>
      <c r="P223" s="8">
        <f t="shared" ca="1" si="58"/>
        <v>1.8282668649871401</v>
      </c>
      <c r="Q223" s="7">
        <f t="shared" si="59"/>
        <v>2422277758548.75</v>
      </c>
      <c r="R223" s="9">
        <f t="shared" ca="1" si="60"/>
        <v>2466563460186.25</v>
      </c>
      <c r="S223" s="63"/>
      <c r="T223" s="8">
        <v>531169</v>
      </c>
      <c r="U223" s="8" t="s">
        <v>937</v>
      </c>
      <c r="V223" s="12">
        <v>6651662</v>
      </c>
      <c r="W223" s="8">
        <v>100</v>
      </c>
      <c r="X223" s="11">
        <f ca="1">IFERROR(__xludf.DUMMYFUNCTION("GOOGLEFINANCE(""BOM:"" &amp; T223,""price"")"),85.25)</f>
        <v>85.25</v>
      </c>
      <c r="Y223" s="8">
        <f t="shared" ca="1" si="61"/>
        <v>-14.75</v>
      </c>
      <c r="Z223" s="12">
        <f t="shared" si="62"/>
        <v>665166200</v>
      </c>
      <c r="AA223" s="13">
        <f t="shared" ca="1" si="63"/>
        <v>567054185.5</v>
      </c>
      <c r="AB223" s="63"/>
      <c r="AC223" s="8">
        <v>532929</v>
      </c>
      <c r="AD223" s="8" t="s">
        <v>938</v>
      </c>
      <c r="AE223" s="12">
        <v>230423719</v>
      </c>
      <c r="AF223" s="8">
        <v>1003</v>
      </c>
      <c r="AG223" s="8">
        <f ca="1">IFERROR(__xludf.DUMMYFUNCTION("GOOGLEFINANCE(""BOM:"" &amp; AC223,""price"")"),934.15)</f>
        <v>934.15</v>
      </c>
      <c r="AH223" s="8">
        <f t="shared" ref="AH223:AH225" ca="1" si="67">((AG223-AF223)/AF223)*100</f>
        <v>-6.86440677966102</v>
      </c>
      <c r="AI223" s="12">
        <f t="shared" ref="AI223:AI225" si="68">AE223*AF223</f>
        <v>231114990157</v>
      </c>
      <c r="AJ223" s="13">
        <f t="shared" ref="AJ223:AJ225" ca="1" si="69">AE223*AG223</f>
        <v>215250317103.85001</v>
      </c>
    </row>
    <row r="224" spans="1:36" x14ac:dyDescent="0.25">
      <c r="A224" s="63"/>
      <c r="B224" s="8">
        <v>531635</v>
      </c>
      <c r="C224" s="8" t="s">
        <v>939</v>
      </c>
      <c r="D224" s="12">
        <v>3615440</v>
      </c>
      <c r="E224" s="8">
        <v>78.09</v>
      </c>
      <c r="F224" s="8">
        <f ca="1">IFERROR(__xludf.DUMMYFUNCTION("GOOGLEFINANCE(""BOM:"" &amp; B224,""price"")"),63.63)</f>
        <v>63.63</v>
      </c>
      <c r="G224" s="8">
        <f t="shared" ca="1" si="64"/>
        <v>-18.517095658855169</v>
      </c>
      <c r="H224" s="12">
        <f t="shared" si="65"/>
        <v>282329709.60000002</v>
      </c>
      <c r="I224" s="13">
        <f t="shared" ca="1" si="66"/>
        <v>230050447.20000002</v>
      </c>
      <c r="J224" s="63"/>
      <c r="K224" s="8">
        <v>500490</v>
      </c>
      <c r="L224" s="8" t="s">
        <v>940</v>
      </c>
      <c r="M224" s="12">
        <v>102888244</v>
      </c>
      <c r="N224" s="10">
        <v>8950</v>
      </c>
      <c r="O224" s="10">
        <f ca="1">IFERROR(__xludf.DUMMYFUNCTION("GOOGLEFINANCE(""BOM:"" &amp; K224,""price"")"),8278)</f>
        <v>8278</v>
      </c>
      <c r="P224" s="8">
        <f t="shared" ca="1" si="58"/>
        <v>-7.5083798882681556</v>
      </c>
      <c r="Q224" s="12">
        <f t="shared" si="59"/>
        <v>920849783800</v>
      </c>
      <c r="R224" s="13">
        <f t="shared" ca="1" si="60"/>
        <v>851708883832</v>
      </c>
      <c r="S224" s="63"/>
      <c r="T224" s="8">
        <v>539494</v>
      </c>
      <c r="U224" s="8" t="s">
        <v>941</v>
      </c>
      <c r="V224" s="12">
        <v>28875000</v>
      </c>
      <c r="W224" s="8">
        <v>14.75</v>
      </c>
      <c r="X224" s="11">
        <f ca="1">IFERROR(__xludf.DUMMYFUNCTION("GOOGLEFINANCE(""BOM:"" &amp; T224,""price"")"),13.76)</f>
        <v>13.76</v>
      </c>
      <c r="Y224" s="8">
        <f t="shared" ca="1" si="61"/>
        <v>-6.7118644067796618</v>
      </c>
      <c r="Z224" s="12">
        <f t="shared" si="62"/>
        <v>425906250</v>
      </c>
      <c r="AA224" s="13">
        <f t="shared" ca="1" si="63"/>
        <v>397320000</v>
      </c>
      <c r="AB224" s="63"/>
      <c r="AC224" s="8">
        <v>543543</v>
      </c>
      <c r="AD224" s="8" t="s">
        <v>942</v>
      </c>
      <c r="AE224" s="12">
        <v>929000</v>
      </c>
      <c r="AF224" s="8">
        <v>169.9</v>
      </c>
      <c r="AG224" s="8">
        <f ca="1">IFERROR(__xludf.DUMMYFUNCTION("GOOGLEFINANCE(""BOM:"" &amp; AC224,""price"")"),161)</f>
        <v>161</v>
      </c>
      <c r="AH224" s="8">
        <f t="shared" ca="1" si="67"/>
        <v>-5.2383755150088325</v>
      </c>
      <c r="AI224" s="12">
        <f t="shared" si="68"/>
        <v>157837100</v>
      </c>
      <c r="AJ224" s="13">
        <f t="shared" ca="1" si="69"/>
        <v>149569000</v>
      </c>
    </row>
    <row r="225" spans="1:36" x14ac:dyDescent="0.25">
      <c r="A225" s="63"/>
      <c r="B225" s="8">
        <v>507205</v>
      </c>
      <c r="C225" s="8" t="s">
        <v>943</v>
      </c>
      <c r="D225" s="12">
        <v>157854779</v>
      </c>
      <c r="E225" s="8">
        <v>216.55</v>
      </c>
      <c r="F225" s="8">
        <f ca="1">IFERROR(__xludf.DUMMYFUNCTION("GOOGLEFINANCE(""BOM:"" &amp; B225,""price"")"),212.4)</f>
        <v>212.4</v>
      </c>
      <c r="G225" s="8">
        <f t="shared" ca="1" si="64"/>
        <v>-1.9164165319787603</v>
      </c>
      <c r="H225" s="12">
        <f t="shared" si="65"/>
        <v>34183452392.450001</v>
      </c>
      <c r="I225" s="13">
        <f t="shared" ca="1" si="66"/>
        <v>33528355059.600002</v>
      </c>
      <c r="J225" s="63"/>
      <c r="K225" s="8">
        <v>533303</v>
      </c>
      <c r="L225" s="8" t="s">
        <v>944</v>
      </c>
      <c r="M225" s="12">
        <v>37120690</v>
      </c>
      <c r="N225" s="10">
        <v>630.70000000000005</v>
      </c>
      <c r="O225" s="10">
        <f ca="1">IFERROR(__xludf.DUMMYFUNCTION("GOOGLEFINANCE(""BOM:"" &amp; K225,""price"")"),517.75)</f>
        <v>517.75</v>
      </c>
      <c r="P225" s="8">
        <f t="shared" ca="1" si="58"/>
        <v>-17.908672903123517</v>
      </c>
      <c r="Q225" s="12">
        <f t="shared" si="59"/>
        <v>23412019183</v>
      </c>
      <c r="R225" s="13">
        <f t="shared" ca="1" si="60"/>
        <v>19219237247.5</v>
      </c>
      <c r="S225" s="63"/>
      <c r="T225" s="8">
        <v>532138</v>
      </c>
      <c r="U225" s="8" t="s">
        <v>945</v>
      </c>
      <c r="V225" s="12">
        <v>5786600</v>
      </c>
      <c r="W225" s="8">
        <v>0</v>
      </c>
      <c r="X225" s="11">
        <f ca="1">IFERROR(__xludf.DUMMYFUNCTION("GOOGLEFINANCE(""BOM:"" &amp; T225,""price"")"),0)</f>
        <v>0</v>
      </c>
      <c r="Y225" s="8">
        <v>0</v>
      </c>
      <c r="Z225" s="12">
        <f t="shared" si="62"/>
        <v>0</v>
      </c>
      <c r="AA225" s="13">
        <f t="shared" ca="1" si="63"/>
        <v>0</v>
      </c>
      <c r="AB225" s="63"/>
      <c r="AC225" s="8">
        <v>532123</v>
      </c>
      <c r="AD225" s="8" t="s">
        <v>946</v>
      </c>
      <c r="AE225" s="12">
        <v>82521127</v>
      </c>
      <c r="AF225" s="8">
        <v>12.79</v>
      </c>
      <c r="AG225" s="8">
        <f ca="1">IFERROR(__xludf.DUMMYFUNCTION("GOOGLEFINANCE(""BOM:"" &amp; AC225,""price"")"),9.78)</f>
        <v>9.7799999999999994</v>
      </c>
      <c r="AH225" s="8">
        <f t="shared" ca="1" si="67"/>
        <v>-23.534010946051602</v>
      </c>
      <c r="AI225" s="12">
        <f t="shared" si="68"/>
        <v>1055445214.3299999</v>
      </c>
      <c r="AJ225" s="13">
        <f t="shared" ca="1" si="69"/>
        <v>807056622.05999994</v>
      </c>
    </row>
    <row r="226" spans="1:36" x14ac:dyDescent="0.25">
      <c r="A226" s="63"/>
      <c r="B226" s="8">
        <v>532478</v>
      </c>
      <c r="C226" s="8" t="s">
        <v>947</v>
      </c>
      <c r="D226" s="12">
        <v>263199201</v>
      </c>
      <c r="E226" s="8">
        <v>1693.05</v>
      </c>
      <c r="F226" s="8">
        <f ca="1">IFERROR(__xludf.DUMMYFUNCTION("GOOGLEFINANCE(""BOM:"" &amp; B226,""price"")"),1736.9)</f>
        <v>1736.9</v>
      </c>
      <c r="G226" s="8">
        <f t="shared" ca="1" si="64"/>
        <v>2.5900002953250132</v>
      </c>
      <c r="H226" s="12">
        <f t="shared" si="65"/>
        <v>445609407253.04999</v>
      </c>
      <c r="I226" s="13">
        <f t="shared" ca="1" si="66"/>
        <v>457150692216.90002</v>
      </c>
      <c r="J226" s="63"/>
      <c r="K226" s="8">
        <v>531358</v>
      </c>
      <c r="L226" s="8" t="s">
        <v>948</v>
      </c>
      <c r="M226" s="12">
        <v>198813200</v>
      </c>
      <c r="N226" s="10">
        <v>273.14999999999998</v>
      </c>
      <c r="O226" s="10">
        <f ca="1">IFERROR(__xludf.DUMMYFUNCTION("GOOGLEFINANCE(""BOM:"" &amp; K226,""price"")"),274)</f>
        <v>274</v>
      </c>
      <c r="P226" s="8">
        <f t="shared" ca="1" si="58"/>
        <v>0.3111843309536968</v>
      </c>
      <c r="Q226" s="12">
        <f t="shared" si="59"/>
        <v>54305825579.999992</v>
      </c>
      <c r="R226" s="13">
        <f t="shared" ca="1" si="60"/>
        <v>54474816800</v>
      </c>
      <c r="S226" s="63"/>
      <c r="T226" s="8">
        <v>511571</v>
      </c>
      <c r="U226" s="8" t="s">
        <v>949</v>
      </c>
      <c r="V226" s="12">
        <v>8915451</v>
      </c>
      <c r="W226" s="8">
        <v>112.65</v>
      </c>
      <c r="X226" s="11">
        <f ca="1">IFERROR(__xludf.DUMMYFUNCTION("GOOGLEFINANCE(""BOM:"" &amp; T226,""price"")"),97)</f>
        <v>97</v>
      </c>
      <c r="Y226" s="8">
        <f t="shared" ref="Y226:Y269" ca="1" si="70">((X226-W226)/W226)*100</f>
        <v>-13.892587660896586</v>
      </c>
      <c r="Z226" s="12">
        <f t="shared" si="62"/>
        <v>1004325555.1500001</v>
      </c>
      <c r="AA226" s="13">
        <f t="shared" ca="1" si="63"/>
        <v>864798747</v>
      </c>
      <c r="AB226" s="63"/>
      <c r="AC226" s="8">
        <v>532902</v>
      </c>
      <c r="AD226" s="8" t="s">
        <v>950</v>
      </c>
      <c r="AE226" s="12">
        <v>398177782</v>
      </c>
      <c r="AF226" s="8" t="s">
        <v>44</v>
      </c>
      <c r="AG226" s="8" t="s">
        <v>44</v>
      </c>
      <c r="AH226" s="8"/>
      <c r="AI226" s="12"/>
      <c r="AJ226" s="13"/>
    </row>
    <row r="227" spans="1:36" x14ac:dyDescent="0.25">
      <c r="A227" s="63"/>
      <c r="B227" s="8">
        <v>532432</v>
      </c>
      <c r="C227" s="8" t="s">
        <v>951</v>
      </c>
      <c r="D227" s="12">
        <v>722846195</v>
      </c>
      <c r="E227" s="8">
        <v>1166.5999999999999</v>
      </c>
      <c r="F227" s="8">
        <f ca="1">IFERROR(__xludf.DUMMYFUNCTION("GOOGLEFINANCE(""BOM:"" &amp; B227,""price"")"),1134.5)</f>
        <v>1134.5</v>
      </c>
      <c r="G227" s="8">
        <f t="shared" ca="1" si="64"/>
        <v>-2.7515858049031299</v>
      </c>
      <c r="H227" s="12">
        <f t="shared" si="65"/>
        <v>843272371086.99988</v>
      </c>
      <c r="I227" s="13">
        <f t="shared" ca="1" si="66"/>
        <v>820069008227.5</v>
      </c>
      <c r="J227" s="63"/>
      <c r="K227" s="8">
        <v>532922</v>
      </c>
      <c r="L227" s="8" t="s">
        <v>952</v>
      </c>
      <c r="M227" s="12">
        <v>942517355</v>
      </c>
      <c r="N227" s="10">
        <v>75.989999999999995</v>
      </c>
      <c r="O227" s="10">
        <f ca="1">IFERROR(__xludf.DUMMYFUNCTION("GOOGLEFINANCE(""BOM:"" &amp; K227,""price"")"),63.61)</f>
        <v>63.61</v>
      </c>
      <c r="P227" s="8">
        <f t="shared" ca="1" si="58"/>
        <v>-16.291617318068159</v>
      </c>
      <c r="Q227" s="12">
        <f t="shared" si="59"/>
        <v>71621893806.449997</v>
      </c>
      <c r="R227" s="13">
        <f t="shared" ca="1" si="60"/>
        <v>59953528951.550003</v>
      </c>
      <c r="S227" s="63"/>
      <c r="T227" s="8">
        <v>538943</v>
      </c>
      <c r="U227" s="8" t="s">
        <v>953</v>
      </c>
      <c r="V227" s="12">
        <v>14633683</v>
      </c>
      <c r="W227" s="8">
        <v>100.9</v>
      </c>
      <c r="X227" s="11">
        <f ca="1">IFERROR(__xludf.DUMMYFUNCTION("GOOGLEFINANCE(""BOM:"" &amp; T227,""price"")"),92)</f>
        <v>92</v>
      </c>
      <c r="Y227" s="8">
        <f t="shared" ca="1" si="70"/>
        <v>-8.8206144697720568</v>
      </c>
      <c r="Z227" s="12">
        <f t="shared" si="62"/>
        <v>1476538614.7</v>
      </c>
      <c r="AA227" s="13">
        <f t="shared" ca="1" si="63"/>
        <v>1346298836</v>
      </c>
      <c r="AB227" s="63"/>
      <c r="AC227" s="8">
        <v>532807</v>
      </c>
      <c r="AD227" s="8" t="s">
        <v>954</v>
      </c>
      <c r="AE227" s="12">
        <v>31566282</v>
      </c>
      <c r="AF227" s="8">
        <v>127</v>
      </c>
      <c r="AG227" s="8">
        <f ca="1">IFERROR(__xludf.DUMMYFUNCTION("GOOGLEFINANCE(""BOM:"" &amp; AC227,""price"")"),121.85)</f>
        <v>121.85</v>
      </c>
      <c r="AH227" s="8">
        <f t="shared" ref="AH227:AH233" ca="1" si="71">((AG227-AF227)/AF227)*100</f>
        <v>-4.0551181102362248</v>
      </c>
      <c r="AI227" s="12">
        <f t="shared" ref="AI227:AI233" si="72">AE227*AF227</f>
        <v>4008917814</v>
      </c>
      <c r="AJ227" s="13">
        <f t="shared" ref="AJ227:AJ233" ca="1" si="73">AE227*AG227</f>
        <v>3846351461.6999998</v>
      </c>
    </row>
    <row r="228" spans="1:36" x14ac:dyDescent="0.25">
      <c r="A228" s="64"/>
      <c r="B228" s="14">
        <v>526471</v>
      </c>
      <c r="C228" s="14" t="s">
        <v>955</v>
      </c>
      <c r="D228" s="15">
        <v>16119450</v>
      </c>
      <c r="E228" s="8">
        <v>22.4</v>
      </c>
      <c r="F228" s="14">
        <f ca="1">IFERROR(__xludf.DUMMYFUNCTION("GOOGLEFINANCE(""BOM:"" &amp; B228,""price"")"),23.62)</f>
        <v>23.62</v>
      </c>
      <c r="G228" s="14">
        <f t="shared" ca="1" si="64"/>
        <v>5.4464285714285827</v>
      </c>
      <c r="H228" s="15">
        <f t="shared" si="65"/>
        <v>361075680</v>
      </c>
      <c r="I228" s="16">
        <f t="shared" ca="1" si="66"/>
        <v>380741409</v>
      </c>
      <c r="J228" s="63"/>
      <c r="K228" s="8">
        <v>500173</v>
      </c>
      <c r="L228" s="8" t="s">
        <v>956</v>
      </c>
      <c r="M228" s="12">
        <v>109114900</v>
      </c>
      <c r="N228" s="10">
        <v>84</v>
      </c>
      <c r="O228" s="10">
        <f ca="1">IFERROR(__xludf.DUMMYFUNCTION("GOOGLEFINANCE(""BOM:"" &amp; K228,""price"")"),67.7)</f>
        <v>67.7</v>
      </c>
      <c r="P228" s="8">
        <f t="shared" ca="1" si="58"/>
        <v>-19.404761904761902</v>
      </c>
      <c r="Q228" s="12">
        <f t="shared" si="59"/>
        <v>9165651600</v>
      </c>
      <c r="R228" s="13">
        <f t="shared" ca="1" si="60"/>
        <v>7387078730</v>
      </c>
      <c r="S228" s="63"/>
      <c r="T228" s="8">
        <v>542759</v>
      </c>
      <c r="U228" s="8" t="s">
        <v>957</v>
      </c>
      <c r="V228" s="12">
        <v>70947269</v>
      </c>
      <c r="W228" s="8">
        <v>918</v>
      </c>
      <c r="X228" s="11">
        <f ca="1">IFERROR(__xludf.DUMMYFUNCTION("GOOGLEFINANCE(""BOM:"" &amp; T228,""price"")"),867.75)</f>
        <v>867.75</v>
      </c>
      <c r="Y228" s="8">
        <f t="shared" ca="1" si="70"/>
        <v>-5.4738562091503269</v>
      </c>
      <c r="Z228" s="12">
        <f t="shared" si="62"/>
        <v>65129592942</v>
      </c>
      <c r="AA228" s="13">
        <f t="shared" ca="1" si="63"/>
        <v>61564492674.75</v>
      </c>
      <c r="AB228" s="63"/>
      <c r="AC228" s="8">
        <v>502445</v>
      </c>
      <c r="AD228" s="8" t="s">
        <v>958</v>
      </c>
      <c r="AE228" s="12">
        <v>7361770</v>
      </c>
      <c r="AF228" s="8">
        <v>30.24</v>
      </c>
      <c r="AG228" s="8">
        <f ca="1">IFERROR(__xludf.DUMMYFUNCTION("GOOGLEFINANCE(""BOM:"" &amp; AC228,""price"")"),27.64)</f>
        <v>27.64</v>
      </c>
      <c r="AH228" s="8">
        <f t="shared" ca="1" si="71"/>
        <v>-8.597883597883591</v>
      </c>
      <c r="AI228" s="12">
        <f t="shared" si="72"/>
        <v>222619924.79999998</v>
      </c>
      <c r="AJ228" s="13">
        <f t="shared" ca="1" si="73"/>
        <v>203479322.80000001</v>
      </c>
    </row>
    <row r="229" spans="1:36" x14ac:dyDescent="0.25">
      <c r="A229" s="62" t="s">
        <v>959</v>
      </c>
      <c r="B229" s="6">
        <v>532633</v>
      </c>
      <c r="C229" s="6" t="s">
        <v>960</v>
      </c>
      <c r="D229" s="7">
        <v>15238232</v>
      </c>
      <c r="E229" s="6">
        <v>815.8</v>
      </c>
      <c r="F229" s="8">
        <f ca="1">IFERROR(__xludf.DUMMYFUNCTION("GOOGLEFINANCE(""BOM:"" &amp; B229,""price"")"),728)</f>
        <v>728</v>
      </c>
      <c r="G229" s="8">
        <f t="shared" ca="1" si="64"/>
        <v>-10.762441774944834</v>
      </c>
      <c r="H229" s="7">
        <f t="shared" si="65"/>
        <v>12431349665.599998</v>
      </c>
      <c r="I229" s="9">
        <f t="shared" ca="1" si="66"/>
        <v>11093432896</v>
      </c>
      <c r="J229" s="63"/>
      <c r="K229" s="8">
        <v>532659</v>
      </c>
      <c r="L229" s="8" t="s">
        <v>961</v>
      </c>
      <c r="M229" s="12">
        <v>1596455383</v>
      </c>
      <c r="N229" s="10">
        <v>117.6</v>
      </c>
      <c r="O229" s="10">
        <f ca="1">IFERROR(__xludf.DUMMYFUNCTION("GOOGLEFINANCE(""BOM:"" &amp; K229,""price"")"),110.65)</f>
        <v>110.65</v>
      </c>
      <c r="P229" s="8">
        <f t="shared" ca="1" si="58"/>
        <v>-5.9098639455782216</v>
      </c>
      <c r="Q229" s="12">
        <f t="shared" si="59"/>
        <v>187743153040.79999</v>
      </c>
      <c r="R229" s="13">
        <f t="shared" ca="1" si="60"/>
        <v>176647788128.95001</v>
      </c>
      <c r="S229" s="63"/>
      <c r="T229" s="8">
        <v>538402</v>
      </c>
      <c r="U229" s="8" t="s">
        <v>962</v>
      </c>
      <c r="V229" s="12">
        <v>10137825</v>
      </c>
      <c r="W229" s="8">
        <v>67</v>
      </c>
      <c r="X229" s="11">
        <f ca="1">IFERROR(__xludf.DUMMYFUNCTION("GOOGLEFINANCE(""BOM:"" &amp; T229,""price"")"),65.7)</f>
        <v>65.7</v>
      </c>
      <c r="Y229" s="8">
        <f t="shared" ca="1" si="70"/>
        <v>-1.9402985074626824</v>
      </c>
      <c r="Z229" s="12">
        <f t="shared" si="62"/>
        <v>679234275</v>
      </c>
      <c r="AA229" s="13">
        <f t="shared" ca="1" si="63"/>
        <v>666055102.5</v>
      </c>
      <c r="AB229" s="63"/>
      <c r="AC229" s="8">
        <v>533167</v>
      </c>
      <c r="AD229" s="8" t="s">
        <v>963</v>
      </c>
      <c r="AE229" s="12">
        <v>33198393</v>
      </c>
      <c r="AF229" s="8">
        <v>59.97</v>
      </c>
      <c r="AG229" s="8">
        <f ca="1">IFERROR(__xludf.DUMMYFUNCTION("GOOGLEFINANCE(""BOM:"" &amp; AC229,""price"")"),54.97)</f>
        <v>54.97</v>
      </c>
      <c r="AH229" s="8">
        <f t="shared" ca="1" si="71"/>
        <v>-8.3375020843755205</v>
      </c>
      <c r="AI229" s="12">
        <f t="shared" si="72"/>
        <v>1990907628.21</v>
      </c>
      <c r="AJ229" s="13">
        <f t="shared" ca="1" si="73"/>
        <v>1824915663.21</v>
      </c>
    </row>
    <row r="230" spans="1:36" x14ac:dyDescent="0.25">
      <c r="A230" s="63"/>
      <c r="B230" s="8">
        <v>530809</v>
      </c>
      <c r="C230" s="8" t="s">
        <v>964</v>
      </c>
      <c r="D230" s="12">
        <v>2900584</v>
      </c>
      <c r="E230" s="8">
        <v>67.09</v>
      </c>
      <c r="F230" s="8">
        <f ca="1">IFERROR(__xludf.DUMMYFUNCTION("GOOGLEFINANCE(""BOM:"" &amp; B230,""price"")"),51.66)</f>
        <v>51.66</v>
      </c>
      <c r="G230" s="8">
        <f t="shared" ca="1" si="64"/>
        <v>-22.998956625428537</v>
      </c>
      <c r="H230" s="12">
        <f t="shared" si="65"/>
        <v>194600180.56</v>
      </c>
      <c r="I230" s="13">
        <f t="shared" ca="1" si="66"/>
        <v>149844169.44</v>
      </c>
      <c r="J230" s="63"/>
      <c r="K230" s="8">
        <v>532468</v>
      </c>
      <c r="L230" s="8" t="s">
        <v>965</v>
      </c>
      <c r="M230" s="12">
        <v>31928910</v>
      </c>
      <c r="N230" s="10">
        <v>2633.55</v>
      </c>
      <c r="O230" s="10">
        <f ca="1">IFERROR(__xludf.DUMMYFUNCTION("GOOGLEFINANCE(""BOM:"" &amp; K230,""price"")"),2610.05)</f>
        <v>2610.0500000000002</v>
      </c>
      <c r="P230" s="8">
        <f t="shared" ca="1" si="58"/>
        <v>-0.89233164359894435</v>
      </c>
      <c r="Q230" s="12">
        <f t="shared" si="59"/>
        <v>84086380930.5</v>
      </c>
      <c r="R230" s="13">
        <f t="shared" ca="1" si="60"/>
        <v>83336051545.5</v>
      </c>
      <c r="S230" s="63"/>
      <c r="T230" s="8">
        <v>512221</v>
      </c>
      <c r="U230" s="8" t="s">
        <v>966</v>
      </c>
      <c r="V230" s="12">
        <v>1952143</v>
      </c>
      <c r="W230" s="8">
        <v>13.77</v>
      </c>
      <c r="X230" s="11">
        <f ca="1">IFERROR(__xludf.DUMMYFUNCTION("GOOGLEFINANCE(""BOM:"" &amp; T230,""price"")"),13.77)</f>
        <v>13.77</v>
      </c>
      <c r="Y230" s="8">
        <f t="shared" ca="1" si="70"/>
        <v>0</v>
      </c>
      <c r="Z230" s="12">
        <f t="shared" si="62"/>
        <v>26881009.109999999</v>
      </c>
      <c r="AA230" s="13">
        <f t="shared" ca="1" si="63"/>
        <v>26881009.109999999</v>
      </c>
      <c r="AB230" s="63"/>
      <c r="AC230" s="8">
        <v>531624</v>
      </c>
      <c r="AD230" s="8" t="s">
        <v>967</v>
      </c>
      <c r="AE230" s="12">
        <v>70795696</v>
      </c>
      <c r="AF230" s="8">
        <v>5.75</v>
      </c>
      <c r="AG230" s="8">
        <f ca="1">IFERROR(__xludf.DUMMYFUNCTION("GOOGLEFINANCE(""BOM:"" &amp; AC230,""price"")"),4.72)</f>
        <v>4.72</v>
      </c>
      <c r="AH230" s="8">
        <f t="shared" ca="1" si="71"/>
        <v>-17.913043478260875</v>
      </c>
      <c r="AI230" s="12">
        <f t="shared" si="72"/>
        <v>407075252</v>
      </c>
      <c r="AJ230" s="13">
        <f t="shared" ca="1" si="73"/>
        <v>334155685.12</v>
      </c>
    </row>
    <row r="231" spans="1:36" x14ac:dyDescent="0.25">
      <c r="A231" s="63"/>
      <c r="B231" s="8">
        <v>512341</v>
      </c>
      <c r="C231" s="8" t="s">
        <v>968</v>
      </c>
      <c r="D231" s="12">
        <v>34255200</v>
      </c>
      <c r="E231" s="8">
        <v>0.44</v>
      </c>
      <c r="F231" s="8">
        <f ca="1">IFERROR(__xludf.DUMMYFUNCTION("GOOGLEFINANCE(""BOM:"" &amp; B231,""price"")"),0.44)</f>
        <v>0.44</v>
      </c>
      <c r="G231" s="8">
        <f t="shared" ca="1" si="64"/>
        <v>0</v>
      </c>
      <c r="H231" s="12">
        <f t="shared" si="65"/>
        <v>15072288</v>
      </c>
      <c r="I231" s="13">
        <f t="shared" ca="1" si="66"/>
        <v>15072288</v>
      </c>
      <c r="J231" s="63"/>
      <c r="K231" s="8">
        <v>543223</v>
      </c>
      <c r="L231" s="8" t="s">
        <v>969</v>
      </c>
      <c r="M231" s="12">
        <v>53786261</v>
      </c>
      <c r="N231" s="10">
        <v>216</v>
      </c>
      <c r="O231" s="10">
        <f ca="1">IFERROR(__xludf.DUMMYFUNCTION("GOOGLEFINANCE(""BOM:"" &amp; K231,""price"")"),195.05)</f>
        <v>195.05</v>
      </c>
      <c r="P231" s="8">
        <f t="shared" ca="1" si="58"/>
        <v>-9.6990740740740691</v>
      </c>
      <c r="Q231" s="12">
        <f t="shared" si="59"/>
        <v>11617832376</v>
      </c>
      <c r="R231" s="13">
        <f t="shared" ca="1" si="60"/>
        <v>10491010208.050001</v>
      </c>
      <c r="S231" s="63"/>
      <c r="T231" s="8">
        <v>536710</v>
      </c>
      <c r="U231" s="8" t="s">
        <v>970</v>
      </c>
      <c r="V231" s="12">
        <v>5375400</v>
      </c>
      <c r="W231" s="8">
        <v>30</v>
      </c>
      <c r="X231" s="11">
        <f ca="1">IFERROR(__xludf.DUMMYFUNCTION("GOOGLEFINANCE(""BOM:"" &amp; T231,""price"")"),26)</f>
        <v>26</v>
      </c>
      <c r="Y231" s="8">
        <f t="shared" ca="1" si="70"/>
        <v>-13.333333333333334</v>
      </c>
      <c r="Z231" s="12">
        <f t="shared" si="62"/>
        <v>161262000</v>
      </c>
      <c r="AA231" s="13">
        <f t="shared" ca="1" si="63"/>
        <v>139760400</v>
      </c>
      <c r="AB231" s="63"/>
      <c r="AC231" s="8">
        <v>538770</v>
      </c>
      <c r="AD231" s="8" t="s">
        <v>971</v>
      </c>
      <c r="AE231" s="12">
        <v>5645039</v>
      </c>
      <c r="AF231" s="8">
        <v>24.49</v>
      </c>
      <c r="AG231" s="8">
        <f ca="1">IFERROR(__xludf.DUMMYFUNCTION("GOOGLEFINANCE(""BOM:"" &amp; AC231,""price"")"),20.29)</f>
        <v>20.29</v>
      </c>
      <c r="AH231" s="8">
        <f t="shared" ca="1" si="71"/>
        <v>-17.149857084524296</v>
      </c>
      <c r="AI231" s="12">
        <f t="shared" si="72"/>
        <v>138247005.10999998</v>
      </c>
      <c r="AJ231" s="13">
        <f t="shared" ca="1" si="73"/>
        <v>114537841.31</v>
      </c>
    </row>
    <row r="232" spans="1:36" x14ac:dyDescent="0.25">
      <c r="A232" s="63"/>
      <c r="B232" s="8">
        <v>532927</v>
      </c>
      <c r="C232" s="8" t="s">
        <v>972</v>
      </c>
      <c r="D232" s="12">
        <v>50739353</v>
      </c>
      <c r="E232" s="8">
        <v>2500.4</v>
      </c>
      <c r="F232" s="8">
        <f ca="1">IFERROR(__xludf.DUMMYFUNCTION("GOOGLEFINANCE(""BOM:"" &amp; B232,""price"")"),2377.15)</f>
        <v>2377.15</v>
      </c>
      <c r="G232" s="8">
        <f t="shared" ca="1" si="64"/>
        <v>-4.9292113261878097</v>
      </c>
      <c r="H232" s="12">
        <f t="shared" si="65"/>
        <v>126868678241.20001</v>
      </c>
      <c r="I232" s="13">
        <f t="shared" ca="1" si="66"/>
        <v>120615052983.95001</v>
      </c>
      <c r="J232" s="63"/>
      <c r="K232" s="8">
        <v>539940</v>
      </c>
      <c r="L232" s="8" t="s">
        <v>973</v>
      </c>
      <c r="M232" s="12">
        <v>146670915</v>
      </c>
      <c r="N232" s="10" t="s">
        <v>44</v>
      </c>
      <c r="O232" s="10" t="s">
        <v>44</v>
      </c>
      <c r="P232" s="8"/>
      <c r="Q232" s="12"/>
      <c r="R232" s="13"/>
      <c r="S232" s="63"/>
      <c r="T232" s="8">
        <v>511218</v>
      </c>
      <c r="U232" s="8" t="s">
        <v>974</v>
      </c>
      <c r="V232" s="12">
        <v>268465203</v>
      </c>
      <c r="W232" s="8">
        <v>2455.85</v>
      </c>
      <c r="X232" s="11">
        <f ca="1">IFERROR(__xludf.DUMMYFUNCTION("GOOGLEFINANCE(""BOM:"" &amp; T232,""price"")"),2360.2)</f>
        <v>2360.1999999999998</v>
      </c>
      <c r="Y232" s="8">
        <f t="shared" ca="1" si="70"/>
        <v>-3.8947818474255387</v>
      </c>
      <c r="Z232" s="12">
        <f t="shared" si="62"/>
        <v>659310268787.54993</v>
      </c>
      <c r="AA232" s="13">
        <f t="shared" ca="1" si="63"/>
        <v>633631572120.59998</v>
      </c>
      <c r="AB232" s="63"/>
      <c r="AC232" s="8">
        <v>531909</v>
      </c>
      <c r="AD232" s="8" t="s">
        <v>975</v>
      </c>
      <c r="AE232" s="12">
        <v>66086000</v>
      </c>
      <c r="AF232" s="8">
        <v>5.2</v>
      </c>
      <c r="AG232" s="8">
        <f ca="1">IFERROR(__xludf.DUMMYFUNCTION("GOOGLEFINANCE(""BOM:"" &amp; AC232,""price"")"),3.41)</f>
        <v>3.41</v>
      </c>
      <c r="AH232" s="8">
        <f t="shared" ca="1" si="71"/>
        <v>-34.42307692307692</v>
      </c>
      <c r="AI232" s="12">
        <f t="shared" si="72"/>
        <v>343647200</v>
      </c>
      <c r="AJ232" s="13">
        <f t="shared" ca="1" si="73"/>
        <v>225353260</v>
      </c>
    </row>
    <row r="233" spans="1:36" x14ac:dyDescent="0.25">
      <c r="A233" s="63"/>
      <c r="B233" s="8">
        <v>532859</v>
      </c>
      <c r="C233" s="8" t="s">
        <v>976</v>
      </c>
      <c r="D233" s="12">
        <v>41723683</v>
      </c>
      <c r="E233" s="8">
        <v>909.1</v>
      </c>
      <c r="F233" s="8">
        <f ca="1">IFERROR(__xludf.DUMMYFUNCTION("GOOGLEFINANCE(""BOM:"" &amp; B233,""price"")"),738)</f>
        <v>738</v>
      </c>
      <c r="G233" s="8">
        <f t="shared" ca="1" si="64"/>
        <v>-18.820811791882083</v>
      </c>
      <c r="H233" s="12">
        <f t="shared" si="65"/>
        <v>37931000215.300003</v>
      </c>
      <c r="I233" s="13">
        <f t="shared" ca="1" si="66"/>
        <v>30792078054</v>
      </c>
      <c r="J233" s="63"/>
      <c r="K233" s="8">
        <v>539883</v>
      </c>
      <c r="L233" s="8" t="s">
        <v>977</v>
      </c>
      <c r="M233" s="12">
        <v>11025164</v>
      </c>
      <c r="N233" s="10">
        <v>3445</v>
      </c>
      <c r="O233" s="10">
        <f ca="1">IFERROR(__xludf.DUMMYFUNCTION("GOOGLEFINANCE(""BOM:"" &amp; K233,""price"")"),3414.9)</f>
        <v>3414.9</v>
      </c>
      <c r="P233" s="8">
        <f t="shared" ref="P233:P301" ca="1" si="74">((O233-N233)/N233)*100</f>
        <v>-0.87373004354136163</v>
      </c>
      <c r="Q233" s="12">
        <f t="shared" ref="Q233:Q301" si="75">M233*N233</f>
        <v>37981689980</v>
      </c>
      <c r="R233" s="13">
        <f t="shared" ref="R233:R301" ca="1" si="76">M233*O233</f>
        <v>37649832543.599998</v>
      </c>
      <c r="S233" s="63"/>
      <c r="T233" s="8">
        <v>511700</v>
      </c>
      <c r="U233" s="8" t="s">
        <v>978</v>
      </c>
      <c r="V233" s="12">
        <v>1433067510</v>
      </c>
      <c r="W233" s="8">
        <v>2.9</v>
      </c>
      <c r="X233" s="11">
        <f ca="1">IFERROR(__xludf.DUMMYFUNCTION("GOOGLEFINANCE(""BOM:"" &amp; T233,""price"")"),1.61)</f>
        <v>1.61</v>
      </c>
      <c r="Y233" s="8">
        <f t="shared" ca="1" si="70"/>
        <v>-44.482758620689651</v>
      </c>
      <c r="Z233" s="12">
        <f t="shared" si="62"/>
        <v>4155895779</v>
      </c>
      <c r="AA233" s="13">
        <f t="shared" ca="1" si="63"/>
        <v>2307238691.0999999</v>
      </c>
      <c r="AB233" s="63"/>
      <c r="AC233" s="8">
        <v>533160</v>
      </c>
      <c r="AD233" s="8" t="s">
        <v>979</v>
      </c>
      <c r="AE233" s="12">
        <v>259058281</v>
      </c>
      <c r="AF233" s="8">
        <v>266.25</v>
      </c>
      <c r="AG233" s="8">
        <f ca="1">IFERROR(__xludf.DUMMYFUNCTION("GOOGLEFINANCE(""BOM:"" &amp; AC233,""price"")"),196.7)</f>
        <v>196.7</v>
      </c>
      <c r="AH233" s="8">
        <f t="shared" ca="1" si="71"/>
        <v>-26.122065727699535</v>
      </c>
      <c r="AI233" s="12">
        <f t="shared" si="72"/>
        <v>68974267316.25</v>
      </c>
      <c r="AJ233" s="13">
        <f t="shared" ca="1" si="73"/>
        <v>50956763872.699997</v>
      </c>
    </row>
    <row r="234" spans="1:36" x14ac:dyDescent="0.25">
      <c r="A234" s="63"/>
      <c r="B234" s="8">
        <v>504810</v>
      </c>
      <c r="C234" s="8" t="s">
        <v>980</v>
      </c>
      <c r="D234" s="12">
        <v>3978976</v>
      </c>
      <c r="E234" s="8">
        <v>64.489999999999995</v>
      </c>
      <c r="F234" s="8">
        <f ca="1">IFERROR(__xludf.DUMMYFUNCTION("GOOGLEFINANCE(""BOM:"" &amp; B234,""price"")"),55.8)</f>
        <v>55.8</v>
      </c>
      <c r="G234" s="8">
        <f t="shared" ca="1" si="64"/>
        <v>-13.474957357729878</v>
      </c>
      <c r="H234" s="12">
        <f t="shared" si="65"/>
        <v>256604162.23999998</v>
      </c>
      <c r="I234" s="13">
        <f t="shared" ca="1" si="66"/>
        <v>222026860.79999998</v>
      </c>
      <c r="J234" s="64"/>
      <c r="K234" s="14">
        <v>533170</v>
      </c>
      <c r="L234" s="14" t="s">
        <v>981</v>
      </c>
      <c r="M234" s="15">
        <v>9827685</v>
      </c>
      <c r="N234" s="17">
        <v>163.9</v>
      </c>
      <c r="O234" s="17">
        <f ca="1">IFERROR(__xludf.DUMMYFUNCTION("GOOGLEFINANCE(""BOM:"" &amp; K234,""price"")"),143.5)</f>
        <v>143.5</v>
      </c>
      <c r="P234" s="14">
        <f t="shared" ca="1" si="74"/>
        <v>-12.44661378889567</v>
      </c>
      <c r="Q234" s="15">
        <f t="shared" si="75"/>
        <v>1610757571.5</v>
      </c>
      <c r="R234" s="16">
        <f t="shared" ca="1" si="76"/>
        <v>1410272797.5</v>
      </c>
      <c r="S234" s="63"/>
      <c r="T234" s="8">
        <v>512381</v>
      </c>
      <c r="U234" s="8" t="s">
        <v>982</v>
      </c>
      <c r="V234" s="12">
        <v>9906330</v>
      </c>
      <c r="W234" s="8">
        <v>310.8</v>
      </c>
      <c r="X234" s="11">
        <f ca="1">IFERROR(__xludf.DUMMYFUNCTION("GOOGLEFINANCE(""BOM:"" &amp; T234,""price"")"),275.35)</f>
        <v>275.35000000000002</v>
      </c>
      <c r="Y234" s="8">
        <f t="shared" ca="1" si="70"/>
        <v>-11.406048906048902</v>
      </c>
      <c r="Z234" s="12">
        <f t="shared" si="62"/>
        <v>3078887364</v>
      </c>
      <c r="AA234" s="13">
        <f t="shared" ca="1" si="63"/>
        <v>2727707965.5</v>
      </c>
      <c r="AB234" s="63"/>
      <c r="AC234" s="8">
        <v>542002</v>
      </c>
      <c r="AD234" s="8" t="s">
        <v>983</v>
      </c>
      <c r="AE234" s="12">
        <v>3001080</v>
      </c>
      <c r="AF234" s="8" t="s">
        <v>44</v>
      </c>
      <c r="AG234" s="8" t="s">
        <v>44</v>
      </c>
      <c r="AH234" s="8"/>
      <c r="AI234" s="12"/>
      <c r="AJ234" s="13"/>
    </row>
    <row r="235" spans="1:36" x14ac:dyDescent="0.25">
      <c r="A235" s="63"/>
      <c r="B235" s="8">
        <v>543352</v>
      </c>
      <c r="C235" s="8" t="s">
        <v>984</v>
      </c>
      <c r="D235" s="12">
        <v>1582400</v>
      </c>
      <c r="E235" s="8">
        <v>211</v>
      </c>
      <c r="F235" s="8">
        <v>211</v>
      </c>
      <c r="G235" s="8">
        <f t="shared" si="64"/>
        <v>0</v>
      </c>
      <c r="H235" s="12">
        <f t="shared" si="65"/>
        <v>333886400</v>
      </c>
      <c r="I235" s="13">
        <f t="shared" si="66"/>
        <v>333886400</v>
      </c>
      <c r="J235" s="62" t="s">
        <v>985</v>
      </c>
      <c r="K235" s="6">
        <v>543346</v>
      </c>
      <c r="L235" s="6" t="s">
        <v>986</v>
      </c>
      <c r="M235" s="7">
        <v>23262500</v>
      </c>
      <c r="N235" s="10">
        <v>81</v>
      </c>
      <c r="O235" s="10">
        <f ca="1">IFERROR(__xludf.DUMMYFUNCTION("GOOGLEFINANCE(""BOM:"" &amp; K235,""price"")"),77.5)</f>
        <v>77.5</v>
      </c>
      <c r="P235" s="8">
        <f t="shared" ca="1" si="74"/>
        <v>-4.3209876543209873</v>
      </c>
      <c r="Q235" s="7">
        <f t="shared" si="75"/>
        <v>1884262500</v>
      </c>
      <c r="R235" s="9">
        <f t="shared" ca="1" si="76"/>
        <v>1802843750</v>
      </c>
      <c r="S235" s="63"/>
      <c r="T235" s="8">
        <v>504180</v>
      </c>
      <c r="U235" s="8" t="s">
        <v>987</v>
      </c>
      <c r="V235" s="12">
        <v>4548121</v>
      </c>
      <c r="W235" s="8">
        <v>47.32</v>
      </c>
      <c r="X235" s="11">
        <f ca="1">IFERROR(__xludf.DUMMYFUNCTION("GOOGLEFINANCE(""BOM:"" &amp; T235,""price"")"),55.18)</f>
        <v>55.18</v>
      </c>
      <c r="Y235" s="8">
        <f t="shared" ca="1" si="70"/>
        <v>16.610312764158916</v>
      </c>
      <c r="Z235" s="12">
        <f t="shared" si="62"/>
        <v>215217085.72</v>
      </c>
      <c r="AA235" s="13">
        <f t="shared" ca="1" si="63"/>
        <v>250965316.78</v>
      </c>
      <c r="AB235" s="63"/>
      <c r="AC235" s="8">
        <v>532868</v>
      </c>
      <c r="AD235" s="8" t="s">
        <v>988</v>
      </c>
      <c r="AE235" s="12">
        <v>2474370269</v>
      </c>
      <c r="AF235" s="8">
        <v>909.7</v>
      </c>
      <c r="AG235" s="8">
        <f ca="1">IFERROR(__xludf.DUMMYFUNCTION("GOOGLEFINANCE(""BOM:"" &amp; AC235,""price"")"),898.3)</f>
        <v>898.3</v>
      </c>
      <c r="AH235" s="8">
        <f t="shared" ref="AH235:AH245" ca="1" si="77">((AG235-AF235)/AF235)*100</f>
        <v>-1.2531603825437057</v>
      </c>
      <c r="AI235" s="12">
        <f t="shared" ref="AI235:AI245" si="78">AE235*AF235</f>
        <v>2250934633709.3003</v>
      </c>
      <c r="AJ235" s="13">
        <f t="shared" ref="AJ235:AJ245" ca="1" si="79">AE235*AG235</f>
        <v>2222726812642.6997</v>
      </c>
    </row>
    <row r="236" spans="1:36" x14ac:dyDescent="0.25">
      <c r="A236" s="63"/>
      <c r="B236" s="8">
        <v>539978</v>
      </c>
      <c r="C236" s="8" t="s">
        <v>989</v>
      </c>
      <c r="D236" s="12">
        <v>147687031</v>
      </c>
      <c r="E236" s="8">
        <v>507.95</v>
      </c>
      <c r="F236" s="8">
        <f ca="1">IFERROR(__xludf.DUMMYFUNCTION("GOOGLEFINANCE(""BOM:"" &amp; B236,""price"")"),516.3)</f>
        <v>516.29999999999995</v>
      </c>
      <c r="G236" s="8">
        <f t="shared" ca="1" si="64"/>
        <v>1.6438625849000819</v>
      </c>
      <c r="H236" s="12">
        <f t="shared" si="65"/>
        <v>75017627396.449997</v>
      </c>
      <c r="I236" s="13">
        <f t="shared" ca="1" si="66"/>
        <v>76250814105.299988</v>
      </c>
      <c r="J236" s="63"/>
      <c r="K236" s="8">
        <v>508869</v>
      </c>
      <c r="L236" s="8" t="s">
        <v>990</v>
      </c>
      <c r="M236" s="12">
        <v>141970885</v>
      </c>
      <c r="N236" s="10">
        <v>6067.1</v>
      </c>
      <c r="O236" s="10">
        <f ca="1">IFERROR(__xludf.DUMMYFUNCTION("GOOGLEFINANCE(""BOM:"" &amp; K236,""price"")"),6347.35)</f>
        <v>6347.35</v>
      </c>
      <c r="P236" s="8">
        <f t="shared" ca="1" si="74"/>
        <v>4.6191755533945376</v>
      </c>
      <c r="Q236" s="12">
        <f t="shared" si="75"/>
        <v>861351556383.5</v>
      </c>
      <c r="R236" s="13">
        <f t="shared" ca="1" si="76"/>
        <v>901138896904.75</v>
      </c>
      <c r="S236" s="63"/>
      <c r="T236" s="8">
        <v>508963</v>
      </c>
      <c r="U236" s="8" t="s">
        <v>991</v>
      </c>
      <c r="V236" s="12">
        <v>3647769</v>
      </c>
      <c r="W236" s="8">
        <v>18.75</v>
      </c>
      <c r="X236" s="11">
        <f ca="1">IFERROR(__xludf.DUMMYFUNCTION("GOOGLEFINANCE(""BOM:"" &amp; T236,""price"")"),25.09)</f>
        <v>25.09</v>
      </c>
      <c r="Y236" s="8">
        <f t="shared" ca="1" si="70"/>
        <v>33.813333333333333</v>
      </c>
      <c r="Z236" s="12">
        <f t="shared" si="62"/>
        <v>68395668.75</v>
      </c>
      <c r="AA236" s="13">
        <f t="shared" ca="1" si="63"/>
        <v>91522524.209999993</v>
      </c>
      <c r="AB236" s="63"/>
      <c r="AC236" s="8">
        <v>507917</v>
      </c>
      <c r="AD236" s="8" t="s">
        <v>992</v>
      </c>
      <c r="AE236" s="12">
        <v>955710</v>
      </c>
      <c r="AF236" s="8">
        <v>24.05</v>
      </c>
      <c r="AG236" s="8">
        <f ca="1">IFERROR(__xludf.DUMMYFUNCTION("GOOGLEFINANCE(""BOM:"" &amp; AC236,""price"")"),25.25)</f>
        <v>25.25</v>
      </c>
      <c r="AH236" s="8">
        <f t="shared" ca="1" si="77"/>
        <v>4.9896049896049863</v>
      </c>
      <c r="AI236" s="12">
        <f t="shared" si="78"/>
        <v>22984825.5</v>
      </c>
      <c r="AJ236" s="13">
        <f t="shared" ca="1" si="79"/>
        <v>24131677.5</v>
      </c>
    </row>
    <row r="237" spans="1:36" x14ac:dyDescent="0.25">
      <c r="A237" s="63"/>
      <c r="B237" s="8">
        <v>542333</v>
      </c>
      <c r="C237" s="8" t="s">
        <v>993</v>
      </c>
      <c r="D237" s="12">
        <v>26397424</v>
      </c>
      <c r="E237" s="8">
        <v>707.8</v>
      </c>
      <c r="F237" s="8">
        <f ca="1">IFERROR(__xludf.DUMMYFUNCTION("GOOGLEFINANCE(""BOM:"" &amp; B237,""price"")"),618.25)</f>
        <v>618.25</v>
      </c>
      <c r="G237" s="8">
        <f t="shared" ca="1" si="64"/>
        <v>-12.651879061881882</v>
      </c>
      <c r="H237" s="12">
        <f t="shared" si="65"/>
        <v>18684096707.199997</v>
      </c>
      <c r="I237" s="13">
        <f t="shared" ca="1" si="66"/>
        <v>16320207388</v>
      </c>
      <c r="J237" s="63"/>
      <c r="K237" s="8">
        <v>542919</v>
      </c>
      <c r="L237" s="8" t="s">
        <v>994</v>
      </c>
      <c r="M237" s="12">
        <v>131087070</v>
      </c>
      <c r="N237" s="10">
        <v>173</v>
      </c>
      <c r="O237" s="10">
        <f ca="1">IFERROR(__xludf.DUMMYFUNCTION("GOOGLEFINANCE(""BOM:"" &amp; K237,""price"")"),169.8)</f>
        <v>169.8</v>
      </c>
      <c r="P237" s="8">
        <f t="shared" ca="1" si="74"/>
        <v>-1.8497109826589531</v>
      </c>
      <c r="Q237" s="12">
        <f t="shared" si="75"/>
        <v>22678063110</v>
      </c>
      <c r="R237" s="13">
        <f t="shared" ca="1" si="76"/>
        <v>22258584486</v>
      </c>
      <c r="S237" s="63"/>
      <c r="T237" s="8">
        <v>538714</v>
      </c>
      <c r="U237" s="8" t="s">
        <v>995</v>
      </c>
      <c r="V237" s="12">
        <v>9256410</v>
      </c>
      <c r="W237" s="8">
        <v>96</v>
      </c>
      <c r="X237" s="11">
        <f ca="1">IFERROR(__xludf.DUMMYFUNCTION("GOOGLEFINANCE(""BOM:"" &amp; T237,""price"")"),105.56)</f>
        <v>105.56</v>
      </c>
      <c r="Y237" s="8">
        <f t="shared" ca="1" si="70"/>
        <v>9.9583333333333357</v>
      </c>
      <c r="Z237" s="12">
        <f t="shared" si="62"/>
        <v>888615360</v>
      </c>
      <c r="AA237" s="13">
        <f t="shared" ca="1" si="63"/>
        <v>977106639.60000002</v>
      </c>
      <c r="AB237" s="63"/>
      <c r="AC237" s="8">
        <v>523329</v>
      </c>
      <c r="AD237" s="8" t="s">
        <v>996</v>
      </c>
      <c r="AE237" s="12">
        <v>9586290</v>
      </c>
      <c r="AF237" s="8">
        <v>818</v>
      </c>
      <c r="AG237" s="8">
        <f ca="1">IFERROR(__xludf.DUMMYFUNCTION("GOOGLEFINANCE(""BOM:"" &amp; AC237,""price"")"),823)</f>
        <v>823</v>
      </c>
      <c r="AH237" s="8">
        <f t="shared" ca="1" si="77"/>
        <v>0.61124694376528121</v>
      </c>
      <c r="AI237" s="12">
        <f t="shared" si="78"/>
        <v>7841585220</v>
      </c>
      <c r="AJ237" s="13">
        <f t="shared" ca="1" si="79"/>
        <v>7889516670</v>
      </c>
    </row>
    <row r="238" spans="1:36" x14ac:dyDescent="0.25">
      <c r="A238" s="64"/>
      <c r="B238" s="14">
        <v>543535</v>
      </c>
      <c r="C238" s="14" t="s">
        <v>997</v>
      </c>
      <c r="D238" s="15">
        <v>10161000</v>
      </c>
      <c r="E238" s="8">
        <v>78.88</v>
      </c>
      <c r="F238" s="14">
        <f ca="1">IFERROR(__xludf.DUMMYFUNCTION("GOOGLEFINANCE(""BOM:"" &amp; B238,""price"")"),66.66)</f>
        <v>66.66</v>
      </c>
      <c r="G238" s="14">
        <f t="shared" ca="1" si="64"/>
        <v>-15.491886409736308</v>
      </c>
      <c r="H238" s="15">
        <f t="shared" si="65"/>
        <v>801499680</v>
      </c>
      <c r="I238" s="16">
        <f t="shared" ca="1" si="66"/>
        <v>677332260</v>
      </c>
      <c r="J238" s="63"/>
      <c r="K238" s="8">
        <v>540975</v>
      </c>
      <c r="L238" s="8" t="s">
        <v>998</v>
      </c>
      <c r="M238" s="12">
        <v>496192482</v>
      </c>
      <c r="N238" s="10">
        <v>461.95</v>
      </c>
      <c r="O238" s="10">
        <f ca="1">IFERROR(__xludf.DUMMYFUNCTION("GOOGLEFINANCE(""BOM:"" &amp; K238,""price"")"),407.3)</f>
        <v>407.3</v>
      </c>
      <c r="P238" s="8">
        <f t="shared" ca="1" si="74"/>
        <v>-11.830284662842294</v>
      </c>
      <c r="Q238" s="12">
        <f t="shared" si="75"/>
        <v>229216117059.89999</v>
      </c>
      <c r="R238" s="13">
        <f t="shared" ca="1" si="76"/>
        <v>202099197918.60001</v>
      </c>
      <c r="S238" s="63"/>
      <c r="T238" s="8">
        <v>511654</v>
      </c>
      <c r="U238" s="8" t="s">
        <v>999</v>
      </c>
      <c r="V238" s="12">
        <v>5952509</v>
      </c>
      <c r="W238" s="8">
        <v>30.3</v>
      </c>
      <c r="X238" s="11">
        <f ca="1">IFERROR(__xludf.DUMMYFUNCTION("GOOGLEFINANCE(""BOM:"" &amp; T238,""price"")"),25.89)</f>
        <v>25.89</v>
      </c>
      <c r="Y238" s="8">
        <f t="shared" ca="1" si="70"/>
        <v>-14.554455445544553</v>
      </c>
      <c r="Z238" s="12">
        <f t="shared" si="62"/>
        <v>180361022.70000002</v>
      </c>
      <c r="AA238" s="13">
        <f t="shared" ca="1" si="63"/>
        <v>154110458.00999999</v>
      </c>
      <c r="AB238" s="63"/>
      <c r="AC238" s="8">
        <v>533218</v>
      </c>
      <c r="AD238" s="8" t="s">
        <v>1000</v>
      </c>
      <c r="AE238" s="12">
        <v>37675343</v>
      </c>
      <c r="AF238" s="8">
        <v>101.2</v>
      </c>
      <c r="AG238" s="8">
        <f ca="1">IFERROR(__xludf.DUMMYFUNCTION("GOOGLEFINANCE(""BOM:"" &amp; AC238,""price"")"),101.7)</f>
        <v>101.7</v>
      </c>
      <c r="AH238" s="8">
        <f t="shared" ca="1" si="77"/>
        <v>0.49407114624505932</v>
      </c>
      <c r="AI238" s="12">
        <f t="shared" si="78"/>
        <v>3812744711.5999999</v>
      </c>
      <c r="AJ238" s="13">
        <f t="shared" ca="1" si="79"/>
        <v>3831582383.0999999</v>
      </c>
    </row>
    <row r="239" spans="1:36" x14ac:dyDescent="0.25">
      <c r="A239" s="62" t="s">
        <v>1001</v>
      </c>
      <c r="B239" s="6">
        <v>543230</v>
      </c>
      <c r="C239" s="6" t="s">
        <v>1002</v>
      </c>
      <c r="D239" s="18">
        <v>5100000</v>
      </c>
      <c r="E239" s="6">
        <v>1391.1</v>
      </c>
      <c r="F239" s="8">
        <f ca="1">IFERROR(__xludf.DUMMYFUNCTION("GOOGLEFINANCE(""BOM:"" &amp; B239,""price"")"),1310)</f>
        <v>1310</v>
      </c>
      <c r="G239" s="8">
        <f t="shared" ca="1" si="64"/>
        <v>-5.8299187693192378</v>
      </c>
      <c r="H239" s="7">
        <f t="shared" si="65"/>
        <v>7094610000</v>
      </c>
      <c r="I239" s="9">
        <f t="shared" ca="1" si="66"/>
        <v>6681000000</v>
      </c>
      <c r="J239" s="63"/>
      <c r="K239" s="8">
        <v>526783</v>
      </c>
      <c r="L239" s="8" t="s">
        <v>1003</v>
      </c>
      <c r="M239" s="12">
        <v>4587861</v>
      </c>
      <c r="N239" s="10">
        <v>3398</v>
      </c>
      <c r="O239" s="10">
        <f ca="1">IFERROR(__xludf.DUMMYFUNCTION("GOOGLEFINANCE(""BOM:"" &amp; K239,""price"")"),3133.8)</f>
        <v>3133.8</v>
      </c>
      <c r="P239" s="8">
        <f t="shared" ca="1" si="74"/>
        <v>-7.7751618599175929</v>
      </c>
      <c r="Q239" s="12">
        <f t="shared" si="75"/>
        <v>15589551678</v>
      </c>
      <c r="R239" s="13">
        <f t="shared" ca="1" si="76"/>
        <v>14377438801.800001</v>
      </c>
      <c r="S239" s="63"/>
      <c r="T239" s="8">
        <v>539117</v>
      </c>
      <c r="U239" s="8" t="s">
        <v>1004</v>
      </c>
      <c r="V239" s="12">
        <v>5696299</v>
      </c>
      <c r="W239" s="8">
        <v>31.5</v>
      </c>
      <c r="X239" s="11">
        <f ca="1">IFERROR(__xludf.DUMMYFUNCTION("GOOGLEFINANCE(""BOM:"" &amp; T239,""price"")"),34.45)</f>
        <v>34.450000000000003</v>
      </c>
      <c r="Y239" s="8">
        <f t="shared" ca="1" si="70"/>
        <v>9.3650793650793727</v>
      </c>
      <c r="Z239" s="12">
        <f t="shared" si="62"/>
        <v>179433418.5</v>
      </c>
      <c r="AA239" s="13">
        <f t="shared" ca="1" si="63"/>
        <v>196237500.55000001</v>
      </c>
      <c r="AB239" s="63"/>
      <c r="AC239" s="8">
        <v>532016</v>
      </c>
      <c r="AD239" s="8" t="s">
        <v>1005</v>
      </c>
      <c r="AE239" s="12">
        <v>11474000</v>
      </c>
      <c r="AF239" s="8">
        <v>208.45</v>
      </c>
      <c r="AG239" s="8">
        <f ca="1">IFERROR(__xludf.DUMMYFUNCTION("GOOGLEFINANCE(""BOM:"" &amp; AC239,""price"")"),169.9)</f>
        <v>169.9</v>
      </c>
      <c r="AH239" s="8">
        <f t="shared" ca="1" si="77"/>
        <v>-18.493643559606614</v>
      </c>
      <c r="AI239" s="12">
        <f t="shared" si="78"/>
        <v>2391755300</v>
      </c>
      <c r="AJ239" s="13">
        <f t="shared" ca="1" si="79"/>
        <v>1949432600</v>
      </c>
    </row>
    <row r="240" spans="1:36" x14ac:dyDescent="0.25">
      <c r="A240" s="63"/>
      <c r="B240" s="8">
        <v>537766</v>
      </c>
      <c r="C240" s="8" t="s">
        <v>1006</v>
      </c>
      <c r="D240" s="20">
        <v>58800000</v>
      </c>
      <c r="E240" s="8">
        <v>5.6</v>
      </c>
      <c r="F240" s="8">
        <f ca="1">IFERROR(__xludf.DUMMYFUNCTION("GOOGLEFINANCE(""BOM:"" &amp; B240,""price"")"),4.15)</f>
        <v>4.1500000000000004</v>
      </c>
      <c r="G240" s="8">
        <f t="shared" ca="1" si="64"/>
        <v>-25.892857142857135</v>
      </c>
      <c r="H240" s="12">
        <f t="shared" si="65"/>
        <v>329280000</v>
      </c>
      <c r="I240" s="13">
        <f t="shared" ca="1" si="66"/>
        <v>244020000.00000003</v>
      </c>
      <c r="J240" s="63"/>
      <c r="K240" s="8">
        <v>532843</v>
      </c>
      <c r="L240" s="8" t="s">
        <v>1007</v>
      </c>
      <c r="M240" s="12">
        <v>754147310</v>
      </c>
      <c r="N240" s="10">
        <v>400.3</v>
      </c>
      <c r="O240" s="10">
        <f ca="1">IFERROR(__xludf.DUMMYFUNCTION("GOOGLEFINANCE(""BOM:"" &amp; K240,""price"")"),419.8)</f>
        <v>419.8</v>
      </c>
      <c r="P240" s="8">
        <f t="shared" ca="1" si="74"/>
        <v>4.8713464901324004</v>
      </c>
      <c r="Q240" s="12">
        <f t="shared" si="75"/>
        <v>301885168193</v>
      </c>
      <c r="R240" s="13">
        <f t="shared" ca="1" si="76"/>
        <v>316591040738</v>
      </c>
      <c r="S240" s="63"/>
      <c r="T240" s="8">
        <v>508969</v>
      </c>
      <c r="U240" s="8" t="s">
        <v>1008</v>
      </c>
      <c r="V240" s="12">
        <v>100139055</v>
      </c>
      <c r="W240" s="8">
        <v>5.74</v>
      </c>
      <c r="X240" s="11">
        <f ca="1">IFERROR(__xludf.DUMMYFUNCTION("GOOGLEFINANCE(""BOM:"" &amp; T240,""price"")"),4.98)</f>
        <v>4.9800000000000004</v>
      </c>
      <c r="Y240" s="8">
        <f t="shared" ca="1" si="70"/>
        <v>-13.240418118466895</v>
      </c>
      <c r="Z240" s="12">
        <f t="shared" si="62"/>
        <v>574798175.70000005</v>
      </c>
      <c r="AA240" s="13">
        <f t="shared" ca="1" si="63"/>
        <v>498692493.90000004</v>
      </c>
      <c r="AB240" s="63"/>
      <c r="AC240" s="8">
        <v>537707</v>
      </c>
      <c r="AD240" s="8" t="s">
        <v>1009</v>
      </c>
      <c r="AE240" s="12">
        <v>9470078</v>
      </c>
      <c r="AF240" s="8">
        <v>20.09</v>
      </c>
      <c r="AG240" s="8">
        <f ca="1">IFERROR(__xludf.DUMMYFUNCTION("GOOGLEFINANCE(""BOM:"" &amp; AC240,""price"")"),18.28)</f>
        <v>18.28</v>
      </c>
      <c r="AH240" s="8">
        <f t="shared" ca="1" si="77"/>
        <v>-9.0094574415131845</v>
      </c>
      <c r="AI240" s="12">
        <f t="shared" si="78"/>
        <v>190253867.02000001</v>
      </c>
      <c r="AJ240" s="13">
        <f t="shared" ca="1" si="79"/>
        <v>173113025.84</v>
      </c>
    </row>
    <row r="241" spans="1:36" x14ac:dyDescent="0.25">
      <c r="A241" s="63"/>
      <c r="B241" s="8">
        <v>517330</v>
      </c>
      <c r="C241" s="8" t="s">
        <v>1010</v>
      </c>
      <c r="D241" s="20">
        <v>15723311</v>
      </c>
      <c r="E241" s="8" t="s">
        <v>44</v>
      </c>
      <c r="F241" s="8" t="s">
        <v>44</v>
      </c>
      <c r="G241" s="8"/>
      <c r="H241" s="12"/>
      <c r="I241" s="13"/>
      <c r="J241" s="63"/>
      <c r="K241" s="8">
        <v>523696</v>
      </c>
      <c r="L241" s="8" t="s">
        <v>1011</v>
      </c>
      <c r="M241" s="12">
        <v>18075682</v>
      </c>
      <c r="N241" s="10">
        <v>55.53</v>
      </c>
      <c r="O241" s="10">
        <f ca="1">IFERROR(__xludf.DUMMYFUNCTION("GOOGLEFINANCE(""BOM:"" &amp; K241,""price"")"),46.9)</f>
        <v>46.9</v>
      </c>
      <c r="P241" s="8">
        <f t="shared" ca="1" si="74"/>
        <v>-15.541148928507118</v>
      </c>
      <c r="Q241" s="12">
        <f t="shared" si="75"/>
        <v>1003742621.46</v>
      </c>
      <c r="R241" s="13">
        <f t="shared" ca="1" si="76"/>
        <v>847749485.79999995</v>
      </c>
      <c r="S241" s="63"/>
      <c r="T241" s="8">
        <v>533306</v>
      </c>
      <c r="U241" s="8" t="s">
        <v>1012</v>
      </c>
      <c r="V241" s="12">
        <v>10811659</v>
      </c>
      <c r="W241" s="8">
        <v>1346.35</v>
      </c>
      <c r="X241" s="11">
        <f ca="1">IFERROR(__xludf.DUMMYFUNCTION("GOOGLEFINANCE(""BOM:"" &amp; T241,""price"")"),1214)</f>
        <v>1214</v>
      </c>
      <c r="Y241" s="8">
        <f t="shared" ca="1" si="70"/>
        <v>-9.8302818732127548</v>
      </c>
      <c r="Z241" s="12">
        <f t="shared" si="62"/>
        <v>14556277094.65</v>
      </c>
      <c r="AA241" s="13">
        <f t="shared" ca="1" si="63"/>
        <v>13125354026</v>
      </c>
      <c r="AB241" s="63"/>
      <c r="AC241" s="8">
        <v>531902</v>
      </c>
      <c r="AD241" s="8" t="s">
        <v>1013</v>
      </c>
      <c r="AE241" s="12">
        <v>4582240</v>
      </c>
      <c r="AF241" s="8">
        <v>25.8</v>
      </c>
      <c r="AG241" s="8">
        <f ca="1">IFERROR(__xludf.DUMMYFUNCTION("GOOGLEFINANCE(""BOM:"" &amp; AC241,""price"")"),25.29)</f>
        <v>25.29</v>
      </c>
      <c r="AH241" s="8">
        <f t="shared" ca="1" si="77"/>
        <v>-1.9767441860465176</v>
      </c>
      <c r="AI241" s="12">
        <f t="shared" si="78"/>
        <v>118221792</v>
      </c>
      <c r="AJ241" s="13">
        <f t="shared" ca="1" si="79"/>
        <v>115884849.59999999</v>
      </c>
    </row>
    <row r="242" spans="1:36" x14ac:dyDescent="0.25">
      <c r="A242" s="63"/>
      <c r="B242" s="8">
        <v>532941</v>
      </c>
      <c r="C242" s="8" t="s">
        <v>1014</v>
      </c>
      <c r="D242" s="20">
        <v>12925971</v>
      </c>
      <c r="E242" s="8">
        <v>178.8</v>
      </c>
      <c r="F242" s="8">
        <f ca="1">IFERROR(__xludf.DUMMYFUNCTION("GOOGLEFINANCE(""BOM:"" &amp; B242,""price"")"),173.5)</f>
        <v>173.5</v>
      </c>
      <c r="G242" s="8">
        <f t="shared" ref="G242:G274" ca="1" si="80">((F242-E242)/E242)*100</f>
        <v>-2.964205816554816</v>
      </c>
      <c r="H242" s="12">
        <f t="shared" ref="H242:H274" si="81">D242*E242</f>
        <v>2311163614.8000002</v>
      </c>
      <c r="I242" s="13">
        <f t="shared" ref="I242:I274" ca="1" si="82">D242*F242</f>
        <v>2242655968.5</v>
      </c>
      <c r="J242" s="63"/>
      <c r="K242" s="8">
        <v>543520</v>
      </c>
      <c r="L242" s="8" t="s">
        <v>1015</v>
      </c>
      <c r="M242" s="12">
        <v>10249990</v>
      </c>
      <c r="N242" s="10">
        <v>46</v>
      </c>
      <c r="O242" s="10">
        <f ca="1">IFERROR(__xludf.DUMMYFUNCTION("GOOGLEFINANCE(""BOM:"" &amp; K242,""price"")"),39.05)</f>
        <v>39.049999999999997</v>
      </c>
      <c r="P242" s="8">
        <f t="shared" ca="1" si="74"/>
        <v>-15.108695652173921</v>
      </c>
      <c r="Q242" s="12">
        <f t="shared" si="75"/>
        <v>471499540</v>
      </c>
      <c r="R242" s="13">
        <f t="shared" ca="1" si="76"/>
        <v>400262109.5</v>
      </c>
      <c r="S242" s="63"/>
      <c r="T242" s="8">
        <v>590071</v>
      </c>
      <c r="U242" s="8" t="s">
        <v>1016</v>
      </c>
      <c r="V242" s="12">
        <v>108101027</v>
      </c>
      <c r="W242" s="8">
        <v>4175.8</v>
      </c>
      <c r="X242" s="11">
        <f ca="1">IFERROR(__xludf.DUMMYFUNCTION("GOOGLEFINANCE(""BOM:"" &amp; T242,""price"")"),4003.3)</f>
        <v>4003.3</v>
      </c>
      <c r="Y242" s="8">
        <f t="shared" ca="1" si="70"/>
        <v>-4.130944968628766</v>
      </c>
      <c r="Z242" s="12">
        <f t="shared" si="62"/>
        <v>451408268546.60004</v>
      </c>
      <c r="AA242" s="13">
        <f t="shared" ca="1" si="63"/>
        <v>432760841389.10004</v>
      </c>
      <c r="AB242" s="63"/>
      <c r="AC242" s="8">
        <v>526367</v>
      </c>
      <c r="AD242" s="8" t="s">
        <v>1017</v>
      </c>
      <c r="AE242" s="12">
        <v>83081160</v>
      </c>
      <c r="AF242" s="8">
        <v>827.3</v>
      </c>
      <c r="AG242" s="8">
        <f ca="1">IFERROR(__xludf.DUMMYFUNCTION("GOOGLEFINANCE(""BOM:"" &amp; AC242,""price"")"),749)</f>
        <v>749</v>
      </c>
      <c r="AH242" s="8">
        <f t="shared" ca="1" si="77"/>
        <v>-9.464523147588535</v>
      </c>
      <c r="AI242" s="12">
        <f t="shared" si="78"/>
        <v>68733043668</v>
      </c>
      <c r="AJ242" s="13">
        <f t="shared" ca="1" si="79"/>
        <v>62227788840</v>
      </c>
    </row>
    <row r="243" spans="1:36" x14ac:dyDescent="0.25">
      <c r="A243" s="63"/>
      <c r="B243" s="8">
        <v>540795</v>
      </c>
      <c r="C243" s="8" t="s">
        <v>1018</v>
      </c>
      <c r="D243" s="20">
        <v>22014000</v>
      </c>
      <c r="E243" s="8">
        <v>425.6</v>
      </c>
      <c r="F243" s="8">
        <f ca="1">IFERROR(__xludf.DUMMYFUNCTION("GOOGLEFINANCE(""BOM:"" &amp; B243,""price"")"),371.4)</f>
        <v>371.4</v>
      </c>
      <c r="G243" s="8">
        <f t="shared" ca="1" si="80"/>
        <v>-12.734962406015047</v>
      </c>
      <c r="H243" s="12">
        <f t="shared" si="81"/>
        <v>9369158400</v>
      </c>
      <c r="I243" s="13">
        <f t="shared" ca="1" si="82"/>
        <v>8175999599.999999</v>
      </c>
      <c r="J243" s="63"/>
      <c r="K243" s="8">
        <v>539787</v>
      </c>
      <c r="L243" s="8" t="s">
        <v>1019</v>
      </c>
      <c r="M243" s="12">
        <v>138489124</v>
      </c>
      <c r="N243" s="10">
        <v>348</v>
      </c>
      <c r="O243" s="10">
        <f ca="1">IFERROR(__xludf.DUMMYFUNCTION("GOOGLEFINANCE(""BOM:"" &amp; K243,""price"")"),333.65)</f>
        <v>333.65</v>
      </c>
      <c r="P243" s="8">
        <f t="shared" ca="1" si="74"/>
        <v>-4.1235632183908111</v>
      </c>
      <c r="Q243" s="12">
        <f t="shared" si="75"/>
        <v>48194215152</v>
      </c>
      <c r="R243" s="13">
        <f t="shared" ca="1" si="76"/>
        <v>46206896222.599998</v>
      </c>
      <c r="S243" s="63"/>
      <c r="T243" s="8">
        <v>531433</v>
      </c>
      <c r="U243" s="8" t="s">
        <v>1020</v>
      </c>
      <c r="V243" s="12">
        <v>16754335</v>
      </c>
      <c r="W243" s="8">
        <v>2.95</v>
      </c>
      <c r="X243" s="11">
        <f ca="1">IFERROR(__xludf.DUMMYFUNCTION("GOOGLEFINANCE(""BOM:"" &amp; T243,""price"")"),2.98)</f>
        <v>2.98</v>
      </c>
      <c r="Y243" s="8">
        <f t="shared" ca="1" si="70"/>
        <v>1.0169491525423662</v>
      </c>
      <c r="Z243" s="12">
        <f t="shared" si="62"/>
        <v>49425288.25</v>
      </c>
      <c r="AA243" s="13">
        <f t="shared" ca="1" si="63"/>
        <v>49927918.299999997</v>
      </c>
      <c r="AB243" s="63"/>
      <c r="AC243" s="8">
        <v>532764</v>
      </c>
      <c r="AD243" s="8" t="s">
        <v>1021</v>
      </c>
      <c r="AE243" s="12">
        <v>20911714</v>
      </c>
      <c r="AF243" s="8">
        <v>280.60000000000002</v>
      </c>
      <c r="AG243" s="8">
        <f ca="1">IFERROR(__xludf.DUMMYFUNCTION("GOOGLEFINANCE(""BOM:"" &amp; AC243,""price"")"),256)</f>
        <v>256</v>
      </c>
      <c r="AH243" s="8">
        <f t="shared" ca="1" si="77"/>
        <v>-8.7669280114041417</v>
      </c>
      <c r="AI243" s="12">
        <f t="shared" si="78"/>
        <v>5867826948.4000006</v>
      </c>
      <c r="AJ243" s="13">
        <f t="shared" ca="1" si="79"/>
        <v>5353398784</v>
      </c>
    </row>
    <row r="244" spans="1:36" x14ac:dyDescent="0.25">
      <c r="A244" s="63"/>
      <c r="B244" s="8">
        <v>500144</v>
      </c>
      <c r="C244" s="8" t="s">
        <v>1022</v>
      </c>
      <c r="D244" s="20">
        <v>151665809</v>
      </c>
      <c r="E244" s="8">
        <v>918</v>
      </c>
      <c r="F244" s="8">
        <f ca="1">IFERROR(__xludf.DUMMYFUNCTION("GOOGLEFINANCE(""BOM:"" &amp; B244,""price"")"),1001)</f>
        <v>1001</v>
      </c>
      <c r="G244" s="8">
        <f t="shared" ca="1" si="80"/>
        <v>9.0413943355119812</v>
      </c>
      <c r="H244" s="12">
        <f t="shared" si="81"/>
        <v>139229212662</v>
      </c>
      <c r="I244" s="13">
        <f t="shared" ca="1" si="82"/>
        <v>151817474809</v>
      </c>
      <c r="J244" s="63"/>
      <c r="K244" s="8">
        <v>532150</v>
      </c>
      <c r="L244" s="8" t="s">
        <v>1023</v>
      </c>
      <c r="M244" s="12">
        <v>65215369</v>
      </c>
      <c r="N244" s="10">
        <v>184.2</v>
      </c>
      <c r="O244" s="10">
        <f ca="1">IFERROR(__xludf.DUMMYFUNCTION("GOOGLEFINANCE(""BOM:"" &amp; K244,""price"")"),171.75)</f>
        <v>171.75</v>
      </c>
      <c r="P244" s="8">
        <f t="shared" ca="1" si="74"/>
        <v>-6.7589576547231216</v>
      </c>
      <c r="Q244" s="12">
        <f t="shared" si="75"/>
        <v>12012670969.799999</v>
      </c>
      <c r="R244" s="13">
        <f t="shared" ca="1" si="76"/>
        <v>11200739625.75</v>
      </c>
      <c r="S244" s="63"/>
      <c r="T244" s="8">
        <v>539835</v>
      </c>
      <c r="U244" s="8" t="s">
        <v>1024</v>
      </c>
      <c r="V244" s="12">
        <v>27909500</v>
      </c>
      <c r="W244" s="8">
        <v>1.9</v>
      </c>
      <c r="X244" s="11">
        <f ca="1">IFERROR(__xludf.DUMMYFUNCTION("GOOGLEFINANCE(""BOM:"" &amp; T244,""price"")"),1.22)</f>
        <v>1.22</v>
      </c>
      <c r="Y244" s="8">
        <f t="shared" ca="1" si="70"/>
        <v>-35.789473684210527</v>
      </c>
      <c r="Z244" s="12">
        <f t="shared" si="62"/>
        <v>53028050</v>
      </c>
      <c r="AA244" s="13">
        <f t="shared" ca="1" si="63"/>
        <v>34049590</v>
      </c>
      <c r="AB244" s="63"/>
      <c r="AC244" s="8">
        <v>539407</v>
      </c>
      <c r="AD244" s="8" t="s">
        <v>1025</v>
      </c>
      <c r="AE244" s="12">
        <v>42049506</v>
      </c>
      <c r="AF244" s="8">
        <v>49.25</v>
      </c>
      <c r="AG244" s="8">
        <f ca="1">IFERROR(__xludf.DUMMYFUNCTION("GOOGLEFINANCE(""BOM:"" &amp; AC244,""price"")"),37.4)</f>
        <v>37.4</v>
      </c>
      <c r="AH244" s="8">
        <f t="shared" ca="1" si="77"/>
        <v>-24.060913705583758</v>
      </c>
      <c r="AI244" s="12">
        <f t="shared" si="78"/>
        <v>2070938170.5</v>
      </c>
      <c r="AJ244" s="13">
        <f t="shared" ca="1" si="79"/>
        <v>1572651524.3999999</v>
      </c>
    </row>
    <row r="245" spans="1:36" x14ac:dyDescent="0.25">
      <c r="A245" s="63"/>
      <c r="B245" s="8">
        <v>517569</v>
      </c>
      <c r="C245" s="8" t="s">
        <v>1026</v>
      </c>
      <c r="D245" s="20">
        <v>90019425</v>
      </c>
      <c r="E245" s="8">
        <v>3206.8</v>
      </c>
      <c r="F245" s="8">
        <f ca="1">IFERROR(__xludf.DUMMYFUNCTION("GOOGLEFINANCE(""BOM:"" &amp; B245,""price"")"),3470)</f>
        <v>3470</v>
      </c>
      <c r="G245" s="8">
        <f t="shared" ca="1" si="80"/>
        <v>8.2075589372583213</v>
      </c>
      <c r="H245" s="12">
        <f t="shared" si="81"/>
        <v>288674292090</v>
      </c>
      <c r="I245" s="13">
        <f t="shared" ca="1" si="82"/>
        <v>312367404750</v>
      </c>
      <c r="J245" s="63"/>
      <c r="K245" s="8">
        <v>543308</v>
      </c>
      <c r="L245" s="8" t="s">
        <v>1027</v>
      </c>
      <c r="M245" s="12">
        <v>79879262</v>
      </c>
      <c r="N245" s="10">
        <v>2215.0500000000002</v>
      </c>
      <c r="O245" s="10">
        <f ca="1">IFERROR(__xludf.DUMMYFUNCTION("GOOGLEFINANCE(""BOM:"" &amp; K245,""price"")"),2059.9)</f>
        <v>2059.9</v>
      </c>
      <c r="P245" s="8">
        <f t="shared" ca="1" si="74"/>
        <v>-7.0043565607999865</v>
      </c>
      <c r="Q245" s="12">
        <f t="shared" si="75"/>
        <v>176936559293.10001</v>
      </c>
      <c r="R245" s="13">
        <f t="shared" ca="1" si="76"/>
        <v>164543291793.80002</v>
      </c>
      <c r="S245" s="63"/>
      <c r="T245" s="8">
        <v>540168</v>
      </c>
      <c r="U245" s="8" t="s">
        <v>1028</v>
      </c>
      <c r="V245" s="12">
        <v>8547361</v>
      </c>
      <c r="W245" s="8">
        <v>27.29</v>
      </c>
      <c r="X245" s="11">
        <f ca="1">IFERROR(__xludf.DUMMYFUNCTION("GOOGLEFINANCE(""BOM:"" &amp; T245,""price"")"),28.1)</f>
        <v>28.1</v>
      </c>
      <c r="Y245" s="8">
        <f t="shared" ca="1" si="70"/>
        <v>2.9681201905459962</v>
      </c>
      <c r="Z245" s="12">
        <f t="shared" si="62"/>
        <v>233257481.69</v>
      </c>
      <c r="AA245" s="13">
        <f t="shared" ca="1" si="63"/>
        <v>240180844.10000002</v>
      </c>
      <c r="AB245" s="63"/>
      <c r="AC245" s="8">
        <v>533150</v>
      </c>
      <c r="AD245" s="8" t="s">
        <v>1029</v>
      </c>
      <c r="AE245" s="12">
        <v>277973916</v>
      </c>
      <c r="AF245" s="8">
        <v>2427.6999999999998</v>
      </c>
      <c r="AG245" s="8">
        <f ca="1">IFERROR(__xludf.DUMMYFUNCTION("GOOGLEFINANCE(""BOM:"" &amp; AC245,""price"")"),2299.05)</f>
        <v>2299.0500000000002</v>
      </c>
      <c r="AH245" s="8">
        <f t="shared" ca="1" si="77"/>
        <v>-5.2992544383572779</v>
      </c>
      <c r="AI245" s="12">
        <f t="shared" si="78"/>
        <v>674837275873.19995</v>
      </c>
      <c r="AJ245" s="13">
        <f t="shared" ca="1" si="79"/>
        <v>639075931579.80005</v>
      </c>
    </row>
    <row r="246" spans="1:36" x14ac:dyDescent="0.25">
      <c r="A246" s="63"/>
      <c r="B246" s="8">
        <v>530555</v>
      </c>
      <c r="C246" s="8" t="s">
        <v>1030</v>
      </c>
      <c r="D246" s="20">
        <v>193456357</v>
      </c>
      <c r="E246" s="8">
        <v>83.11</v>
      </c>
      <c r="F246" s="8">
        <f ca="1">IFERROR(__xludf.DUMMYFUNCTION("GOOGLEFINANCE(""BOM:"" &amp; B246,""price"")"),66.98)</f>
        <v>66.98</v>
      </c>
      <c r="G246" s="8">
        <f t="shared" ca="1" si="80"/>
        <v>-19.408013476115986</v>
      </c>
      <c r="H246" s="12">
        <f t="shared" si="81"/>
        <v>16078157830.27</v>
      </c>
      <c r="I246" s="13">
        <f t="shared" ca="1" si="82"/>
        <v>12957706791.860001</v>
      </c>
      <c r="J246" s="63"/>
      <c r="K246" s="8">
        <v>524520</v>
      </c>
      <c r="L246" s="8" t="s">
        <v>1031</v>
      </c>
      <c r="M246" s="12">
        <v>152049171</v>
      </c>
      <c r="N246" s="10">
        <v>89.45</v>
      </c>
      <c r="O246" s="10">
        <f ca="1">IFERROR(__xludf.DUMMYFUNCTION("GOOGLEFINANCE(""BOM:"" &amp; K246,""price"")"),81.17)</f>
        <v>81.17</v>
      </c>
      <c r="P246" s="8">
        <f t="shared" ca="1" si="74"/>
        <v>-9.2565679150363351</v>
      </c>
      <c r="Q246" s="12">
        <f t="shared" si="75"/>
        <v>13600798345.950001</v>
      </c>
      <c r="R246" s="13">
        <f t="shared" ca="1" si="76"/>
        <v>12341831210.07</v>
      </c>
      <c r="S246" s="63"/>
      <c r="T246" s="8">
        <v>539253</v>
      </c>
      <c r="U246" s="8" t="s">
        <v>1032</v>
      </c>
      <c r="V246" s="12">
        <v>5330900</v>
      </c>
      <c r="W246" s="8">
        <v>18.25</v>
      </c>
      <c r="X246" s="11">
        <f ca="1">IFERROR(__xludf.DUMMYFUNCTION("GOOGLEFINANCE(""BOM:"" &amp; T246,""price"")"),18.25)</f>
        <v>18.25</v>
      </c>
      <c r="Y246" s="8">
        <f t="shared" ca="1" si="70"/>
        <v>0</v>
      </c>
      <c r="Z246" s="12">
        <f t="shared" si="62"/>
        <v>97288925</v>
      </c>
      <c r="AA246" s="13">
        <f t="shared" ca="1" si="63"/>
        <v>97288925</v>
      </c>
      <c r="AB246" s="63"/>
      <c r="AC246" s="8">
        <v>505576</v>
      </c>
      <c r="AD246" s="8" t="s">
        <v>1033</v>
      </c>
      <c r="AE246" s="12" t="s">
        <v>60</v>
      </c>
      <c r="AF246" s="12" t="s">
        <v>60</v>
      </c>
      <c r="AG246" s="12" t="s">
        <v>60</v>
      </c>
      <c r="AH246" s="8"/>
      <c r="AI246" s="12"/>
      <c r="AJ246" s="13"/>
    </row>
    <row r="247" spans="1:36" x14ac:dyDescent="0.25">
      <c r="A247" s="63"/>
      <c r="B247" s="8">
        <v>542652</v>
      </c>
      <c r="C247" s="8" t="s">
        <v>1034</v>
      </c>
      <c r="D247" s="20">
        <v>149443034</v>
      </c>
      <c r="E247" s="8">
        <v>4803.05</v>
      </c>
      <c r="F247" s="8">
        <f ca="1">IFERROR(__xludf.DUMMYFUNCTION("GOOGLEFINANCE(""BOM:"" &amp; B247,""price"")"),5072.3)</f>
        <v>5072.3</v>
      </c>
      <c r="G247" s="8">
        <f t="shared" ca="1" si="80"/>
        <v>5.605812973006735</v>
      </c>
      <c r="H247" s="12">
        <f t="shared" si="81"/>
        <v>717782364453.70007</v>
      </c>
      <c r="I247" s="13">
        <f t="shared" ca="1" si="82"/>
        <v>758019901358.20007</v>
      </c>
      <c r="J247" s="63"/>
      <c r="K247" s="8">
        <v>523323</v>
      </c>
      <c r="L247" s="8" t="s">
        <v>1035</v>
      </c>
      <c r="M247" s="12">
        <v>10123220</v>
      </c>
      <c r="N247" s="10">
        <v>3844</v>
      </c>
      <c r="O247" s="10">
        <f ca="1">IFERROR(__xludf.DUMMYFUNCTION("GOOGLEFINANCE(""BOM:"" &amp; K247,""price"")"),3760)</f>
        <v>3760</v>
      </c>
      <c r="P247" s="8">
        <f t="shared" ca="1" si="74"/>
        <v>-2.1852237252861602</v>
      </c>
      <c r="Q247" s="12">
        <f t="shared" si="75"/>
        <v>38913657680</v>
      </c>
      <c r="R247" s="13">
        <f t="shared" ca="1" si="76"/>
        <v>38063307200</v>
      </c>
      <c r="S247" s="63"/>
      <c r="T247" s="8">
        <v>531003</v>
      </c>
      <c r="U247" s="8" t="s">
        <v>1036</v>
      </c>
      <c r="V247" s="12">
        <v>2555650</v>
      </c>
      <c r="W247" s="8">
        <v>75.819999999999993</v>
      </c>
      <c r="X247" s="11">
        <f ca="1">IFERROR(__xludf.DUMMYFUNCTION("GOOGLEFINANCE(""BOM:"" &amp; T247,""price"")"),58.15)</f>
        <v>58.15</v>
      </c>
      <c r="Y247" s="8">
        <f t="shared" ca="1" si="70"/>
        <v>-23.305196518069106</v>
      </c>
      <c r="Z247" s="12">
        <f t="shared" si="62"/>
        <v>193769382.99999997</v>
      </c>
      <c r="AA247" s="13">
        <f t="shared" ca="1" si="63"/>
        <v>148611047.5</v>
      </c>
      <c r="AB247" s="63"/>
      <c r="AC247" s="8">
        <v>500151</v>
      </c>
      <c r="AD247" s="8" t="s">
        <v>1037</v>
      </c>
      <c r="AE247" s="12">
        <v>16277578</v>
      </c>
      <c r="AF247" s="8">
        <v>58.03</v>
      </c>
      <c r="AG247" s="8">
        <f ca="1">IFERROR(__xludf.DUMMYFUNCTION("GOOGLEFINANCE(""BOM:"" &amp; AC247,""price"")"),37.95)</f>
        <v>37.950000000000003</v>
      </c>
      <c r="AH247" s="8">
        <f t="shared" ref="AH247:AH344" ca="1" si="83">((AG247-AF247)/AF247)*100</f>
        <v>-34.602791659486471</v>
      </c>
      <c r="AI247" s="12">
        <f t="shared" ref="AI247:AI344" si="84">AE247*AF247</f>
        <v>944587851.34000003</v>
      </c>
      <c r="AJ247" s="13">
        <f t="shared" ref="AJ247:AJ344" ca="1" si="85">AE247*AG247</f>
        <v>617734085.10000002</v>
      </c>
    </row>
    <row r="248" spans="1:36" x14ac:dyDescent="0.25">
      <c r="A248" s="63"/>
      <c r="B248" s="8">
        <v>538706</v>
      </c>
      <c r="C248" s="8" t="s">
        <v>1038</v>
      </c>
      <c r="D248" s="20">
        <v>95422500</v>
      </c>
      <c r="E248" s="8">
        <v>17.68</v>
      </c>
      <c r="F248" s="8">
        <f ca="1">IFERROR(__xludf.DUMMYFUNCTION("GOOGLEFINANCE(""BOM:"" &amp; B248,""price"")"),12.4)</f>
        <v>12.4</v>
      </c>
      <c r="G248" s="8">
        <f t="shared" ca="1" si="80"/>
        <v>-29.864253393665159</v>
      </c>
      <c r="H248" s="12">
        <f t="shared" si="81"/>
        <v>1687069800</v>
      </c>
      <c r="I248" s="13">
        <f t="shared" ca="1" si="82"/>
        <v>1183239000</v>
      </c>
      <c r="J248" s="63"/>
      <c r="K248" s="8">
        <v>532998</v>
      </c>
      <c r="L248" s="8" t="s">
        <v>1039</v>
      </c>
      <c r="M248" s="12">
        <v>20795423</v>
      </c>
      <c r="N248" s="10">
        <v>65.430000000000007</v>
      </c>
      <c r="O248" s="10">
        <f ca="1">IFERROR(__xludf.DUMMYFUNCTION("GOOGLEFINANCE(""BOM:"" &amp; K248,""price"")"),56.3)</f>
        <v>56.3</v>
      </c>
      <c r="P248" s="8">
        <f t="shared" ca="1" si="74"/>
        <v>-13.953843802537074</v>
      </c>
      <c r="Q248" s="12">
        <f t="shared" si="75"/>
        <v>1360644526.8900001</v>
      </c>
      <c r="R248" s="13">
        <f t="shared" ca="1" si="76"/>
        <v>1170782314.8999999</v>
      </c>
      <c r="S248" s="63"/>
      <c r="T248" s="8">
        <v>531432</v>
      </c>
      <c r="U248" s="8" t="s">
        <v>1040</v>
      </c>
      <c r="V248" s="12">
        <v>3771610</v>
      </c>
      <c r="W248" s="8">
        <v>5.6</v>
      </c>
      <c r="X248" s="11">
        <f ca="1">IFERROR(__xludf.DUMMYFUNCTION("GOOGLEFINANCE(""BOM:"" &amp; T248,""price"")"),6.4)</f>
        <v>6.4</v>
      </c>
      <c r="Y248" s="8">
        <f t="shared" ca="1" si="70"/>
        <v>14.285714285714299</v>
      </c>
      <c r="Z248" s="12">
        <f t="shared" si="62"/>
        <v>21121016</v>
      </c>
      <c r="AA248" s="13">
        <f t="shared" ca="1" si="63"/>
        <v>24138304</v>
      </c>
      <c r="AB248" s="63"/>
      <c r="AC248" s="8">
        <v>512479</v>
      </c>
      <c r="AD248" s="8" t="s">
        <v>1041</v>
      </c>
      <c r="AE248" s="12">
        <v>1205820</v>
      </c>
      <c r="AF248" s="8">
        <v>750</v>
      </c>
      <c r="AG248" s="8">
        <f ca="1">IFERROR(__xludf.DUMMYFUNCTION("GOOGLEFINANCE(""BOM:"" &amp; AC248,""price"")"),750)</f>
        <v>750</v>
      </c>
      <c r="AH248" s="8">
        <f t="shared" ca="1" si="83"/>
        <v>0</v>
      </c>
      <c r="AI248" s="12">
        <f t="shared" si="84"/>
        <v>904365000</v>
      </c>
      <c r="AJ248" s="13">
        <f t="shared" ca="1" si="85"/>
        <v>904365000</v>
      </c>
    </row>
    <row r="249" spans="1:36" x14ac:dyDescent="0.25">
      <c r="A249" s="64"/>
      <c r="B249" s="14">
        <v>504212</v>
      </c>
      <c r="C249" s="14" t="s">
        <v>1042</v>
      </c>
      <c r="D249" s="21">
        <v>34292488</v>
      </c>
      <c r="E249" s="8">
        <v>440.05</v>
      </c>
      <c r="F249" s="14">
        <f ca="1">IFERROR(__xludf.DUMMYFUNCTION("GOOGLEFINANCE(""BOM:"" &amp; B249,""price"")"),454)</f>
        <v>454</v>
      </c>
      <c r="G249" s="14">
        <f t="shared" ca="1" si="80"/>
        <v>3.170094307465058</v>
      </c>
      <c r="H249" s="15">
        <f t="shared" si="81"/>
        <v>15090409344.4</v>
      </c>
      <c r="I249" s="16">
        <f t="shared" ca="1" si="82"/>
        <v>15568789552</v>
      </c>
      <c r="J249" s="63"/>
      <c r="K249" s="8">
        <v>543220</v>
      </c>
      <c r="L249" s="8" t="s">
        <v>1043</v>
      </c>
      <c r="M249" s="12">
        <v>969634392</v>
      </c>
      <c r="N249" s="10">
        <v>736.4</v>
      </c>
      <c r="O249" s="10">
        <f ca="1">IFERROR(__xludf.DUMMYFUNCTION("GOOGLEFINANCE(""BOM:"" &amp; K249,""price"")"),820.4)</f>
        <v>820.4</v>
      </c>
      <c r="P249" s="8">
        <f t="shared" ca="1" si="74"/>
        <v>11.406844106463879</v>
      </c>
      <c r="Q249" s="12">
        <f t="shared" si="75"/>
        <v>714038766268.79993</v>
      </c>
      <c r="R249" s="13">
        <f t="shared" ca="1" si="76"/>
        <v>795488055196.79993</v>
      </c>
      <c r="S249" s="63"/>
      <c r="T249" s="8">
        <v>532284</v>
      </c>
      <c r="U249" s="8" t="s">
        <v>1044</v>
      </c>
      <c r="V249" s="12">
        <v>9497625</v>
      </c>
      <c r="W249" s="8">
        <v>62.51</v>
      </c>
      <c r="X249" s="11">
        <f ca="1">IFERROR(__xludf.DUMMYFUNCTION("GOOGLEFINANCE(""BOM:"" &amp; T249,""price"")"),59.3)</f>
        <v>59.3</v>
      </c>
      <c r="Y249" s="8">
        <f t="shared" ca="1" si="70"/>
        <v>-5.1351783714605679</v>
      </c>
      <c r="Z249" s="12">
        <f t="shared" si="62"/>
        <v>593696538.75</v>
      </c>
      <c r="AA249" s="13">
        <f t="shared" ca="1" si="63"/>
        <v>563209162.5</v>
      </c>
      <c r="AB249" s="63"/>
      <c r="AC249" s="8">
        <v>532467</v>
      </c>
      <c r="AD249" s="8" t="s">
        <v>1045</v>
      </c>
      <c r="AE249" s="12">
        <v>10117507</v>
      </c>
      <c r="AF249" s="8">
        <v>408.05</v>
      </c>
      <c r="AG249" s="8">
        <f ca="1">IFERROR(__xludf.DUMMYFUNCTION("GOOGLEFINANCE(""BOM:"" &amp; AC249,""price"")"),288)</f>
        <v>288</v>
      </c>
      <c r="AH249" s="8">
        <f t="shared" ca="1" si="83"/>
        <v>-29.420414164930769</v>
      </c>
      <c r="AI249" s="12">
        <f t="shared" si="84"/>
        <v>4128448731.3499999</v>
      </c>
      <c r="AJ249" s="13">
        <f t="shared" ca="1" si="85"/>
        <v>2913842016</v>
      </c>
    </row>
    <row r="250" spans="1:36" x14ac:dyDescent="0.25">
      <c r="A250" s="62" t="s">
        <v>1046</v>
      </c>
      <c r="B250" s="6">
        <v>532683</v>
      </c>
      <c r="C250" s="6" t="s">
        <v>1047</v>
      </c>
      <c r="D250" s="7">
        <v>94320240</v>
      </c>
      <c r="E250" s="6">
        <v>3680.6</v>
      </c>
      <c r="F250" s="8">
        <f ca="1">IFERROR(__xludf.DUMMYFUNCTION("GOOGLEFINANCE(""BOM:"" &amp; B250,""price"")"),3963)</f>
        <v>3963</v>
      </c>
      <c r="G250" s="8">
        <f t="shared" ca="1" si="80"/>
        <v>7.6726620659675078</v>
      </c>
      <c r="H250" s="7">
        <f t="shared" si="81"/>
        <v>347155075344</v>
      </c>
      <c r="I250" s="9">
        <f t="shared" ca="1" si="82"/>
        <v>373791111120</v>
      </c>
      <c r="J250" s="63"/>
      <c r="K250" s="8">
        <v>539551</v>
      </c>
      <c r="L250" s="8" t="s">
        <v>1048</v>
      </c>
      <c r="M250" s="12">
        <v>204360803</v>
      </c>
      <c r="N250" s="10">
        <v>1296.25</v>
      </c>
      <c r="O250" s="10">
        <f ca="1">IFERROR(__xludf.DUMMYFUNCTION("GOOGLEFINANCE(""BOM:"" &amp; K250,""price"")"),1293.6)</f>
        <v>1293.5999999999999</v>
      </c>
      <c r="P250" s="8">
        <f t="shared" ca="1" si="74"/>
        <v>-0.20443587270974664</v>
      </c>
      <c r="Q250" s="12">
        <f t="shared" si="75"/>
        <v>264902690888.75</v>
      </c>
      <c r="R250" s="13">
        <f t="shared" ca="1" si="76"/>
        <v>264361134760.79999</v>
      </c>
      <c r="S250" s="63"/>
      <c r="T250" s="8">
        <v>532812</v>
      </c>
      <c r="U250" s="8" t="s">
        <v>1049</v>
      </c>
      <c r="V250" s="12">
        <v>24427825</v>
      </c>
      <c r="W250" s="8">
        <v>11.65</v>
      </c>
      <c r="X250" s="11">
        <f ca="1">IFERROR(__xludf.DUMMYFUNCTION("GOOGLEFINANCE(""BOM:"" &amp; T250,""price"")"),10.73)</f>
        <v>10.73</v>
      </c>
      <c r="Y250" s="8">
        <f t="shared" ca="1" si="70"/>
        <v>-7.8969957081545052</v>
      </c>
      <c r="Z250" s="12">
        <f t="shared" si="62"/>
        <v>284584161.25</v>
      </c>
      <c r="AA250" s="13">
        <f t="shared" ca="1" si="63"/>
        <v>262110562.25</v>
      </c>
      <c r="AB250" s="63"/>
      <c r="AC250" s="8">
        <v>532334</v>
      </c>
      <c r="AD250" s="8" t="s">
        <v>1050</v>
      </c>
      <c r="AE250" s="12">
        <v>18056429</v>
      </c>
      <c r="AF250" s="8">
        <v>67.150000000000006</v>
      </c>
      <c r="AG250" s="8">
        <f ca="1">IFERROR(__xludf.DUMMYFUNCTION("GOOGLEFINANCE(""BOM:"" &amp; AC250,""price"")"),62.5)</f>
        <v>62.5</v>
      </c>
      <c r="AH250" s="8">
        <f t="shared" ca="1" si="83"/>
        <v>-6.9247952345495243</v>
      </c>
      <c r="AI250" s="12">
        <f t="shared" si="84"/>
        <v>1212489207.3500001</v>
      </c>
      <c r="AJ250" s="13">
        <f t="shared" ca="1" si="85"/>
        <v>1128526812.5</v>
      </c>
    </row>
    <row r="251" spans="1:36" x14ac:dyDescent="0.25">
      <c r="A251" s="63"/>
      <c r="B251" s="8">
        <v>504646</v>
      </c>
      <c r="C251" s="8" t="s">
        <v>1051</v>
      </c>
      <c r="D251" s="12">
        <v>2745743</v>
      </c>
      <c r="E251" s="8">
        <v>478</v>
      </c>
      <c r="F251" s="8">
        <f ca="1">IFERROR(__xludf.DUMMYFUNCTION("GOOGLEFINANCE(""BOM:"" &amp; B251,""price"")"),386)</f>
        <v>386</v>
      </c>
      <c r="G251" s="8">
        <f t="shared" ca="1" si="80"/>
        <v>-19.246861924686193</v>
      </c>
      <c r="H251" s="12">
        <f t="shared" si="81"/>
        <v>1312465154</v>
      </c>
      <c r="I251" s="13">
        <f t="shared" ca="1" si="82"/>
        <v>1059856798</v>
      </c>
      <c r="J251" s="63"/>
      <c r="K251" s="8">
        <v>543524</v>
      </c>
      <c r="L251" s="8" t="s">
        <v>1052</v>
      </c>
      <c r="M251" s="12">
        <v>101501687</v>
      </c>
      <c r="N251" s="10">
        <v>1314.65</v>
      </c>
      <c r="O251" s="10">
        <f ca="1">IFERROR(__xludf.DUMMYFUNCTION("GOOGLEFINANCE(""BOM:"" &amp; K251,""price"")"),1295)</f>
        <v>1295</v>
      </c>
      <c r="P251" s="8">
        <f t="shared" ca="1" si="74"/>
        <v>-1.4946944053550442</v>
      </c>
      <c r="Q251" s="12">
        <f t="shared" si="75"/>
        <v>133439192814.55</v>
      </c>
      <c r="R251" s="13">
        <f t="shared" ca="1" si="76"/>
        <v>131444684665</v>
      </c>
      <c r="S251" s="63"/>
      <c r="T251" s="8">
        <v>539468</v>
      </c>
      <c r="U251" s="8" t="s">
        <v>1053</v>
      </c>
      <c r="V251" s="12">
        <v>2522620</v>
      </c>
      <c r="W251" s="8">
        <v>18.95</v>
      </c>
      <c r="X251" s="11">
        <f ca="1">IFERROR(__xludf.DUMMYFUNCTION("GOOGLEFINANCE(""BOM:"" &amp; T251,""price"")"),18.95)</f>
        <v>18.95</v>
      </c>
      <c r="Y251" s="8">
        <f t="shared" ca="1" si="70"/>
        <v>0</v>
      </c>
      <c r="Z251" s="12">
        <f t="shared" si="62"/>
        <v>47803649</v>
      </c>
      <c r="AA251" s="13">
        <f t="shared" ca="1" si="63"/>
        <v>47803649</v>
      </c>
      <c r="AB251" s="63"/>
      <c r="AC251" s="8">
        <v>532873</v>
      </c>
      <c r="AD251" s="8" t="s">
        <v>1054</v>
      </c>
      <c r="AE251" s="12">
        <v>473964932</v>
      </c>
      <c r="AF251" s="8">
        <v>5.64</v>
      </c>
      <c r="AG251" s="8">
        <f ca="1">IFERROR(__xludf.DUMMYFUNCTION("GOOGLEFINANCE(""BOM:"" &amp; AC251,""price"")"),4.61)</f>
        <v>4.6100000000000003</v>
      </c>
      <c r="AH251" s="8">
        <f t="shared" ca="1" si="83"/>
        <v>-18.26241134751772</v>
      </c>
      <c r="AI251" s="12">
        <f t="shared" si="84"/>
        <v>2673162216.48</v>
      </c>
      <c r="AJ251" s="13">
        <f t="shared" ca="1" si="85"/>
        <v>2184978336.52</v>
      </c>
    </row>
    <row r="252" spans="1:36" x14ac:dyDescent="0.25">
      <c r="A252" s="63"/>
      <c r="B252" s="8">
        <v>500493</v>
      </c>
      <c r="C252" s="8" t="s">
        <v>1055</v>
      </c>
      <c r="D252" s="12">
        <v>451871730</v>
      </c>
      <c r="E252" s="8">
        <v>1185</v>
      </c>
      <c r="F252" s="8">
        <f ca="1">IFERROR(__xludf.DUMMYFUNCTION("GOOGLEFINANCE(""BOM:"" &amp; B252,""price"")"),1135)</f>
        <v>1135</v>
      </c>
      <c r="G252" s="8">
        <f t="shared" ca="1" si="80"/>
        <v>-4.2194092827004219</v>
      </c>
      <c r="H252" s="12">
        <f t="shared" si="81"/>
        <v>535468000050</v>
      </c>
      <c r="I252" s="13">
        <f t="shared" ca="1" si="82"/>
        <v>512874413550</v>
      </c>
      <c r="J252" s="63"/>
      <c r="K252" s="8">
        <v>540797</v>
      </c>
      <c r="L252" s="8" t="s">
        <v>1056</v>
      </c>
      <c r="M252" s="12">
        <v>107988017</v>
      </c>
      <c r="N252" s="10">
        <v>267.25</v>
      </c>
      <c r="O252" s="10">
        <f ca="1">IFERROR(__xludf.DUMMYFUNCTION("GOOGLEFINANCE(""BOM:"" &amp; K252,""price"")"),237)</f>
        <v>237</v>
      </c>
      <c r="P252" s="8">
        <f t="shared" ca="1" si="74"/>
        <v>-11.318989710009355</v>
      </c>
      <c r="Q252" s="12">
        <f t="shared" si="75"/>
        <v>28859797543.25</v>
      </c>
      <c r="R252" s="13">
        <f t="shared" ca="1" si="76"/>
        <v>25593160029</v>
      </c>
      <c r="S252" s="63"/>
      <c r="T252" s="8">
        <v>531652</v>
      </c>
      <c r="U252" s="8" t="s">
        <v>1057</v>
      </c>
      <c r="V252" s="12">
        <v>1844000</v>
      </c>
      <c r="W252" s="8">
        <v>42.56</v>
      </c>
      <c r="X252" s="11">
        <f ca="1">IFERROR(__xludf.DUMMYFUNCTION("GOOGLEFINANCE(""BOM:"" &amp; T252,""price"")"),76.36)</f>
        <v>76.36</v>
      </c>
      <c r="Y252" s="8">
        <f t="shared" ca="1" si="70"/>
        <v>79.417293233082702</v>
      </c>
      <c r="Z252" s="12">
        <f t="shared" si="62"/>
        <v>78480640</v>
      </c>
      <c r="AA252" s="13">
        <f t="shared" ca="1" si="63"/>
        <v>140807840</v>
      </c>
      <c r="AB252" s="63"/>
      <c r="AC252" s="8">
        <v>543242</v>
      </c>
      <c r="AD252" s="8" t="s">
        <v>1058</v>
      </c>
      <c r="AE252" s="12">
        <v>284837997</v>
      </c>
      <c r="AF252" s="8">
        <v>210.3</v>
      </c>
      <c r="AG252" s="8">
        <f ca="1">IFERROR(__xludf.DUMMYFUNCTION("GOOGLEFINANCE(""BOM:"" &amp; AC252,""price"")"),199.8)</f>
        <v>199.8</v>
      </c>
      <c r="AH252" s="8">
        <f t="shared" ca="1" si="83"/>
        <v>-4.9928673323823105</v>
      </c>
      <c r="AI252" s="12">
        <f t="shared" si="84"/>
        <v>59901430769.100006</v>
      </c>
      <c r="AJ252" s="13">
        <f t="shared" ca="1" si="85"/>
        <v>56910631800.600006</v>
      </c>
    </row>
    <row r="253" spans="1:36" x14ac:dyDescent="0.25">
      <c r="A253" s="63"/>
      <c r="B253" s="8">
        <v>539527</v>
      </c>
      <c r="C253" s="8" t="s">
        <v>1059</v>
      </c>
      <c r="D253" s="12">
        <v>1265900</v>
      </c>
      <c r="E253" s="8">
        <v>744.95</v>
      </c>
      <c r="F253" s="8">
        <f ca="1">IFERROR(__xludf.DUMMYFUNCTION("GOOGLEFINANCE(""BOM:"" &amp; B253,""price"")"),705)</f>
        <v>705</v>
      </c>
      <c r="G253" s="8">
        <f t="shared" ca="1" si="80"/>
        <v>-5.3627760252365988</v>
      </c>
      <c r="H253" s="12">
        <f t="shared" si="81"/>
        <v>943032205</v>
      </c>
      <c r="I253" s="13">
        <f t="shared" ca="1" si="82"/>
        <v>892459500</v>
      </c>
      <c r="J253" s="64"/>
      <c r="K253" s="14">
        <v>539378</v>
      </c>
      <c r="L253" s="14" t="s">
        <v>1060</v>
      </c>
      <c r="M253" s="15">
        <v>195500</v>
      </c>
      <c r="N253" s="17">
        <v>25</v>
      </c>
      <c r="O253" s="17">
        <f ca="1">IFERROR(__xludf.DUMMYFUNCTION("GOOGLEFINANCE(""BOM:"" &amp; K253,""price"")"),25.62)</f>
        <v>25.62</v>
      </c>
      <c r="P253" s="14">
        <f t="shared" ca="1" si="74"/>
        <v>2.480000000000004</v>
      </c>
      <c r="Q253" s="15">
        <f t="shared" si="75"/>
        <v>4887500</v>
      </c>
      <c r="R253" s="16">
        <f t="shared" ca="1" si="76"/>
        <v>5008710</v>
      </c>
      <c r="S253" s="63"/>
      <c r="T253" s="8">
        <v>511559</v>
      </c>
      <c r="U253" s="8" t="s">
        <v>1061</v>
      </c>
      <c r="V253" s="12">
        <v>8071207</v>
      </c>
      <c r="W253" s="8">
        <v>111.65</v>
      </c>
      <c r="X253" s="11">
        <f ca="1">IFERROR(__xludf.DUMMYFUNCTION("GOOGLEFINANCE(""BOM:"" &amp; T253,""price"")"),91.95)</f>
        <v>91.95</v>
      </c>
      <c r="Y253" s="8">
        <f t="shared" ca="1" si="70"/>
        <v>-17.644424540976267</v>
      </c>
      <c r="Z253" s="12">
        <f t="shared" si="62"/>
        <v>901150261.55000007</v>
      </c>
      <c r="AA253" s="13">
        <f t="shared" ca="1" si="63"/>
        <v>742147483.64999998</v>
      </c>
      <c r="AB253" s="63"/>
      <c r="AC253" s="8">
        <v>532799</v>
      </c>
      <c r="AD253" s="8" t="s">
        <v>1062</v>
      </c>
      <c r="AE253" s="12">
        <v>72735854</v>
      </c>
      <c r="AF253" s="8">
        <v>145.85</v>
      </c>
      <c r="AG253" s="8">
        <f ca="1">IFERROR(__xludf.DUMMYFUNCTION("GOOGLEFINANCE(""BOM:"" &amp; AC253,""price"")"),130.6)</f>
        <v>130.6</v>
      </c>
      <c r="AH253" s="8">
        <f t="shared" ca="1" si="83"/>
        <v>-10.455947891669524</v>
      </c>
      <c r="AI253" s="12">
        <f t="shared" si="84"/>
        <v>10608524305.9</v>
      </c>
      <c r="AJ253" s="13">
        <f t="shared" ca="1" si="85"/>
        <v>9499302532.3999996</v>
      </c>
    </row>
    <row r="254" spans="1:36" x14ac:dyDescent="0.25">
      <c r="A254" s="63"/>
      <c r="B254" s="8">
        <v>500128</v>
      </c>
      <c r="C254" s="8" t="s">
        <v>1063</v>
      </c>
      <c r="D254" s="12">
        <v>590516082</v>
      </c>
      <c r="E254" s="8">
        <v>165.3</v>
      </c>
      <c r="F254" s="8">
        <f ca="1">IFERROR(__xludf.DUMMYFUNCTION("GOOGLEFINANCE(""BOM:"" &amp; B254,""price"")"),180)</f>
        <v>180</v>
      </c>
      <c r="G254" s="8">
        <f t="shared" ca="1" si="80"/>
        <v>8.892921960072588</v>
      </c>
      <c r="H254" s="12">
        <f t="shared" si="81"/>
        <v>97612308354.600006</v>
      </c>
      <c r="I254" s="13">
        <f t="shared" ca="1" si="82"/>
        <v>106292894760</v>
      </c>
      <c r="J254" s="62" t="s">
        <v>1064</v>
      </c>
      <c r="K254" s="6">
        <v>523269</v>
      </c>
      <c r="L254" s="6" t="s">
        <v>1065</v>
      </c>
      <c r="M254" s="7">
        <v>45464345</v>
      </c>
      <c r="N254" s="10">
        <v>166</v>
      </c>
      <c r="O254" s="10">
        <f ca="1">IFERROR(__xludf.DUMMYFUNCTION("GOOGLEFINANCE(""BOM:"" &amp; K254,""price"")"),71.7)</f>
        <v>71.7</v>
      </c>
      <c r="P254" s="8">
        <f t="shared" ca="1" si="74"/>
        <v>-56.807228915662641</v>
      </c>
      <c r="Q254" s="7">
        <f t="shared" si="75"/>
        <v>7547081270</v>
      </c>
      <c r="R254" s="9">
        <f t="shared" ca="1" si="76"/>
        <v>3259793536.5</v>
      </c>
      <c r="S254" s="63"/>
      <c r="T254" s="8">
        <v>530045</v>
      </c>
      <c r="U254" s="8" t="s">
        <v>1066</v>
      </c>
      <c r="V254" s="12">
        <v>24349978</v>
      </c>
      <c r="W254" s="8">
        <v>33.25</v>
      </c>
      <c r="X254" s="11">
        <f ca="1">IFERROR(__xludf.DUMMYFUNCTION("GOOGLEFINANCE(""BOM:"" &amp; T254,""price"")"),29.62)</f>
        <v>29.62</v>
      </c>
      <c r="Y254" s="8">
        <f t="shared" ca="1" si="70"/>
        <v>-10.917293233082702</v>
      </c>
      <c r="Z254" s="12">
        <f t="shared" si="62"/>
        <v>809636768.5</v>
      </c>
      <c r="AA254" s="13">
        <f t="shared" ca="1" si="63"/>
        <v>721246348.36000001</v>
      </c>
      <c r="AB254" s="63"/>
      <c r="AC254" s="8">
        <v>532832</v>
      </c>
      <c r="AD254" s="8" t="s">
        <v>1067</v>
      </c>
      <c r="AE254" s="12">
        <v>541673810</v>
      </c>
      <c r="AF254" s="8">
        <v>120.2</v>
      </c>
      <c r="AG254" s="8">
        <f ca="1">IFERROR(__xludf.DUMMYFUNCTION("GOOGLEFINANCE(""BOM:"" &amp; AC254,""price"")"),115.95)</f>
        <v>115.95</v>
      </c>
      <c r="AH254" s="8">
        <f t="shared" ca="1" si="83"/>
        <v>-3.5357737104825286</v>
      </c>
      <c r="AI254" s="12">
        <f t="shared" si="84"/>
        <v>65109191962</v>
      </c>
      <c r="AJ254" s="13">
        <f t="shared" ca="1" si="85"/>
        <v>62807078269.5</v>
      </c>
    </row>
    <row r="255" spans="1:36" x14ac:dyDescent="0.25">
      <c r="A255" s="63"/>
      <c r="B255" s="8">
        <v>517372</v>
      </c>
      <c r="C255" s="8" t="s">
        <v>1068</v>
      </c>
      <c r="D255" s="12">
        <v>3175606</v>
      </c>
      <c r="E255" s="8">
        <v>260</v>
      </c>
      <c r="F255" s="8">
        <f ca="1">IFERROR(__xludf.DUMMYFUNCTION("GOOGLEFINANCE(""BOM:"" &amp; B255,""price"")"),258.4)</f>
        <v>258.39999999999998</v>
      </c>
      <c r="G255" s="8">
        <f t="shared" ca="1" si="80"/>
        <v>-0.61538461538462419</v>
      </c>
      <c r="H255" s="12">
        <f t="shared" si="81"/>
        <v>825657560</v>
      </c>
      <c r="I255" s="13">
        <f t="shared" ca="1" si="82"/>
        <v>820576590.39999998</v>
      </c>
      <c r="J255" s="63"/>
      <c r="K255" s="8">
        <v>533227</v>
      </c>
      <c r="L255" s="8" t="s">
        <v>1069</v>
      </c>
      <c r="M255" s="12">
        <v>17082393</v>
      </c>
      <c r="N255" s="10">
        <v>162.65</v>
      </c>
      <c r="O255" s="10">
        <f ca="1">IFERROR(__xludf.DUMMYFUNCTION("GOOGLEFINANCE(""BOM:"" &amp; K255,""price"")"),136)</f>
        <v>136</v>
      </c>
      <c r="P255" s="8">
        <f t="shared" ca="1" si="74"/>
        <v>-16.384875499538889</v>
      </c>
      <c r="Q255" s="12">
        <f t="shared" si="75"/>
        <v>2778451221.4500003</v>
      </c>
      <c r="R255" s="13">
        <f t="shared" ca="1" si="76"/>
        <v>2323205448</v>
      </c>
      <c r="S255" s="63"/>
      <c r="T255" s="8">
        <v>531644</v>
      </c>
      <c r="U255" s="8" t="s">
        <v>1070</v>
      </c>
      <c r="V255" s="12">
        <v>6037800</v>
      </c>
      <c r="W255" s="8">
        <v>19.29</v>
      </c>
      <c r="X255" s="11">
        <f ca="1">IFERROR(__xludf.DUMMYFUNCTION("GOOGLEFINANCE(""BOM:"" &amp; T255,""price"")"),20.3)</f>
        <v>20.3</v>
      </c>
      <c r="Y255" s="8">
        <f t="shared" ca="1" si="70"/>
        <v>5.23587350959047</v>
      </c>
      <c r="Z255" s="12">
        <f t="shared" si="62"/>
        <v>116469162</v>
      </c>
      <c r="AA255" s="13">
        <f t="shared" ca="1" si="63"/>
        <v>122567340</v>
      </c>
      <c r="AB255" s="63"/>
      <c r="AC255" s="8">
        <v>531968</v>
      </c>
      <c r="AD255" s="8" t="s">
        <v>1071</v>
      </c>
      <c r="AE255" s="12">
        <v>4407885</v>
      </c>
      <c r="AF255" s="8">
        <v>34.909999999999997</v>
      </c>
      <c r="AG255" s="8">
        <f ca="1">IFERROR(__xludf.DUMMYFUNCTION("GOOGLEFINANCE(""BOM:"" &amp; AC255,""price"")"),58.55)</f>
        <v>58.55</v>
      </c>
      <c r="AH255" s="8">
        <f t="shared" ca="1" si="83"/>
        <v>67.716986536808946</v>
      </c>
      <c r="AI255" s="12">
        <f t="shared" si="84"/>
        <v>153879265.34999999</v>
      </c>
      <c r="AJ255" s="13">
        <f t="shared" ca="1" si="85"/>
        <v>258081666.75</v>
      </c>
    </row>
    <row r="256" spans="1:36" x14ac:dyDescent="0.25">
      <c r="A256" s="63"/>
      <c r="B256" s="8">
        <v>532847</v>
      </c>
      <c r="C256" s="8" t="s">
        <v>1072</v>
      </c>
      <c r="D256" s="12">
        <v>12443011</v>
      </c>
      <c r="E256" s="8">
        <v>153.6</v>
      </c>
      <c r="F256" s="8">
        <f ca="1">IFERROR(__xludf.DUMMYFUNCTION("GOOGLEFINANCE(""BOM:"" &amp; B256,""price"")"),102.55)</f>
        <v>102.55</v>
      </c>
      <c r="G256" s="8">
        <f t="shared" ca="1" si="80"/>
        <v>-33.235677083333329</v>
      </c>
      <c r="H256" s="12">
        <f t="shared" si="81"/>
        <v>1911246489.5999999</v>
      </c>
      <c r="I256" s="13">
        <f t="shared" ca="1" si="82"/>
        <v>1276030778.05</v>
      </c>
      <c r="J256" s="63"/>
      <c r="K256" s="8">
        <v>500016</v>
      </c>
      <c r="L256" s="8" t="s">
        <v>1073</v>
      </c>
      <c r="M256" s="12">
        <v>30972901</v>
      </c>
      <c r="N256" s="10">
        <v>17.399999999999999</v>
      </c>
      <c r="O256" s="10">
        <f ca="1">IFERROR(__xludf.DUMMYFUNCTION("GOOGLEFINANCE(""BOM:"" &amp; K256,""price"")"),11.69)</f>
        <v>11.69</v>
      </c>
      <c r="P256" s="8">
        <f t="shared" ca="1" si="74"/>
        <v>-32.816091954022987</v>
      </c>
      <c r="Q256" s="12">
        <f t="shared" si="75"/>
        <v>538928477.39999998</v>
      </c>
      <c r="R256" s="13">
        <f t="shared" ca="1" si="76"/>
        <v>362073212.69</v>
      </c>
      <c r="S256" s="63"/>
      <c r="T256" s="8">
        <v>538464</v>
      </c>
      <c r="U256" s="8" t="s">
        <v>1074</v>
      </c>
      <c r="V256" s="12">
        <v>20210865</v>
      </c>
      <c r="W256" s="8">
        <v>3.82</v>
      </c>
      <c r="X256" s="11">
        <f ca="1">IFERROR(__xludf.DUMMYFUNCTION("GOOGLEFINANCE(""BOM:"" &amp; T256,""price"")"),3.69)</f>
        <v>3.69</v>
      </c>
      <c r="Y256" s="8">
        <f t="shared" ca="1" si="70"/>
        <v>-3.4031413612565418</v>
      </c>
      <c r="Z256" s="12">
        <f t="shared" si="62"/>
        <v>77205504.299999997</v>
      </c>
      <c r="AA256" s="13">
        <f t="shared" ca="1" si="63"/>
        <v>74578091.849999994</v>
      </c>
      <c r="AB256" s="63"/>
      <c r="AC256" s="8">
        <v>502901</v>
      </c>
      <c r="AD256" s="8" t="s">
        <v>1075</v>
      </c>
      <c r="AE256" s="12">
        <v>66515</v>
      </c>
      <c r="AF256" s="8">
        <v>5119.8</v>
      </c>
      <c r="AG256" s="8">
        <f ca="1">IFERROR(__xludf.DUMMYFUNCTION("GOOGLEFINANCE(""BOM:"" &amp; AC256,""price"")"),6550)</f>
        <v>6550</v>
      </c>
      <c r="AH256" s="8">
        <f t="shared" ca="1" si="83"/>
        <v>27.9346849486308</v>
      </c>
      <c r="AI256" s="12">
        <f t="shared" si="84"/>
        <v>340543497</v>
      </c>
      <c r="AJ256" s="13">
        <f t="shared" ca="1" si="85"/>
        <v>435673250</v>
      </c>
    </row>
    <row r="257" spans="1:36" x14ac:dyDescent="0.25">
      <c r="A257" s="63"/>
      <c r="B257" s="8">
        <v>504786</v>
      </c>
      <c r="C257" s="8" t="s">
        <v>1076</v>
      </c>
      <c r="D257" s="12">
        <v>4954881</v>
      </c>
      <c r="E257" s="8">
        <v>560</v>
      </c>
      <c r="F257" s="8">
        <f ca="1">IFERROR(__xludf.DUMMYFUNCTION("GOOGLEFINANCE(""BOM:"" &amp; B257,""price"")"),546)</f>
        <v>546</v>
      </c>
      <c r="G257" s="8">
        <f t="shared" ca="1" si="80"/>
        <v>-2.5</v>
      </c>
      <c r="H257" s="12">
        <f t="shared" si="81"/>
        <v>2774733360</v>
      </c>
      <c r="I257" s="13">
        <f t="shared" ca="1" si="82"/>
        <v>2705365026</v>
      </c>
      <c r="J257" s="63"/>
      <c r="K257" s="8">
        <v>500023</v>
      </c>
      <c r="L257" s="8" t="s">
        <v>1077</v>
      </c>
      <c r="M257" s="12">
        <v>19320471</v>
      </c>
      <c r="N257" s="10">
        <v>134.69999999999999</v>
      </c>
      <c r="O257" s="10">
        <f ca="1">IFERROR(__xludf.DUMMYFUNCTION("GOOGLEFINANCE(""BOM:"" &amp; K257,""price"")"),134.5)</f>
        <v>134.5</v>
      </c>
      <c r="P257" s="8">
        <f t="shared" ca="1" si="74"/>
        <v>-0.14847809948031823</v>
      </c>
      <c r="Q257" s="12">
        <f t="shared" si="75"/>
        <v>2602467443.6999998</v>
      </c>
      <c r="R257" s="13">
        <f t="shared" ca="1" si="76"/>
        <v>2598603349.5</v>
      </c>
      <c r="S257" s="63"/>
      <c r="T257" s="8">
        <v>526961</v>
      </c>
      <c r="U257" s="8" t="s">
        <v>1078</v>
      </c>
      <c r="V257" s="12">
        <v>8770068</v>
      </c>
      <c r="W257" s="8">
        <v>643.65</v>
      </c>
      <c r="X257" s="11">
        <f ca="1">IFERROR(__xludf.DUMMYFUNCTION("GOOGLEFINANCE(""BOM:"" &amp; T257,""price"")"),875.85)</f>
        <v>875.85</v>
      </c>
      <c r="Y257" s="8">
        <f t="shared" ca="1" si="70"/>
        <v>36.075506874854355</v>
      </c>
      <c r="Z257" s="12">
        <f t="shared" si="62"/>
        <v>5644854268.1999998</v>
      </c>
      <c r="AA257" s="13">
        <f t="shared" ca="1" si="63"/>
        <v>7681264057.8000002</v>
      </c>
      <c r="AB257" s="63"/>
      <c r="AC257" s="8">
        <v>538794</v>
      </c>
      <c r="AD257" s="8" t="s">
        <v>1079</v>
      </c>
      <c r="AE257" s="12">
        <v>4192000</v>
      </c>
      <c r="AF257" s="8">
        <v>10.119999999999999</v>
      </c>
      <c r="AG257" s="8">
        <f ca="1">IFERROR(__xludf.DUMMYFUNCTION("GOOGLEFINANCE(""BOM:"" &amp; AC257,""price"")"),10.41)</f>
        <v>10.41</v>
      </c>
      <c r="AH257" s="8">
        <f t="shared" ca="1" si="83"/>
        <v>2.8656126482213535</v>
      </c>
      <c r="AI257" s="12">
        <f t="shared" si="84"/>
        <v>42423040</v>
      </c>
      <c r="AJ257" s="13">
        <f t="shared" ca="1" si="85"/>
        <v>43638720</v>
      </c>
    </row>
    <row r="258" spans="1:36" x14ac:dyDescent="0.25">
      <c r="A258" s="63"/>
      <c r="B258" s="8">
        <v>513509</v>
      </c>
      <c r="C258" s="8" t="s">
        <v>1080</v>
      </c>
      <c r="D258" s="12">
        <v>2833428</v>
      </c>
      <c r="E258" s="8">
        <v>434.75</v>
      </c>
      <c r="F258" s="8">
        <f ca="1">IFERROR(__xludf.DUMMYFUNCTION("GOOGLEFINANCE(""BOM:"" &amp; B258,""price"")"),405)</f>
        <v>405</v>
      </c>
      <c r="G258" s="8">
        <f t="shared" ca="1" si="80"/>
        <v>-6.8430132259919496</v>
      </c>
      <c r="H258" s="12">
        <f t="shared" si="81"/>
        <v>1231832823</v>
      </c>
      <c r="I258" s="13">
        <f t="shared" ca="1" si="82"/>
        <v>1147538340</v>
      </c>
      <c r="J258" s="63"/>
      <c r="K258" s="8">
        <v>509438</v>
      </c>
      <c r="L258" s="8" t="s">
        <v>1081</v>
      </c>
      <c r="M258" s="12">
        <v>1235290</v>
      </c>
      <c r="N258" s="10">
        <v>9158</v>
      </c>
      <c r="O258" s="10">
        <f ca="1">IFERROR(__xludf.DUMMYFUNCTION("GOOGLEFINANCE(""BOM:"" &amp; K258,""price"")"),8640)</f>
        <v>8640</v>
      </c>
      <c r="P258" s="8">
        <f t="shared" ca="1" si="74"/>
        <v>-5.6562568246342</v>
      </c>
      <c r="Q258" s="12">
        <f t="shared" si="75"/>
        <v>11312785820</v>
      </c>
      <c r="R258" s="13">
        <f t="shared" ca="1" si="76"/>
        <v>10672905600</v>
      </c>
      <c r="S258" s="63"/>
      <c r="T258" s="8">
        <v>511730</v>
      </c>
      <c r="U258" s="8" t="s">
        <v>1082</v>
      </c>
      <c r="V258" s="12">
        <v>4684485</v>
      </c>
      <c r="W258" s="8">
        <v>25.63</v>
      </c>
      <c r="X258" s="11">
        <f ca="1">IFERROR(__xludf.DUMMYFUNCTION("GOOGLEFINANCE(""BOM:"" &amp; T258,""price"")"),26.91)</f>
        <v>26.91</v>
      </c>
      <c r="Y258" s="8">
        <f t="shared" ca="1" si="70"/>
        <v>4.9941474834178745</v>
      </c>
      <c r="Z258" s="12">
        <f t="shared" si="62"/>
        <v>120063350.55</v>
      </c>
      <c r="AA258" s="13">
        <f t="shared" ca="1" si="63"/>
        <v>126059491.34999999</v>
      </c>
      <c r="AB258" s="63"/>
      <c r="AC258" s="8">
        <v>508929</v>
      </c>
      <c r="AD258" s="8" t="s">
        <v>1083</v>
      </c>
      <c r="AE258" s="12">
        <v>1900720</v>
      </c>
      <c r="AF258" s="8">
        <v>43.17</v>
      </c>
      <c r="AG258" s="8">
        <f ca="1">IFERROR(__xludf.DUMMYFUNCTION("GOOGLEFINANCE(""BOM:"" &amp; AC258,""price"")"),45.32)</f>
        <v>45.32</v>
      </c>
      <c r="AH258" s="8">
        <f t="shared" ca="1" si="83"/>
        <v>4.980310400741252</v>
      </c>
      <c r="AI258" s="12">
        <f t="shared" si="84"/>
        <v>82054082.400000006</v>
      </c>
      <c r="AJ258" s="13">
        <f t="shared" ca="1" si="85"/>
        <v>86140630.400000006</v>
      </c>
    </row>
    <row r="259" spans="1:36" x14ac:dyDescent="0.25">
      <c r="A259" s="63"/>
      <c r="B259" s="8">
        <v>500243</v>
      </c>
      <c r="C259" s="8" t="s">
        <v>1084</v>
      </c>
      <c r="D259" s="12">
        <v>9677624</v>
      </c>
      <c r="E259" s="8">
        <v>4183.3500000000004</v>
      </c>
      <c r="F259" s="8">
        <f ca="1">IFERROR(__xludf.DUMMYFUNCTION("GOOGLEFINANCE(""BOM:"" &amp; B259,""price"")"),4068)</f>
        <v>4068</v>
      </c>
      <c r="G259" s="8">
        <f t="shared" ca="1" si="80"/>
        <v>-2.7573595324321505</v>
      </c>
      <c r="H259" s="12">
        <f t="shared" si="81"/>
        <v>40484888360.400002</v>
      </c>
      <c r="I259" s="13">
        <f t="shared" ca="1" si="82"/>
        <v>39368574432</v>
      </c>
      <c r="J259" s="63"/>
      <c r="K259" s="8">
        <v>508664</v>
      </c>
      <c r="L259" s="8" t="s">
        <v>1085</v>
      </c>
      <c r="M259" s="12">
        <v>16745090</v>
      </c>
      <c r="N259" s="10">
        <v>19.55</v>
      </c>
      <c r="O259" s="10">
        <f ca="1">IFERROR(__xludf.DUMMYFUNCTION("GOOGLEFINANCE(""BOM:"" &amp; K259,""price"")"),15.94)</f>
        <v>15.94</v>
      </c>
      <c r="P259" s="8">
        <f t="shared" ca="1" si="74"/>
        <v>-18.465473145780056</v>
      </c>
      <c r="Q259" s="12">
        <f t="shared" si="75"/>
        <v>327366509.5</v>
      </c>
      <c r="R259" s="13">
        <f t="shared" ca="1" si="76"/>
        <v>266916734.59999999</v>
      </c>
      <c r="S259" s="63"/>
      <c r="T259" s="8">
        <v>531279</v>
      </c>
      <c r="U259" s="8" t="s">
        <v>1086</v>
      </c>
      <c r="V259" s="12">
        <v>14610630</v>
      </c>
      <c r="W259" s="8">
        <v>60.07</v>
      </c>
      <c r="X259" s="11">
        <f ca="1">IFERROR(__xludf.DUMMYFUNCTION("GOOGLEFINANCE(""BOM:"" &amp; T259,""price"")"),65.46)</f>
        <v>65.459999999999994</v>
      </c>
      <c r="Y259" s="8">
        <f t="shared" ca="1" si="70"/>
        <v>8.9728649908440037</v>
      </c>
      <c r="Z259" s="12">
        <f t="shared" si="62"/>
        <v>877660544.10000002</v>
      </c>
      <c r="AA259" s="13">
        <f t="shared" ca="1" si="63"/>
        <v>956411839.79999995</v>
      </c>
      <c r="AB259" s="63"/>
      <c r="AC259" s="8">
        <v>511131</v>
      </c>
      <c r="AD259" s="8" t="s">
        <v>1087</v>
      </c>
      <c r="AE259" s="12">
        <v>13847490</v>
      </c>
      <c r="AF259" s="8">
        <v>21.45</v>
      </c>
      <c r="AG259" s="8">
        <f ca="1">IFERROR(__xludf.DUMMYFUNCTION("GOOGLEFINANCE(""BOM:"" &amp; AC259,""price"")"),17.06)</f>
        <v>17.059999999999999</v>
      </c>
      <c r="AH259" s="8">
        <f t="shared" ca="1" si="83"/>
        <v>-20.466200466200469</v>
      </c>
      <c r="AI259" s="12">
        <f t="shared" si="84"/>
        <v>297028660.5</v>
      </c>
      <c r="AJ259" s="13">
        <f t="shared" ca="1" si="85"/>
        <v>236238179.39999998</v>
      </c>
    </row>
    <row r="260" spans="1:36" x14ac:dyDescent="0.25">
      <c r="A260" s="63"/>
      <c r="B260" s="8">
        <v>517449</v>
      </c>
      <c r="C260" s="8" t="s">
        <v>1088</v>
      </c>
      <c r="D260" s="12">
        <v>4011978</v>
      </c>
      <c r="E260" s="8">
        <v>458</v>
      </c>
      <c r="F260" s="8">
        <f ca="1">IFERROR(__xludf.DUMMYFUNCTION("GOOGLEFINANCE(""BOM:"" &amp; B260,""price"")"),431)</f>
        <v>431</v>
      </c>
      <c r="G260" s="8">
        <f t="shared" ca="1" si="80"/>
        <v>-5.8951965065502181</v>
      </c>
      <c r="H260" s="12">
        <f t="shared" si="81"/>
        <v>1837485924</v>
      </c>
      <c r="I260" s="13">
        <f t="shared" ca="1" si="82"/>
        <v>1729162518</v>
      </c>
      <c r="J260" s="63"/>
      <c r="K260" s="8">
        <v>526550</v>
      </c>
      <c r="L260" s="8" t="s">
        <v>1089</v>
      </c>
      <c r="M260" s="12">
        <v>162133217</v>
      </c>
      <c r="N260" s="10">
        <v>15.3</v>
      </c>
      <c r="O260" s="10">
        <f ca="1">IFERROR(__xludf.DUMMYFUNCTION("GOOGLEFINANCE(""BOM:"" &amp; K260,""price"")"),13.08)</f>
        <v>13.08</v>
      </c>
      <c r="P260" s="8">
        <f t="shared" ca="1" si="74"/>
        <v>-14.509803921568631</v>
      </c>
      <c r="Q260" s="12">
        <f t="shared" si="75"/>
        <v>2480638220.0999999</v>
      </c>
      <c r="R260" s="13">
        <f t="shared" ca="1" si="76"/>
        <v>2120702478.3599999</v>
      </c>
      <c r="S260" s="63"/>
      <c r="T260" s="8">
        <v>538597</v>
      </c>
      <c r="U260" s="8" t="s">
        <v>1090</v>
      </c>
      <c r="V260" s="12">
        <v>25359177</v>
      </c>
      <c r="W260" s="8">
        <v>16.75</v>
      </c>
      <c r="X260" s="11">
        <f ca="1">IFERROR(__xludf.DUMMYFUNCTION("GOOGLEFINANCE(""BOM:"" &amp; T260,""price"")"),13.7)</f>
        <v>13.7</v>
      </c>
      <c r="Y260" s="8">
        <f t="shared" ca="1" si="70"/>
        <v>-18.208955223880601</v>
      </c>
      <c r="Z260" s="12">
        <f t="shared" si="62"/>
        <v>424766214.75</v>
      </c>
      <c r="AA260" s="13">
        <f t="shared" ca="1" si="63"/>
        <v>347420724.89999998</v>
      </c>
      <c r="AB260" s="63"/>
      <c r="AC260" s="8">
        <v>541161</v>
      </c>
      <c r="AD260" s="8" t="s">
        <v>1091</v>
      </c>
      <c r="AE260" s="12">
        <v>614987120</v>
      </c>
      <c r="AF260" s="8">
        <v>2.0099999999999998</v>
      </c>
      <c r="AG260" s="8">
        <f ca="1">IFERROR(__xludf.DUMMYFUNCTION("GOOGLEFINANCE(""BOM:"" &amp; AC260,""price"")"),1.76)</f>
        <v>1.76</v>
      </c>
      <c r="AH260" s="8">
        <f t="shared" ca="1" si="83"/>
        <v>-12.437810945273622</v>
      </c>
      <c r="AI260" s="12">
        <f t="shared" si="84"/>
        <v>1236124111.1999998</v>
      </c>
      <c r="AJ260" s="13">
        <f t="shared" ca="1" si="85"/>
        <v>1082377331.2</v>
      </c>
    </row>
    <row r="261" spans="1:36" x14ac:dyDescent="0.25">
      <c r="A261" s="63"/>
      <c r="B261" s="8">
        <v>513335</v>
      </c>
      <c r="C261" s="8" t="s">
        <v>1092</v>
      </c>
      <c r="D261" s="12">
        <v>43380795</v>
      </c>
      <c r="E261" s="8">
        <v>4.26</v>
      </c>
      <c r="F261" s="8">
        <f ca="1">IFERROR(__xludf.DUMMYFUNCTION("GOOGLEFINANCE(""BOM:"" &amp; B261,""price"")"),3.7)</f>
        <v>3.7</v>
      </c>
      <c r="G261" s="8">
        <f t="shared" ca="1" si="80"/>
        <v>-13.145539906103279</v>
      </c>
      <c r="H261" s="12">
        <f t="shared" si="81"/>
        <v>184802186.69999999</v>
      </c>
      <c r="I261" s="13">
        <f t="shared" ca="1" si="82"/>
        <v>160508941.5</v>
      </c>
      <c r="J261" s="63"/>
      <c r="K261" s="8">
        <v>542399</v>
      </c>
      <c r="L261" s="8" t="s">
        <v>1093</v>
      </c>
      <c r="M261" s="12">
        <v>205023864</v>
      </c>
      <c r="N261" s="10">
        <v>795</v>
      </c>
      <c r="O261" s="10">
        <f ca="1">IFERROR(__xludf.DUMMYFUNCTION("GOOGLEFINANCE(""BOM:"" &amp; K261,""price"")"),895)</f>
        <v>895</v>
      </c>
      <c r="P261" s="8">
        <f t="shared" ca="1" si="74"/>
        <v>12.578616352201259</v>
      </c>
      <c r="Q261" s="12">
        <f t="shared" si="75"/>
        <v>162993971880</v>
      </c>
      <c r="R261" s="13">
        <f t="shared" ca="1" si="76"/>
        <v>183496358280</v>
      </c>
      <c r="S261" s="63"/>
      <c r="T261" s="8">
        <v>511742</v>
      </c>
      <c r="U261" s="8" t="s">
        <v>1094</v>
      </c>
      <c r="V261" s="12">
        <v>70508299</v>
      </c>
      <c r="W261" s="8">
        <v>267.14999999999998</v>
      </c>
      <c r="X261" s="11">
        <f ca="1">IFERROR(__xludf.DUMMYFUNCTION("GOOGLEFINANCE(""BOM:"" &amp; T261,""price"")"),216)</f>
        <v>216</v>
      </c>
      <c r="Y261" s="8">
        <f t="shared" ca="1" si="70"/>
        <v>-19.146546883773155</v>
      </c>
      <c r="Z261" s="12">
        <f t="shared" si="62"/>
        <v>18836292077.849998</v>
      </c>
      <c r="AA261" s="13">
        <f t="shared" ca="1" si="63"/>
        <v>15229792584</v>
      </c>
      <c r="AB261" s="63"/>
      <c r="AC261" s="8">
        <v>508993</v>
      </c>
      <c r="AD261" s="8" t="s">
        <v>1095</v>
      </c>
      <c r="AE261" s="12">
        <v>1929700</v>
      </c>
      <c r="AF261" s="8">
        <v>4.8899999999999997</v>
      </c>
      <c r="AG261" s="8">
        <f ca="1">IFERROR(__xludf.DUMMYFUNCTION("GOOGLEFINANCE(""BOM:"" &amp; AC261,""price"")"),4.89)</f>
        <v>4.8899999999999997</v>
      </c>
      <c r="AH261" s="8">
        <f t="shared" ca="1" si="83"/>
        <v>0</v>
      </c>
      <c r="AI261" s="12">
        <f t="shared" si="84"/>
        <v>9436233</v>
      </c>
      <c r="AJ261" s="13">
        <f t="shared" ca="1" si="85"/>
        <v>9436233</v>
      </c>
    </row>
    <row r="262" spans="1:36" x14ac:dyDescent="0.25">
      <c r="A262" s="63"/>
      <c r="B262" s="8">
        <v>522241</v>
      </c>
      <c r="C262" s="8" t="s">
        <v>1096</v>
      </c>
      <c r="D262" s="12">
        <v>23759068</v>
      </c>
      <c r="E262" s="8">
        <v>935</v>
      </c>
      <c r="F262" s="8">
        <f ca="1">IFERROR(__xludf.DUMMYFUNCTION("GOOGLEFINANCE(""BOM:"" &amp; B262,""price"")"),882.85)</f>
        <v>882.85</v>
      </c>
      <c r="G262" s="8">
        <f t="shared" ca="1" si="80"/>
        <v>-5.5775401069518695</v>
      </c>
      <c r="H262" s="12">
        <f t="shared" si="81"/>
        <v>22214728580</v>
      </c>
      <c r="I262" s="13">
        <f t="shared" ca="1" si="82"/>
        <v>20975693183.799999</v>
      </c>
      <c r="J262" s="63"/>
      <c r="K262" s="8">
        <v>532992</v>
      </c>
      <c r="L262" s="8" t="s">
        <v>1097</v>
      </c>
      <c r="M262" s="12">
        <v>54012972</v>
      </c>
      <c r="N262" s="10">
        <v>35.61</v>
      </c>
      <c r="O262" s="10">
        <f ca="1">IFERROR(__xludf.DUMMYFUNCTION("GOOGLEFINANCE(""BOM:"" &amp; K262,""price"")"),33.6)</f>
        <v>33.6</v>
      </c>
      <c r="P262" s="8">
        <f t="shared" ca="1" si="74"/>
        <v>-5.6444818871103566</v>
      </c>
      <c r="Q262" s="12">
        <f t="shared" si="75"/>
        <v>1923401932.9200001</v>
      </c>
      <c r="R262" s="13">
        <f t="shared" ca="1" si="76"/>
        <v>1814835859.2</v>
      </c>
      <c r="S262" s="63"/>
      <c r="T262" s="8">
        <v>539874</v>
      </c>
      <c r="U262" s="8" t="s">
        <v>1098</v>
      </c>
      <c r="V262" s="12">
        <v>121623479</v>
      </c>
      <c r="W262" s="8">
        <v>549.04999999999995</v>
      </c>
      <c r="X262" s="11">
        <f ca="1">IFERROR(__xludf.DUMMYFUNCTION("GOOGLEFINANCE(""BOM:"" &amp; T262,""price"")"),475.65)</f>
        <v>475.65</v>
      </c>
      <c r="Y262" s="8">
        <f t="shared" ca="1" si="70"/>
        <v>-13.368545669793278</v>
      </c>
      <c r="Z262" s="12">
        <f t="shared" si="62"/>
        <v>66777371144.949997</v>
      </c>
      <c r="AA262" s="13">
        <f t="shared" ca="1" si="63"/>
        <v>57850207786.349998</v>
      </c>
      <c r="AB262" s="63"/>
      <c r="AC262" s="8">
        <v>543542</v>
      </c>
      <c r="AD262" s="8" t="s">
        <v>1099</v>
      </c>
      <c r="AE262" s="12">
        <v>26000</v>
      </c>
      <c r="AF262" s="8">
        <v>3918.25</v>
      </c>
      <c r="AG262" s="8">
        <f ca="1">IFERROR(__xludf.DUMMYFUNCTION("GOOGLEFINANCE(""BOM:"" &amp; AC262,""price"")"),501.45)</f>
        <v>501.45</v>
      </c>
      <c r="AH262" s="8">
        <f t="shared" ca="1" si="83"/>
        <v>-87.202194857398069</v>
      </c>
      <c r="AI262" s="12">
        <f t="shared" si="84"/>
        <v>101874500</v>
      </c>
      <c r="AJ262" s="13">
        <f t="shared" ca="1" si="85"/>
        <v>13037700</v>
      </c>
    </row>
    <row r="263" spans="1:36" x14ac:dyDescent="0.25">
      <c r="A263" s="63"/>
      <c r="B263" s="8">
        <v>532864</v>
      </c>
      <c r="C263" s="8" t="s">
        <v>1100</v>
      </c>
      <c r="D263" s="12">
        <v>87001185</v>
      </c>
      <c r="E263" s="8">
        <v>156.69999999999999</v>
      </c>
      <c r="F263" s="8">
        <f ca="1">IFERROR(__xludf.DUMMYFUNCTION("GOOGLEFINANCE(""BOM:"" &amp; B263,""price"")"),128.1)</f>
        <v>128.1</v>
      </c>
      <c r="G263" s="8">
        <f t="shared" ca="1" si="80"/>
        <v>-18.251435864709634</v>
      </c>
      <c r="H263" s="12">
        <f t="shared" si="81"/>
        <v>13633085689.499998</v>
      </c>
      <c r="I263" s="13">
        <f t="shared" ca="1" si="82"/>
        <v>11144851798.5</v>
      </c>
      <c r="J263" s="63"/>
      <c r="K263" s="8">
        <v>526373</v>
      </c>
      <c r="L263" s="8" t="s">
        <v>1101</v>
      </c>
      <c r="M263" s="12">
        <v>3195185</v>
      </c>
      <c r="N263" s="10">
        <v>57.74</v>
      </c>
      <c r="O263" s="10">
        <f ca="1">IFERROR(__xludf.DUMMYFUNCTION("GOOGLEFINANCE(""BOM:"" &amp; K263,""price"")"),55)</f>
        <v>55</v>
      </c>
      <c r="P263" s="8">
        <f t="shared" ca="1" si="74"/>
        <v>-4.7454104606858367</v>
      </c>
      <c r="Q263" s="12">
        <f t="shared" si="75"/>
        <v>184489981.90000001</v>
      </c>
      <c r="R263" s="13">
        <f t="shared" ca="1" si="76"/>
        <v>175735175</v>
      </c>
      <c r="S263" s="63"/>
      <c r="T263" s="8">
        <v>531091</v>
      </c>
      <c r="U263" s="8" t="s">
        <v>1102</v>
      </c>
      <c r="V263" s="12">
        <v>5060659</v>
      </c>
      <c r="W263" s="8">
        <v>22.57</v>
      </c>
      <c r="X263" s="11">
        <f ca="1">IFERROR(__xludf.DUMMYFUNCTION("GOOGLEFINANCE(""BOM:"" &amp; T263,""price"")"),19.79)</f>
        <v>19.79</v>
      </c>
      <c r="Y263" s="8">
        <f t="shared" ca="1" si="70"/>
        <v>-12.317235268054946</v>
      </c>
      <c r="Z263" s="12">
        <f t="shared" si="62"/>
        <v>114219073.63</v>
      </c>
      <c r="AA263" s="13">
        <f t="shared" ca="1" si="63"/>
        <v>100150441.61</v>
      </c>
      <c r="AB263" s="63"/>
      <c r="AC263" s="8">
        <v>530215</v>
      </c>
      <c r="AD263" s="8" t="s">
        <v>1103</v>
      </c>
      <c r="AE263" s="12">
        <v>23126487</v>
      </c>
      <c r="AF263" s="8">
        <v>204.25</v>
      </c>
      <c r="AG263" s="8">
        <f ca="1">IFERROR(__xludf.DUMMYFUNCTION("GOOGLEFINANCE(""BOM:"" &amp; AC263,""price"")"),183.6)</f>
        <v>183.6</v>
      </c>
      <c r="AH263" s="8">
        <f t="shared" ca="1" si="83"/>
        <v>-10.110159118727053</v>
      </c>
      <c r="AI263" s="12">
        <f t="shared" si="84"/>
        <v>4723584969.75</v>
      </c>
      <c r="AJ263" s="13">
        <f t="shared" ca="1" si="85"/>
        <v>4246023013.1999998</v>
      </c>
    </row>
    <row r="264" spans="1:36" x14ac:dyDescent="0.25">
      <c r="A264" s="63"/>
      <c r="B264" s="8">
        <v>508875</v>
      </c>
      <c r="C264" s="8" t="s">
        <v>1104</v>
      </c>
      <c r="D264" s="12">
        <v>5141330</v>
      </c>
      <c r="E264" s="8">
        <v>580.5</v>
      </c>
      <c r="F264" s="8">
        <f ca="1">IFERROR(__xludf.DUMMYFUNCTION("GOOGLEFINANCE(""BOM:"" &amp; B264,""price"")"),615.1)</f>
        <v>615.1</v>
      </c>
      <c r="G264" s="8">
        <f t="shared" ca="1" si="80"/>
        <v>5.9603789836348016</v>
      </c>
      <c r="H264" s="12">
        <f t="shared" si="81"/>
        <v>2984542065</v>
      </c>
      <c r="I264" s="13">
        <f t="shared" ca="1" si="82"/>
        <v>3162432083</v>
      </c>
      <c r="J264" s="63"/>
      <c r="K264" s="8">
        <v>531198</v>
      </c>
      <c r="L264" s="8" t="s">
        <v>1105</v>
      </c>
      <c r="M264" s="12">
        <v>41815140</v>
      </c>
      <c r="N264" s="10">
        <v>2.42</v>
      </c>
      <c r="O264" s="10">
        <f ca="1">IFERROR(__xludf.DUMMYFUNCTION("GOOGLEFINANCE(""BOM:"" &amp; K264,""price"")"),2.3)</f>
        <v>2.2999999999999998</v>
      </c>
      <c r="P264" s="8">
        <f t="shared" ca="1" si="74"/>
        <v>-4.9586776859504171</v>
      </c>
      <c r="Q264" s="12">
        <f t="shared" si="75"/>
        <v>101192638.8</v>
      </c>
      <c r="R264" s="13">
        <f t="shared" ca="1" si="76"/>
        <v>96174822</v>
      </c>
      <c r="S264" s="63"/>
      <c r="T264" s="8">
        <v>531390</v>
      </c>
      <c r="U264" s="8" t="s">
        <v>1106</v>
      </c>
      <c r="V264" s="12">
        <v>14782899</v>
      </c>
      <c r="W264" s="8">
        <v>45.39</v>
      </c>
      <c r="X264" s="11">
        <f ca="1">IFERROR(__xludf.DUMMYFUNCTION("GOOGLEFINANCE(""BOM:"" &amp; T264,""price"")"),48.65)</f>
        <v>48.65</v>
      </c>
      <c r="Y264" s="8">
        <f t="shared" ca="1" si="70"/>
        <v>7.1821987221854986</v>
      </c>
      <c r="Z264" s="12">
        <f t="shared" si="62"/>
        <v>670995785.61000001</v>
      </c>
      <c r="AA264" s="13">
        <f t="shared" ca="1" si="63"/>
        <v>719188036.35000002</v>
      </c>
      <c r="AB264" s="63"/>
      <c r="AC264" s="8">
        <v>531578</v>
      </c>
      <c r="AD264" s="8" t="s">
        <v>1107</v>
      </c>
      <c r="AE264" s="12">
        <v>10641200</v>
      </c>
      <c r="AF264" s="8">
        <v>8.81</v>
      </c>
      <c r="AG264" s="8">
        <f ca="1">IFERROR(__xludf.DUMMYFUNCTION("GOOGLEFINANCE(""BOM:"" &amp; AC264,""price"")"),6.83)</f>
        <v>6.83</v>
      </c>
      <c r="AH264" s="8">
        <f t="shared" ca="1" si="83"/>
        <v>-22.474460839954602</v>
      </c>
      <c r="AI264" s="12">
        <f t="shared" si="84"/>
        <v>93748972</v>
      </c>
      <c r="AJ264" s="13">
        <f t="shared" ca="1" si="85"/>
        <v>72679396</v>
      </c>
    </row>
    <row r="265" spans="1:36" x14ac:dyDescent="0.25">
      <c r="A265" s="63"/>
      <c r="B265" s="8">
        <v>513369</v>
      </c>
      <c r="C265" s="8" t="s">
        <v>1108</v>
      </c>
      <c r="D265" s="12">
        <v>10106500</v>
      </c>
      <c r="E265" s="8">
        <v>73</v>
      </c>
      <c r="F265" s="8">
        <f ca="1">IFERROR(__xludf.DUMMYFUNCTION("GOOGLEFINANCE(""BOM:"" &amp; B265,""price"")"),85.05)</f>
        <v>85.05</v>
      </c>
      <c r="G265" s="8">
        <f t="shared" ca="1" si="80"/>
        <v>16.506849315068489</v>
      </c>
      <c r="H265" s="12">
        <f t="shared" si="81"/>
        <v>737774500</v>
      </c>
      <c r="I265" s="13">
        <f t="shared" ca="1" si="82"/>
        <v>859557825</v>
      </c>
      <c r="J265" s="63"/>
      <c r="K265" s="8">
        <v>523127</v>
      </c>
      <c r="L265" s="8" t="s">
        <v>1109</v>
      </c>
      <c r="M265" s="12">
        <v>30338309</v>
      </c>
      <c r="N265" s="10">
        <v>726</v>
      </c>
      <c r="O265" s="10">
        <f ca="1">IFERROR(__xludf.DUMMYFUNCTION("GOOGLEFINANCE(""BOM:"" &amp; K265,""price"")"),747)</f>
        <v>747</v>
      </c>
      <c r="P265" s="8">
        <f t="shared" ca="1" si="74"/>
        <v>2.8925619834710745</v>
      </c>
      <c r="Q265" s="12">
        <f t="shared" si="75"/>
        <v>22025612334</v>
      </c>
      <c r="R265" s="13">
        <f t="shared" ca="1" si="76"/>
        <v>22662716823</v>
      </c>
      <c r="S265" s="63"/>
      <c r="T265" s="8">
        <v>511507</v>
      </c>
      <c r="U265" s="8" t="s">
        <v>1110</v>
      </c>
      <c r="V265" s="12">
        <v>1935145</v>
      </c>
      <c r="W265" s="8">
        <v>24.98</v>
      </c>
      <c r="X265" s="11">
        <f ca="1">IFERROR(__xludf.DUMMYFUNCTION("GOOGLEFINANCE(""BOM:"" &amp; T265,""price"")"),25.15)</f>
        <v>25.15</v>
      </c>
      <c r="Y265" s="8">
        <f t="shared" ca="1" si="70"/>
        <v>0.68054443554843136</v>
      </c>
      <c r="Z265" s="12">
        <f t="shared" si="62"/>
        <v>48339922.100000001</v>
      </c>
      <c r="AA265" s="13">
        <f t="shared" ca="1" si="63"/>
        <v>48668896.75</v>
      </c>
      <c r="AB265" s="63"/>
      <c r="AC265" s="8">
        <v>532924</v>
      </c>
      <c r="AD265" s="8" t="s">
        <v>1111</v>
      </c>
      <c r="AE265" s="12">
        <v>76004402</v>
      </c>
      <c r="AF265" s="8">
        <v>486.2</v>
      </c>
      <c r="AG265" s="8">
        <f ca="1">IFERROR(__xludf.DUMMYFUNCTION("GOOGLEFINANCE(""BOM:"" &amp; AC265,""price"")"),456)</f>
        <v>456</v>
      </c>
      <c r="AH265" s="8">
        <f t="shared" ca="1" si="83"/>
        <v>-6.2114356232003267</v>
      </c>
      <c r="AI265" s="12">
        <f t="shared" si="84"/>
        <v>36953340252.400002</v>
      </c>
      <c r="AJ265" s="13">
        <f t="shared" ca="1" si="85"/>
        <v>34658007312</v>
      </c>
    </row>
    <row r="266" spans="1:36" x14ac:dyDescent="0.25">
      <c r="A266" s="63"/>
      <c r="B266" s="8">
        <v>532527</v>
      </c>
      <c r="C266" s="8" t="s">
        <v>1112</v>
      </c>
      <c r="D266" s="12">
        <v>159889385</v>
      </c>
      <c r="E266" s="8">
        <v>772</v>
      </c>
      <c r="F266" s="8">
        <f ca="1">IFERROR(__xludf.DUMMYFUNCTION("GOOGLEFINANCE(""BOM:"" &amp; B266,""price"")"),691.05)</f>
        <v>691.05</v>
      </c>
      <c r="G266" s="8">
        <f t="shared" ca="1" si="80"/>
        <v>-10.485751295336794</v>
      </c>
      <c r="H266" s="12">
        <f t="shared" si="81"/>
        <v>123434605220</v>
      </c>
      <c r="I266" s="13">
        <f t="shared" ca="1" si="82"/>
        <v>110491559504.25</v>
      </c>
      <c r="J266" s="63"/>
      <c r="K266" s="8">
        <v>500840</v>
      </c>
      <c r="L266" s="8" t="s">
        <v>1113</v>
      </c>
      <c r="M266" s="12">
        <v>620796311</v>
      </c>
      <c r="N266" s="10">
        <v>408.25</v>
      </c>
      <c r="O266" s="10">
        <f ca="1">IFERROR(__xludf.DUMMYFUNCTION("GOOGLEFINANCE(""BOM:"" &amp; K266,""price"")"),455.25)</f>
        <v>455.25</v>
      </c>
      <c r="P266" s="8">
        <f t="shared" ca="1" si="74"/>
        <v>11.512553582363747</v>
      </c>
      <c r="Q266" s="12">
        <f t="shared" si="75"/>
        <v>253440093965.75</v>
      </c>
      <c r="R266" s="13">
        <f t="shared" ca="1" si="76"/>
        <v>282617520582.75</v>
      </c>
      <c r="S266" s="63"/>
      <c r="T266" s="8">
        <v>500014</v>
      </c>
      <c r="U266" s="8" t="s">
        <v>1114</v>
      </c>
      <c r="V266" s="12">
        <v>40954545</v>
      </c>
      <c r="W266" s="8">
        <v>8.2200000000000006</v>
      </c>
      <c r="X266" s="11">
        <f ca="1">IFERROR(__xludf.DUMMYFUNCTION("GOOGLEFINANCE(""BOM:"" &amp; T266,""price"")"),7.34)</f>
        <v>7.34</v>
      </c>
      <c r="Y266" s="8">
        <f t="shared" ca="1" si="70"/>
        <v>-10.705596107055971</v>
      </c>
      <c r="Z266" s="12">
        <f t="shared" si="62"/>
        <v>336646359.90000004</v>
      </c>
      <c r="AA266" s="13">
        <f t="shared" ca="1" si="63"/>
        <v>300606360.30000001</v>
      </c>
      <c r="AB266" s="63"/>
      <c r="AC266" s="8">
        <v>531328</v>
      </c>
      <c r="AD266" s="8" t="s">
        <v>1115</v>
      </c>
      <c r="AE266" s="12">
        <v>154921921</v>
      </c>
      <c r="AF266" s="8">
        <v>0.85</v>
      </c>
      <c r="AG266" s="8">
        <f ca="1">IFERROR(__xludf.DUMMYFUNCTION("GOOGLEFINANCE(""BOM:"" &amp; AC266,""price"")"),0.82)</f>
        <v>0.82</v>
      </c>
      <c r="AH266" s="8">
        <f t="shared" ca="1" si="83"/>
        <v>-3.5294117647058858</v>
      </c>
      <c r="AI266" s="12">
        <f t="shared" si="84"/>
        <v>131683632.84999999</v>
      </c>
      <c r="AJ266" s="13">
        <f t="shared" ca="1" si="85"/>
        <v>127035975.22</v>
      </c>
    </row>
    <row r="267" spans="1:36" x14ac:dyDescent="0.25">
      <c r="A267" s="63"/>
      <c r="B267" s="8">
        <v>543229</v>
      </c>
      <c r="C267" s="8" t="s">
        <v>1116</v>
      </c>
      <c r="D267" s="12">
        <v>4476501</v>
      </c>
      <c r="E267" s="8">
        <v>330</v>
      </c>
      <c r="F267" s="8">
        <f ca="1">IFERROR(__xludf.DUMMYFUNCTION("GOOGLEFINANCE(""BOM:"" &amp; B267,""price"")"),312)</f>
        <v>312</v>
      </c>
      <c r="G267" s="8">
        <f t="shared" ca="1" si="80"/>
        <v>-5.4545454545454541</v>
      </c>
      <c r="H267" s="12">
        <f t="shared" si="81"/>
        <v>1477245330</v>
      </c>
      <c r="I267" s="13">
        <f t="shared" ca="1" si="82"/>
        <v>1396668312</v>
      </c>
      <c r="J267" s="63"/>
      <c r="K267" s="8">
        <v>507265</v>
      </c>
      <c r="L267" s="8" t="s">
        <v>1117</v>
      </c>
      <c r="M267" s="12">
        <v>4570370</v>
      </c>
      <c r="N267" s="10">
        <v>156.15</v>
      </c>
      <c r="O267" s="10">
        <f ca="1">IFERROR(__xludf.DUMMYFUNCTION("GOOGLEFINANCE(""BOM:"" &amp; K267,""price"")"),120.25)</f>
        <v>120.25</v>
      </c>
      <c r="P267" s="8">
        <f t="shared" ca="1" si="74"/>
        <v>-22.990714056996481</v>
      </c>
      <c r="Q267" s="12">
        <f t="shared" si="75"/>
        <v>713663275.5</v>
      </c>
      <c r="R267" s="13">
        <f t="shared" ca="1" si="76"/>
        <v>549586992.5</v>
      </c>
      <c r="S267" s="63"/>
      <c r="T267" s="8">
        <v>530579</v>
      </c>
      <c r="U267" s="8" t="s">
        <v>1118</v>
      </c>
      <c r="V267" s="12">
        <v>190102710</v>
      </c>
      <c r="W267" s="8">
        <v>27.78</v>
      </c>
      <c r="X267" s="11">
        <f ca="1">IFERROR(__xludf.DUMMYFUNCTION("GOOGLEFINANCE(""BOM:"" &amp; T267,""price"")"),24.4)</f>
        <v>24.4</v>
      </c>
      <c r="Y267" s="8">
        <f t="shared" ca="1" si="70"/>
        <v>-12.167026637868979</v>
      </c>
      <c r="Z267" s="12">
        <f t="shared" si="62"/>
        <v>5281053283.8000002</v>
      </c>
      <c r="AA267" s="13">
        <f t="shared" ca="1" si="63"/>
        <v>4638506124</v>
      </c>
      <c r="AB267" s="63"/>
      <c r="AC267" s="8">
        <v>504392</v>
      </c>
      <c r="AD267" s="8" t="s">
        <v>1119</v>
      </c>
      <c r="AE267" s="12">
        <v>10765500</v>
      </c>
      <c r="AF267" s="8">
        <v>97.55</v>
      </c>
      <c r="AG267" s="8">
        <f ca="1">IFERROR(__xludf.DUMMYFUNCTION("GOOGLEFINANCE(""BOM:"" &amp; AC267,""price"")"),79.3)</f>
        <v>79.3</v>
      </c>
      <c r="AH267" s="8">
        <f t="shared" ca="1" si="83"/>
        <v>-18.708354689902613</v>
      </c>
      <c r="AI267" s="12">
        <f t="shared" si="84"/>
        <v>1050174525</v>
      </c>
      <c r="AJ267" s="13">
        <f t="shared" ca="1" si="85"/>
        <v>853704150</v>
      </c>
    </row>
    <row r="268" spans="1:36" x14ac:dyDescent="0.25">
      <c r="A268" s="63"/>
      <c r="B268" s="8">
        <v>541929</v>
      </c>
      <c r="C268" s="8" t="s">
        <v>1120</v>
      </c>
      <c r="D268" s="12">
        <v>14130000</v>
      </c>
      <c r="E268" s="8">
        <v>336</v>
      </c>
      <c r="F268" s="8">
        <f ca="1">IFERROR(__xludf.DUMMYFUNCTION("GOOGLEFINANCE(""BOM:"" &amp; B268,""price"")"),345)</f>
        <v>345</v>
      </c>
      <c r="G268" s="8">
        <f t="shared" ca="1" si="80"/>
        <v>2.6785714285714284</v>
      </c>
      <c r="H268" s="12">
        <f t="shared" si="81"/>
        <v>4747680000</v>
      </c>
      <c r="I268" s="13">
        <f t="shared" ca="1" si="82"/>
        <v>4874850000</v>
      </c>
      <c r="J268" s="63"/>
      <c r="K268" s="8">
        <v>543538</v>
      </c>
      <c r="L268" s="8" t="s">
        <v>1121</v>
      </c>
      <c r="M268" s="12">
        <v>817400</v>
      </c>
      <c r="N268" s="10">
        <v>168.3</v>
      </c>
      <c r="O268" s="10">
        <f ca="1">IFERROR(__xludf.DUMMYFUNCTION("GOOGLEFINANCE(""BOM:"" &amp; K268,""price"")"),152)</f>
        <v>152</v>
      </c>
      <c r="P268" s="8">
        <f t="shared" ca="1" si="74"/>
        <v>-9.6850861556743961</v>
      </c>
      <c r="Q268" s="12">
        <f t="shared" si="75"/>
        <v>137568420</v>
      </c>
      <c r="R268" s="13">
        <f t="shared" ca="1" si="76"/>
        <v>124244800</v>
      </c>
      <c r="S268" s="63"/>
      <c r="T268" s="8">
        <v>532320</v>
      </c>
      <c r="U268" s="8" t="s">
        <v>1122</v>
      </c>
      <c r="V268" s="12">
        <v>249661150</v>
      </c>
      <c r="W268" s="8">
        <v>14.71</v>
      </c>
      <c r="X268" s="11">
        <f ca="1">IFERROR(__xludf.DUMMYFUNCTION("GOOGLEFINANCE(""BOM:"" &amp; T268,""price"")"),13.87)</f>
        <v>13.87</v>
      </c>
      <c r="Y268" s="8">
        <f t="shared" ca="1" si="70"/>
        <v>-5.7104010876954563</v>
      </c>
      <c r="Z268" s="12">
        <f t="shared" si="62"/>
        <v>3672515516.5</v>
      </c>
      <c r="AA268" s="13">
        <f t="shared" ca="1" si="63"/>
        <v>3462800150.5</v>
      </c>
      <c r="AB268" s="63"/>
      <c r="AC268" s="8">
        <v>540026</v>
      </c>
      <c r="AD268" s="8" t="s">
        <v>1123</v>
      </c>
      <c r="AE268" s="12">
        <v>10910000</v>
      </c>
      <c r="AF268" s="8">
        <v>8.3000000000000007</v>
      </c>
      <c r="AG268" s="8">
        <f ca="1">IFERROR(__xludf.DUMMYFUNCTION("GOOGLEFINANCE(""BOM:"" &amp; AC268,""price"")"),6.58)</f>
        <v>6.58</v>
      </c>
      <c r="AH268" s="8">
        <f t="shared" ca="1" si="83"/>
        <v>-20.722891566265066</v>
      </c>
      <c r="AI268" s="12">
        <f t="shared" si="84"/>
        <v>90553000.000000015</v>
      </c>
      <c r="AJ268" s="13">
        <f t="shared" ca="1" si="85"/>
        <v>71787800</v>
      </c>
    </row>
    <row r="269" spans="1:36" x14ac:dyDescent="0.25">
      <c r="A269" s="63"/>
      <c r="B269" s="8">
        <v>513418</v>
      </c>
      <c r="C269" s="8" t="s">
        <v>1124</v>
      </c>
      <c r="D269" s="12">
        <v>101436807</v>
      </c>
      <c r="E269" s="8">
        <v>4.97</v>
      </c>
      <c r="F269" s="8">
        <f ca="1">IFERROR(__xludf.DUMMYFUNCTION("GOOGLEFINANCE(""BOM:"" &amp; B269,""price"")"),4.55)</f>
        <v>4.55</v>
      </c>
      <c r="G269" s="8">
        <f t="shared" ca="1" si="80"/>
        <v>-8.4507042253521103</v>
      </c>
      <c r="H269" s="12">
        <f t="shared" si="81"/>
        <v>504140930.78999996</v>
      </c>
      <c r="I269" s="13">
        <f t="shared" ca="1" si="82"/>
        <v>461537471.84999996</v>
      </c>
      <c r="J269" s="63"/>
      <c r="K269" s="8">
        <v>509546</v>
      </c>
      <c r="L269" s="8" t="s">
        <v>1125</v>
      </c>
      <c r="M269" s="12">
        <v>65511680</v>
      </c>
      <c r="N269" s="10">
        <v>47.01</v>
      </c>
      <c r="O269" s="10">
        <f ca="1">IFERROR(__xludf.DUMMYFUNCTION("GOOGLEFINANCE(""BOM:"" &amp; K269,""price"")"),49.7)</f>
        <v>49.7</v>
      </c>
      <c r="P269" s="8">
        <f t="shared" ca="1" si="74"/>
        <v>5.7221867687726125</v>
      </c>
      <c r="Q269" s="12">
        <f t="shared" si="75"/>
        <v>3079704076.7999997</v>
      </c>
      <c r="R269" s="13">
        <f t="shared" ca="1" si="76"/>
        <v>3255930496</v>
      </c>
      <c r="S269" s="63"/>
      <c r="T269" s="8">
        <v>538918</v>
      </c>
      <c r="U269" s="8" t="s">
        <v>1126</v>
      </c>
      <c r="V269" s="12">
        <v>3611225</v>
      </c>
      <c r="W269" s="8">
        <v>10.34</v>
      </c>
      <c r="X269" s="11">
        <f ca="1">IFERROR(__xludf.DUMMYFUNCTION("GOOGLEFINANCE(""BOM:"" &amp; T269,""price"")"),9.5)</f>
        <v>9.5</v>
      </c>
      <c r="Y269" s="8">
        <f t="shared" ca="1" si="70"/>
        <v>-8.1237911025145042</v>
      </c>
      <c r="Z269" s="12">
        <f t="shared" si="62"/>
        <v>37340066.5</v>
      </c>
      <c r="AA269" s="13">
        <f t="shared" ca="1" si="63"/>
        <v>34306637.5</v>
      </c>
      <c r="AB269" s="63"/>
      <c r="AC269" s="8">
        <v>509048</v>
      </c>
      <c r="AD269" s="8" t="s">
        <v>1127</v>
      </c>
      <c r="AE269" s="12">
        <v>60495675</v>
      </c>
      <c r="AF269" s="8">
        <v>58.04</v>
      </c>
      <c r="AG269" s="8" t="str">
        <f ca="1">IFERROR(__xludf.DUMMYFUNCTION("GOOGLEFINANCE(""BOM:"" &amp; AC269,""price"")"),"#N/A")</f>
        <v>#N/A</v>
      </c>
      <c r="AH269" s="8" t="e">
        <f t="shared" ca="1" si="83"/>
        <v>#VALUE!</v>
      </c>
      <c r="AI269" s="12">
        <f t="shared" si="84"/>
        <v>3511168977</v>
      </c>
      <c r="AJ269" s="13" t="e">
        <f t="shared" ca="1" si="85"/>
        <v>#VALUE!</v>
      </c>
    </row>
    <row r="270" spans="1:36" x14ac:dyDescent="0.25">
      <c r="A270" s="63"/>
      <c r="B270" s="8">
        <v>513517</v>
      </c>
      <c r="C270" s="8" t="s">
        <v>1128</v>
      </c>
      <c r="D270" s="12">
        <v>19637746</v>
      </c>
      <c r="E270" s="8">
        <v>650.1</v>
      </c>
      <c r="F270" s="8">
        <f ca="1">IFERROR(__xludf.DUMMYFUNCTION("GOOGLEFINANCE(""BOM:"" &amp; B270,""price"")"),652.3)</f>
        <v>652.29999999999995</v>
      </c>
      <c r="G270" s="8">
        <f t="shared" ca="1" si="80"/>
        <v>0.33840947546530253</v>
      </c>
      <c r="H270" s="12">
        <f t="shared" si="81"/>
        <v>12766498674.6</v>
      </c>
      <c r="I270" s="13">
        <f t="shared" ca="1" si="82"/>
        <v>12809701715.799999</v>
      </c>
      <c r="J270" s="63"/>
      <c r="K270" s="8">
        <v>507960</v>
      </c>
      <c r="L270" s="8" t="s">
        <v>1129</v>
      </c>
      <c r="M270" s="12">
        <v>3574381</v>
      </c>
      <c r="N270" s="10">
        <v>187.15</v>
      </c>
      <c r="O270" s="10">
        <f ca="1">IFERROR(__xludf.DUMMYFUNCTION("GOOGLEFINANCE(""BOM:"" &amp; K270,""price"")"),174.95)</f>
        <v>174.95</v>
      </c>
      <c r="P270" s="8">
        <f t="shared" ca="1" si="74"/>
        <v>-6.518835158963407</v>
      </c>
      <c r="Q270" s="12">
        <f t="shared" si="75"/>
        <v>668945404.14999998</v>
      </c>
      <c r="R270" s="13">
        <f t="shared" ca="1" si="76"/>
        <v>625337955.94999993</v>
      </c>
      <c r="S270" s="63"/>
      <c r="T270" s="8">
        <v>542931</v>
      </c>
      <c r="U270" s="8" t="s">
        <v>1130</v>
      </c>
      <c r="V270" s="12">
        <v>2215800</v>
      </c>
      <c r="W270" s="8">
        <v>0</v>
      </c>
      <c r="X270" s="11">
        <f ca="1">IFERROR(__xludf.DUMMYFUNCTION("GOOGLEFINANCE(""BOM:"" &amp; T270,""price"")"),0)</f>
        <v>0</v>
      </c>
      <c r="Y270" s="8">
        <v>0</v>
      </c>
      <c r="Z270" s="12">
        <f t="shared" si="62"/>
        <v>0</v>
      </c>
      <c r="AA270" s="13">
        <f t="shared" ca="1" si="63"/>
        <v>0</v>
      </c>
      <c r="AB270" s="63"/>
      <c r="AC270" s="8">
        <v>543287</v>
      </c>
      <c r="AD270" s="8" t="s">
        <v>1131</v>
      </c>
      <c r="AE270" s="12">
        <v>963577746</v>
      </c>
      <c r="AF270" s="8">
        <v>1165.5999999999999</v>
      </c>
      <c r="AG270" s="8">
        <f ca="1">IFERROR(__xludf.DUMMYFUNCTION("GOOGLEFINANCE(""BOM:"" &amp; AC270,""price"")"),1133.75)</f>
        <v>1133.75</v>
      </c>
      <c r="AH270" s="8">
        <f t="shared" ca="1" si="83"/>
        <v>-2.732498284145497</v>
      </c>
      <c r="AI270" s="12">
        <f t="shared" si="84"/>
        <v>1123146220737.5999</v>
      </c>
      <c r="AJ270" s="13">
        <f t="shared" ca="1" si="85"/>
        <v>1092456269527.5</v>
      </c>
    </row>
    <row r="271" spans="1:36" x14ac:dyDescent="0.25">
      <c r="A271" s="64"/>
      <c r="B271" s="14">
        <v>533576</v>
      </c>
      <c r="C271" s="14" t="s">
        <v>1132</v>
      </c>
      <c r="D271" s="15">
        <v>29999980</v>
      </c>
      <c r="E271" s="8">
        <v>54.1</v>
      </c>
      <c r="F271" s="14">
        <f ca="1">IFERROR(__xludf.DUMMYFUNCTION("GOOGLEFINANCE(""BOM:"" &amp; B271,""price"")"),31.16)</f>
        <v>31.16</v>
      </c>
      <c r="G271" s="14">
        <f t="shared" ca="1" si="80"/>
        <v>-42.402957486136785</v>
      </c>
      <c r="H271" s="15">
        <f t="shared" si="81"/>
        <v>1622998918</v>
      </c>
      <c r="I271" s="16">
        <f t="shared" ca="1" si="82"/>
        <v>934799376.79999995</v>
      </c>
      <c r="J271" s="63"/>
      <c r="K271" s="8">
        <v>500193</v>
      </c>
      <c r="L271" s="8" t="s">
        <v>1133</v>
      </c>
      <c r="M271" s="12">
        <v>654912731</v>
      </c>
      <c r="N271" s="10">
        <v>29.86</v>
      </c>
      <c r="O271" s="10">
        <f ca="1">IFERROR(__xludf.DUMMYFUNCTION("GOOGLEFINANCE(""BOM:"" &amp; K271,""price"")"),26.1)</f>
        <v>26.1</v>
      </c>
      <c r="P271" s="8">
        <f t="shared" ca="1" si="74"/>
        <v>-12.592096450100462</v>
      </c>
      <c r="Q271" s="12">
        <f t="shared" si="75"/>
        <v>19555694147.66</v>
      </c>
      <c r="R271" s="13">
        <f t="shared" ca="1" si="76"/>
        <v>17093222279.1</v>
      </c>
      <c r="S271" s="63"/>
      <c r="T271" s="8">
        <v>537820</v>
      </c>
      <c r="U271" s="8" t="s">
        <v>1134</v>
      </c>
      <c r="V271" s="12">
        <v>81405300</v>
      </c>
      <c r="W271" s="8">
        <v>3.03</v>
      </c>
      <c r="X271" s="11">
        <f ca="1">IFERROR(__xludf.DUMMYFUNCTION("GOOGLEFINANCE(""BOM:"" &amp; T271,""price"")"),3.2)</f>
        <v>3.2</v>
      </c>
      <c r="Y271" s="8">
        <f t="shared" ref="Y271:Y293" ca="1" si="86">((X271-W271)/W271)*100</f>
        <v>5.6105610561056229</v>
      </c>
      <c r="Z271" s="12">
        <f t="shared" si="62"/>
        <v>246658058.99999997</v>
      </c>
      <c r="AA271" s="13">
        <f t="shared" ca="1" si="63"/>
        <v>260496960</v>
      </c>
      <c r="AB271" s="63"/>
      <c r="AC271" s="8">
        <v>533012</v>
      </c>
      <c r="AD271" s="8" t="s">
        <v>1135</v>
      </c>
      <c r="AE271" s="12">
        <v>132735138</v>
      </c>
      <c r="AF271" s="8">
        <v>9.8000000000000007</v>
      </c>
      <c r="AG271" s="8">
        <f ca="1">IFERROR(__xludf.DUMMYFUNCTION("GOOGLEFINANCE(""BOM:"" &amp; AC271,""price"")"),7.95)</f>
        <v>7.95</v>
      </c>
      <c r="AH271" s="8">
        <f t="shared" ca="1" si="83"/>
        <v>-18.877551020408166</v>
      </c>
      <c r="AI271" s="12">
        <f t="shared" si="84"/>
        <v>1300804352.4000001</v>
      </c>
      <c r="AJ271" s="13">
        <f t="shared" ca="1" si="85"/>
        <v>1055244347.1</v>
      </c>
    </row>
    <row r="272" spans="1:36" x14ac:dyDescent="0.25">
      <c r="A272" s="62" t="s">
        <v>1136</v>
      </c>
      <c r="B272" s="6">
        <v>500410</v>
      </c>
      <c r="C272" s="6" t="s">
        <v>1137</v>
      </c>
      <c r="D272" s="7">
        <v>185114351</v>
      </c>
      <c r="E272" s="6">
        <v>2692.45</v>
      </c>
      <c r="F272" s="8">
        <f ca="1">IFERROR(__xludf.DUMMYFUNCTION("GOOGLEFINANCE(""BOM:"" &amp; B272,""price"")"),2494.75)</f>
        <v>2494.75</v>
      </c>
      <c r="G272" s="8">
        <f t="shared" ca="1" si="80"/>
        <v>-7.3427547401065887</v>
      </c>
      <c r="H272" s="7">
        <f t="shared" si="81"/>
        <v>498411134349.94995</v>
      </c>
      <c r="I272" s="9">
        <f t="shared" ca="1" si="82"/>
        <v>461814027157.25</v>
      </c>
      <c r="J272" s="63"/>
      <c r="K272" s="8">
        <v>532145</v>
      </c>
      <c r="L272" s="8" t="s">
        <v>1138</v>
      </c>
      <c r="M272" s="12">
        <v>16043540</v>
      </c>
      <c r="N272" s="10">
        <v>17.489999999999998</v>
      </c>
      <c r="O272" s="10">
        <f ca="1">IFERROR(__xludf.DUMMYFUNCTION("GOOGLEFINANCE(""BOM:"" &amp; K272,""price"")"),16.35)</f>
        <v>16.350000000000001</v>
      </c>
      <c r="P272" s="8">
        <f t="shared" ca="1" si="74"/>
        <v>-6.5180102915951803</v>
      </c>
      <c r="Q272" s="12">
        <f t="shared" si="75"/>
        <v>280601514.59999996</v>
      </c>
      <c r="R272" s="13">
        <f t="shared" ca="1" si="76"/>
        <v>262311879.00000003</v>
      </c>
      <c r="S272" s="63"/>
      <c r="T272" s="8">
        <v>538732</v>
      </c>
      <c r="U272" s="8" t="s">
        <v>1139</v>
      </c>
      <c r="V272" s="12">
        <v>22907380</v>
      </c>
      <c r="W272" s="8">
        <v>82</v>
      </c>
      <c r="X272" s="11">
        <f ca="1">IFERROR(__xludf.DUMMYFUNCTION("GOOGLEFINANCE(""BOM:"" &amp; T272,""price"")"),80.5)</f>
        <v>80.5</v>
      </c>
      <c r="Y272" s="8">
        <f t="shared" ca="1" si="86"/>
        <v>-1.8292682926829267</v>
      </c>
      <c r="Z272" s="12">
        <f t="shared" si="62"/>
        <v>1878405160</v>
      </c>
      <c r="AA272" s="13">
        <f t="shared" ca="1" si="63"/>
        <v>1844044090</v>
      </c>
      <c r="AB272" s="63"/>
      <c r="AC272" s="8">
        <v>512048</v>
      </c>
      <c r="AD272" s="8" t="s">
        <v>1140</v>
      </c>
      <c r="AE272" s="12">
        <v>93719980</v>
      </c>
      <c r="AF272" s="8">
        <v>4.9400000000000004</v>
      </c>
      <c r="AG272" s="8">
        <f ca="1">IFERROR(__xludf.DUMMYFUNCTION("GOOGLEFINANCE(""BOM:"" &amp; AC272,""price"")"),4.03)</f>
        <v>4.03</v>
      </c>
      <c r="AH272" s="8">
        <f t="shared" ca="1" si="83"/>
        <v>-18.421052631578949</v>
      </c>
      <c r="AI272" s="12">
        <f t="shared" si="84"/>
        <v>462976701.20000005</v>
      </c>
      <c r="AJ272" s="13">
        <f t="shared" ca="1" si="85"/>
        <v>377691519.40000004</v>
      </c>
    </row>
    <row r="273" spans="1:36" x14ac:dyDescent="0.25">
      <c r="A273" s="63"/>
      <c r="B273" s="8">
        <v>539620</v>
      </c>
      <c r="C273" s="8" t="s">
        <v>1141</v>
      </c>
      <c r="D273" s="12">
        <v>41542940</v>
      </c>
      <c r="E273" s="8">
        <v>30.4</v>
      </c>
      <c r="F273" s="8">
        <f ca="1">IFERROR(__xludf.DUMMYFUNCTION("GOOGLEFINANCE(""BOM:"" &amp; B273,""price"")"),28.15)</f>
        <v>28.15</v>
      </c>
      <c r="G273" s="8">
        <f t="shared" ca="1" si="80"/>
        <v>-7.401315789473685</v>
      </c>
      <c r="H273" s="12">
        <f t="shared" si="81"/>
        <v>1262905376</v>
      </c>
      <c r="I273" s="13">
        <f t="shared" ca="1" si="82"/>
        <v>1169433761</v>
      </c>
      <c r="J273" s="63"/>
      <c r="K273" s="8">
        <v>526761</v>
      </c>
      <c r="L273" s="8" t="s">
        <v>1142</v>
      </c>
      <c r="M273" s="12">
        <v>7707410</v>
      </c>
      <c r="N273" s="10">
        <v>25.14</v>
      </c>
      <c r="O273" s="10">
        <f ca="1">IFERROR(__xludf.DUMMYFUNCTION("GOOGLEFINANCE(""BOM:"" &amp; K273,""price"")"),21.61)</f>
        <v>21.61</v>
      </c>
      <c r="P273" s="8">
        <f t="shared" ca="1" si="74"/>
        <v>-14.041368337311061</v>
      </c>
      <c r="Q273" s="12">
        <f t="shared" si="75"/>
        <v>193764287.40000001</v>
      </c>
      <c r="R273" s="13">
        <f t="shared" ca="1" si="76"/>
        <v>166557130.09999999</v>
      </c>
      <c r="S273" s="63"/>
      <c r="T273" s="8">
        <v>500439</v>
      </c>
      <c r="U273" s="8" t="s">
        <v>1143</v>
      </c>
      <c r="V273" s="12">
        <v>3148609</v>
      </c>
      <c r="W273" s="8">
        <v>3085.95</v>
      </c>
      <c r="X273" s="11">
        <f ca="1">IFERROR(__xludf.DUMMYFUNCTION("GOOGLEFINANCE(""BOM:"" &amp; T273,""price"")"),2791.7)</f>
        <v>2791.7</v>
      </c>
      <c r="Y273" s="8">
        <f t="shared" ca="1" si="86"/>
        <v>-9.5351512500202524</v>
      </c>
      <c r="Z273" s="12">
        <f t="shared" si="62"/>
        <v>9716449943.5499992</v>
      </c>
      <c r="AA273" s="13">
        <f t="shared" ca="1" si="63"/>
        <v>8789971745.2999992</v>
      </c>
      <c r="AB273" s="63"/>
      <c r="AC273" s="8">
        <v>542677</v>
      </c>
      <c r="AD273" s="8" t="s">
        <v>1144</v>
      </c>
      <c r="AE273" s="12">
        <v>3834919</v>
      </c>
      <c r="AF273" s="8">
        <v>12.27</v>
      </c>
      <c r="AG273" s="8">
        <f ca="1">IFERROR(__xludf.DUMMYFUNCTION("GOOGLEFINANCE(""BOM:"" &amp; AC273,""price"")"),7.41)</f>
        <v>7.41</v>
      </c>
      <c r="AH273" s="8">
        <f t="shared" ca="1" si="83"/>
        <v>-39.608801955990216</v>
      </c>
      <c r="AI273" s="12">
        <f t="shared" si="84"/>
        <v>47054456.129999995</v>
      </c>
      <c r="AJ273" s="13">
        <f t="shared" ca="1" si="85"/>
        <v>28416749.789999999</v>
      </c>
    </row>
    <row r="274" spans="1:36" x14ac:dyDescent="0.25">
      <c r="A274" s="63"/>
      <c r="B274" s="8">
        <v>500425</v>
      </c>
      <c r="C274" s="8" t="s">
        <v>1145</v>
      </c>
      <c r="D274" s="12">
        <v>1975326999</v>
      </c>
      <c r="E274" s="8">
        <v>617.6</v>
      </c>
      <c r="F274" s="8">
        <f ca="1">IFERROR(__xludf.DUMMYFUNCTION("GOOGLEFINANCE(""BOM:"" &amp; B274,""price"")"),612.3)</f>
        <v>612.29999999999995</v>
      </c>
      <c r="G274" s="8">
        <f t="shared" ca="1" si="80"/>
        <v>-0.85816062176166907</v>
      </c>
      <c r="H274" s="12">
        <f t="shared" si="81"/>
        <v>1219961954582.4001</v>
      </c>
      <c r="I274" s="13">
        <f t="shared" ca="1" si="82"/>
        <v>1209492721487.7</v>
      </c>
      <c r="J274" s="63"/>
      <c r="K274" s="8">
        <v>500850</v>
      </c>
      <c r="L274" s="8" t="s">
        <v>1146</v>
      </c>
      <c r="M274" s="12">
        <v>1410742528</v>
      </c>
      <c r="N274" s="10">
        <v>589.4</v>
      </c>
      <c r="O274" s="10">
        <f ca="1">IFERROR(__xludf.DUMMYFUNCTION("GOOGLEFINANCE(""BOM:"" &amp; K274,""price"")"),591.15)</f>
        <v>591.15</v>
      </c>
      <c r="P274" s="8">
        <f t="shared" ca="1" si="74"/>
        <v>0.29691211401425177</v>
      </c>
      <c r="Q274" s="12">
        <f t="shared" si="75"/>
        <v>831491646003.19995</v>
      </c>
      <c r="R274" s="13">
        <f t="shared" ca="1" si="76"/>
        <v>833960445427.19995</v>
      </c>
      <c r="S274" s="63"/>
      <c r="T274" s="8">
        <v>531051</v>
      </c>
      <c r="U274" s="8" t="s">
        <v>1147</v>
      </c>
      <c r="V274" s="12">
        <v>3247082</v>
      </c>
      <c r="W274" s="8">
        <v>18.77</v>
      </c>
      <c r="X274" s="11">
        <f ca="1">IFERROR(__xludf.DUMMYFUNCTION("GOOGLEFINANCE(""BOM:"" &amp; T274,""price"")"),18.7)</f>
        <v>18.7</v>
      </c>
      <c r="Y274" s="8">
        <f t="shared" ca="1" si="86"/>
        <v>-0.37293553542887736</v>
      </c>
      <c r="Z274" s="12">
        <f t="shared" si="62"/>
        <v>60947729.140000001</v>
      </c>
      <c r="AA274" s="13">
        <f t="shared" ca="1" si="63"/>
        <v>60720433.399999999</v>
      </c>
      <c r="AB274" s="63"/>
      <c r="AC274" s="8">
        <v>532313</v>
      </c>
      <c r="AD274" s="8" t="s">
        <v>1148</v>
      </c>
      <c r="AE274" s="12">
        <v>153490410</v>
      </c>
      <c r="AF274" s="8">
        <v>584.70000000000005</v>
      </c>
      <c r="AG274" s="8">
        <f ca="1">IFERROR(__xludf.DUMMYFUNCTION("GOOGLEFINANCE(""BOM:"" &amp; AC274,""price"")"),587.5)</f>
        <v>587.5</v>
      </c>
      <c r="AH274" s="8">
        <f t="shared" ca="1" si="83"/>
        <v>0.47887805712330322</v>
      </c>
      <c r="AI274" s="12">
        <f t="shared" si="84"/>
        <v>89745842727</v>
      </c>
      <c r="AJ274" s="13">
        <f t="shared" ca="1" si="85"/>
        <v>90175615875</v>
      </c>
    </row>
    <row r="275" spans="1:36" x14ac:dyDescent="0.25">
      <c r="A275" s="63"/>
      <c r="B275" s="8">
        <v>532141</v>
      </c>
      <c r="C275" s="8" t="s">
        <v>1149</v>
      </c>
      <c r="D275" s="12">
        <v>284910577</v>
      </c>
      <c r="E275" s="8">
        <v>96.98</v>
      </c>
      <c r="F275" s="8">
        <f ca="1">IFERROR(__xludf.DUMMYFUNCTION("GOOGLEFINANCE(""BOM:"" &amp; B275,""price"")"),78.04)</f>
        <v>78.040000000000006</v>
      </c>
      <c r="G275" s="8">
        <v>0</v>
      </c>
      <c r="H275" s="12">
        <v>0</v>
      </c>
      <c r="I275" s="13">
        <v>0</v>
      </c>
      <c r="J275" s="63"/>
      <c r="K275" s="8">
        <v>532189</v>
      </c>
      <c r="L275" s="8" t="s">
        <v>1150</v>
      </c>
      <c r="M275" s="12">
        <v>85765285</v>
      </c>
      <c r="N275" s="10">
        <v>746.55</v>
      </c>
      <c r="O275" s="10">
        <f ca="1">IFERROR(__xludf.DUMMYFUNCTION("GOOGLEFINANCE(""BOM:"" &amp; K275,""price"")"),630)</f>
        <v>630</v>
      </c>
      <c r="P275" s="8">
        <f t="shared" ca="1" si="74"/>
        <v>-15.611814345991556</v>
      </c>
      <c r="Q275" s="12">
        <f t="shared" si="75"/>
        <v>64028073516.749992</v>
      </c>
      <c r="R275" s="13">
        <f t="shared" ca="1" si="76"/>
        <v>54032129550</v>
      </c>
      <c r="S275" s="63"/>
      <c r="T275" s="8">
        <v>509038</v>
      </c>
      <c r="U275" s="8" t="s">
        <v>1151</v>
      </c>
      <c r="V275" s="12">
        <v>3410250</v>
      </c>
      <c r="W275" s="8">
        <v>15.03</v>
      </c>
      <c r="X275" s="11">
        <f ca="1">IFERROR(__xludf.DUMMYFUNCTION("GOOGLEFINANCE(""BOM:"" &amp; T275,""price"")"),13.26)</f>
        <v>13.26</v>
      </c>
      <c r="Y275" s="8">
        <f t="shared" ca="1" si="86"/>
        <v>-11.776447105788421</v>
      </c>
      <c r="Z275" s="12">
        <f t="shared" si="62"/>
        <v>51256057.5</v>
      </c>
      <c r="AA275" s="13">
        <f t="shared" ca="1" si="63"/>
        <v>45219915</v>
      </c>
      <c r="AB275" s="63"/>
      <c r="AC275" s="8">
        <v>540402</v>
      </c>
      <c r="AD275" s="8" t="s">
        <v>1152</v>
      </c>
      <c r="AE275" s="12">
        <v>4160000</v>
      </c>
      <c r="AF275" s="8">
        <v>390</v>
      </c>
      <c r="AG275" s="8">
        <f ca="1">IFERROR(__xludf.DUMMYFUNCTION("GOOGLEFINANCE(""BOM:"" &amp; AC275,""price"")"),390)</f>
        <v>390</v>
      </c>
      <c r="AH275" s="8">
        <f t="shared" ca="1" si="83"/>
        <v>0</v>
      </c>
      <c r="AI275" s="12">
        <f t="shared" si="84"/>
        <v>1622400000</v>
      </c>
      <c r="AJ275" s="13">
        <f t="shared" ca="1" si="85"/>
        <v>1622400000</v>
      </c>
    </row>
    <row r="276" spans="1:36" x14ac:dyDescent="0.25">
      <c r="A276" s="63"/>
      <c r="B276" s="8">
        <v>518091</v>
      </c>
      <c r="C276" s="8" t="s">
        <v>1153</v>
      </c>
      <c r="D276" s="12">
        <v>24789234</v>
      </c>
      <c r="E276" s="8">
        <v>210</v>
      </c>
      <c r="F276" s="8">
        <f ca="1">IFERROR(__xludf.DUMMYFUNCTION("GOOGLEFINANCE(""BOM:"" &amp; B276,""price"")"),169.05)</f>
        <v>169.05</v>
      </c>
      <c r="G276" s="8">
        <f t="shared" ref="G276:G284" ca="1" si="87">((F276-E276)/E276)*100</f>
        <v>-19.499999999999996</v>
      </c>
      <c r="H276" s="12">
        <f t="shared" ref="H276:H284" si="88">D276*E276</f>
        <v>5205739140</v>
      </c>
      <c r="I276" s="13">
        <f t="shared" ref="I276:I284" ca="1" si="89">D276*F276</f>
        <v>4190620007.7000003</v>
      </c>
      <c r="J276" s="63"/>
      <c r="K276" s="8">
        <v>507981</v>
      </c>
      <c r="L276" s="8" t="s">
        <v>1154</v>
      </c>
      <c r="M276" s="12">
        <v>6454139</v>
      </c>
      <c r="N276" s="10">
        <v>66.599999999999994</v>
      </c>
      <c r="O276" s="10">
        <f ca="1">IFERROR(__xludf.DUMMYFUNCTION("GOOGLEFINANCE(""BOM:"" &amp; K276,""price"")"),60.51)</f>
        <v>60.51</v>
      </c>
      <c r="P276" s="8">
        <f t="shared" ca="1" si="74"/>
        <v>-9.1441441441441391</v>
      </c>
      <c r="Q276" s="12">
        <f t="shared" si="75"/>
        <v>429845657.39999998</v>
      </c>
      <c r="R276" s="13">
        <f t="shared" ca="1" si="76"/>
        <v>390539950.88999999</v>
      </c>
      <c r="S276" s="63"/>
      <c r="T276" s="8">
        <v>519224</v>
      </c>
      <c r="U276" s="8" t="s">
        <v>1155</v>
      </c>
      <c r="V276" s="12">
        <v>10529829</v>
      </c>
      <c r="W276" s="8">
        <v>33.409999999999997</v>
      </c>
      <c r="X276" s="11">
        <f ca="1">IFERROR(__xludf.DUMMYFUNCTION("GOOGLEFINANCE(""BOM:"" &amp; T276,""price"")"),33.22)</f>
        <v>33.22</v>
      </c>
      <c r="Y276" s="8">
        <f t="shared" ca="1" si="86"/>
        <v>-0.56869200838071765</v>
      </c>
      <c r="Z276" s="12">
        <f t="shared" si="62"/>
        <v>351801586.88999999</v>
      </c>
      <c r="AA276" s="13">
        <f t="shared" ca="1" si="63"/>
        <v>349800919.38</v>
      </c>
      <c r="AB276" s="63"/>
      <c r="AC276" s="8">
        <v>533078</v>
      </c>
      <c r="AD276" s="8" t="s">
        <v>1156</v>
      </c>
      <c r="AE276" s="12">
        <v>12183338</v>
      </c>
      <c r="AF276" s="8">
        <v>49.11</v>
      </c>
      <c r="AG276" s="8">
        <f ca="1">IFERROR(__xludf.DUMMYFUNCTION("GOOGLEFINANCE(""BOM:"" &amp; AC276,""price"")"),48)</f>
        <v>48</v>
      </c>
      <c r="AH276" s="8">
        <f t="shared" ca="1" si="83"/>
        <v>-2.2602321319486856</v>
      </c>
      <c r="AI276" s="12">
        <f t="shared" si="84"/>
        <v>598323729.17999995</v>
      </c>
      <c r="AJ276" s="13">
        <f t="shared" ca="1" si="85"/>
        <v>584800224</v>
      </c>
    </row>
    <row r="277" spans="1:36" x14ac:dyDescent="0.25">
      <c r="A277" s="63"/>
      <c r="B277" s="8">
        <v>540061</v>
      </c>
      <c r="C277" s="8" t="s">
        <v>1157</v>
      </c>
      <c r="D277" s="12">
        <v>70636215</v>
      </c>
      <c r="E277" s="8">
        <v>232.35</v>
      </c>
      <c r="F277" s="8">
        <f ca="1">IFERROR(__xludf.DUMMYFUNCTION("GOOGLEFINANCE(""BOM:"" &amp; B277,""price"")"),200.05)</f>
        <v>200.05</v>
      </c>
      <c r="G277" s="8">
        <f t="shared" ca="1" si="87"/>
        <v>-13.901441790402401</v>
      </c>
      <c r="H277" s="12">
        <f t="shared" si="88"/>
        <v>16412324555.25</v>
      </c>
      <c r="I277" s="13">
        <f t="shared" ca="1" si="89"/>
        <v>14130774810.75</v>
      </c>
      <c r="J277" s="63"/>
      <c r="K277" s="8">
        <v>526668</v>
      </c>
      <c r="L277" s="8" t="s">
        <v>1158</v>
      </c>
      <c r="M277" s="12">
        <v>23584058</v>
      </c>
      <c r="N277" s="10">
        <v>294.55</v>
      </c>
      <c r="O277" s="10">
        <f ca="1">IFERROR(__xludf.DUMMYFUNCTION("GOOGLEFINANCE(""BOM:"" &amp; K277,""price"")"),251.55)</f>
        <v>251.55</v>
      </c>
      <c r="P277" s="8">
        <f t="shared" ca="1" si="74"/>
        <v>-14.5985401459854</v>
      </c>
      <c r="Q277" s="12">
        <f t="shared" si="75"/>
        <v>6946684283.9000006</v>
      </c>
      <c r="R277" s="13">
        <f t="shared" ca="1" si="76"/>
        <v>5932569789.9000006</v>
      </c>
      <c r="S277" s="63"/>
      <c r="T277" s="8">
        <v>519214</v>
      </c>
      <c r="U277" s="8" t="s">
        <v>1159</v>
      </c>
      <c r="V277" s="12">
        <v>7209209</v>
      </c>
      <c r="W277" s="8">
        <v>8.0299999999999994</v>
      </c>
      <c r="X277" s="11">
        <f ca="1">IFERROR(__xludf.DUMMYFUNCTION("GOOGLEFINANCE(""BOM:"" &amp; T277,""price"")"),8.03)</f>
        <v>8.0299999999999994</v>
      </c>
      <c r="Y277" s="8">
        <f t="shared" ca="1" si="86"/>
        <v>0</v>
      </c>
      <c r="Z277" s="12">
        <f t="shared" si="62"/>
        <v>57889948.269999996</v>
      </c>
      <c r="AA277" s="13">
        <f t="shared" ca="1" si="63"/>
        <v>57889948.269999996</v>
      </c>
      <c r="AB277" s="63"/>
      <c r="AC277" s="8">
        <v>503101</v>
      </c>
      <c r="AD277" s="8" t="s">
        <v>1160</v>
      </c>
      <c r="AE277" s="12">
        <v>45891971</v>
      </c>
      <c r="AF277" s="8">
        <v>522.20000000000005</v>
      </c>
      <c r="AG277" s="8">
        <f ca="1">IFERROR(__xludf.DUMMYFUNCTION("GOOGLEFINANCE(""BOM:"" &amp; AC277,""price"")"),516)</f>
        <v>516</v>
      </c>
      <c r="AH277" s="8">
        <f t="shared" ca="1" si="83"/>
        <v>-1.1872845653006596</v>
      </c>
      <c r="AI277" s="12">
        <f t="shared" si="84"/>
        <v>23964787256.200001</v>
      </c>
      <c r="AJ277" s="13">
        <f t="shared" ca="1" si="85"/>
        <v>23680257036</v>
      </c>
    </row>
    <row r="278" spans="1:36" x14ac:dyDescent="0.25">
      <c r="A278" s="63"/>
      <c r="B278" s="8">
        <v>500335</v>
      </c>
      <c r="C278" s="8" t="s">
        <v>1161</v>
      </c>
      <c r="D278" s="12">
        <v>76719004</v>
      </c>
      <c r="E278" s="8">
        <v>1639.1</v>
      </c>
      <c r="F278" s="8">
        <f ca="1">IFERROR(__xludf.DUMMYFUNCTION("GOOGLEFINANCE(""BOM:"" &amp; B278,""price"")"),1418.45)</f>
        <v>1418.45</v>
      </c>
      <c r="G278" s="8">
        <f t="shared" ca="1" si="87"/>
        <v>-13.461655786712212</v>
      </c>
      <c r="H278" s="12">
        <f t="shared" si="88"/>
        <v>125750119456.39999</v>
      </c>
      <c r="I278" s="13">
        <f t="shared" ca="1" si="89"/>
        <v>108822071223.8</v>
      </c>
      <c r="J278" s="63"/>
      <c r="K278" s="8">
        <v>531692</v>
      </c>
      <c r="L278" s="8" t="s">
        <v>1162</v>
      </c>
      <c r="M278" s="12">
        <v>8737732</v>
      </c>
      <c r="N278" s="10">
        <v>1.82</v>
      </c>
      <c r="O278" s="10">
        <f ca="1">IFERROR(__xludf.DUMMYFUNCTION("GOOGLEFINANCE(""BOM:"" &amp; K278,""price"")"),1.91)</f>
        <v>1.91</v>
      </c>
      <c r="P278" s="8">
        <f t="shared" ca="1" si="74"/>
        <v>4.9450549450549373</v>
      </c>
      <c r="Q278" s="12">
        <f t="shared" si="75"/>
        <v>15902672.24</v>
      </c>
      <c r="R278" s="13">
        <f t="shared" ca="1" si="76"/>
        <v>16689068.119999999</v>
      </c>
      <c r="S278" s="63"/>
      <c r="T278" s="8">
        <v>511147</v>
      </c>
      <c r="U278" s="8" t="s">
        <v>1163</v>
      </c>
      <c r="V278" s="12">
        <v>10934752</v>
      </c>
      <c r="W278" s="8">
        <v>80.16</v>
      </c>
      <c r="X278" s="11">
        <f ca="1">IFERROR(__xludf.DUMMYFUNCTION("GOOGLEFINANCE(""BOM:"" &amp; T278,""price"")"),86.9)</f>
        <v>86.9</v>
      </c>
      <c r="Y278" s="8">
        <f t="shared" ca="1" si="86"/>
        <v>8.4081836327345414</v>
      </c>
      <c r="Z278" s="12">
        <f t="shared" si="62"/>
        <v>876529720.31999993</v>
      </c>
      <c r="AA278" s="13">
        <f t="shared" ca="1" si="63"/>
        <v>950229948.80000007</v>
      </c>
      <c r="AB278" s="63"/>
      <c r="AC278" s="8">
        <v>523566</v>
      </c>
      <c r="AD278" s="8" t="s">
        <v>1164</v>
      </c>
      <c r="AE278" s="12">
        <v>4611576</v>
      </c>
      <c r="AF278" s="8">
        <v>54.99</v>
      </c>
      <c r="AG278" s="8">
        <f ca="1">IFERROR(__xludf.DUMMYFUNCTION("GOOGLEFINANCE(""BOM:"" &amp; AC278,""price"")"),44.98)</f>
        <v>44.98</v>
      </c>
      <c r="AH278" s="8">
        <f t="shared" ca="1" si="83"/>
        <v>-18.203309692671404</v>
      </c>
      <c r="AI278" s="12">
        <f t="shared" si="84"/>
        <v>253590564.24000001</v>
      </c>
      <c r="AJ278" s="13">
        <f t="shared" ca="1" si="85"/>
        <v>207428688.47999999</v>
      </c>
    </row>
    <row r="279" spans="1:36" x14ac:dyDescent="0.25">
      <c r="A279" s="63"/>
      <c r="B279" s="8">
        <v>532931</v>
      </c>
      <c r="C279" s="8" t="s">
        <v>1165</v>
      </c>
      <c r="D279" s="12">
        <v>86106409</v>
      </c>
      <c r="E279" s="8">
        <v>6.66</v>
      </c>
      <c r="F279" s="8">
        <f ca="1">IFERROR(__xludf.DUMMYFUNCTION("GOOGLEFINANCE(""BOM:"" &amp; B279,""price"")"),5.66)</f>
        <v>5.66</v>
      </c>
      <c r="G279" s="8">
        <f t="shared" ca="1" si="87"/>
        <v>-15.015015015015015</v>
      </c>
      <c r="H279" s="12">
        <f t="shared" si="88"/>
        <v>573468683.94000006</v>
      </c>
      <c r="I279" s="13">
        <f t="shared" ca="1" si="89"/>
        <v>487362274.94</v>
      </c>
      <c r="J279" s="63"/>
      <c r="K279" s="8">
        <v>541233</v>
      </c>
      <c r="L279" s="8" t="s">
        <v>1166</v>
      </c>
      <c r="M279" s="12">
        <v>789459280</v>
      </c>
      <c r="N279" s="10">
        <v>141.19999999999999</v>
      </c>
      <c r="O279" s="10">
        <f ca="1">IFERROR(__xludf.DUMMYFUNCTION("GOOGLEFINANCE(""BOM:"" &amp; K279,""price"")"),130.75)</f>
        <v>130.75</v>
      </c>
      <c r="P279" s="8">
        <f t="shared" ca="1" si="74"/>
        <v>-7.4008498583569322</v>
      </c>
      <c r="Q279" s="12">
        <f t="shared" si="75"/>
        <v>111471650335.99998</v>
      </c>
      <c r="R279" s="13">
        <f t="shared" ca="1" si="76"/>
        <v>103221800860</v>
      </c>
      <c r="S279" s="64"/>
      <c r="T279" s="14">
        <v>512020</v>
      </c>
      <c r="U279" s="14" t="s">
        <v>1167</v>
      </c>
      <c r="V279" s="15">
        <v>964080</v>
      </c>
      <c r="W279" s="14">
        <v>5280.8</v>
      </c>
      <c r="X279" s="26">
        <f ca="1">IFERROR(__xludf.DUMMYFUNCTION("GOOGLEFINANCE(""BOM:"" &amp; T279,""price"")"),5586.05)</f>
        <v>5586.05</v>
      </c>
      <c r="Y279" s="14">
        <f t="shared" ca="1" si="86"/>
        <v>5.7803741857294346</v>
      </c>
      <c r="Z279" s="15">
        <f t="shared" si="62"/>
        <v>5091113664</v>
      </c>
      <c r="AA279" s="16">
        <f t="shared" ca="1" si="63"/>
        <v>5385399084</v>
      </c>
      <c r="AB279" s="63"/>
      <c r="AC279" s="8">
        <v>534338</v>
      </c>
      <c r="AD279" s="8" t="s">
        <v>1168</v>
      </c>
      <c r="AE279" s="12">
        <v>15534875</v>
      </c>
      <c r="AF279" s="8">
        <v>62.99</v>
      </c>
      <c r="AG279" s="8">
        <f ca="1">IFERROR(__xludf.DUMMYFUNCTION("GOOGLEFINANCE(""BOM:"" &amp; AC279,""price"")"),60)</f>
        <v>60</v>
      </c>
      <c r="AH279" s="8">
        <f t="shared" ca="1" si="83"/>
        <v>-4.7467852040006377</v>
      </c>
      <c r="AI279" s="12">
        <f t="shared" si="84"/>
        <v>978541776.25</v>
      </c>
      <c r="AJ279" s="13">
        <f t="shared" ca="1" si="85"/>
        <v>932092500</v>
      </c>
    </row>
    <row r="280" spans="1:36" x14ac:dyDescent="0.25">
      <c r="A280" s="63"/>
      <c r="B280" s="8">
        <v>532916</v>
      </c>
      <c r="C280" s="8" t="s">
        <v>1169</v>
      </c>
      <c r="D280" s="12">
        <v>21487994</v>
      </c>
      <c r="E280" s="8">
        <v>60.25</v>
      </c>
      <c r="F280" s="8">
        <f ca="1">IFERROR(__xludf.DUMMYFUNCTION("GOOGLEFINANCE(""BOM:"" &amp; B280,""price"")"),55.39)</f>
        <v>55.39</v>
      </c>
      <c r="G280" s="8">
        <f t="shared" ca="1" si="87"/>
        <v>-8.0663900414937739</v>
      </c>
      <c r="H280" s="12">
        <f t="shared" si="88"/>
        <v>1294651638.5</v>
      </c>
      <c r="I280" s="13">
        <f t="shared" ca="1" si="89"/>
        <v>1190219987.6600001</v>
      </c>
      <c r="J280" s="63"/>
      <c r="K280" s="8">
        <v>530065</v>
      </c>
      <c r="L280" s="8" t="s">
        <v>1170</v>
      </c>
      <c r="M280" s="12">
        <v>5115700</v>
      </c>
      <c r="N280" s="10">
        <v>16</v>
      </c>
      <c r="O280" s="10">
        <f ca="1">IFERROR(__xludf.DUMMYFUNCTION("GOOGLEFINANCE(""BOM:"" &amp; K280,""price"")"),15.71)</f>
        <v>15.71</v>
      </c>
      <c r="P280" s="8">
        <f t="shared" ca="1" si="74"/>
        <v>-1.8124999999999947</v>
      </c>
      <c r="Q280" s="12">
        <f t="shared" si="75"/>
        <v>81851200</v>
      </c>
      <c r="R280" s="13">
        <f t="shared" ca="1" si="76"/>
        <v>80367647</v>
      </c>
      <c r="S280" s="62" t="s">
        <v>1171</v>
      </c>
      <c r="T280" s="6">
        <v>530881</v>
      </c>
      <c r="U280" s="6" t="s">
        <v>1172</v>
      </c>
      <c r="V280" s="7">
        <v>1927700</v>
      </c>
      <c r="W280" s="8">
        <v>246.9</v>
      </c>
      <c r="X280" s="11">
        <f ca="1">IFERROR(__xludf.DUMMYFUNCTION("GOOGLEFINANCE(""BOM:"" &amp; T280,""price"")"),57)</f>
        <v>57</v>
      </c>
      <c r="Y280" s="8">
        <f t="shared" ca="1" si="86"/>
        <v>-76.91373025516404</v>
      </c>
      <c r="Z280" s="7">
        <f t="shared" si="62"/>
        <v>475949130</v>
      </c>
      <c r="AA280" s="9">
        <f t="shared" ca="1" si="63"/>
        <v>109878900</v>
      </c>
      <c r="AB280" s="63"/>
      <c r="AC280" s="8">
        <v>539767</v>
      </c>
      <c r="AD280" s="8" t="s">
        <v>1173</v>
      </c>
      <c r="AE280" s="12">
        <v>3251600</v>
      </c>
      <c r="AF280" s="8">
        <v>18</v>
      </c>
      <c r="AG280" s="8">
        <f ca="1">IFERROR(__xludf.DUMMYFUNCTION("GOOGLEFINANCE(""BOM:"" &amp; AC280,""price"")"),18.3)</f>
        <v>18.3</v>
      </c>
      <c r="AH280" s="8">
        <f t="shared" ca="1" si="83"/>
        <v>1.6666666666666705</v>
      </c>
      <c r="AI280" s="12">
        <f t="shared" si="84"/>
        <v>58528800</v>
      </c>
      <c r="AJ280" s="13">
        <f t="shared" ca="1" si="85"/>
        <v>59504280</v>
      </c>
    </row>
    <row r="281" spans="1:36" x14ac:dyDescent="0.25">
      <c r="A281" s="63"/>
      <c r="B281" s="8">
        <v>542216</v>
      </c>
      <c r="C281" s="8" t="s">
        <v>1174</v>
      </c>
      <c r="D281" s="12">
        <v>185427677</v>
      </c>
      <c r="E281" s="8">
        <v>2050.1</v>
      </c>
      <c r="F281" s="8">
        <f ca="1">IFERROR(__xludf.DUMMYFUNCTION("GOOGLEFINANCE(""BOM:"" &amp; B281,""price"")"),1940.05)</f>
        <v>1940.05</v>
      </c>
      <c r="G281" s="8">
        <f t="shared" ca="1" si="87"/>
        <v>-5.368030827764497</v>
      </c>
      <c r="H281" s="12">
        <f t="shared" si="88"/>
        <v>380145280617.70001</v>
      </c>
      <c r="I281" s="13">
        <f t="shared" ca="1" si="89"/>
        <v>359738964763.84998</v>
      </c>
      <c r="J281" s="63"/>
      <c r="K281" s="8">
        <v>541973</v>
      </c>
      <c r="L281" s="8" t="s">
        <v>1175</v>
      </c>
      <c r="M281" s="12">
        <v>3000000</v>
      </c>
      <c r="N281" s="10">
        <v>37</v>
      </c>
      <c r="O281" s="10">
        <f ca="1">IFERROR(__xludf.DUMMYFUNCTION("GOOGLEFINANCE(""BOM:"" &amp; K281,""price"")"),38.2)</f>
        <v>38.200000000000003</v>
      </c>
      <c r="P281" s="8">
        <f t="shared" ca="1" si="74"/>
        <v>3.243243243243251</v>
      </c>
      <c r="Q281" s="12">
        <f t="shared" si="75"/>
        <v>111000000</v>
      </c>
      <c r="R281" s="13">
        <f t="shared" ca="1" si="76"/>
        <v>114600000.00000001</v>
      </c>
      <c r="S281" s="63"/>
      <c r="T281" s="8">
        <v>511692</v>
      </c>
      <c r="U281" s="8" t="s">
        <v>1176</v>
      </c>
      <c r="V281" s="12">
        <v>5831295</v>
      </c>
      <c r="W281" s="8">
        <v>38</v>
      </c>
      <c r="X281" s="11">
        <f ca="1">IFERROR(__xludf.DUMMYFUNCTION("GOOGLEFINANCE(""BOM:"" &amp; T281,""price"")"),34.5)</f>
        <v>34.5</v>
      </c>
      <c r="Y281" s="8">
        <f t="shared" ca="1" si="86"/>
        <v>-9.2105263157894726</v>
      </c>
      <c r="Z281" s="12">
        <f t="shared" si="62"/>
        <v>221589210</v>
      </c>
      <c r="AA281" s="13">
        <f t="shared" ca="1" si="63"/>
        <v>201179677.5</v>
      </c>
      <c r="AB281" s="63"/>
      <c r="AC281" s="8">
        <v>503776</v>
      </c>
      <c r="AD281" s="8" t="s">
        <v>1177</v>
      </c>
      <c r="AE281" s="12">
        <v>11241517</v>
      </c>
      <c r="AF281" s="8">
        <v>39.11</v>
      </c>
      <c r="AG281" s="8">
        <f ca="1">IFERROR(__xludf.DUMMYFUNCTION("GOOGLEFINANCE(""BOM:"" &amp; AC281,""price"")"),40.74)</f>
        <v>40.74</v>
      </c>
      <c r="AH281" s="8">
        <f t="shared" ca="1" si="83"/>
        <v>4.1677320378419909</v>
      </c>
      <c r="AI281" s="12">
        <f t="shared" si="84"/>
        <v>439655729.87</v>
      </c>
      <c r="AJ281" s="13">
        <f t="shared" ca="1" si="85"/>
        <v>457979402.58000004</v>
      </c>
    </row>
    <row r="282" spans="1:36" x14ac:dyDescent="0.25">
      <c r="A282" s="63"/>
      <c r="B282" s="8">
        <v>502137</v>
      </c>
      <c r="C282" s="8" t="s">
        <v>1178</v>
      </c>
      <c r="D282" s="12">
        <v>13831703</v>
      </c>
      <c r="E282" s="8">
        <v>621</v>
      </c>
      <c r="F282" s="8">
        <f ca="1">IFERROR(__xludf.DUMMYFUNCTION("GOOGLEFINANCE(""BOM:"" &amp; B282,""price"")"),587.85)</f>
        <v>587.85</v>
      </c>
      <c r="G282" s="8">
        <f t="shared" ca="1" si="87"/>
        <v>-5.3381642512077256</v>
      </c>
      <c r="H282" s="12">
        <f t="shared" si="88"/>
        <v>8589487563</v>
      </c>
      <c r="I282" s="13">
        <f t="shared" ca="1" si="89"/>
        <v>8130966608.5500002</v>
      </c>
      <c r="J282" s="63"/>
      <c r="K282" s="8">
        <v>507836</v>
      </c>
      <c r="L282" s="8" t="s">
        <v>1179</v>
      </c>
      <c r="M282" s="12">
        <v>12628322</v>
      </c>
      <c r="N282" s="10">
        <v>460</v>
      </c>
      <c r="O282" s="10">
        <f ca="1">IFERROR(__xludf.DUMMYFUNCTION("GOOGLEFINANCE(""BOM:"" &amp; K282,""price"")"),430)</f>
        <v>430</v>
      </c>
      <c r="P282" s="8">
        <f t="shared" ca="1" si="74"/>
        <v>-6.5217391304347823</v>
      </c>
      <c r="Q282" s="12">
        <f t="shared" si="75"/>
        <v>5809028120</v>
      </c>
      <c r="R282" s="13">
        <f t="shared" ca="1" si="76"/>
        <v>5430178460</v>
      </c>
      <c r="S282" s="63"/>
      <c r="T282" s="8">
        <v>535916</v>
      </c>
      <c r="U282" s="8" t="s">
        <v>1180</v>
      </c>
      <c r="V282" s="12">
        <v>20233700</v>
      </c>
      <c r="W282" s="8">
        <v>51.68</v>
      </c>
      <c r="X282" s="11">
        <f ca="1">IFERROR(__xludf.DUMMYFUNCTION("GOOGLEFINANCE(""BOM:"" &amp; T282,""price"")"),63)</f>
        <v>63</v>
      </c>
      <c r="Y282" s="8">
        <f t="shared" ca="1" si="86"/>
        <v>21.904024767801857</v>
      </c>
      <c r="Z282" s="12">
        <f t="shared" si="62"/>
        <v>1045677616</v>
      </c>
      <c r="AA282" s="13">
        <f t="shared" ca="1" si="63"/>
        <v>1274723100</v>
      </c>
      <c r="AB282" s="63"/>
      <c r="AC282" s="8">
        <v>543539</v>
      </c>
      <c r="AD282" s="8" t="s">
        <v>1181</v>
      </c>
      <c r="AE282" s="12">
        <v>16920000</v>
      </c>
      <c r="AF282" s="8">
        <v>285</v>
      </c>
      <c r="AG282" s="8">
        <f ca="1">IFERROR(__xludf.DUMMYFUNCTION("GOOGLEFINANCE(""BOM:"" &amp; AC282,""price"")"),250)</f>
        <v>250</v>
      </c>
      <c r="AH282" s="8">
        <f t="shared" ca="1" si="83"/>
        <v>-12.280701754385964</v>
      </c>
      <c r="AI282" s="12">
        <f t="shared" si="84"/>
        <v>4822200000</v>
      </c>
      <c r="AJ282" s="13">
        <f t="shared" ca="1" si="85"/>
        <v>4230000000</v>
      </c>
    </row>
    <row r="283" spans="1:36" x14ac:dyDescent="0.25">
      <c r="A283" s="63"/>
      <c r="B283" s="8">
        <v>508906</v>
      </c>
      <c r="C283" s="8" t="s">
        <v>1182</v>
      </c>
      <c r="D283" s="12">
        <v>15514652</v>
      </c>
      <c r="E283" s="8">
        <v>1215</v>
      </c>
      <c r="F283" s="8">
        <f ca="1">IFERROR(__xludf.DUMMYFUNCTION("GOOGLEFINANCE(""BOM:"" &amp; B283,""price"")"),1035)</f>
        <v>1035</v>
      </c>
      <c r="G283" s="8">
        <f t="shared" ca="1" si="87"/>
        <v>-14.814814814814813</v>
      </c>
      <c r="H283" s="12">
        <f t="shared" si="88"/>
        <v>18850302180</v>
      </c>
      <c r="I283" s="13">
        <f t="shared" ca="1" si="89"/>
        <v>16057664820</v>
      </c>
      <c r="J283" s="63"/>
      <c r="K283" s="8">
        <v>533088</v>
      </c>
      <c r="L283" s="8" t="s">
        <v>1183</v>
      </c>
      <c r="M283" s="12">
        <v>200577954</v>
      </c>
      <c r="N283" s="10">
        <v>411.55</v>
      </c>
      <c r="O283" s="10">
        <f ca="1">IFERROR(__xludf.DUMMYFUNCTION("GOOGLEFINANCE(""BOM:"" &amp; K283,""price"")"),390.9)</f>
        <v>390.9</v>
      </c>
      <c r="P283" s="8">
        <f t="shared" ca="1" si="74"/>
        <v>-5.0176163285141619</v>
      </c>
      <c r="Q283" s="12">
        <f t="shared" si="75"/>
        <v>82547856968.699997</v>
      </c>
      <c r="R283" s="13">
        <f t="shared" ca="1" si="76"/>
        <v>78405922218.599991</v>
      </c>
      <c r="S283" s="63"/>
      <c r="T283" s="8">
        <v>539545</v>
      </c>
      <c r="U283" s="8" t="s">
        <v>1184</v>
      </c>
      <c r="V283" s="12">
        <v>18523300</v>
      </c>
      <c r="W283" s="8">
        <v>29.61</v>
      </c>
      <c r="X283" s="11">
        <f ca="1">IFERROR(__xludf.DUMMYFUNCTION("GOOGLEFINANCE(""BOM:"" &amp; T283,""price"")"),29.78)</f>
        <v>29.78</v>
      </c>
      <c r="Y283" s="8">
        <f t="shared" ca="1" si="86"/>
        <v>0.57413036136440976</v>
      </c>
      <c r="Z283" s="12">
        <f t="shared" si="62"/>
        <v>548474913</v>
      </c>
      <c r="AA283" s="13">
        <f t="shared" ca="1" si="63"/>
        <v>551623874</v>
      </c>
      <c r="AB283" s="63"/>
      <c r="AC283" s="8">
        <v>542864</v>
      </c>
      <c r="AD283" s="8" t="s">
        <v>1185</v>
      </c>
      <c r="AE283" s="12">
        <v>2726000</v>
      </c>
      <c r="AF283" s="8">
        <v>28.56</v>
      </c>
      <c r="AG283" s="8">
        <f ca="1">IFERROR(__xludf.DUMMYFUNCTION("GOOGLEFINANCE(""BOM:"" &amp; AC283,""price"")"),28.56)</f>
        <v>28.56</v>
      </c>
      <c r="AH283" s="8">
        <f t="shared" ca="1" si="83"/>
        <v>0</v>
      </c>
      <c r="AI283" s="12">
        <f t="shared" si="84"/>
        <v>77854560</v>
      </c>
      <c r="AJ283" s="13">
        <f t="shared" ca="1" si="85"/>
        <v>77854560</v>
      </c>
    </row>
    <row r="284" spans="1:36" x14ac:dyDescent="0.25">
      <c r="A284" s="63"/>
      <c r="B284" s="8">
        <v>500300</v>
      </c>
      <c r="C284" s="8" t="s">
        <v>1186</v>
      </c>
      <c r="D284" s="12">
        <v>639169302</v>
      </c>
      <c r="E284" s="8">
        <v>2253.1</v>
      </c>
      <c r="F284" s="8">
        <f ca="1">IFERROR(__xludf.DUMMYFUNCTION("GOOGLEFINANCE(""BOM:"" &amp; B284,""price"")"),2285.35)</f>
        <v>2285.35</v>
      </c>
      <c r="G284" s="8">
        <f t="shared" ca="1" si="87"/>
        <v>1.4313612356309087</v>
      </c>
      <c r="H284" s="12">
        <f t="shared" si="88"/>
        <v>1440112354336.2</v>
      </c>
      <c r="I284" s="13">
        <f t="shared" ca="1" si="89"/>
        <v>1460725564325.7</v>
      </c>
      <c r="J284" s="63"/>
      <c r="K284" s="8">
        <v>500314</v>
      </c>
      <c r="L284" s="8" t="s">
        <v>1187</v>
      </c>
      <c r="M284" s="12">
        <v>175481278</v>
      </c>
      <c r="N284" s="10">
        <v>133</v>
      </c>
      <c r="O284" s="10">
        <f ca="1">IFERROR(__xludf.DUMMYFUNCTION("GOOGLEFINANCE(""BOM:"" &amp; K284,""price"")"),117.5)</f>
        <v>117.5</v>
      </c>
      <c r="P284" s="8">
        <f t="shared" ca="1" si="74"/>
        <v>-11.654135338345863</v>
      </c>
      <c r="Q284" s="12">
        <f t="shared" si="75"/>
        <v>23339009974</v>
      </c>
      <c r="R284" s="13">
        <f t="shared" ca="1" si="76"/>
        <v>20619050165</v>
      </c>
      <c r="S284" s="63"/>
      <c r="T284" s="8">
        <v>505725</v>
      </c>
      <c r="U284" s="8" t="s">
        <v>1188</v>
      </c>
      <c r="V284" s="12">
        <v>7286985</v>
      </c>
      <c r="W284" s="8">
        <v>1599.45</v>
      </c>
      <c r="X284" s="11">
        <f ca="1">IFERROR(__xludf.DUMMYFUNCTION("GOOGLEFINANCE(""BOM:"" &amp; T284,""price"")"),1334.9)</f>
        <v>1334.9</v>
      </c>
      <c r="Y284" s="8">
        <f t="shared" ca="1" si="86"/>
        <v>-16.540060645847007</v>
      </c>
      <c r="Z284" s="12">
        <f t="shared" si="62"/>
        <v>11655168158.25</v>
      </c>
      <c r="AA284" s="13">
        <f t="shared" ca="1" si="63"/>
        <v>9727396276.5</v>
      </c>
      <c r="AB284" s="63"/>
      <c r="AC284" s="8">
        <v>532723</v>
      </c>
      <c r="AD284" s="8" t="s">
        <v>1189</v>
      </c>
      <c r="AE284" s="12">
        <v>7186494</v>
      </c>
      <c r="AF284" s="8">
        <v>43.42</v>
      </c>
      <c r="AG284" s="8">
        <f ca="1">IFERROR(__xludf.DUMMYFUNCTION("GOOGLEFINANCE(""BOM:"" &amp; AC284,""price"")"),43.77)</f>
        <v>43.77</v>
      </c>
      <c r="AH284" s="8">
        <f t="shared" ca="1" si="83"/>
        <v>0.80608014739751588</v>
      </c>
      <c r="AI284" s="12">
        <f t="shared" si="84"/>
        <v>312037569.48000002</v>
      </c>
      <c r="AJ284" s="13">
        <f t="shared" ca="1" si="85"/>
        <v>314552842.38</v>
      </c>
    </row>
    <row r="285" spans="1:36" x14ac:dyDescent="0.25">
      <c r="A285" s="63"/>
      <c r="B285" s="8">
        <v>518029</v>
      </c>
      <c r="C285" s="8" t="s">
        <v>1190</v>
      </c>
      <c r="D285" s="12">
        <v>88848148</v>
      </c>
      <c r="E285" s="8" t="s">
        <v>44</v>
      </c>
      <c r="F285" s="8" t="s">
        <v>44</v>
      </c>
      <c r="G285" s="8"/>
      <c r="H285" s="12"/>
      <c r="I285" s="13"/>
      <c r="J285" s="63"/>
      <c r="K285" s="8">
        <v>537839</v>
      </c>
      <c r="L285" s="8" t="s">
        <v>1191</v>
      </c>
      <c r="M285" s="12">
        <v>12746060</v>
      </c>
      <c r="N285" s="10">
        <v>94.95</v>
      </c>
      <c r="O285" s="10">
        <f ca="1">IFERROR(__xludf.DUMMYFUNCTION("GOOGLEFINANCE(""BOM:"" &amp; K285,""price"")"),89.89)</f>
        <v>89.89</v>
      </c>
      <c r="P285" s="8">
        <f t="shared" ca="1" si="74"/>
        <v>-5.3291205897840994</v>
      </c>
      <c r="Q285" s="12">
        <f t="shared" si="75"/>
        <v>1210238397</v>
      </c>
      <c r="R285" s="13">
        <f t="shared" ca="1" si="76"/>
        <v>1145743333.4000001</v>
      </c>
      <c r="S285" s="63"/>
      <c r="T285" s="8">
        <v>540135</v>
      </c>
      <c r="U285" s="8" t="s">
        <v>1192</v>
      </c>
      <c r="V285" s="12">
        <v>503170180</v>
      </c>
      <c r="W285" s="8">
        <v>0.96</v>
      </c>
      <c r="X285" s="11">
        <f ca="1">IFERROR(__xludf.DUMMYFUNCTION("GOOGLEFINANCE(""BOM:"" &amp; T285,""price"")"),0.81)</f>
        <v>0.81</v>
      </c>
      <c r="Y285" s="8">
        <f t="shared" ca="1" si="86"/>
        <v>-15.624999999999991</v>
      </c>
      <c r="Z285" s="12">
        <f t="shared" si="62"/>
        <v>483043372.79999995</v>
      </c>
      <c r="AA285" s="13">
        <f t="shared" ca="1" si="63"/>
        <v>407567845.80000001</v>
      </c>
      <c r="AB285" s="63"/>
      <c r="AC285" s="8">
        <v>531416</v>
      </c>
      <c r="AD285" s="8" t="s">
        <v>1193</v>
      </c>
      <c r="AE285" s="12">
        <v>6872976</v>
      </c>
      <c r="AF285" s="8">
        <v>44.52</v>
      </c>
      <c r="AG285" s="8">
        <f ca="1">IFERROR(__xludf.DUMMYFUNCTION("GOOGLEFINANCE(""BOM:"" &amp; AC285,""price"")"),48.78)</f>
        <v>48.78</v>
      </c>
      <c r="AH285" s="8">
        <f t="shared" ca="1" si="83"/>
        <v>9.5687331536388083</v>
      </c>
      <c r="AI285" s="12">
        <f t="shared" si="84"/>
        <v>305984891.52000004</v>
      </c>
      <c r="AJ285" s="13">
        <f t="shared" ca="1" si="85"/>
        <v>335263769.28000003</v>
      </c>
    </row>
    <row r="286" spans="1:36" x14ac:dyDescent="0.25">
      <c r="A286" s="63"/>
      <c r="B286" s="8">
        <v>500292</v>
      </c>
      <c r="C286" s="8" t="s">
        <v>1194</v>
      </c>
      <c r="D286" s="12">
        <v>225485057</v>
      </c>
      <c r="E286" s="8">
        <v>206.7</v>
      </c>
      <c r="F286" s="8">
        <f ca="1">IFERROR(__xludf.DUMMYFUNCTION("GOOGLEFINANCE(""BOM:"" &amp; B286,""price"")"),196.3)</f>
        <v>196.3</v>
      </c>
      <c r="G286" s="8">
        <f t="shared" ref="G286:G329" ca="1" si="90">((F286-E286)/E286)*100</f>
        <v>-5.0314465408804923</v>
      </c>
      <c r="H286" s="12">
        <f t="shared" ref="H286:H329" si="91">D286*E286</f>
        <v>46607761281.899994</v>
      </c>
      <c r="I286" s="13">
        <f t="shared" ref="I286:I329" ca="1" si="92">D286*F286</f>
        <v>44262716689.100006</v>
      </c>
      <c r="J286" s="63"/>
      <c r="K286" s="8">
        <v>507966</v>
      </c>
      <c r="L286" s="8" t="s">
        <v>1195</v>
      </c>
      <c r="M286" s="12">
        <v>3881681</v>
      </c>
      <c r="N286" s="10">
        <v>42.1</v>
      </c>
      <c r="O286" s="10">
        <f ca="1">IFERROR(__xludf.DUMMYFUNCTION("GOOGLEFINANCE(""BOM:"" &amp; K286,""price"")"),39.52)</f>
        <v>39.520000000000003</v>
      </c>
      <c r="P286" s="8">
        <f t="shared" ca="1" si="74"/>
        <v>-6.1282660332541523</v>
      </c>
      <c r="Q286" s="12">
        <f t="shared" si="75"/>
        <v>163418770.09999999</v>
      </c>
      <c r="R286" s="13">
        <f t="shared" ca="1" si="76"/>
        <v>153404033.12</v>
      </c>
      <c r="S286" s="63"/>
      <c r="T286" s="8">
        <v>526935</v>
      </c>
      <c r="U286" s="8" t="s">
        <v>1196</v>
      </c>
      <c r="V286" s="12">
        <v>2449370</v>
      </c>
      <c r="W286" s="8">
        <v>45.29</v>
      </c>
      <c r="X286" s="11">
        <f ca="1">IFERROR(__xludf.DUMMYFUNCTION("GOOGLEFINANCE(""BOM:"" &amp; T286,""price"")"),50.37)</f>
        <v>50.37</v>
      </c>
      <c r="Y286" s="8">
        <f t="shared" ca="1" si="86"/>
        <v>11.216604106866855</v>
      </c>
      <c r="Z286" s="12">
        <f t="shared" si="62"/>
        <v>110931967.3</v>
      </c>
      <c r="AA286" s="13">
        <f t="shared" ca="1" si="63"/>
        <v>123374766.89999999</v>
      </c>
      <c r="AB286" s="63"/>
      <c r="AC286" s="8">
        <v>504882</v>
      </c>
      <c r="AD286" s="8" t="s">
        <v>1197</v>
      </c>
      <c r="AE286" s="12">
        <v>19954373</v>
      </c>
      <c r="AF286" s="8">
        <v>5100</v>
      </c>
      <c r="AG286" s="8">
        <f ca="1">IFERROR(__xludf.DUMMYFUNCTION("GOOGLEFINANCE(""BOM:"" &amp; AC286,""price"")"),4887.9)</f>
        <v>4887.8999999999996</v>
      </c>
      <c r="AH286" s="8">
        <f t="shared" ca="1" si="83"/>
        <v>-4.1588235294117721</v>
      </c>
      <c r="AI286" s="12">
        <f t="shared" si="84"/>
        <v>101767302300</v>
      </c>
      <c r="AJ286" s="13">
        <f t="shared" ca="1" si="85"/>
        <v>97534979786.699997</v>
      </c>
    </row>
    <row r="287" spans="1:36" x14ac:dyDescent="0.25">
      <c r="A287" s="63"/>
      <c r="B287" s="8">
        <v>530005</v>
      </c>
      <c r="C287" s="8" t="s">
        <v>1198</v>
      </c>
      <c r="D287" s="12">
        <v>309001954</v>
      </c>
      <c r="E287" s="8">
        <v>231.5</v>
      </c>
      <c r="F287" s="8">
        <f ca="1">IFERROR(__xludf.DUMMYFUNCTION("GOOGLEFINANCE(""BOM:"" &amp; B287,""price"")"),212.5)</f>
        <v>212.5</v>
      </c>
      <c r="G287" s="8">
        <f t="shared" ca="1" si="90"/>
        <v>-8.2073434125269973</v>
      </c>
      <c r="H287" s="12">
        <f t="shared" si="91"/>
        <v>71533952351</v>
      </c>
      <c r="I287" s="13">
        <f t="shared" ca="1" si="92"/>
        <v>65662915225</v>
      </c>
      <c r="J287" s="63"/>
      <c r="K287" s="8">
        <v>526640</v>
      </c>
      <c r="L287" s="8" t="s">
        <v>1199</v>
      </c>
      <c r="M287" s="12">
        <v>16087549</v>
      </c>
      <c r="N287" s="10">
        <v>42.6</v>
      </c>
      <c r="O287" s="10">
        <f ca="1">IFERROR(__xludf.DUMMYFUNCTION("GOOGLEFINANCE(""BOM:"" &amp; K287,""price"")"),44)</f>
        <v>44</v>
      </c>
      <c r="P287" s="8">
        <f t="shared" ca="1" si="74"/>
        <v>3.2863849765258184</v>
      </c>
      <c r="Q287" s="12">
        <f t="shared" si="75"/>
        <v>685329587.39999998</v>
      </c>
      <c r="R287" s="13">
        <f t="shared" ca="1" si="76"/>
        <v>707852156</v>
      </c>
      <c r="S287" s="63"/>
      <c r="T287" s="8">
        <v>542176</v>
      </c>
      <c r="U287" s="8" t="s">
        <v>1200</v>
      </c>
      <c r="V287" s="12">
        <v>2419200</v>
      </c>
      <c r="W287" s="8">
        <v>21.27</v>
      </c>
      <c r="X287" s="11">
        <f ca="1">IFERROR(__xludf.DUMMYFUNCTION("GOOGLEFINANCE(""BOM:"" &amp; T287,""price"")"),20.52)</f>
        <v>20.52</v>
      </c>
      <c r="Y287" s="8">
        <f t="shared" ca="1" si="86"/>
        <v>-3.5260930888575457</v>
      </c>
      <c r="Z287" s="12">
        <f t="shared" si="62"/>
        <v>51456384</v>
      </c>
      <c r="AA287" s="13">
        <f t="shared" ca="1" si="63"/>
        <v>49641984</v>
      </c>
      <c r="AB287" s="63"/>
      <c r="AC287" s="8">
        <v>531494</v>
      </c>
      <c r="AD287" s="8" t="s">
        <v>1201</v>
      </c>
      <c r="AE287" s="12">
        <v>222400000</v>
      </c>
      <c r="AF287" s="8">
        <v>4.84</v>
      </c>
      <c r="AG287" s="8">
        <f ca="1">IFERROR(__xludf.DUMMYFUNCTION("GOOGLEFINANCE(""BOM:"" &amp; AC287,""price"")"),4.3)</f>
        <v>4.3</v>
      </c>
      <c r="AH287" s="8">
        <f t="shared" ca="1" si="83"/>
        <v>-11.157024793388432</v>
      </c>
      <c r="AI287" s="12">
        <f t="shared" si="84"/>
        <v>1076416000</v>
      </c>
      <c r="AJ287" s="13">
        <f t="shared" ca="1" si="85"/>
        <v>956320000</v>
      </c>
    </row>
    <row r="288" spans="1:36" x14ac:dyDescent="0.25">
      <c r="A288" s="63"/>
      <c r="B288" s="8">
        <v>532644</v>
      </c>
      <c r="C288" s="8" t="s">
        <v>1202</v>
      </c>
      <c r="D288" s="12">
        <v>77010141</v>
      </c>
      <c r="E288" s="8">
        <v>4500.25</v>
      </c>
      <c r="F288" s="8">
        <f ca="1">IFERROR(__xludf.DUMMYFUNCTION("GOOGLEFINANCE(""BOM:"" &amp; B288,""price"")"),4100)</f>
        <v>4100</v>
      </c>
      <c r="G288" s="8">
        <f t="shared" ca="1" si="90"/>
        <v>-8.8939503360924395</v>
      </c>
      <c r="H288" s="12">
        <f t="shared" si="91"/>
        <v>346564887035.25</v>
      </c>
      <c r="I288" s="13">
        <f t="shared" ca="1" si="92"/>
        <v>315741578100</v>
      </c>
      <c r="J288" s="63"/>
      <c r="K288" s="8">
        <v>532124</v>
      </c>
      <c r="L288" s="8" t="s">
        <v>1203</v>
      </c>
      <c r="M288" s="12">
        <v>9280300</v>
      </c>
      <c r="N288" s="10">
        <v>30</v>
      </c>
      <c r="O288" s="10">
        <f ca="1">IFERROR(__xludf.DUMMYFUNCTION("GOOGLEFINANCE(""BOM:"" &amp; K288,""price"")"),26.1)</f>
        <v>26.1</v>
      </c>
      <c r="P288" s="8">
        <f t="shared" ca="1" si="74"/>
        <v>-12.999999999999995</v>
      </c>
      <c r="Q288" s="12">
        <f t="shared" si="75"/>
        <v>278409000</v>
      </c>
      <c r="R288" s="13">
        <f t="shared" ca="1" si="76"/>
        <v>242215830</v>
      </c>
      <c r="S288" s="63"/>
      <c r="T288" s="8">
        <v>512247</v>
      </c>
      <c r="U288" s="8" t="s">
        <v>1204</v>
      </c>
      <c r="V288" s="12">
        <v>49918625</v>
      </c>
      <c r="W288" s="8">
        <v>6.05</v>
      </c>
      <c r="X288" s="11">
        <f ca="1">IFERROR(__xludf.DUMMYFUNCTION("GOOGLEFINANCE(""BOM:"" &amp; T288,""price"")"),5.14)</f>
        <v>5.14</v>
      </c>
      <c r="Y288" s="8">
        <f t="shared" ca="1" si="86"/>
        <v>-15.041322314049591</v>
      </c>
      <c r="Z288" s="12">
        <f t="shared" si="62"/>
        <v>302007681.25</v>
      </c>
      <c r="AA288" s="13">
        <f t="shared" ca="1" si="63"/>
        <v>256581732.49999997</v>
      </c>
      <c r="AB288" s="63"/>
      <c r="AC288" s="8">
        <v>533202</v>
      </c>
      <c r="AD288" s="8" t="s">
        <v>1205</v>
      </c>
      <c r="AE288" s="12">
        <v>145832100</v>
      </c>
      <c r="AF288" s="8">
        <v>3.85</v>
      </c>
      <c r="AG288" s="8">
        <f ca="1">IFERROR(__xludf.DUMMYFUNCTION("GOOGLEFINANCE(""BOM:"" &amp; AC288,""price"")"),2.92)</f>
        <v>2.92</v>
      </c>
      <c r="AH288" s="8">
        <f t="shared" ca="1" si="83"/>
        <v>-24.155844155844157</v>
      </c>
      <c r="AI288" s="12">
        <f t="shared" si="84"/>
        <v>561453585</v>
      </c>
      <c r="AJ288" s="13">
        <f t="shared" ca="1" si="85"/>
        <v>425829732</v>
      </c>
    </row>
    <row r="289" spans="1:36" x14ac:dyDescent="0.25">
      <c r="A289" s="63"/>
      <c r="B289" s="8">
        <v>500380</v>
      </c>
      <c r="C289" s="8" t="s">
        <v>1206</v>
      </c>
      <c r="D289" s="12">
        <v>116714030</v>
      </c>
      <c r="E289" s="8">
        <v>938.1</v>
      </c>
      <c r="F289" s="8">
        <f ca="1">IFERROR(__xludf.DUMMYFUNCTION("GOOGLEFINANCE(""BOM:"" &amp; B289,""price"")"),874.8)</f>
        <v>874.8</v>
      </c>
      <c r="G289" s="8">
        <f t="shared" ca="1" si="90"/>
        <v>-6.7476814838503429</v>
      </c>
      <c r="H289" s="12">
        <f t="shared" si="91"/>
        <v>109489431543</v>
      </c>
      <c r="I289" s="13">
        <f t="shared" ca="1" si="92"/>
        <v>102101433444</v>
      </c>
      <c r="J289" s="63"/>
      <c r="K289" s="8">
        <v>532699</v>
      </c>
      <c r="L289" s="8" t="s">
        <v>1207</v>
      </c>
      <c r="M289" s="12">
        <v>27397448</v>
      </c>
      <c r="N289" s="10">
        <v>399</v>
      </c>
      <c r="O289" s="10">
        <f ca="1">IFERROR(__xludf.DUMMYFUNCTION("GOOGLEFINANCE(""BOM:"" &amp; K289,""price"")"),365.5)</f>
        <v>365.5</v>
      </c>
      <c r="P289" s="8">
        <f t="shared" ca="1" si="74"/>
        <v>-8.3959899749373434</v>
      </c>
      <c r="Q289" s="12">
        <f t="shared" si="75"/>
        <v>10931581752</v>
      </c>
      <c r="R289" s="13">
        <f t="shared" ca="1" si="76"/>
        <v>10013767244</v>
      </c>
      <c r="S289" s="63"/>
      <c r="T289" s="8">
        <v>531340</v>
      </c>
      <c r="U289" s="8" t="s">
        <v>1208</v>
      </c>
      <c r="V289" s="12">
        <v>2594609</v>
      </c>
      <c r="W289" s="8">
        <v>33.270000000000003</v>
      </c>
      <c r="X289" s="11">
        <f ca="1">IFERROR(__xludf.DUMMYFUNCTION("GOOGLEFINANCE(""BOM:"" &amp; T289,""price"")"),35.65)</f>
        <v>35.65</v>
      </c>
      <c r="Y289" s="8">
        <f t="shared" ca="1" si="86"/>
        <v>7.1535918244664725</v>
      </c>
      <c r="Z289" s="12">
        <f t="shared" si="62"/>
        <v>86322641.430000007</v>
      </c>
      <c r="AA289" s="13">
        <f t="shared" ca="1" si="63"/>
        <v>92497810.849999994</v>
      </c>
      <c r="AB289" s="63"/>
      <c r="AC289" s="8">
        <v>514332</v>
      </c>
      <c r="AD289" s="8" t="s">
        <v>1209</v>
      </c>
      <c r="AE289" s="12">
        <v>4821200</v>
      </c>
      <c r="AF289" s="8">
        <v>15.63</v>
      </c>
      <c r="AG289" s="8">
        <f ca="1">IFERROR(__xludf.DUMMYFUNCTION("GOOGLEFINANCE(""BOM:"" &amp; AC289,""price"")"),17)</f>
        <v>17</v>
      </c>
      <c r="AH289" s="8">
        <f t="shared" ca="1" si="83"/>
        <v>8.7651951375559776</v>
      </c>
      <c r="AI289" s="12">
        <f t="shared" si="84"/>
        <v>75355356</v>
      </c>
      <c r="AJ289" s="13">
        <f t="shared" ca="1" si="85"/>
        <v>81960400</v>
      </c>
    </row>
    <row r="290" spans="1:36" x14ac:dyDescent="0.25">
      <c r="A290" s="63"/>
      <c r="B290" s="8">
        <v>500234</v>
      </c>
      <c r="C290" s="8" t="s">
        <v>1210</v>
      </c>
      <c r="D290" s="12">
        <v>7595243</v>
      </c>
      <c r="E290" s="8">
        <v>227.9</v>
      </c>
      <c r="F290" s="8">
        <f ca="1">IFERROR(__xludf.DUMMYFUNCTION("GOOGLEFINANCE(""BOM:"" &amp; B290,""price"")"),200)</f>
        <v>200</v>
      </c>
      <c r="G290" s="8">
        <f t="shared" ca="1" si="90"/>
        <v>-12.242211496270295</v>
      </c>
      <c r="H290" s="12">
        <f t="shared" si="91"/>
        <v>1730955879.7</v>
      </c>
      <c r="I290" s="13">
        <f t="shared" ca="1" si="92"/>
        <v>1519048600</v>
      </c>
      <c r="J290" s="63"/>
      <c r="K290" s="8">
        <v>542599</v>
      </c>
      <c r="L290" s="8" t="s">
        <v>1211</v>
      </c>
      <c r="M290" s="12">
        <v>4809980</v>
      </c>
      <c r="N290" s="10">
        <v>35.6</v>
      </c>
      <c r="O290" s="10">
        <f ca="1">IFERROR(__xludf.DUMMYFUNCTION("GOOGLEFINANCE(""BOM:"" &amp; K290,""price"")"),37.3)</f>
        <v>37.299999999999997</v>
      </c>
      <c r="P290" s="8">
        <f t="shared" ca="1" si="74"/>
        <v>4.7752808988763924</v>
      </c>
      <c r="Q290" s="12">
        <f t="shared" si="75"/>
        <v>171235288</v>
      </c>
      <c r="R290" s="13">
        <f t="shared" ca="1" si="76"/>
        <v>179412254</v>
      </c>
      <c r="S290" s="63"/>
      <c r="T290" s="8">
        <v>511501</v>
      </c>
      <c r="U290" s="8" t="s">
        <v>1212</v>
      </c>
      <c r="V290" s="12">
        <v>3151779</v>
      </c>
      <c r="W290" s="8">
        <v>35.79</v>
      </c>
      <c r="X290" s="11">
        <f ca="1">IFERROR(__xludf.DUMMYFUNCTION("GOOGLEFINANCE(""BOM:"" &amp; T290,""price"")"),31.6)</f>
        <v>31.6</v>
      </c>
      <c r="Y290" s="8">
        <f t="shared" ca="1" si="86"/>
        <v>-11.707180776753278</v>
      </c>
      <c r="Z290" s="12">
        <f t="shared" si="62"/>
        <v>112802170.41</v>
      </c>
      <c r="AA290" s="13">
        <f t="shared" ca="1" si="63"/>
        <v>99596216.400000006</v>
      </c>
      <c r="AB290" s="63"/>
      <c r="AC290" s="8">
        <v>530377</v>
      </c>
      <c r="AD290" s="8" t="s">
        <v>1213</v>
      </c>
      <c r="AE290" s="12">
        <v>388446000</v>
      </c>
      <c r="AF290" s="8">
        <v>12.58</v>
      </c>
      <c r="AG290" s="8">
        <f ca="1">IFERROR(__xludf.DUMMYFUNCTION("GOOGLEFINANCE(""BOM:"" &amp; AC290,""price"")"),10.43)</f>
        <v>10.43</v>
      </c>
      <c r="AH290" s="8">
        <f t="shared" ca="1" si="83"/>
        <v>-17.090620031796504</v>
      </c>
      <c r="AI290" s="12">
        <f t="shared" si="84"/>
        <v>4886650680</v>
      </c>
      <c r="AJ290" s="13">
        <f t="shared" ca="1" si="85"/>
        <v>4051491780</v>
      </c>
    </row>
    <row r="291" spans="1:36" x14ac:dyDescent="0.25">
      <c r="A291" s="63"/>
      <c r="B291" s="8">
        <v>590066</v>
      </c>
      <c r="C291" s="8" t="s">
        <v>1214</v>
      </c>
      <c r="D291" s="12">
        <v>126119125</v>
      </c>
      <c r="E291" s="8">
        <v>191.85</v>
      </c>
      <c r="F291" s="8">
        <f ca="1">IFERROR(__xludf.DUMMYFUNCTION("GOOGLEFINANCE(""BOM:"" &amp; B291,""price"")"),174.7)</f>
        <v>174.7</v>
      </c>
      <c r="G291" s="8">
        <f t="shared" ca="1" si="90"/>
        <v>-8.9392754756320087</v>
      </c>
      <c r="H291" s="12">
        <f t="shared" si="91"/>
        <v>24195954131.25</v>
      </c>
      <c r="I291" s="13">
        <f t="shared" ca="1" si="92"/>
        <v>22033011137.5</v>
      </c>
      <c r="J291" s="63"/>
      <c r="K291" s="8">
        <v>512634</v>
      </c>
      <c r="L291" s="8" t="s">
        <v>1215</v>
      </c>
      <c r="M291" s="12">
        <v>11569544</v>
      </c>
      <c r="N291" s="10">
        <v>130</v>
      </c>
      <c r="O291" s="10">
        <f ca="1">IFERROR(__xludf.DUMMYFUNCTION("GOOGLEFINANCE(""BOM:"" &amp; K291,""price"")"),118.9)</f>
        <v>118.9</v>
      </c>
      <c r="P291" s="8">
        <f t="shared" ca="1" si="74"/>
        <v>-8.538461538461533</v>
      </c>
      <c r="Q291" s="12">
        <f t="shared" si="75"/>
        <v>1504040720</v>
      </c>
      <c r="R291" s="13">
        <f t="shared" ca="1" si="76"/>
        <v>1375618781.6000001</v>
      </c>
      <c r="S291" s="63"/>
      <c r="T291" s="8">
        <v>531752</v>
      </c>
      <c r="U291" s="8" t="s">
        <v>1216</v>
      </c>
      <c r="V291" s="12">
        <v>652591600</v>
      </c>
      <c r="W291" s="8">
        <v>1.26</v>
      </c>
      <c r="X291" s="11">
        <f ca="1">IFERROR(__xludf.DUMMYFUNCTION("GOOGLEFINANCE(""BOM:"" &amp; T291,""price"")"),1.06)</f>
        <v>1.06</v>
      </c>
      <c r="Y291" s="8">
        <f t="shared" ca="1" si="86"/>
        <v>-15.87301587301587</v>
      </c>
      <c r="Z291" s="12">
        <f t="shared" si="62"/>
        <v>822265416</v>
      </c>
      <c r="AA291" s="13">
        <f t="shared" ca="1" si="63"/>
        <v>691747096</v>
      </c>
      <c r="AB291" s="63"/>
      <c r="AC291" s="8">
        <v>542231</v>
      </c>
      <c r="AD291" s="8" t="s">
        <v>1217</v>
      </c>
      <c r="AE291" s="12">
        <v>387176404</v>
      </c>
      <c r="AF291" s="8">
        <v>5.47</v>
      </c>
      <c r="AG291" s="8">
        <f ca="1">IFERROR(__xludf.DUMMYFUNCTION("GOOGLEFINANCE(""BOM:"" &amp; AC291,""price"")"),5.55)</f>
        <v>5.55</v>
      </c>
      <c r="AH291" s="8">
        <f t="shared" ca="1" si="83"/>
        <v>1.4625228519195625</v>
      </c>
      <c r="AI291" s="12">
        <f t="shared" si="84"/>
        <v>2117854929.8799999</v>
      </c>
      <c r="AJ291" s="13">
        <f t="shared" ca="1" si="85"/>
        <v>2148829042.1999998</v>
      </c>
    </row>
    <row r="292" spans="1:36" x14ac:dyDescent="0.25">
      <c r="A292" s="63"/>
      <c r="B292" s="8">
        <v>518011</v>
      </c>
      <c r="C292" s="8" t="s">
        <v>1218</v>
      </c>
      <c r="D292" s="12">
        <v>6927410</v>
      </c>
      <c r="E292" s="8">
        <v>143.1</v>
      </c>
      <c r="F292" s="8">
        <f ca="1">IFERROR(__xludf.DUMMYFUNCTION("GOOGLEFINANCE(""BOM:"" &amp; B292,""price"")"),112)</f>
        <v>112</v>
      </c>
      <c r="G292" s="8">
        <f t="shared" ca="1" si="90"/>
        <v>-21.733053808525504</v>
      </c>
      <c r="H292" s="12">
        <f t="shared" si="91"/>
        <v>991312371</v>
      </c>
      <c r="I292" s="13">
        <f t="shared" ca="1" si="92"/>
        <v>775869920</v>
      </c>
      <c r="J292" s="63"/>
      <c r="K292" s="8">
        <v>523710</v>
      </c>
      <c r="L292" s="8" t="s">
        <v>1219</v>
      </c>
      <c r="M292" s="12">
        <v>16021112</v>
      </c>
      <c r="N292" s="10">
        <v>321</v>
      </c>
      <c r="O292" s="10">
        <f ca="1">IFERROR(__xludf.DUMMYFUNCTION("GOOGLEFINANCE(""BOM:"" &amp; K292,""price"")"),287.05)</f>
        <v>287.05</v>
      </c>
      <c r="P292" s="8">
        <f t="shared" ca="1" si="74"/>
        <v>-10.576323987538936</v>
      </c>
      <c r="Q292" s="12">
        <f t="shared" si="75"/>
        <v>5142776952</v>
      </c>
      <c r="R292" s="13">
        <f t="shared" ca="1" si="76"/>
        <v>4598860199.6000004</v>
      </c>
      <c r="S292" s="63"/>
      <c r="T292" s="8">
        <v>523019</v>
      </c>
      <c r="U292" s="8" t="s">
        <v>1220</v>
      </c>
      <c r="V292" s="12">
        <v>8223890</v>
      </c>
      <c r="W292" s="8">
        <v>119.6</v>
      </c>
      <c r="X292" s="11">
        <f ca="1">IFERROR(__xludf.DUMMYFUNCTION("GOOGLEFINANCE(""BOM:"" &amp; T292,""price"")"),101.9)</f>
        <v>101.9</v>
      </c>
      <c r="Y292" s="8">
        <f t="shared" ca="1" si="86"/>
        <v>-14.79933110367892</v>
      </c>
      <c r="Z292" s="12">
        <f t="shared" si="62"/>
        <v>983577244</v>
      </c>
      <c r="AA292" s="13">
        <f t="shared" ca="1" si="63"/>
        <v>838014391</v>
      </c>
      <c r="AB292" s="63"/>
      <c r="AC292" s="8">
        <v>511714</v>
      </c>
      <c r="AD292" s="8" t="s">
        <v>1221</v>
      </c>
      <c r="AE292" s="12">
        <v>10098187</v>
      </c>
      <c r="AF292" s="8">
        <v>33.6</v>
      </c>
      <c r="AG292" s="8">
        <f ca="1">IFERROR(__xludf.DUMMYFUNCTION("GOOGLEFINANCE(""BOM:"" &amp; AC292,""price"")"),34.9)</f>
        <v>34.9</v>
      </c>
      <c r="AH292" s="8">
        <f t="shared" ca="1" si="83"/>
        <v>3.8690476190476102</v>
      </c>
      <c r="AI292" s="12">
        <f t="shared" si="84"/>
        <v>339299083.19999999</v>
      </c>
      <c r="AJ292" s="13">
        <f t="shared" ca="1" si="85"/>
        <v>352426726.30000001</v>
      </c>
    </row>
    <row r="293" spans="1:36" x14ac:dyDescent="0.25">
      <c r="A293" s="63"/>
      <c r="B293" s="8">
        <v>502937</v>
      </c>
      <c r="C293" s="8" t="s">
        <v>1222</v>
      </c>
      <c r="D293" s="12">
        <v>243632102</v>
      </c>
      <c r="E293" s="8">
        <v>172.75</v>
      </c>
      <c r="F293" s="8">
        <f ca="1">IFERROR(__xludf.DUMMYFUNCTION("GOOGLEFINANCE(""BOM:"" &amp; B293,""price"")"),171.05)</f>
        <v>171.05</v>
      </c>
      <c r="G293" s="8">
        <f t="shared" ca="1" si="90"/>
        <v>-0.98408104196815549</v>
      </c>
      <c r="H293" s="12">
        <f t="shared" si="91"/>
        <v>42087445620.5</v>
      </c>
      <c r="I293" s="13">
        <f t="shared" ca="1" si="92"/>
        <v>41673271047.100006</v>
      </c>
      <c r="J293" s="63"/>
      <c r="K293" s="8">
        <v>540782</v>
      </c>
      <c r="L293" s="8" t="s">
        <v>1223</v>
      </c>
      <c r="M293" s="12">
        <v>10415880</v>
      </c>
      <c r="N293" s="10">
        <v>23.1</v>
      </c>
      <c r="O293" s="10">
        <f ca="1">IFERROR(__xludf.DUMMYFUNCTION("GOOGLEFINANCE(""BOM:"" &amp; K293,""price"")"),18.1)</f>
        <v>18.100000000000001</v>
      </c>
      <c r="P293" s="8">
        <f t="shared" ca="1" si="74"/>
        <v>-21.645021645021643</v>
      </c>
      <c r="Q293" s="12">
        <f t="shared" si="75"/>
        <v>240606828</v>
      </c>
      <c r="R293" s="13">
        <f t="shared" ca="1" si="76"/>
        <v>188527428</v>
      </c>
      <c r="S293" s="63"/>
      <c r="T293" s="8">
        <v>530249</v>
      </c>
      <c r="U293" s="8" t="s">
        <v>1224</v>
      </c>
      <c r="V293" s="12">
        <v>2751900</v>
      </c>
      <c r="W293" s="8">
        <v>20.94</v>
      </c>
      <c r="X293" s="11">
        <f ca="1">IFERROR(__xludf.DUMMYFUNCTION("GOOGLEFINANCE(""BOM:"" &amp; T293,""price"")"),21.5)</f>
        <v>21.5</v>
      </c>
      <c r="Y293" s="8">
        <f t="shared" ca="1" si="86"/>
        <v>2.6743075453677112</v>
      </c>
      <c r="Z293" s="12">
        <f t="shared" si="62"/>
        <v>57624786</v>
      </c>
      <c r="AA293" s="13">
        <f t="shared" ca="1" si="63"/>
        <v>59165850</v>
      </c>
      <c r="AB293" s="63"/>
      <c r="AC293" s="8">
        <v>533273</v>
      </c>
      <c r="AD293" s="8" t="s">
        <v>1225</v>
      </c>
      <c r="AE293" s="12">
        <v>363602229</v>
      </c>
      <c r="AF293" s="8">
        <v>1371.35</v>
      </c>
      <c r="AG293" s="8">
        <f ca="1">IFERROR(__xludf.DUMMYFUNCTION("GOOGLEFINANCE(""BOM:"" &amp; AC293,""price"")"),1435)</f>
        <v>1435</v>
      </c>
      <c r="AH293" s="8">
        <f t="shared" ca="1" si="83"/>
        <v>4.6414117475480436</v>
      </c>
      <c r="AI293" s="12">
        <f t="shared" si="84"/>
        <v>498625916739.14996</v>
      </c>
      <c r="AJ293" s="13">
        <f t="shared" ca="1" si="85"/>
        <v>521769198615</v>
      </c>
    </row>
    <row r="294" spans="1:36" x14ac:dyDescent="0.25">
      <c r="A294" s="63"/>
      <c r="B294" s="8">
        <v>502157</v>
      </c>
      <c r="C294" s="8" t="s">
        <v>1226</v>
      </c>
      <c r="D294" s="12">
        <v>27232754</v>
      </c>
      <c r="E294" s="8">
        <v>728.75</v>
      </c>
      <c r="F294" s="8">
        <f ca="1">IFERROR(__xludf.DUMMYFUNCTION("GOOGLEFINANCE(""BOM:"" &amp; B294,""price"")"),727)</f>
        <v>727</v>
      </c>
      <c r="G294" s="8">
        <f t="shared" ca="1" si="90"/>
        <v>-0.24013722126929676</v>
      </c>
      <c r="H294" s="12">
        <f t="shared" si="91"/>
        <v>19845869477.5</v>
      </c>
      <c r="I294" s="13">
        <f t="shared" ca="1" si="92"/>
        <v>19798212158</v>
      </c>
      <c r="J294" s="63"/>
      <c r="K294" s="8">
        <v>543536</v>
      </c>
      <c r="L294" s="8" t="s">
        <v>1227</v>
      </c>
      <c r="M294" s="12">
        <v>380000</v>
      </c>
      <c r="N294" s="10">
        <v>9.9</v>
      </c>
      <c r="O294" s="10">
        <f ca="1">IFERROR(__xludf.DUMMYFUNCTION("GOOGLEFINANCE(""BOM:"" &amp; K294,""price"")"),9)</f>
        <v>9</v>
      </c>
      <c r="P294" s="8">
        <f t="shared" ca="1" si="74"/>
        <v>-9.0909090909090935</v>
      </c>
      <c r="Q294" s="12">
        <f t="shared" si="75"/>
        <v>3762000</v>
      </c>
      <c r="R294" s="13">
        <f t="shared" ca="1" si="76"/>
        <v>3420000</v>
      </c>
      <c r="S294" s="63"/>
      <c r="T294" s="8">
        <v>539637</v>
      </c>
      <c r="U294" s="8" t="s">
        <v>1228</v>
      </c>
      <c r="V294" s="12">
        <v>3001080</v>
      </c>
      <c r="W294" s="8" t="s">
        <v>44</v>
      </c>
      <c r="X294" s="8" t="s">
        <v>44</v>
      </c>
      <c r="Y294" s="8"/>
      <c r="Z294" s="12"/>
      <c r="AA294" s="13"/>
      <c r="AB294" s="63"/>
      <c r="AC294" s="8">
        <v>532880</v>
      </c>
      <c r="AD294" s="8" t="s">
        <v>1229</v>
      </c>
      <c r="AE294" s="12">
        <v>182900136</v>
      </c>
      <c r="AF294" s="8">
        <v>103.7</v>
      </c>
      <c r="AG294" s="8">
        <f ca="1">IFERROR(__xludf.DUMMYFUNCTION("GOOGLEFINANCE(""BOM:"" &amp; AC294,""price"")"),90.65)</f>
        <v>90.65</v>
      </c>
      <c r="AH294" s="8">
        <f t="shared" ca="1" si="83"/>
        <v>-12.58437801350048</v>
      </c>
      <c r="AI294" s="12">
        <f t="shared" si="84"/>
        <v>18966744103.200001</v>
      </c>
      <c r="AJ294" s="13">
        <f t="shared" ca="1" si="85"/>
        <v>16579897328.400002</v>
      </c>
    </row>
    <row r="295" spans="1:36" x14ac:dyDescent="0.25">
      <c r="A295" s="63"/>
      <c r="B295" s="8">
        <v>502168</v>
      </c>
      <c r="C295" s="8" t="s">
        <v>1230</v>
      </c>
      <c r="D295" s="12">
        <v>44136927</v>
      </c>
      <c r="E295" s="8">
        <v>224</v>
      </c>
      <c r="F295" s="8">
        <f ca="1">IFERROR(__xludf.DUMMYFUNCTION("GOOGLEFINANCE(""BOM:"" &amp; B295,""price"")"),184.75)</f>
        <v>184.75</v>
      </c>
      <c r="G295" s="8">
        <f t="shared" ca="1" si="90"/>
        <v>-17.522321428571427</v>
      </c>
      <c r="H295" s="12">
        <f t="shared" si="91"/>
        <v>9886671648</v>
      </c>
      <c r="I295" s="13">
        <f t="shared" ca="1" si="92"/>
        <v>8154297263.25</v>
      </c>
      <c r="J295" s="63"/>
      <c r="K295" s="8">
        <v>523023</v>
      </c>
      <c r="L295" s="8" t="s">
        <v>1231</v>
      </c>
      <c r="M295" s="12">
        <v>51015030</v>
      </c>
      <c r="N295" s="10">
        <v>126.65</v>
      </c>
      <c r="O295" s="10">
        <f ca="1">IFERROR(__xludf.DUMMYFUNCTION("GOOGLEFINANCE(""BOM:"" &amp; K295,""price"")"),124.7)</f>
        <v>124.7</v>
      </c>
      <c r="P295" s="8">
        <f t="shared" ca="1" si="74"/>
        <v>-1.5396762731938436</v>
      </c>
      <c r="Q295" s="12">
        <f t="shared" si="75"/>
        <v>6461053549.5</v>
      </c>
      <c r="R295" s="13">
        <f t="shared" ca="1" si="76"/>
        <v>6361574241</v>
      </c>
      <c r="S295" s="63"/>
      <c r="T295" s="8">
        <v>539304</v>
      </c>
      <c r="U295" s="8" t="s">
        <v>1232</v>
      </c>
      <c r="V295" s="12">
        <v>8811500</v>
      </c>
      <c r="W295" s="8">
        <v>92.1</v>
      </c>
      <c r="X295" s="11">
        <f ca="1">IFERROR(__xludf.DUMMYFUNCTION("GOOGLEFINANCE(""BOM:"" &amp; T295,""price"")"),84.19)</f>
        <v>84.19</v>
      </c>
      <c r="Y295" s="8">
        <f t="shared" ref="Y295:Y308" ca="1" si="93">((X295-W295)/W295)*100</f>
        <v>-8.588490770901192</v>
      </c>
      <c r="Z295" s="12">
        <f t="shared" ref="Z295:Z449" si="94">V295*W295</f>
        <v>811539150</v>
      </c>
      <c r="AA295" s="13">
        <f t="shared" ref="AA295:AA449" ca="1" si="95">V295*X295</f>
        <v>741840185</v>
      </c>
      <c r="AB295" s="63"/>
      <c r="AC295" s="8">
        <v>511176</v>
      </c>
      <c r="AD295" s="8" t="s">
        <v>1233</v>
      </c>
      <c r="AE295" s="12">
        <v>2750335</v>
      </c>
      <c r="AF295" s="8">
        <v>71.540000000000006</v>
      </c>
      <c r="AG295" s="8">
        <f ca="1">IFERROR(__xludf.DUMMYFUNCTION("GOOGLEFINANCE(""BOM:"" &amp; AC295,""price"")"),63.28)</f>
        <v>63.28</v>
      </c>
      <c r="AH295" s="8">
        <f t="shared" ca="1" si="83"/>
        <v>-11.545988258317031</v>
      </c>
      <c r="AI295" s="12">
        <f t="shared" si="84"/>
        <v>196758965.90000001</v>
      </c>
      <c r="AJ295" s="13">
        <f t="shared" ca="1" si="85"/>
        <v>174041198.80000001</v>
      </c>
    </row>
    <row r="296" spans="1:36" x14ac:dyDescent="0.25">
      <c r="A296" s="63"/>
      <c r="B296" s="8">
        <v>543334</v>
      </c>
      <c r="C296" s="8" t="s">
        <v>1234</v>
      </c>
      <c r="D296" s="12">
        <v>357156152</v>
      </c>
      <c r="E296" s="8">
        <v>337.25</v>
      </c>
      <c r="F296" s="8">
        <f ca="1">IFERROR(__xludf.DUMMYFUNCTION("GOOGLEFINANCE(""BOM:"" &amp; B296,""price"")"),306.5)</f>
        <v>306.5</v>
      </c>
      <c r="G296" s="8">
        <f t="shared" ca="1" si="90"/>
        <v>-9.1178650852483312</v>
      </c>
      <c r="H296" s="12">
        <f t="shared" si="91"/>
        <v>120450912262</v>
      </c>
      <c r="I296" s="13">
        <f t="shared" ca="1" si="92"/>
        <v>109468360588</v>
      </c>
      <c r="J296" s="63"/>
      <c r="K296" s="8">
        <v>526500</v>
      </c>
      <c r="L296" s="8" t="s">
        <v>1235</v>
      </c>
      <c r="M296" s="12">
        <v>4014739</v>
      </c>
      <c r="N296" s="10">
        <v>35.1</v>
      </c>
      <c r="O296" s="10">
        <f ca="1">IFERROR(__xludf.DUMMYFUNCTION("GOOGLEFINANCE(""BOM:"" &amp; K296,""price"")"),32.21)</f>
        <v>32.21</v>
      </c>
      <c r="P296" s="8">
        <f t="shared" ca="1" si="74"/>
        <v>-8.2336182336182357</v>
      </c>
      <c r="Q296" s="12">
        <f t="shared" si="75"/>
        <v>140917338.90000001</v>
      </c>
      <c r="R296" s="13">
        <f t="shared" ca="1" si="76"/>
        <v>129314743.19</v>
      </c>
      <c r="S296" s="63"/>
      <c r="T296" s="8">
        <v>534732</v>
      </c>
      <c r="U296" s="8" t="s">
        <v>1236</v>
      </c>
      <c r="V296" s="12">
        <v>31042260</v>
      </c>
      <c r="W296" s="8">
        <v>49.82</v>
      </c>
      <c r="X296" s="11">
        <f ca="1">IFERROR(__xludf.DUMMYFUNCTION("GOOGLEFINANCE(""BOM:"" &amp; T296,""price"")"),57.98)</f>
        <v>57.98</v>
      </c>
      <c r="Y296" s="8">
        <f t="shared" ca="1" si="93"/>
        <v>16.378964271376951</v>
      </c>
      <c r="Z296" s="12">
        <f t="shared" si="94"/>
        <v>1546525393.2</v>
      </c>
      <c r="AA296" s="13">
        <f t="shared" ca="1" si="95"/>
        <v>1799830234.8</v>
      </c>
      <c r="AB296" s="63"/>
      <c r="AC296" s="8">
        <v>532780</v>
      </c>
      <c r="AD296" s="8" t="s">
        <v>1237</v>
      </c>
      <c r="AE296" s="12">
        <v>435141988</v>
      </c>
      <c r="AF296" s="8">
        <v>15</v>
      </c>
      <c r="AG296" s="8">
        <f ca="1">IFERROR(__xludf.DUMMYFUNCTION("GOOGLEFINANCE(""BOM:"" &amp; AC296,""price"")"),15)</f>
        <v>15</v>
      </c>
      <c r="AH296" s="8">
        <f t="shared" ca="1" si="83"/>
        <v>0</v>
      </c>
      <c r="AI296" s="12">
        <f t="shared" si="84"/>
        <v>6527129820</v>
      </c>
      <c r="AJ296" s="13">
        <f t="shared" ca="1" si="85"/>
        <v>6527129820</v>
      </c>
    </row>
    <row r="297" spans="1:36" x14ac:dyDescent="0.25">
      <c r="A297" s="63"/>
      <c r="B297" s="8">
        <v>535754</v>
      </c>
      <c r="C297" s="8" t="s">
        <v>1238</v>
      </c>
      <c r="D297" s="12">
        <v>204158115</v>
      </c>
      <c r="E297" s="8">
        <v>234</v>
      </c>
      <c r="F297" s="8">
        <f ca="1">IFERROR(__xludf.DUMMYFUNCTION("GOOGLEFINANCE(""BOM:"" &amp; B297,""price"")"),196.25)</f>
        <v>196.25</v>
      </c>
      <c r="G297" s="8">
        <f t="shared" ca="1" si="90"/>
        <v>-16.132478632478634</v>
      </c>
      <c r="H297" s="12">
        <f t="shared" si="91"/>
        <v>47772998910</v>
      </c>
      <c r="I297" s="13">
        <f t="shared" ca="1" si="92"/>
        <v>40066030068.75</v>
      </c>
      <c r="J297" s="63"/>
      <c r="K297" s="8">
        <v>532390</v>
      </c>
      <c r="L297" s="8" t="s">
        <v>1239</v>
      </c>
      <c r="M297" s="12">
        <v>62289624</v>
      </c>
      <c r="N297" s="10">
        <v>373.6</v>
      </c>
      <c r="O297" s="10">
        <f ca="1">IFERROR(__xludf.DUMMYFUNCTION("GOOGLEFINANCE(""BOM:"" &amp; K297,""price"")"),381.25)</f>
        <v>381.25</v>
      </c>
      <c r="P297" s="8">
        <f t="shared" ca="1" si="74"/>
        <v>2.0476445396145548</v>
      </c>
      <c r="Q297" s="12">
        <f t="shared" si="75"/>
        <v>23271403526.400002</v>
      </c>
      <c r="R297" s="13">
        <f t="shared" ca="1" si="76"/>
        <v>23747919150</v>
      </c>
      <c r="S297" s="63"/>
      <c r="T297" s="8">
        <v>538433</v>
      </c>
      <c r="U297" s="8" t="s">
        <v>1240</v>
      </c>
      <c r="V297" s="12">
        <v>36645065</v>
      </c>
      <c r="W297" s="8">
        <v>0.7</v>
      </c>
      <c r="X297" s="11">
        <f ca="1">IFERROR(__xludf.DUMMYFUNCTION("GOOGLEFINANCE(""BOM:"" &amp; T297,""price"")"),0.72)</f>
        <v>0.72</v>
      </c>
      <c r="Y297" s="8">
        <f t="shared" ca="1" si="93"/>
        <v>2.8571428571428599</v>
      </c>
      <c r="Z297" s="12">
        <f t="shared" si="94"/>
        <v>25651545.5</v>
      </c>
      <c r="AA297" s="13">
        <f t="shared" ca="1" si="95"/>
        <v>26384446.800000001</v>
      </c>
      <c r="AB297" s="63"/>
      <c r="AC297" s="8">
        <v>524031</v>
      </c>
      <c r="AD297" s="8" t="s">
        <v>1241</v>
      </c>
      <c r="AE297" s="12">
        <v>4231000</v>
      </c>
      <c r="AF297" s="8">
        <v>10.83</v>
      </c>
      <c r="AG297" s="8">
        <f ca="1">IFERROR(__xludf.DUMMYFUNCTION("GOOGLEFINANCE(""BOM:"" &amp; AC297,""price"")"),9.77)</f>
        <v>9.77</v>
      </c>
      <c r="AH297" s="8">
        <f t="shared" ca="1" si="83"/>
        <v>-9.7876269621422018</v>
      </c>
      <c r="AI297" s="12">
        <f t="shared" si="84"/>
        <v>45821730</v>
      </c>
      <c r="AJ297" s="13">
        <f t="shared" ca="1" si="85"/>
        <v>41336870</v>
      </c>
    </row>
    <row r="298" spans="1:36" x14ac:dyDescent="0.25">
      <c r="A298" s="63"/>
      <c r="B298" s="8">
        <v>500338</v>
      </c>
      <c r="C298" s="8" t="s">
        <v>1242</v>
      </c>
      <c r="D298" s="12">
        <v>501030808</v>
      </c>
      <c r="E298" s="8">
        <v>170.7</v>
      </c>
      <c r="F298" s="8">
        <f ca="1">IFERROR(__xludf.DUMMYFUNCTION("GOOGLEFINANCE(""BOM:"" &amp; B298,""price"")"),178.4)</f>
        <v>178.4</v>
      </c>
      <c r="G298" s="8">
        <f t="shared" ca="1" si="90"/>
        <v>4.5108377270064546</v>
      </c>
      <c r="H298" s="12">
        <f t="shared" si="91"/>
        <v>85525958925.599991</v>
      </c>
      <c r="I298" s="13">
        <f t="shared" ca="1" si="92"/>
        <v>89383896147.199997</v>
      </c>
      <c r="J298" s="63"/>
      <c r="K298" s="8">
        <v>532845</v>
      </c>
      <c r="L298" s="8" t="s">
        <v>1243</v>
      </c>
      <c r="M298" s="12">
        <v>29286395</v>
      </c>
      <c r="N298" s="10">
        <v>16.940000000000001</v>
      </c>
      <c r="O298" s="10">
        <f ca="1">IFERROR(__xludf.DUMMYFUNCTION("GOOGLEFINANCE(""BOM:"" &amp; K298,""price"")"),14.69)</f>
        <v>14.69</v>
      </c>
      <c r="P298" s="8">
        <f t="shared" ca="1" si="74"/>
        <v>-13.282172373081474</v>
      </c>
      <c r="Q298" s="12">
        <f t="shared" si="75"/>
        <v>496111531.30000001</v>
      </c>
      <c r="R298" s="13">
        <f t="shared" ca="1" si="76"/>
        <v>430217142.55000001</v>
      </c>
      <c r="S298" s="63"/>
      <c r="T298" s="8">
        <v>501150</v>
      </c>
      <c r="U298" s="8" t="s">
        <v>1244</v>
      </c>
      <c r="V298" s="12">
        <v>414406580</v>
      </c>
      <c r="W298" s="8">
        <v>34.229999999999997</v>
      </c>
      <c r="X298" s="11">
        <f ca="1">IFERROR(__xludf.DUMMYFUNCTION("GOOGLEFINANCE(""BOM:"" &amp; T298,""price"")"),28.58)</f>
        <v>28.58</v>
      </c>
      <c r="Y298" s="8">
        <f t="shared" ca="1" si="93"/>
        <v>-16.505988898626931</v>
      </c>
      <c r="Z298" s="12">
        <f t="shared" si="94"/>
        <v>14185137233.4</v>
      </c>
      <c r="AA298" s="13">
        <f t="shared" ca="1" si="95"/>
        <v>11843740056.4</v>
      </c>
      <c r="AB298" s="63"/>
      <c r="AC298" s="8">
        <v>503031</v>
      </c>
      <c r="AD298" s="8" t="s">
        <v>1245</v>
      </c>
      <c r="AE298" s="12">
        <v>276377354</v>
      </c>
      <c r="AF298" s="8">
        <v>57.55</v>
      </c>
      <c r="AG298" s="8">
        <f ca="1">IFERROR(__xludf.DUMMYFUNCTION("GOOGLEFINANCE(""BOM:"" &amp; AC298,""price"")"),46.46)</f>
        <v>46.46</v>
      </c>
      <c r="AH298" s="8">
        <f t="shared" ca="1" si="83"/>
        <v>-19.270199826238049</v>
      </c>
      <c r="AI298" s="12">
        <f t="shared" si="84"/>
        <v>15905516722.699999</v>
      </c>
      <c r="AJ298" s="13">
        <f t="shared" ca="1" si="85"/>
        <v>12840491866.84</v>
      </c>
    </row>
    <row r="299" spans="1:36" x14ac:dyDescent="0.25">
      <c r="A299" s="63"/>
      <c r="B299" s="8">
        <v>500260</v>
      </c>
      <c r="C299" s="8" t="s">
        <v>1246</v>
      </c>
      <c r="D299" s="12">
        <v>226261072</v>
      </c>
      <c r="E299" s="8">
        <v>850.95</v>
      </c>
      <c r="F299" s="8">
        <f ca="1">IFERROR(__xludf.DUMMYFUNCTION("GOOGLEFINANCE(""BOM:"" &amp; B299,""price"")"),816.15)</f>
        <v>816.15</v>
      </c>
      <c r="G299" s="8">
        <f t="shared" ca="1" si="90"/>
        <v>-4.0895469769081689</v>
      </c>
      <c r="H299" s="12">
        <f t="shared" si="91"/>
        <v>192536859218.40002</v>
      </c>
      <c r="I299" s="13">
        <f t="shared" ca="1" si="92"/>
        <v>184662973912.79999</v>
      </c>
      <c r="J299" s="63"/>
      <c r="K299" s="8">
        <v>531373</v>
      </c>
      <c r="L299" s="8" t="s">
        <v>1247</v>
      </c>
      <c r="M299" s="12">
        <v>39357332</v>
      </c>
      <c r="N299" s="10">
        <v>68.25</v>
      </c>
      <c r="O299" s="10">
        <f ca="1">IFERROR(__xludf.DUMMYFUNCTION("GOOGLEFINANCE(""BOM:"" &amp; K299,""price"")"),56)</f>
        <v>56</v>
      </c>
      <c r="P299" s="8">
        <f t="shared" ca="1" si="74"/>
        <v>-17.948717948717949</v>
      </c>
      <c r="Q299" s="12">
        <f t="shared" si="75"/>
        <v>2686137909</v>
      </c>
      <c r="R299" s="13">
        <f t="shared" ca="1" si="76"/>
        <v>2204010592</v>
      </c>
      <c r="S299" s="63"/>
      <c r="T299" s="8">
        <v>531327</v>
      </c>
      <c r="U299" s="8" t="s">
        <v>1248</v>
      </c>
      <c r="V299" s="12">
        <v>3201960</v>
      </c>
      <c r="W299" s="8">
        <v>6.18</v>
      </c>
      <c r="X299" s="11">
        <f ca="1">IFERROR(__xludf.DUMMYFUNCTION("GOOGLEFINANCE(""BOM:"" &amp; T299,""price"")"),4.14)</f>
        <v>4.1399999999999997</v>
      </c>
      <c r="Y299" s="8">
        <f t="shared" ca="1" si="93"/>
        <v>-33.009708737864081</v>
      </c>
      <c r="Z299" s="12">
        <f t="shared" si="94"/>
        <v>19788112.800000001</v>
      </c>
      <c r="AA299" s="13">
        <f t="shared" ca="1" si="95"/>
        <v>13256114.399999999</v>
      </c>
      <c r="AB299" s="63"/>
      <c r="AC299" s="8">
        <v>503100</v>
      </c>
      <c r="AD299" s="8" t="s">
        <v>1249</v>
      </c>
      <c r="AE299" s="12">
        <v>178293754</v>
      </c>
      <c r="AF299" s="8">
        <v>2720.3</v>
      </c>
      <c r="AG299" s="8">
        <f ca="1">IFERROR(__xludf.DUMMYFUNCTION("GOOGLEFINANCE(""BOM:"" &amp; AC299,""price"")"),2768.65)</f>
        <v>2768.65</v>
      </c>
      <c r="AH299" s="8">
        <f t="shared" ca="1" si="83"/>
        <v>1.7773774951292103</v>
      </c>
      <c r="AI299" s="12">
        <f t="shared" si="84"/>
        <v>485012499006.20001</v>
      </c>
      <c r="AJ299" s="13">
        <f t="shared" ca="1" si="85"/>
        <v>493633002012.10004</v>
      </c>
    </row>
    <row r="300" spans="1:36" x14ac:dyDescent="0.25">
      <c r="A300" s="63"/>
      <c r="B300" s="8">
        <v>532369</v>
      </c>
      <c r="C300" s="8" t="s">
        <v>1250</v>
      </c>
      <c r="D300" s="12">
        <v>85570220</v>
      </c>
      <c r="E300" s="8">
        <v>226.3</v>
      </c>
      <c r="F300" s="8">
        <f ca="1">IFERROR(__xludf.DUMMYFUNCTION("GOOGLEFINANCE(""BOM:"" &amp; B300,""price"")"),200.15)</f>
        <v>200.15</v>
      </c>
      <c r="G300" s="8">
        <f t="shared" ca="1" si="90"/>
        <v>-11.555457357490059</v>
      </c>
      <c r="H300" s="12">
        <f t="shared" si="91"/>
        <v>19364540786</v>
      </c>
      <c r="I300" s="13">
        <f t="shared" ca="1" si="92"/>
        <v>17126879533</v>
      </c>
      <c r="J300" s="63"/>
      <c r="K300" s="8">
        <v>509960</v>
      </c>
      <c r="L300" s="8" t="s">
        <v>1251</v>
      </c>
      <c r="M300" s="12">
        <v>4523452</v>
      </c>
      <c r="N300" s="10">
        <v>1419.8</v>
      </c>
      <c r="O300" s="10">
        <f ca="1">IFERROR(__xludf.DUMMYFUNCTION("GOOGLEFINANCE(""BOM:"" &amp; K300,""price"")"),1395)</f>
        <v>1395</v>
      </c>
      <c r="P300" s="8">
        <f t="shared" ca="1" si="74"/>
        <v>-1.7467248908296911</v>
      </c>
      <c r="Q300" s="12">
        <f t="shared" si="75"/>
        <v>6422397149.5999994</v>
      </c>
      <c r="R300" s="13">
        <f t="shared" ca="1" si="76"/>
        <v>6310215540</v>
      </c>
      <c r="S300" s="63"/>
      <c r="T300" s="8">
        <v>511696</v>
      </c>
      <c r="U300" s="8" t="s">
        <v>1252</v>
      </c>
      <c r="V300" s="12">
        <v>2920970</v>
      </c>
      <c r="W300" s="8">
        <v>240</v>
      </c>
      <c r="X300" s="11">
        <f ca="1">IFERROR(__xludf.DUMMYFUNCTION("GOOGLEFINANCE(""BOM:"" &amp; T300,""price"")"),240)</f>
        <v>240</v>
      </c>
      <c r="Y300" s="8">
        <f t="shared" ca="1" si="93"/>
        <v>0</v>
      </c>
      <c r="Z300" s="12">
        <f t="shared" si="94"/>
        <v>701032800</v>
      </c>
      <c r="AA300" s="13">
        <f t="shared" ca="1" si="95"/>
        <v>701032800</v>
      </c>
      <c r="AB300" s="63"/>
      <c r="AC300" s="8">
        <v>523628</v>
      </c>
      <c r="AD300" s="8" t="s">
        <v>1253</v>
      </c>
      <c r="AE300" s="12">
        <v>6244950</v>
      </c>
      <c r="AF300" s="8">
        <v>99.85</v>
      </c>
      <c r="AG300" s="8">
        <f ca="1">IFERROR(__xludf.DUMMYFUNCTION("GOOGLEFINANCE(""BOM:"" &amp; AC300,""price"")"),86)</f>
        <v>86</v>
      </c>
      <c r="AH300" s="8">
        <f t="shared" ca="1" si="83"/>
        <v>-13.870806209313965</v>
      </c>
      <c r="AI300" s="12">
        <f t="shared" si="84"/>
        <v>623558257.5</v>
      </c>
      <c r="AJ300" s="13">
        <f t="shared" ca="1" si="85"/>
        <v>537065700</v>
      </c>
    </row>
    <row r="301" spans="1:36" x14ac:dyDescent="0.25">
      <c r="A301" s="63"/>
      <c r="B301" s="8">
        <v>502090</v>
      </c>
      <c r="C301" s="8" t="s">
        <v>1254</v>
      </c>
      <c r="D301" s="12">
        <v>129838898</v>
      </c>
      <c r="E301" s="8">
        <v>244.2</v>
      </c>
      <c r="F301" s="8">
        <f ca="1">IFERROR(__xludf.DUMMYFUNCTION("GOOGLEFINANCE(""BOM:"" &amp; B301,""price"")"),208)</f>
        <v>208</v>
      </c>
      <c r="G301" s="8">
        <f t="shared" ca="1" si="90"/>
        <v>-14.823914823914819</v>
      </c>
      <c r="H301" s="12">
        <f t="shared" si="91"/>
        <v>31706658891.599998</v>
      </c>
      <c r="I301" s="13">
        <f t="shared" ca="1" si="92"/>
        <v>27006490784</v>
      </c>
      <c r="J301" s="63"/>
      <c r="K301" s="8">
        <v>526755</v>
      </c>
      <c r="L301" s="8" t="s">
        <v>1255</v>
      </c>
      <c r="M301" s="12">
        <v>31442444</v>
      </c>
      <c r="N301" s="10">
        <v>6.46</v>
      </c>
      <c r="O301" s="10">
        <f ca="1">IFERROR(__xludf.DUMMYFUNCTION("GOOGLEFINANCE(""BOM:"" &amp; K301,""price"")"),5.34)</f>
        <v>5.34</v>
      </c>
      <c r="P301" s="8">
        <f t="shared" ca="1" si="74"/>
        <v>-17.337461300309602</v>
      </c>
      <c r="Q301" s="12">
        <f t="shared" si="75"/>
        <v>203118188.24000001</v>
      </c>
      <c r="R301" s="13">
        <f t="shared" ca="1" si="76"/>
        <v>167902650.96000001</v>
      </c>
      <c r="S301" s="63"/>
      <c r="T301" s="8">
        <v>540481</v>
      </c>
      <c r="U301" s="8" t="s">
        <v>1256</v>
      </c>
      <c r="V301" s="12">
        <v>2158772</v>
      </c>
      <c r="W301" s="8">
        <v>20.82</v>
      </c>
      <c r="X301" s="11">
        <f ca="1">IFERROR(__xludf.DUMMYFUNCTION("GOOGLEFINANCE(""BOM:"" &amp; T301,""price"")"),12.62)</f>
        <v>12.62</v>
      </c>
      <c r="Y301" s="8">
        <f t="shared" ca="1" si="93"/>
        <v>-39.385206532180597</v>
      </c>
      <c r="Z301" s="12">
        <f t="shared" si="94"/>
        <v>44945633.039999999</v>
      </c>
      <c r="AA301" s="13">
        <f t="shared" ca="1" si="95"/>
        <v>27243702.639999997</v>
      </c>
      <c r="AB301" s="63"/>
      <c r="AC301" s="8">
        <v>531746</v>
      </c>
      <c r="AD301" s="8" t="s">
        <v>1257</v>
      </c>
      <c r="AE301" s="12">
        <v>69469357</v>
      </c>
      <c r="AF301" s="8">
        <v>23.52</v>
      </c>
      <c r="AG301" s="8">
        <f ca="1">IFERROR(__xludf.DUMMYFUNCTION("GOOGLEFINANCE(""BOM:"" &amp; AC301,""price"")"),23.85)</f>
        <v>23.85</v>
      </c>
      <c r="AH301" s="8">
        <f t="shared" ca="1" si="83"/>
        <v>1.4030612244898037</v>
      </c>
      <c r="AI301" s="12">
        <f t="shared" si="84"/>
        <v>1633919276.6399999</v>
      </c>
      <c r="AJ301" s="13">
        <f t="shared" ca="1" si="85"/>
        <v>1656844164.45</v>
      </c>
    </row>
    <row r="302" spans="1:36" x14ac:dyDescent="0.25">
      <c r="A302" s="63"/>
      <c r="B302" s="8">
        <v>532841</v>
      </c>
      <c r="C302" s="8" t="s">
        <v>1258</v>
      </c>
      <c r="D302" s="12">
        <v>9502292</v>
      </c>
      <c r="E302" s="8">
        <v>408.2</v>
      </c>
      <c r="F302" s="8">
        <f ca="1">IFERROR(__xludf.DUMMYFUNCTION("GOOGLEFINANCE(""BOM:"" &amp; B302,""price"")"),339.45)</f>
        <v>339.45</v>
      </c>
      <c r="G302" s="8">
        <f t="shared" ca="1" si="90"/>
        <v>-16.8422341989221</v>
      </c>
      <c r="H302" s="12">
        <f t="shared" si="91"/>
        <v>3878835594.4000001</v>
      </c>
      <c r="I302" s="13">
        <f t="shared" ca="1" si="92"/>
        <v>3225553019.4000001</v>
      </c>
      <c r="J302" s="63"/>
      <c r="K302" s="8">
        <v>523796</v>
      </c>
      <c r="L302" s="8" t="s">
        <v>1259</v>
      </c>
      <c r="M302" s="12">
        <v>41042448</v>
      </c>
      <c r="N302" s="10" t="s">
        <v>44</v>
      </c>
      <c r="O302" s="10" t="s">
        <v>44</v>
      </c>
      <c r="P302" s="8"/>
      <c r="Q302" s="12"/>
      <c r="R302" s="13"/>
      <c r="S302" s="63"/>
      <c r="T302" s="8">
        <v>540199</v>
      </c>
      <c r="U302" s="8" t="s">
        <v>1260</v>
      </c>
      <c r="V302" s="12">
        <v>6000</v>
      </c>
      <c r="W302" s="8">
        <v>16.63</v>
      </c>
      <c r="X302" s="11">
        <f ca="1">IFERROR(__xludf.DUMMYFUNCTION("GOOGLEFINANCE(""BOM:"" &amp; T302,""price"")"),16.63)</f>
        <v>16.63</v>
      </c>
      <c r="Y302" s="8">
        <f t="shared" ca="1" si="93"/>
        <v>0</v>
      </c>
      <c r="Z302" s="12">
        <f t="shared" si="94"/>
        <v>99780</v>
      </c>
      <c r="AA302" s="13">
        <f t="shared" ca="1" si="95"/>
        <v>99780</v>
      </c>
      <c r="AB302" s="63"/>
      <c r="AC302" s="8">
        <v>531802</v>
      </c>
      <c r="AD302" s="8" t="s">
        <v>1261</v>
      </c>
      <c r="AE302" s="12">
        <v>11609410</v>
      </c>
      <c r="AF302" s="8">
        <v>32.909999999999997</v>
      </c>
      <c r="AG302" s="8">
        <f ca="1">IFERROR(__xludf.DUMMYFUNCTION("GOOGLEFINANCE(""BOM:"" &amp; AC302,""price"")"),30.33)</f>
        <v>30.33</v>
      </c>
      <c r="AH302" s="8">
        <f t="shared" ca="1" si="83"/>
        <v>-7.8395624430264306</v>
      </c>
      <c r="AI302" s="12">
        <f t="shared" si="84"/>
        <v>382065683.09999996</v>
      </c>
      <c r="AJ302" s="13">
        <f t="shared" ca="1" si="85"/>
        <v>352113405.29999995</v>
      </c>
    </row>
    <row r="303" spans="1:36" x14ac:dyDescent="0.25">
      <c r="A303" s="63"/>
      <c r="B303" s="8">
        <v>530265</v>
      </c>
      <c r="C303" s="8" t="s">
        <v>1262</v>
      </c>
      <c r="D303" s="12">
        <v>9453770</v>
      </c>
      <c r="E303" s="8">
        <v>40</v>
      </c>
      <c r="F303" s="8">
        <f ca="1">IFERROR(__xludf.DUMMYFUNCTION("GOOGLEFINANCE(""BOM:"" &amp; B303,""price"")"),37.69)</f>
        <v>37.69</v>
      </c>
      <c r="G303" s="8">
        <f t="shared" ca="1" si="90"/>
        <v>-5.7750000000000057</v>
      </c>
      <c r="H303" s="12">
        <f t="shared" si="91"/>
        <v>378150800</v>
      </c>
      <c r="I303" s="13">
        <f t="shared" ca="1" si="92"/>
        <v>356312591.29999995</v>
      </c>
      <c r="J303" s="63"/>
      <c r="K303" s="8">
        <v>505533</v>
      </c>
      <c r="L303" s="8" t="s">
        <v>1263</v>
      </c>
      <c r="M303" s="12">
        <v>155926665</v>
      </c>
      <c r="N303" s="10">
        <v>731.5</v>
      </c>
      <c r="O303" s="10">
        <f ca="1">IFERROR(__xludf.DUMMYFUNCTION("GOOGLEFINANCE(""BOM:"" &amp; K303,""price"")"),815)</f>
        <v>815</v>
      </c>
      <c r="P303" s="8">
        <f t="shared" ref="P303:P333" ca="1" si="96">((O303-N303)/N303)*100</f>
        <v>11.414900888585098</v>
      </c>
      <c r="Q303" s="12">
        <f t="shared" ref="Q303:Q333" si="97">M303*N303</f>
        <v>114060355447.5</v>
      </c>
      <c r="R303" s="13">
        <f t="shared" ref="R303:R333" ca="1" si="98">M303*O303</f>
        <v>127080231975</v>
      </c>
      <c r="S303" s="63"/>
      <c r="T303" s="8">
        <v>512018</v>
      </c>
      <c r="U303" s="8" t="s">
        <v>1264</v>
      </c>
      <c r="V303" s="12">
        <v>114758676</v>
      </c>
      <c r="W303" s="8">
        <v>3.2</v>
      </c>
      <c r="X303" s="11">
        <f ca="1">IFERROR(__xludf.DUMMYFUNCTION("GOOGLEFINANCE(""BOM:"" &amp; T303,""price"")"),3.95)</f>
        <v>3.95</v>
      </c>
      <c r="Y303" s="8">
        <f t="shared" ca="1" si="93"/>
        <v>23.4375</v>
      </c>
      <c r="Z303" s="12">
        <f t="shared" si="94"/>
        <v>367227763.20000005</v>
      </c>
      <c r="AA303" s="13">
        <f t="shared" ca="1" si="95"/>
        <v>453296770.20000005</v>
      </c>
      <c r="AB303" s="63"/>
      <c r="AC303" s="8">
        <v>533274</v>
      </c>
      <c r="AD303" s="8" t="s">
        <v>1265</v>
      </c>
      <c r="AE303" s="12">
        <v>400861650</v>
      </c>
      <c r="AF303" s="8">
        <v>1162.25</v>
      </c>
      <c r="AG303" s="8">
        <f ca="1">IFERROR(__xludf.DUMMYFUNCTION("GOOGLEFINANCE(""BOM:"" &amp; AC303,""price"")"),1177.5)</f>
        <v>1177.5</v>
      </c>
      <c r="AH303" s="8">
        <f t="shared" ca="1" si="83"/>
        <v>1.3121101312110131</v>
      </c>
      <c r="AI303" s="12">
        <f t="shared" si="84"/>
        <v>465901452712.5</v>
      </c>
      <c r="AJ303" s="13">
        <f t="shared" ca="1" si="85"/>
        <v>472014592875</v>
      </c>
    </row>
    <row r="304" spans="1:36" x14ac:dyDescent="0.25">
      <c r="A304" s="63"/>
      <c r="B304" s="8">
        <v>526521</v>
      </c>
      <c r="C304" s="8" t="s">
        <v>1266</v>
      </c>
      <c r="D304" s="12">
        <v>251000000</v>
      </c>
      <c r="E304" s="8">
        <v>109</v>
      </c>
      <c r="F304" s="8">
        <f ca="1">IFERROR(__xludf.DUMMYFUNCTION("GOOGLEFINANCE(""BOM:"" &amp; B304,""price"")"),90.2)</f>
        <v>90.2</v>
      </c>
      <c r="G304" s="8">
        <f t="shared" ca="1" si="90"/>
        <v>-17.247706422018346</v>
      </c>
      <c r="H304" s="12">
        <f t="shared" si="91"/>
        <v>27359000000</v>
      </c>
      <c r="I304" s="13">
        <f t="shared" ca="1" si="92"/>
        <v>22640200000</v>
      </c>
      <c r="J304" s="64"/>
      <c r="K304" s="14">
        <v>526959</v>
      </c>
      <c r="L304" s="14" t="s">
        <v>1267</v>
      </c>
      <c r="M304" s="15">
        <v>5126200</v>
      </c>
      <c r="N304" s="17">
        <v>8.93</v>
      </c>
      <c r="O304" s="17">
        <f ca="1">IFERROR(__xludf.DUMMYFUNCTION("GOOGLEFINANCE(""BOM:"" &amp; K304,""price"")"),8.93)</f>
        <v>8.93</v>
      </c>
      <c r="P304" s="14">
        <f t="shared" ca="1" si="96"/>
        <v>0</v>
      </c>
      <c r="Q304" s="15">
        <f t="shared" si="97"/>
        <v>45776966</v>
      </c>
      <c r="R304" s="16">
        <f t="shared" ca="1" si="98"/>
        <v>45776966</v>
      </c>
      <c r="S304" s="63"/>
      <c r="T304" s="8">
        <v>534691</v>
      </c>
      <c r="U304" s="8" t="s">
        <v>1268</v>
      </c>
      <c r="V304" s="12">
        <v>10020100</v>
      </c>
      <c r="W304" s="8">
        <v>25.76</v>
      </c>
      <c r="X304" s="11">
        <f ca="1">IFERROR(__xludf.DUMMYFUNCTION("GOOGLEFINANCE(""BOM:"" &amp; T304,""price"")"),22.68)</f>
        <v>22.68</v>
      </c>
      <c r="Y304" s="8">
        <f t="shared" ca="1" si="93"/>
        <v>-11.956521739130441</v>
      </c>
      <c r="Z304" s="12">
        <f t="shared" si="94"/>
        <v>258117776.00000003</v>
      </c>
      <c r="AA304" s="13">
        <f t="shared" ca="1" si="95"/>
        <v>227255868</v>
      </c>
      <c r="AB304" s="63"/>
      <c r="AC304" s="8">
        <v>530695</v>
      </c>
      <c r="AD304" s="8" t="s">
        <v>1269</v>
      </c>
      <c r="AE304" s="12">
        <v>16853426</v>
      </c>
      <c r="AF304" s="8">
        <v>35.14</v>
      </c>
      <c r="AG304" s="8">
        <f ca="1">IFERROR(__xludf.DUMMYFUNCTION("GOOGLEFINANCE(""BOM:"" &amp; AC304,""price"")"),27.92)</f>
        <v>27.92</v>
      </c>
      <c r="AH304" s="8">
        <f t="shared" ca="1" si="83"/>
        <v>-20.546385885031299</v>
      </c>
      <c r="AI304" s="12">
        <f t="shared" si="84"/>
        <v>592229389.63999999</v>
      </c>
      <c r="AJ304" s="13">
        <f t="shared" ca="1" si="85"/>
        <v>470547653.92000002</v>
      </c>
    </row>
    <row r="305" spans="1:36" x14ac:dyDescent="0.25">
      <c r="A305" s="63"/>
      <c r="B305" s="8">
        <v>502175</v>
      </c>
      <c r="C305" s="8" t="s">
        <v>1270</v>
      </c>
      <c r="D305" s="12">
        <v>70004833</v>
      </c>
      <c r="E305" s="8">
        <v>110.75</v>
      </c>
      <c r="F305" s="8">
        <v>110.75</v>
      </c>
      <c r="G305" s="8">
        <f t="shared" si="90"/>
        <v>0</v>
      </c>
      <c r="H305" s="12">
        <f t="shared" si="91"/>
        <v>7753035254.75</v>
      </c>
      <c r="I305" s="13">
        <f t="shared" si="92"/>
        <v>7753035254.75</v>
      </c>
      <c r="J305" s="62" t="s">
        <v>1271</v>
      </c>
      <c r="K305" s="6">
        <v>524091</v>
      </c>
      <c r="L305" s="6" t="s">
        <v>1272</v>
      </c>
      <c r="M305" s="7">
        <v>26036505</v>
      </c>
      <c r="N305" s="10">
        <v>946.65</v>
      </c>
      <c r="O305" s="10">
        <f ca="1">IFERROR(__xludf.DUMMYFUNCTION("GOOGLEFINANCE(""BOM:"" &amp; K305,""price"")"),966.2)</f>
        <v>966.2</v>
      </c>
      <c r="P305" s="8">
        <f t="shared" ca="1" si="96"/>
        <v>2.0651772038240184</v>
      </c>
      <c r="Q305" s="7">
        <f t="shared" si="97"/>
        <v>24647457458.25</v>
      </c>
      <c r="R305" s="9">
        <f t="shared" ca="1" si="98"/>
        <v>25156471131</v>
      </c>
      <c r="S305" s="63"/>
      <c r="T305" s="8">
        <v>504340</v>
      </c>
      <c r="U305" s="8" t="s">
        <v>1273</v>
      </c>
      <c r="V305" s="12">
        <v>10248750</v>
      </c>
      <c r="W305" s="8">
        <v>10.220000000000001</v>
      </c>
      <c r="X305" s="11">
        <f ca="1">IFERROR(__xludf.DUMMYFUNCTION("GOOGLEFINANCE(""BOM:"" &amp; T305,""price"")"),7.44)</f>
        <v>7.44</v>
      </c>
      <c r="Y305" s="8">
        <f t="shared" ca="1" si="93"/>
        <v>-27.201565557729939</v>
      </c>
      <c r="Z305" s="12">
        <f t="shared" si="94"/>
        <v>104742225</v>
      </c>
      <c r="AA305" s="13">
        <f t="shared" ca="1" si="95"/>
        <v>76250700</v>
      </c>
      <c r="AB305" s="63"/>
      <c r="AC305" s="8">
        <v>521149</v>
      </c>
      <c r="AD305" s="8" t="s">
        <v>1274</v>
      </c>
      <c r="AE305" s="12">
        <v>25404625</v>
      </c>
      <c r="AF305" s="8">
        <v>9.35</v>
      </c>
      <c r="AG305" s="8">
        <f ca="1">IFERROR(__xludf.DUMMYFUNCTION("GOOGLEFINANCE(""BOM:"" &amp; AC305,""price"")"),8)</f>
        <v>8</v>
      </c>
      <c r="AH305" s="8">
        <f t="shared" ca="1" si="83"/>
        <v>-14.438502673796789</v>
      </c>
      <c r="AI305" s="12">
        <f t="shared" si="84"/>
        <v>237533243.75</v>
      </c>
      <c r="AJ305" s="13">
        <f t="shared" ca="1" si="85"/>
        <v>203237000</v>
      </c>
    </row>
    <row r="306" spans="1:36" x14ac:dyDescent="0.25">
      <c r="A306" s="63"/>
      <c r="B306" s="8">
        <v>531797</v>
      </c>
      <c r="C306" s="8" t="s">
        <v>1275</v>
      </c>
      <c r="D306" s="12">
        <v>2507000</v>
      </c>
      <c r="E306" s="8">
        <v>45.79</v>
      </c>
      <c r="F306" s="8">
        <f ca="1">IFERROR(__xludf.DUMMYFUNCTION("GOOGLEFINANCE(""BOM:"" &amp; B306,""price"")"),36.71)</f>
        <v>36.71</v>
      </c>
      <c r="G306" s="8">
        <f t="shared" ca="1" si="90"/>
        <v>-19.829657130377811</v>
      </c>
      <c r="H306" s="12">
        <f t="shared" si="91"/>
        <v>114795530</v>
      </c>
      <c r="I306" s="13">
        <f t="shared" ca="1" si="92"/>
        <v>92031970</v>
      </c>
      <c r="J306" s="63"/>
      <c r="K306" s="8">
        <v>500031</v>
      </c>
      <c r="L306" s="8" t="s">
        <v>1276</v>
      </c>
      <c r="M306" s="12">
        <v>113343844</v>
      </c>
      <c r="N306" s="10">
        <v>1018.9</v>
      </c>
      <c r="O306" s="10">
        <f ca="1">IFERROR(__xludf.DUMMYFUNCTION("GOOGLEFINANCE(""BOM:"" &amp; K306,""price"")"),903)</f>
        <v>903</v>
      </c>
      <c r="P306" s="8">
        <f t="shared" ca="1" si="96"/>
        <v>-11.375012268132298</v>
      </c>
      <c r="Q306" s="12">
        <f t="shared" si="97"/>
        <v>115486042651.59999</v>
      </c>
      <c r="R306" s="13">
        <f t="shared" ca="1" si="98"/>
        <v>102349491132</v>
      </c>
      <c r="S306" s="63"/>
      <c r="T306" s="8">
        <v>500092</v>
      </c>
      <c r="U306" s="8" t="s">
        <v>1277</v>
      </c>
      <c r="V306" s="12">
        <v>72953377</v>
      </c>
      <c r="W306" s="8">
        <v>4943.55</v>
      </c>
      <c r="X306" s="11">
        <f ca="1">IFERROR(__xludf.DUMMYFUNCTION("GOOGLEFINANCE(""BOM:"" &amp; T306,""price"")"),5075.4)</f>
        <v>5075.3999999999996</v>
      </c>
      <c r="Y306" s="8">
        <f t="shared" ca="1" si="93"/>
        <v>2.6671116909912804</v>
      </c>
      <c r="Z306" s="12">
        <f t="shared" si="94"/>
        <v>360648666868.35004</v>
      </c>
      <c r="AA306" s="13">
        <f t="shared" ca="1" si="95"/>
        <v>370267569625.79999</v>
      </c>
      <c r="AB306" s="63"/>
      <c r="AC306" s="8">
        <v>534675</v>
      </c>
      <c r="AD306" s="8" t="s">
        <v>1278</v>
      </c>
      <c r="AE306" s="12">
        <v>152538741</v>
      </c>
      <c r="AF306" s="8">
        <v>35.83</v>
      </c>
      <c r="AG306" s="8">
        <f ca="1">IFERROR(__xludf.DUMMYFUNCTION("GOOGLEFINANCE(""BOM:"" &amp; AC306,""price"")"),27.68)</f>
        <v>27.68</v>
      </c>
      <c r="AH306" s="8">
        <f t="shared" ca="1" si="83"/>
        <v>-22.746301981579677</v>
      </c>
      <c r="AI306" s="12">
        <f t="shared" si="84"/>
        <v>5465463090.0299997</v>
      </c>
      <c r="AJ306" s="13">
        <f t="shared" ca="1" si="85"/>
        <v>4222272350.8800001</v>
      </c>
    </row>
    <row r="307" spans="1:36" x14ac:dyDescent="0.25">
      <c r="A307" s="63"/>
      <c r="B307" s="8">
        <v>532323</v>
      </c>
      <c r="C307" s="8" t="s">
        <v>1279</v>
      </c>
      <c r="D307" s="12">
        <v>194142189</v>
      </c>
      <c r="E307" s="8">
        <v>50.73</v>
      </c>
      <c r="F307" s="8">
        <f ca="1">IFERROR(__xludf.DUMMYFUNCTION("GOOGLEFINANCE(""BOM:"" &amp; B307,""price"")"),46.65)</f>
        <v>46.65</v>
      </c>
      <c r="G307" s="8">
        <f t="shared" ca="1" si="90"/>
        <v>-8.0425783560023625</v>
      </c>
      <c r="H307" s="12">
        <f t="shared" si="91"/>
        <v>9848833247.9699993</v>
      </c>
      <c r="I307" s="13">
        <f t="shared" ca="1" si="92"/>
        <v>9056733116.8500004</v>
      </c>
      <c r="J307" s="63"/>
      <c r="K307" s="8">
        <v>517421</v>
      </c>
      <c r="L307" s="8" t="s">
        <v>1280</v>
      </c>
      <c r="M307" s="12">
        <v>17259695</v>
      </c>
      <c r="N307" s="10">
        <v>889</v>
      </c>
      <c r="O307" s="10">
        <f ca="1">IFERROR(__xludf.DUMMYFUNCTION("GOOGLEFINANCE(""BOM:"" &amp; K307,""price"")"),764.05)</f>
        <v>764.05</v>
      </c>
      <c r="P307" s="8">
        <f t="shared" ca="1" si="96"/>
        <v>-14.055118110236226</v>
      </c>
      <c r="Q307" s="12">
        <f t="shared" si="97"/>
        <v>15343868855</v>
      </c>
      <c r="R307" s="13">
        <f t="shared" ca="1" si="98"/>
        <v>13187269964.75</v>
      </c>
      <c r="S307" s="63"/>
      <c r="T307" s="8">
        <v>530171</v>
      </c>
      <c r="U307" s="8" t="s">
        <v>1281</v>
      </c>
      <c r="V307" s="12">
        <v>4494586</v>
      </c>
      <c r="W307" s="8">
        <v>33</v>
      </c>
      <c r="X307" s="11">
        <f ca="1">IFERROR(__xludf.DUMMYFUNCTION("GOOGLEFINANCE(""BOM:"" &amp; T307,""price"")"),30.43)</f>
        <v>30.43</v>
      </c>
      <c r="Y307" s="8">
        <f t="shared" ca="1" si="93"/>
        <v>-7.7878787878787881</v>
      </c>
      <c r="Z307" s="12">
        <f t="shared" si="94"/>
        <v>148321338</v>
      </c>
      <c r="AA307" s="13">
        <f t="shared" ca="1" si="95"/>
        <v>136770251.97999999</v>
      </c>
      <c r="AB307" s="63"/>
      <c r="AC307" s="8">
        <v>538993</v>
      </c>
      <c r="AD307" s="8" t="s">
        <v>1282</v>
      </c>
      <c r="AE307" s="12">
        <v>3057400</v>
      </c>
      <c r="AF307" s="8">
        <v>12.87</v>
      </c>
      <c r="AG307" s="8">
        <f ca="1">IFERROR(__xludf.DUMMYFUNCTION("GOOGLEFINANCE(""BOM:"" &amp; AC307,""price"")"),13)</f>
        <v>13</v>
      </c>
      <c r="AH307" s="8">
        <f t="shared" ca="1" si="83"/>
        <v>1.0101010101010162</v>
      </c>
      <c r="AI307" s="12">
        <f t="shared" si="84"/>
        <v>39348738</v>
      </c>
      <c r="AJ307" s="13">
        <f t="shared" ca="1" si="85"/>
        <v>39746200</v>
      </c>
    </row>
    <row r="308" spans="1:36" x14ac:dyDescent="0.25">
      <c r="A308" s="63"/>
      <c r="B308" s="8">
        <v>502180</v>
      </c>
      <c r="C308" s="8" t="s">
        <v>1283</v>
      </c>
      <c r="D308" s="12">
        <v>143270515</v>
      </c>
      <c r="E308" s="8">
        <v>106.8</v>
      </c>
      <c r="F308" s="8">
        <f ca="1">IFERROR(__xludf.DUMMYFUNCTION("GOOGLEFINANCE(""BOM:"" &amp; B308,""price"")"),97.05)</f>
        <v>97.05</v>
      </c>
      <c r="G308" s="8">
        <f t="shared" ca="1" si="90"/>
        <v>-9.1292134831460672</v>
      </c>
      <c r="H308" s="12">
        <f t="shared" si="91"/>
        <v>15301291002</v>
      </c>
      <c r="I308" s="13">
        <f t="shared" ca="1" si="92"/>
        <v>13904403480.75</v>
      </c>
      <c r="J308" s="63"/>
      <c r="K308" s="8">
        <v>539876</v>
      </c>
      <c r="L308" s="8" t="s">
        <v>1284</v>
      </c>
      <c r="M308" s="12">
        <v>630141600</v>
      </c>
      <c r="N308" s="10">
        <v>295.55</v>
      </c>
      <c r="O308" s="10">
        <f ca="1">IFERROR(__xludf.DUMMYFUNCTION("GOOGLEFINANCE(""BOM:"" &amp; K308,""price"")"),267.3)</f>
        <v>267.3</v>
      </c>
      <c r="P308" s="8">
        <f t="shared" ca="1" si="96"/>
        <v>-9.5584503468110302</v>
      </c>
      <c r="Q308" s="12">
        <f t="shared" si="97"/>
        <v>186238349880</v>
      </c>
      <c r="R308" s="13">
        <f t="shared" ca="1" si="98"/>
        <v>168436849680</v>
      </c>
      <c r="S308" s="63"/>
      <c r="T308" s="8">
        <v>533452</v>
      </c>
      <c r="U308" s="8" t="s">
        <v>1285</v>
      </c>
      <c r="V308" s="12">
        <v>10897592</v>
      </c>
      <c r="W308" s="8">
        <v>246.7</v>
      </c>
      <c r="X308" s="11">
        <f ca="1">IFERROR(__xludf.DUMMYFUNCTION("GOOGLEFINANCE(""BOM:"" &amp; T308,""price"")"),216)</f>
        <v>216</v>
      </c>
      <c r="Y308" s="8">
        <f t="shared" ca="1" si="93"/>
        <v>-12.444264288609643</v>
      </c>
      <c r="Z308" s="12">
        <f t="shared" si="94"/>
        <v>2688435946.4000001</v>
      </c>
      <c r="AA308" s="13">
        <f t="shared" ca="1" si="95"/>
        <v>2353879872</v>
      </c>
      <c r="AB308" s="63"/>
      <c r="AC308" s="8">
        <v>532891</v>
      </c>
      <c r="AD308" s="8" t="s">
        <v>1286</v>
      </c>
      <c r="AE308" s="12">
        <v>237149524</v>
      </c>
      <c r="AF308" s="8">
        <v>243.4</v>
      </c>
      <c r="AG308" s="8">
        <f ca="1">IFERROR(__xludf.DUMMYFUNCTION("GOOGLEFINANCE(""BOM:"" &amp; AC308,""price"")"),209.7)</f>
        <v>209.7</v>
      </c>
      <c r="AH308" s="8">
        <f t="shared" ca="1" si="83"/>
        <v>-13.845521774856209</v>
      </c>
      <c r="AI308" s="12">
        <f t="shared" si="84"/>
        <v>57722194141.599998</v>
      </c>
      <c r="AJ308" s="13">
        <f t="shared" ca="1" si="85"/>
        <v>49730255182.799995</v>
      </c>
    </row>
    <row r="309" spans="1:36" x14ac:dyDescent="0.25">
      <c r="A309" s="63"/>
      <c r="B309" s="8">
        <v>500387</v>
      </c>
      <c r="C309" s="8" t="s">
        <v>1287</v>
      </c>
      <c r="D309" s="12">
        <v>32475775</v>
      </c>
      <c r="E309" s="8">
        <v>25664</v>
      </c>
      <c r="F309" s="8">
        <f ca="1">IFERROR(__xludf.DUMMYFUNCTION("GOOGLEFINANCE(""BOM:"" &amp; B309,""price"")"),25800)</f>
        <v>25800</v>
      </c>
      <c r="G309" s="8">
        <f t="shared" ca="1" si="90"/>
        <v>0.52992518703241898</v>
      </c>
      <c r="H309" s="12">
        <f t="shared" si="91"/>
        <v>833458289600</v>
      </c>
      <c r="I309" s="13">
        <f t="shared" ca="1" si="92"/>
        <v>837874995000</v>
      </c>
      <c r="J309" s="63"/>
      <c r="K309" s="8">
        <v>543482</v>
      </c>
      <c r="L309" s="8" t="s">
        <v>1288</v>
      </c>
      <c r="M309" s="12">
        <v>189327765</v>
      </c>
      <c r="N309" s="10">
        <v>455.5</v>
      </c>
      <c r="O309" s="10">
        <f ca="1">IFERROR(__xludf.DUMMYFUNCTION("GOOGLEFINANCE(""BOM:"" &amp; K309,""price"")"),456.95)</f>
        <v>456.95</v>
      </c>
      <c r="P309" s="8">
        <f t="shared" ca="1" si="96"/>
        <v>0.31833150384192943</v>
      </c>
      <c r="Q309" s="12">
        <f t="shared" si="97"/>
        <v>86238796957.5</v>
      </c>
      <c r="R309" s="13">
        <f t="shared" ca="1" si="98"/>
        <v>86513322216.75</v>
      </c>
      <c r="S309" s="63"/>
      <c r="T309" s="8">
        <v>512445</v>
      </c>
      <c r="U309" s="8" t="s">
        <v>1289</v>
      </c>
      <c r="V309" s="12">
        <v>91493</v>
      </c>
      <c r="W309" s="8">
        <v>0</v>
      </c>
      <c r="X309" s="11">
        <f ca="1">IFERROR(__xludf.DUMMYFUNCTION("GOOGLEFINANCE(""BOM:"" &amp; T309,""price"")"),0)</f>
        <v>0</v>
      </c>
      <c r="Y309" s="8">
        <v>0</v>
      </c>
      <c r="Z309" s="12">
        <f t="shared" si="94"/>
        <v>0</v>
      </c>
      <c r="AA309" s="13">
        <f t="shared" ca="1" si="95"/>
        <v>0</v>
      </c>
      <c r="AB309" s="63"/>
      <c r="AC309" s="8">
        <v>517556</v>
      </c>
      <c r="AD309" s="8" t="s">
        <v>1290</v>
      </c>
      <c r="AE309" s="12">
        <v>244766082</v>
      </c>
      <c r="AF309" s="8">
        <v>32.549999999999997</v>
      </c>
      <c r="AG309" s="8">
        <f ca="1">IFERROR(__xludf.DUMMYFUNCTION("GOOGLEFINANCE(""BOM:"" &amp; AC309,""price"")"),37.95)</f>
        <v>37.950000000000003</v>
      </c>
      <c r="AH309" s="8">
        <f t="shared" ca="1" si="83"/>
        <v>16.589861751152092</v>
      </c>
      <c r="AI309" s="12">
        <f t="shared" si="84"/>
        <v>7967135969.0999994</v>
      </c>
      <c r="AJ309" s="13">
        <f t="shared" ca="1" si="85"/>
        <v>9288872811.9000015</v>
      </c>
    </row>
    <row r="310" spans="1:36" x14ac:dyDescent="0.25">
      <c r="A310" s="63"/>
      <c r="B310" s="8">
        <v>530977</v>
      </c>
      <c r="C310" s="8" t="s">
        <v>1291</v>
      </c>
      <c r="D310" s="12">
        <v>11463232</v>
      </c>
      <c r="E310" s="8">
        <v>270</v>
      </c>
      <c r="F310" s="8">
        <v>270</v>
      </c>
      <c r="G310" s="8">
        <f t="shared" si="90"/>
        <v>0</v>
      </c>
      <c r="H310" s="12">
        <f t="shared" si="91"/>
        <v>3095072640</v>
      </c>
      <c r="I310" s="13">
        <f t="shared" si="92"/>
        <v>3095072640</v>
      </c>
      <c r="J310" s="63"/>
      <c r="K310" s="8">
        <v>502865</v>
      </c>
      <c r="L310" s="8" t="s">
        <v>1292</v>
      </c>
      <c r="M310" s="12">
        <v>12625164</v>
      </c>
      <c r="N310" s="10">
        <v>1285.4000000000001</v>
      </c>
      <c r="O310" s="10">
        <f ca="1">IFERROR(__xludf.DUMMYFUNCTION("GOOGLEFINANCE(""BOM:"" &amp; K310,""price"")"),430)</f>
        <v>430</v>
      </c>
      <c r="P310" s="8">
        <f t="shared" ca="1" si="96"/>
        <v>-66.547378248016187</v>
      </c>
      <c r="Q310" s="12">
        <f t="shared" si="97"/>
        <v>16228385805.6</v>
      </c>
      <c r="R310" s="13">
        <f t="shared" ca="1" si="98"/>
        <v>5428820520</v>
      </c>
      <c r="S310" s="63"/>
      <c r="T310" s="8">
        <v>532960</v>
      </c>
      <c r="U310" s="8" t="s">
        <v>1293</v>
      </c>
      <c r="V310" s="12">
        <v>609939189</v>
      </c>
      <c r="W310" s="8">
        <v>40.86</v>
      </c>
      <c r="X310" s="11">
        <f ca="1">IFERROR(__xludf.DUMMYFUNCTION("GOOGLEFINANCE(""BOM:"" &amp; T310,""price"")"),38)</f>
        <v>38</v>
      </c>
      <c r="Y310" s="8">
        <f t="shared" ref="Y310:Y318" ca="1" si="99">((X310-W310)/W310)*100</f>
        <v>-6.9995105237395983</v>
      </c>
      <c r="Z310" s="12">
        <f t="shared" si="94"/>
        <v>24922115262.540001</v>
      </c>
      <c r="AA310" s="13">
        <f t="shared" ca="1" si="95"/>
        <v>23177689182</v>
      </c>
      <c r="AB310" s="63"/>
      <c r="AC310" s="8">
        <v>538596</v>
      </c>
      <c r="AD310" s="8" t="s">
        <v>1294</v>
      </c>
      <c r="AE310" s="12">
        <v>24896428</v>
      </c>
      <c r="AF310" s="8">
        <v>4</v>
      </c>
      <c r="AG310" s="8">
        <f ca="1">IFERROR(__xludf.DUMMYFUNCTION("GOOGLEFINANCE(""BOM:"" &amp; AC310,""price"")"),3.64)</f>
        <v>3.64</v>
      </c>
      <c r="AH310" s="8">
        <f t="shared" ca="1" si="83"/>
        <v>-8.9999999999999964</v>
      </c>
      <c r="AI310" s="12">
        <f t="shared" si="84"/>
        <v>99585712</v>
      </c>
      <c r="AJ310" s="13">
        <f t="shared" ca="1" si="85"/>
        <v>90622997.920000002</v>
      </c>
    </row>
    <row r="311" spans="1:36" x14ac:dyDescent="0.25">
      <c r="A311" s="63"/>
      <c r="B311" s="8">
        <v>540575</v>
      </c>
      <c r="C311" s="8" t="s">
        <v>1295</v>
      </c>
      <c r="D311" s="12">
        <v>403579918</v>
      </c>
      <c r="E311" s="8">
        <v>208.9</v>
      </c>
      <c r="F311" s="8">
        <f ca="1">IFERROR(__xludf.DUMMYFUNCTION("GOOGLEFINANCE(""BOM:"" &amp; B311,""price"")"),225.95)</f>
        <v>225.95</v>
      </c>
      <c r="G311" s="8">
        <f t="shared" ca="1" si="90"/>
        <v>8.1617999042604019</v>
      </c>
      <c r="H311" s="12">
        <f t="shared" si="91"/>
        <v>84307844870.199997</v>
      </c>
      <c r="I311" s="13">
        <f t="shared" ca="1" si="92"/>
        <v>91188882472.099991</v>
      </c>
      <c r="J311" s="63"/>
      <c r="K311" s="8">
        <v>542905</v>
      </c>
      <c r="L311" s="8" t="s">
        <v>1296</v>
      </c>
      <c r="M311" s="12">
        <v>72282616</v>
      </c>
      <c r="N311" s="10">
        <v>399.65</v>
      </c>
      <c r="O311" s="10">
        <f ca="1">IFERROR(__xludf.DUMMYFUNCTION("GOOGLEFINANCE(""BOM:"" &amp; K311,""price"")"),371)</f>
        <v>371</v>
      </c>
      <c r="P311" s="8">
        <f t="shared" ca="1" si="96"/>
        <v>-7.1687726760915753</v>
      </c>
      <c r="Q311" s="12">
        <f t="shared" si="97"/>
        <v>28887747484.399998</v>
      </c>
      <c r="R311" s="13">
        <f t="shared" ca="1" si="98"/>
        <v>26816850536</v>
      </c>
      <c r="S311" s="63"/>
      <c r="T311" s="8">
        <v>540268</v>
      </c>
      <c r="U311" s="8" t="s">
        <v>1297</v>
      </c>
      <c r="V311" s="12">
        <v>105393288</v>
      </c>
      <c r="W311" s="8">
        <v>69</v>
      </c>
      <c r="X311" s="11">
        <f ca="1">IFERROR(__xludf.DUMMYFUNCTION("GOOGLEFINANCE(""BOM:"" &amp; T311,""price"")"),64.16)</f>
        <v>64.16</v>
      </c>
      <c r="Y311" s="8">
        <f t="shared" ca="1" si="99"/>
        <v>-7.0144927536231929</v>
      </c>
      <c r="Z311" s="12">
        <f t="shared" si="94"/>
        <v>7272136872</v>
      </c>
      <c r="AA311" s="13">
        <f t="shared" ca="1" si="95"/>
        <v>6762033358.0799999</v>
      </c>
      <c r="AB311" s="63"/>
      <c r="AC311" s="8">
        <v>531273</v>
      </c>
      <c r="AD311" s="8" t="s">
        <v>1298</v>
      </c>
      <c r="AE311" s="12">
        <v>493171800</v>
      </c>
      <c r="AF311" s="8">
        <v>3.67</v>
      </c>
      <c r="AG311" s="8">
        <f ca="1">IFERROR(__xludf.DUMMYFUNCTION("GOOGLEFINANCE(""BOM:"" &amp; AC311,""price"")"),3.16)</f>
        <v>3.16</v>
      </c>
      <c r="AH311" s="8">
        <f t="shared" ca="1" si="83"/>
        <v>-13.89645776566757</v>
      </c>
      <c r="AI311" s="12">
        <f t="shared" si="84"/>
        <v>1809940506</v>
      </c>
      <c r="AJ311" s="13">
        <f t="shared" ca="1" si="85"/>
        <v>1558422888</v>
      </c>
    </row>
    <row r="312" spans="1:36" x14ac:dyDescent="0.25">
      <c r="A312" s="63"/>
      <c r="B312" s="8">
        <v>530131</v>
      </c>
      <c r="C312" s="8" t="s">
        <v>1299</v>
      </c>
      <c r="D312" s="12">
        <v>309573809</v>
      </c>
      <c r="E312" s="8">
        <v>38.979999999999997</v>
      </c>
      <c r="F312" s="8">
        <f ca="1">IFERROR(__xludf.DUMMYFUNCTION("GOOGLEFINANCE(""BOM:"" &amp; B312,""price"")"),33.55)</f>
        <v>33.549999999999997</v>
      </c>
      <c r="G312" s="8">
        <f t="shared" ca="1" si="90"/>
        <v>-13.930220625962031</v>
      </c>
      <c r="H312" s="12">
        <f t="shared" si="91"/>
        <v>12067187074.82</v>
      </c>
      <c r="I312" s="13">
        <f t="shared" ca="1" si="92"/>
        <v>10386201291.949999</v>
      </c>
      <c r="J312" s="63"/>
      <c r="K312" s="8">
        <v>505726</v>
      </c>
      <c r="L312" s="8" t="s">
        <v>1300</v>
      </c>
      <c r="M312" s="12">
        <v>39827656</v>
      </c>
      <c r="N312" s="10">
        <v>1384.85</v>
      </c>
      <c r="O312" s="10">
        <f ca="1">IFERROR(__xludf.DUMMYFUNCTION("GOOGLEFINANCE(""BOM:"" &amp; K312,""price"")"),1502.65)</f>
        <v>1502.65</v>
      </c>
      <c r="P312" s="8">
        <f t="shared" ca="1" si="96"/>
        <v>8.5063364263277741</v>
      </c>
      <c r="Q312" s="12">
        <f t="shared" si="97"/>
        <v>55155329411.599998</v>
      </c>
      <c r="R312" s="13">
        <f t="shared" ca="1" si="98"/>
        <v>59847027288.400002</v>
      </c>
      <c r="S312" s="63"/>
      <c r="T312" s="8">
        <v>531278</v>
      </c>
      <c r="U312" s="8" t="s">
        <v>1301</v>
      </c>
      <c r="V312" s="12">
        <v>5769279</v>
      </c>
      <c r="W312" s="8">
        <v>78.3</v>
      </c>
      <c r="X312" s="11">
        <v>78.3</v>
      </c>
      <c r="Y312" s="8">
        <f t="shared" si="99"/>
        <v>0</v>
      </c>
      <c r="Z312" s="12">
        <f t="shared" si="94"/>
        <v>451734545.69999999</v>
      </c>
      <c r="AA312" s="13">
        <f t="shared" si="95"/>
        <v>451734545.69999999</v>
      </c>
      <c r="AB312" s="63"/>
      <c r="AC312" s="8">
        <v>531552</v>
      </c>
      <c r="AD312" s="8" t="s">
        <v>1302</v>
      </c>
      <c r="AE312" s="12">
        <v>9637040</v>
      </c>
      <c r="AF312" s="8">
        <v>24</v>
      </c>
      <c r="AG312" s="8">
        <f ca="1">IFERROR(__xludf.DUMMYFUNCTION("GOOGLEFINANCE(""BOM:"" &amp; AC312,""price"")"),18.01)</f>
        <v>18.010000000000002</v>
      </c>
      <c r="AH312" s="8">
        <f t="shared" ca="1" si="83"/>
        <v>-24.958333333333329</v>
      </c>
      <c r="AI312" s="12">
        <f t="shared" si="84"/>
        <v>231288960</v>
      </c>
      <c r="AJ312" s="13">
        <f t="shared" ca="1" si="85"/>
        <v>173563090.40000001</v>
      </c>
    </row>
    <row r="313" spans="1:36" x14ac:dyDescent="0.25">
      <c r="A313" s="63"/>
      <c r="B313" s="8">
        <v>532538</v>
      </c>
      <c r="C313" s="8" t="s">
        <v>1303</v>
      </c>
      <c r="D313" s="12">
        <v>285436874</v>
      </c>
      <c r="E313" s="8">
        <v>10122</v>
      </c>
      <c r="F313" s="8">
        <f ca="1">IFERROR(__xludf.DUMMYFUNCTION("GOOGLEFINANCE(""BOM:"" &amp; B313,""price"")"),9740)</f>
        <v>9740</v>
      </c>
      <c r="G313" s="8">
        <f t="shared" ca="1" si="90"/>
        <v>-3.7739577158664295</v>
      </c>
      <c r="H313" s="12">
        <f t="shared" si="91"/>
        <v>2889192038628</v>
      </c>
      <c r="I313" s="13">
        <f t="shared" ca="1" si="92"/>
        <v>2780155152760</v>
      </c>
      <c r="J313" s="63"/>
      <c r="K313" s="8">
        <v>505840</v>
      </c>
      <c r="L313" s="8" t="s">
        <v>1304</v>
      </c>
      <c r="M313" s="12">
        <v>4938991</v>
      </c>
      <c r="N313" s="10">
        <v>39</v>
      </c>
      <c r="O313" s="10">
        <f ca="1">IFERROR(__xludf.DUMMYFUNCTION("GOOGLEFINANCE(""BOM:"" &amp; K313,""price"")"),34.5)</f>
        <v>34.5</v>
      </c>
      <c r="P313" s="8">
        <f t="shared" ca="1" si="96"/>
        <v>-11.538461538461538</v>
      </c>
      <c r="Q313" s="12">
        <f t="shared" si="97"/>
        <v>192620649</v>
      </c>
      <c r="R313" s="13">
        <f t="shared" ca="1" si="98"/>
        <v>170395189.5</v>
      </c>
      <c r="S313" s="63"/>
      <c r="T313" s="8">
        <v>540455</v>
      </c>
      <c r="U313" s="8" t="s">
        <v>1305</v>
      </c>
      <c r="V313" s="12">
        <v>11116603</v>
      </c>
      <c r="W313" s="8">
        <v>69.819999999999993</v>
      </c>
      <c r="X313" s="11">
        <f ca="1">IFERROR(__xludf.DUMMYFUNCTION("GOOGLEFINANCE(""BOM:"" &amp; T313,""price"")"),81.9)</f>
        <v>81.900000000000006</v>
      </c>
      <c r="Y313" s="8">
        <f t="shared" ca="1" si="99"/>
        <v>17.301632769979967</v>
      </c>
      <c r="Z313" s="12">
        <f t="shared" si="94"/>
        <v>776161221.45999992</v>
      </c>
      <c r="AA313" s="13">
        <f t="shared" ca="1" si="95"/>
        <v>910449785.70000005</v>
      </c>
      <c r="AB313" s="63"/>
      <c r="AC313" s="8">
        <v>531694</v>
      </c>
      <c r="AD313" s="8" t="s">
        <v>1306</v>
      </c>
      <c r="AE313" s="12">
        <v>49337880</v>
      </c>
      <c r="AF313" s="8">
        <v>17</v>
      </c>
      <c r="AG313" s="8">
        <f ca="1">IFERROR(__xludf.DUMMYFUNCTION("GOOGLEFINANCE(""BOM:"" &amp; AC313,""price"")"),14.13)</f>
        <v>14.13</v>
      </c>
      <c r="AH313" s="8">
        <f t="shared" ca="1" si="83"/>
        <v>-16.882352941176464</v>
      </c>
      <c r="AI313" s="12">
        <f t="shared" si="84"/>
        <v>838743960</v>
      </c>
      <c r="AJ313" s="13">
        <f t="shared" ca="1" si="85"/>
        <v>697144244.4000001</v>
      </c>
    </row>
    <row r="314" spans="1:36" x14ac:dyDescent="0.25">
      <c r="A314" s="63"/>
      <c r="B314" s="8">
        <v>531444</v>
      </c>
      <c r="C314" s="8" t="s">
        <v>1307</v>
      </c>
      <c r="D314" s="12">
        <v>6557410</v>
      </c>
      <c r="E314" s="8">
        <v>10.81</v>
      </c>
      <c r="F314" s="8">
        <f ca="1">IFERROR(__xludf.DUMMYFUNCTION("GOOGLEFINANCE(""BOM:"" &amp; B314,""price"")"),9.03)</f>
        <v>9.0299999999999994</v>
      </c>
      <c r="G314" s="8">
        <f t="shared" ca="1" si="90"/>
        <v>-16.466234967622579</v>
      </c>
      <c r="H314" s="12">
        <f t="shared" si="91"/>
        <v>70885602.100000009</v>
      </c>
      <c r="I314" s="13">
        <f t="shared" ca="1" si="92"/>
        <v>59213412.299999997</v>
      </c>
      <c r="J314" s="63"/>
      <c r="K314" s="8">
        <v>505729</v>
      </c>
      <c r="L314" s="8" t="s">
        <v>1308</v>
      </c>
      <c r="M314" s="12">
        <v>53616460</v>
      </c>
      <c r="N314" s="10">
        <v>93.7</v>
      </c>
      <c r="O314" s="10">
        <f ca="1">IFERROR(__xludf.DUMMYFUNCTION("GOOGLEFINANCE(""BOM:"" &amp; K314,""price"")"),88.21)</f>
        <v>88.21</v>
      </c>
      <c r="P314" s="8">
        <f t="shared" ca="1" si="96"/>
        <v>-5.8591248665955264</v>
      </c>
      <c r="Q314" s="12">
        <f t="shared" si="97"/>
        <v>5023862302</v>
      </c>
      <c r="R314" s="13">
        <f t="shared" ca="1" si="98"/>
        <v>4729507936.5999994</v>
      </c>
      <c r="S314" s="63"/>
      <c r="T314" s="8">
        <v>533149</v>
      </c>
      <c r="U314" s="8" t="s">
        <v>1309</v>
      </c>
      <c r="V314" s="12">
        <v>13795120</v>
      </c>
      <c r="W314" s="8">
        <v>11.41</v>
      </c>
      <c r="X314" s="11">
        <f ca="1">IFERROR(__xludf.DUMMYFUNCTION("GOOGLEFINANCE(""BOM:"" &amp; T314,""price"")"),11.35)</f>
        <v>11.35</v>
      </c>
      <c r="Y314" s="8">
        <f t="shared" ca="1" si="99"/>
        <v>-0.52585451358457924</v>
      </c>
      <c r="Z314" s="12">
        <f t="shared" si="94"/>
        <v>157402319.19999999</v>
      </c>
      <c r="AA314" s="13">
        <f t="shared" ca="1" si="95"/>
        <v>156574612</v>
      </c>
      <c r="AB314" s="63"/>
      <c r="AC314" s="8">
        <v>503127</v>
      </c>
      <c r="AD314" s="8" t="s">
        <v>1310</v>
      </c>
      <c r="AE314" s="12">
        <v>218714</v>
      </c>
      <c r="AF314" s="8">
        <v>3925</v>
      </c>
      <c r="AG314" s="8">
        <f ca="1">IFERROR(__xludf.DUMMYFUNCTION("GOOGLEFINANCE(""BOM:"" &amp; AC314,""price"")"),3805)</f>
        <v>3805</v>
      </c>
      <c r="AH314" s="8">
        <f t="shared" ca="1" si="83"/>
        <v>-3.0573248407643314</v>
      </c>
      <c r="AI314" s="12">
        <f t="shared" si="84"/>
        <v>858452450</v>
      </c>
      <c r="AJ314" s="13">
        <f t="shared" ca="1" si="85"/>
        <v>832206770</v>
      </c>
    </row>
    <row r="315" spans="1:36" x14ac:dyDescent="0.25">
      <c r="A315" s="64"/>
      <c r="B315" s="14">
        <v>509055</v>
      </c>
      <c r="C315" s="14" t="s">
        <v>1311</v>
      </c>
      <c r="D315" s="15">
        <v>17045955</v>
      </c>
      <c r="E315" s="8">
        <v>136.75</v>
      </c>
      <c r="F315" s="14">
        <f ca="1">IFERROR(__xludf.DUMMYFUNCTION("GOOGLEFINANCE(""BOM:"" &amp; B315,""price"")"),106.45)</f>
        <v>106.45</v>
      </c>
      <c r="G315" s="14">
        <f t="shared" ca="1" si="90"/>
        <v>-22.157221206581351</v>
      </c>
      <c r="H315" s="15">
        <f t="shared" si="91"/>
        <v>2331034346.25</v>
      </c>
      <c r="I315" s="16">
        <f t="shared" ca="1" si="92"/>
        <v>1814541909.75</v>
      </c>
      <c r="J315" s="63"/>
      <c r="K315" s="8">
        <v>543260</v>
      </c>
      <c r="L315" s="8" t="s">
        <v>1312</v>
      </c>
      <c r="M315" s="12">
        <v>32867867</v>
      </c>
      <c r="N315" s="10">
        <v>500.1</v>
      </c>
      <c r="O315" s="10">
        <f ca="1">IFERROR(__xludf.DUMMYFUNCTION("GOOGLEFINANCE(""BOM:"" &amp; K315,""price"")"),419.35)</f>
        <v>419.35</v>
      </c>
      <c r="P315" s="8">
        <f t="shared" ca="1" si="96"/>
        <v>-16.146770645870827</v>
      </c>
      <c r="Q315" s="12">
        <f t="shared" si="97"/>
        <v>16437220286.700001</v>
      </c>
      <c r="R315" s="13">
        <f t="shared" ca="1" si="98"/>
        <v>13783140026.450001</v>
      </c>
      <c r="S315" s="63"/>
      <c r="T315" s="8">
        <v>534063</v>
      </c>
      <c r="U315" s="8" t="s">
        <v>1313</v>
      </c>
      <c r="V315" s="12">
        <v>10466765</v>
      </c>
      <c r="W315" s="8">
        <v>124.8</v>
      </c>
      <c r="X315" s="11">
        <f ca="1">IFERROR(__xludf.DUMMYFUNCTION("GOOGLEFINANCE(""BOM:"" &amp; T315,""price"")"),118.5)</f>
        <v>118.5</v>
      </c>
      <c r="Y315" s="8">
        <f t="shared" ca="1" si="99"/>
        <v>-5.0480769230769207</v>
      </c>
      <c r="Z315" s="12">
        <f t="shared" si="94"/>
        <v>1306252272</v>
      </c>
      <c r="AA315" s="13">
        <f t="shared" ca="1" si="95"/>
        <v>1240311652.5</v>
      </c>
      <c r="AB315" s="63"/>
      <c r="AC315" s="8">
        <v>526823</v>
      </c>
      <c r="AD315" s="8" t="s">
        <v>1314</v>
      </c>
      <c r="AE315" s="12">
        <v>4967184</v>
      </c>
      <c r="AF315" s="8">
        <v>4.34</v>
      </c>
      <c r="AG315" s="8">
        <f ca="1">IFERROR(__xludf.DUMMYFUNCTION("GOOGLEFINANCE(""BOM:"" &amp; AC315,""price"")"),4.25)</f>
        <v>4.25</v>
      </c>
      <c r="AH315" s="8">
        <f t="shared" ca="1" si="83"/>
        <v>-2.0737327188940062</v>
      </c>
      <c r="AI315" s="12">
        <f t="shared" si="84"/>
        <v>21557578.559999999</v>
      </c>
      <c r="AJ315" s="13">
        <f t="shared" ca="1" si="85"/>
        <v>21110532</v>
      </c>
    </row>
    <row r="316" spans="1:36" x14ac:dyDescent="0.25">
      <c r="A316" s="62" t="s">
        <v>1315</v>
      </c>
      <c r="B316" s="6">
        <v>500163</v>
      </c>
      <c r="C316" s="6" t="s">
        <v>1316</v>
      </c>
      <c r="D316" s="7">
        <v>51337648</v>
      </c>
      <c r="E316" s="6">
        <v>2944.4</v>
      </c>
      <c r="F316" s="8">
        <f ca="1">IFERROR(__xludf.DUMMYFUNCTION("GOOGLEFINANCE(""BOM:"" &amp; B316,""price"")"),3090.5)</f>
        <v>3090.5</v>
      </c>
      <c r="G316" s="8">
        <f t="shared" ca="1" si="90"/>
        <v>4.9619616899877697</v>
      </c>
      <c r="H316" s="7">
        <f t="shared" si="91"/>
        <v>151158570771.20001</v>
      </c>
      <c r="I316" s="9">
        <f t="shared" ca="1" si="92"/>
        <v>158659001144</v>
      </c>
      <c r="J316" s="63"/>
      <c r="K316" s="8">
        <v>517506</v>
      </c>
      <c r="L316" s="8" t="s">
        <v>1317</v>
      </c>
      <c r="M316" s="12">
        <v>137503556</v>
      </c>
      <c r="N316" s="10">
        <v>742.2</v>
      </c>
      <c r="O316" s="10">
        <f ca="1">IFERROR(__xludf.DUMMYFUNCTION("GOOGLEFINANCE(""BOM:"" &amp; K316,""price"")"),672.8)</f>
        <v>672.8</v>
      </c>
      <c r="P316" s="8">
        <f t="shared" ca="1" si="96"/>
        <v>-9.3505793586634454</v>
      </c>
      <c r="Q316" s="12">
        <f t="shared" si="97"/>
        <v>102055139263.20001</v>
      </c>
      <c r="R316" s="13">
        <f t="shared" ca="1" si="98"/>
        <v>92512392476.799988</v>
      </c>
      <c r="S316" s="63"/>
      <c r="T316" s="8">
        <v>538609</v>
      </c>
      <c r="U316" s="8" t="s">
        <v>1318</v>
      </c>
      <c r="V316" s="12">
        <v>2436000</v>
      </c>
      <c r="W316" s="8">
        <v>58.82</v>
      </c>
      <c r="X316" s="11">
        <f ca="1">IFERROR(__xludf.DUMMYFUNCTION("GOOGLEFINANCE(""BOM:"" &amp; T316,""price"")"),55.36)</f>
        <v>55.36</v>
      </c>
      <c r="Y316" s="8">
        <f t="shared" ca="1" si="99"/>
        <v>-5.8823529411764719</v>
      </c>
      <c r="Z316" s="12">
        <f t="shared" si="94"/>
        <v>143285520</v>
      </c>
      <c r="AA316" s="13">
        <f t="shared" ca="1" si="95"/>
        <v>134856960</v>
      </c>
      <c r="AB316" s="63"/>
      <c r="AC316" s="8">
        <v>540796</v>
      </c>
      <c r="AD316" s="8" t="s">
        <v>1319</v>
      </c>
      <c r="AE316" s="12">
        <v>13700000</v>
      </c>
      <c r="AF316" s="8">
        <v>127.35</v>
      </c>
      <c r="AG316" s="8">
        <f ca="1">IFERROR(__xludf.DUMMYFUNCTION("GOOGLEFINANCE(""BOM:"" &amp; AC316,""price"")"),127.05)</f>
        <v>127.05</v>
      </c>
      <c r="AH316" s="8">
        <f t="shared" ca="1" si="83"/>
        <v>-0.2355712603062404</v>
      </c>
      <c r="AI316" s="12">
        <f t="shared" si="84"/>
        <v>1744695000</v>
      </c>
      <c r="AJ316" s="13">
        <f t="shared" ca="1" si="85"/>
        <v>1740585000</v>
      </c>
    </row>
    <row r="317" spans="1:36" x14ac:dyDescent="0.25">
      <c r="A317" s="63"/>
      <c r="B317" s="8">
        <v>526723</v>
      </c>
      <c r="C317" s="8" t="s">
        <v>1320</v>
      </c>
      <c r="D317" s="12">
        <v>11613661</v>
      </c>
      <c r="E317" s="8">
        <v>127.05</v>
      </c>
      <c r="F317" s="8">
        <f ca="1">IFERROR(__xludf.DUMMYFUNCTION("GOOGLEFINANCE(""BOM:"" &amp; B317,""price"")"),108.6)</f>
        <v>108.6</v>
      </c>
      <c r="G317" s="8">
        <f t="shared" ca="1" si="90"/>
        <v>-14.52184179456907</v>
      </c>
      <c r="H317" s="12">
        <f t="shared" si="91"/>
        <v>1475515630.05</v>
      </c>
      <c r="I317" s="13">
        <f t="shared" ca="1" si="92"/>
        <v>1261243584.5999999</v>
      </c>
      <c r="J317" s="63"/>
      <c r="K317" s="8">
        <v>532953</v>
      </c>
      <c r="L317" s="8" t="s">
        <v>1321</v>
      </c>
      <c r="M317" s="12">
        <v>430899760</v>
      </c>
      <c r="N317" s="10">
        <v>338.25</v>
      </c>
      <c r="O317" s="10">
        <f ca="1">IFERROR(__xludf.DUMMYFUNCTION("GOOGLEFINANCE(""BOM:"" &amp; K317,""price"")"),331.45)</f>
        <v>331.45</v>
      </c>
      <c r="P317" s="8">
        <f t="shared" ca="1" si="96"/>
        <v>-2.0103473762010382</v>
      </c>
      <c r="Q317" s="12">
        <f t="shared" si="97"/>
        <v>145751843820</v>
      </c>
      <c r="R317" s="13">
        <f t="shared" ca="1" si="98"/>
        <v>142821725452</v>
      </c>
      <c r="S317" s="63"/>
      <c r="T317" s="8">
        <v>538319</v>
      </c>
      <c r="U317" s="8" t="s">
        <v>1322</v>
      </c>
      <c r="V317" s="12">
        <v>16282000</v>
      </c>
      <c r="W317" s="8">
        <v>6.48</v>
      </c>
      <c r="X317" s="11">
        <f ca="1">IFERROR(__xludf.DUMMYFUNCTION("GOOGLEFINANCE(""BOM:"" &amp; T317,""price"")"),5.35)</f>
        <v>5.35</v>
      </c>
      <c r="Y317" s="8">
        <f t="shared" ca="1" si="99"/>
        <v>-17.438271604938283</v>
      </c>
      <c r="Z317" s="12">
        <f t="shared" si="94"/>
        <v>105507360</v>
      </c>
      <c r="AA317" s="13">
        <f t="shared" ca="1" si="95"/>
        <v>87108700</v>
      </c>
      <c r="AB317" s="63"/>
      <c r="AC317" s="8">
        <v>533285</v>
      </c>
      <c r="AD317" s="8" t="s">
        <v>1323</v>
      </c>
      <c r="AE317" s="12">
        <v>17164669</v>
      </c>
      <c r="AF317" s="8">
        <v>166.45</v>
      </c>
      <c r="AG317" s="8">
        <f ca="1">IFERROR(__xludf.DUMMYFUNCTION("GOOGLEFINANCE(""BOM:"" &amp; AC317,""price"")"),116.7)</f>
        <v>116.7</v>
      </c>
      <c r="AH317" s="8">
        <f t="shared" ca="1" si="83"/>
        <v>-29.888855512165808</v>
      </c>
      <c r="AI317" s="12">
        <f t="shared" si="84"/>
        <v>2857059155.0499997</v>
      </c>
      <c r="AJ317" s="13">
        <f t="shared" ca="1" si="85"/>
        <v>2003116872.3</v>
      </c>
    </row>
    <row r="318" spans="1:36" x14ac:dyDescent="0.25">
      <c r="A318" s="63"/>
      <c r="B318" s="8">
        <v>526813</v>
      </c>
      <c r="C318" s="8" t="s">
        <v>1324</v>
      </c>
      <c r="D318" s="12">
        <v>3184020</v>
      </c>
      <c r="E318" s="8">
        <v>14.5</v>
      </c>
      <c r="F318" s="8">
        <f ca="1">IFERROR(__xludf.DUMMYFUNCTION("GOOGLEFINANCE(""BOM:"" &amp; B318,""price"")"),14.15)</f>
        <v>14.15</v>
      </c>
      <c r="G318" s="8">
        <f t="shared" ca="1" si="90"/>
        <v>-2.4137931034482736</v>
      </c>
      <c r="H318" s="12">
        <f t="shared" si="91"/>
        <v>46168290</v>
      </c>
      <c r="I318" s="13">
        <f t="shared" ca="1" si="92"/>
        <v>45053883</v>
      </c>
      <c r="J318" s="63"/>
      <c r="K318" s="8">
        <v>543449</v>
      </c>
      <c r="L318" s="8" t="s">
        <v>1325</v>
      </c>
      <c r="M318" s="12">
        <v>13400800</v>
      </c>
      <c r="N318" s="10">
        <v>490.95</v>
      </c>
      <c r="O318" s="10">
        <f ca="1">IFERROR(__xludf.DUMMYFUNCTION("GOOGLEFINANCE(""BOM:"" &amp; K318,""price"")"),677.05)</f>
        <v>677.05</v>
      </c>
      <c r="P318" s="8">
        <f t="shared" ca="1" si="96"/>
        <v>37.906100417557795</v>
      </c>
      <c r="Q318" s="12">
        <f t="shared" si="97"/>
        <v>6579122760</v>
      </c>
      <c r="R318" s="13">
        <f t="shared" ca="1" si="98"/>
        <v>9073011640</v>
      </c>
      <c r="S318" s="63"/>
      <c r="T318" s="8">
        <v>535917</v>
      </c>
      <c r="U318" s="8" t="s">
        <v>1326</v>
      </c>
      <c r="V318" s="12">
        <v>7427000</v>
      </c>
      <c r="W318" s="8">
        <v>7.98</v>
      </c>
      <c r="X318" s="11">
        <f ca="1">IFERROR(__xludf.DUMMYFUNCTION("GOOGLEFINANCE(""BOM:"" &amp; T318,""price"")"),6.18)</f>
        <v>6.18</v>
      </c>
      <c r="Y318" s="8">
        <f t="shared" ca="1" si="99"/>
        <v>-22.556390977443616</v>
      </c>
      <c r="Z318" s="12">
        <f t="shared" si="94"/>
        <v>59267460</v>
      </c>
      <c r="AA318" s="13">
        <f t="shared" ca="1" si="95"/>
        <v>45898860</v>
      </c>
      <c r="AB318" s="63"/>
      <c r="AC318" s="8">
        <v>509845</v>
      </c>
      <c r="AD318" s="8" t="s">
        <v>1327</v>
      </c>
      <c r="AE318" s="12">
        <v>203360</v>
      </c>
      <c r="AF318" s="8">
        <v>462.9</v>
      </c>
      <c r="AG318" s="8">
        <f ca="1">IFERROR(__xludf.DUMMYFUNCTION("GOOGLEFINANCE(""BOM:"" &amp; AC318,""price"")"),445.9)</f>
        <v>445.9</v>
      </c>
      <c r="AH318" s="8">
        <f t="shared" ca="1" si="83"/>
        <v>-3.6724994599265504</v>
      </c>
      <c r="AI318" s="12">
        <f t="shared" si="84"/>
        <v>94135344</v>
      </c>
      <c r="AJ318" s="13">
        <f t="shared" ca="1" si="85"/>
        <v>90678224</v>
      </c>
    </row>
    <row r="319" spans="1:36" x14ac:dyDescent="0.25">
      <c r="A319" s="63"/>
      <c r="B319" s="8">
        <v>509887</v>
      </c>
      <c r="C319" s="8" t="s">
        <v>1328</v>
      </c>
      <c r="D319" s="12">
        <v>363080</v>
      </c>
      <c r="E319" s="8">
        <v>475</v>
      </c>
      <c r="F319" s="8">
        <f ca="1">IFERROR(__xludf.DUMMYFUNCTION("GOOGLEFINANCE(""BOM:"" &amp; B319,""price"")"),464.1)</f>
        <v>464.1</v>
      </c>
      <c r="G319" s="8">
        <f t="shared" ca="1" si="90"/>
        <v>-2.2947368421052583</v>
      </c>
      <c r="H319" s="12">
        <f t="shared" si="91"/>
        <v>172463000</v>
      </c>
      <c r="I319" s="13">
        <f t="shared" ca="1" si="92"/>
        <v>168505428</v>
      </c>
      <c r="J319" s="64"/>
      <c r="K319" s="14">
        <v>500238</v>
      </c>
      <c r="L319" s="14" t="s">
        <v>1329</v>
      </c>
      <c r="M319" s="15">
        <v>125839737</v>
      </c>
      <c r="N319" s="17">
        <v>1239.55</v>
      </c>
      <c r="O319" s="17">
        <f ca="1">IFERROR(__xludf.DUMMYFUNCTION("GOOGLEFINANCE(""BOM:"" &amp; K319,""price"")"),1223.65)</f>
        <v>1223.6500000000001</v>
      </c>
      <c r="P319" s="14">
        <f t="shared" ca="1" si="96"/>
        <v>-1.2827235690371397</v>
      </c>
      <c r="Q319" s="15">
        <f t="shared" si="97"/>
        <v>155984645998.35001</v>
      </c>
      <c r="R319" s="16">
        <f t="shared" ca="1" si="98"/>
        <v>153983794180.05002</v>
      </c>
      <c r="S319" s="63"/>
      <c r="T319" s="8">
        <v>504346</v>
      </c>
      <c r="U319" s="8" t="s">
        <v>1330</v>
      </c>
      <c r="V319" s="12">
        <v>100000</v>
      </c>
      <c r="W319" s="8">
        <v>0</v>
      </c>
      <c r="X319" s="11">
        <f ca="1">IFERROR(__xludf.DUMMYFUNCTION("GOOGLEFINANCE(""BOM:"" &amp; T319,""price"")"),0)</f>
        <v>0</v>
      </c>
      <c r="Y319" s="8">
        <v>0</v>
      </c>
      <c r="Z319" s="12">
        <f t="shared" si="94"/>
        <v>0</v>
      </c>
      <c r="AA319" s="13">
        <f t="shared" ca="1" si="95"/>
        <v>0</v>
      </c>
      <c r="AB319" s="63"/>
      <c r="AC319" s="8">
        <v>531822</v>
      </c>
      <c r="AD319" s="8" t="s">
        <v>1331</v>
      </c>
      <c r="AE319" s="12">
        <v>3218545</v>
      </c>
      <c r="AF319" s="8">
        <v>51</v>
      </c>
      <c r="AG319" s="8">
        <f ca="1">IFERROR(__xludf.DUMMYFUNCTION("GOOGLEFINANCE(""BOM:"" &amp; AC319,""price"")"),70.56)</f>
        <v>70.56</v>
      </c>
      <c r="AH319" s="8">
        <f t="shared" ca="1" si="83"/>
        <v>38.352941176470594</v>
      </c>
      <c r="AI319" s="12">
        <f t="shared" si="84"/>
        <v>164145795</v>
      </c>
      <c r="AJ319" s="13">
        <f t="shared" ca="1" si="85"/>
        <v>227100535.20000002</v>
      </c>
    </row>
    <row r="320" spans="1:36" x14ac:dyDescent="0.25">
      <c r="A320" s="64"/>
      <c r="B320" s="14">
        <v>509966</v>
      </c>
      <c r="C320" s="14" t="s">
        <v>1332</v>
      </c>
      <c r="D320" s="15">
        <v>15133921</v>
      </c>
      <c r="E320" s="8">
        <v>3723.95</v>
      </c>
      <c r="F320" s="14">
        <f ca="1">IFERROR(__xludf.DUMMYFUNCTION("GOOGLEFINANCE(""BOM:"" &amp; B320,""price"")"),3565)</f>
        <v>3565</v>
      </c>
      <c r="G320" s="14">
        <f t="shared" ca="1" si="90"/>
        <v>-4.268317243786834</v>
      </c>
      <c r="H320" s="15">
        <f t="shared" si="91"/>
        <v>56357965107.949997</v>
      </c>
      <c r="I320" s="16">
        <f t="shared" ca="1" si="92"/>
        <v>53952428365</v>
      </c>
      <c r="J320" s="62" t="s">
        <v>1333</v>
      </c>
      <c r="K320" s="6">
        <v>532335</v>
      </c>
      <c r="L320" s="6" t="s">
        <v>1334</v>
      </c>
      <c r="M320" s="7">
        <v>17002481</v>
      </c>
      <c r="N320" s="10">
        <v>30.93</v>
      </c>
      <c r="O320" s="10">
        <f ca="1">IFERROR(__xludf.DUMMYFUNCTION("GOOGLEFINANCE(""BOM:"" &amp; K320,""price"")"),26.48)</f>
        <v>26.48</v>
      </c>
      <c r="P320" s="8">
        <f t="shared" ca="1" si="96"/>
        <v>-14.387326220497895</v>
      </c>
      <c r="Q320" s="7">
        <f t="shared" si="97"/>
        <v>525886737.32999998</v>
      </c>
      <c r="R320" s="9">
        <f t="shared" ca="1" si="98"/>
        <v>450225696.88</v>
      </c>
      <c r="S320" s="63"/>
      <c r="T320" s="8">
        <v>500174</v>
      </c>
      <c r="U320" s="8" t="s">
        <v>1335</v>
      </c>
      <c r="V320" s="12">
        <v>24435598</v>
      </c>
      <c r="W320" s="8">
        <v>11.06</v>
      </c>
      <c r="X320" s="11">
        <f ca="1">IFERROR(__xludf.DUMMYFUNCTION("GOOGLEFINANCE(""BOM:"" &amp; T320,""price"")"),8.1)</f>
        <v>8.1</v>
      </c>
      <c r="Y320" s="8">
        <f t="shared" ref="Y320:Y331" ca="1" si="100">((X320-W320)/W320)*100</f>
        <v>-26.763110307414113</v>
      </c>
      <c r="Z320" s="12">
        <f t="shared" si="94"/>
        <v>270257713.88</v>
      </c>
      <c r="AA320" s="13">
        <f t="shared" ca="1" si="95"/>
        <v>197928343.79999998</v>
      </c>
      <c r="AB320" s="63"/>
      <c r="AC320" s="8">
        <v>526407</v>
      </c>
      <c r="AD320" s="8" t="s">
        <v>1336</v>
      </c>
      <c r="AE320" s="12">
        <v>226766770</v>
      </c>
      <c r="AF320" s="8">
        <v>43.62</v>
      </c>
      <c r="AG320" s="8">
        <f ca="1">IFERROR(__xludf.DUMMYFUNCTION("GOOGLEFINANCE(""BOM:"" &amp; AC320,""price"")"),32.07)</f>
        <v>32.07</v>
      </c>
      <c r="AH320" s="8">
        <f t="shared" ca="1" si="83"/>
        <v>-26.478679504814302</v>
      </c>
      <c r="AI320" s="12">
        <f t="shared" si="84"/>
        <v>9891566507.3999996</v>
      </c>
      <c r="AJ320" s="13">
        <f t="shared" ca="1" si="85"/>
        <v>7272410313.8999996</v>
      </c>
    </row>
    <row r="321" spans="1:36" x14ac:dyDescent="0.25">
      <c r="A321" s="62" t="s">
        <v>1337</v>
      </c>
      <c r="B321" s="6">
        <v>532811</v>
      </c>
      <c r="C321" s="6" t="s">
        <v>1338</v>
      </c>
      <c r="D321" s="7">
        <v>66962560</v>
      </c>
      <c r="E321" s="6">
        <v>1167.4000000000001</v>
      </c>
      <c r="F321" s="8">
        <f ca="1">IFERROR(__xludf.DUMMYFUNCTION("GOOGLEFINANCE(""BOM:"" &amp; B321,""price"")"),1020.2)</f>
        <v>1020.2</v>
      </c>
      <c r="G321" s="8">
        <f t="shared" ca="1" si="90"/>
        <v>-12.609217063560052</v>
      </c>
      <c r="H321" s="7">
        <f t="shared" si="91"/>
        <v>78172092544</v>
      </c>
      <c r="I321" s="9">
        <f t="shared" ca="1" si="92"/>
        <v>68315203712</v>
      </c>
      <c r="J321" s="63"/>
      <c r="K321" s="8">
        <v>530853</v>
      </c>
      <c r="L321" s="8" t="s">
        <v>1339</v>
      </c>
      <c r="M321" s="12">
        <v>3009299</v>
      </c>
      <c r="N321" s="10">
        <v>139.75</v>
      </c>
      <c r="O321" s="10">
        <f ca="1">IFERROR(__xludf.DUMMYFUNCTION("GOOGLEFINANCE(""BOM:"" &amp; K321,""price"")"),131.25)</f>
        <v>131.25</v>
      </c>
      <c r="P321" s="8">
        <f t="shared" ca="1" si="96"/>
        <v>-6.0822898032200357</v>
      </c>
      <c r="Q321" s="12">
        <f t="shared" si="97"/>
        <v>420549535.25</v>
      </c>
      <c r="R321" s="13">
        <f t="shared" ca="1" si="98"/>
        <v>394970493.75</v>
      </c>
      <c r="S321" s="63"/>
      <c r="T321" s="8">
        <v>511441</v>
      </c>
      <c r="U321" s="8" t="s">
        <v>1340</v>
      </c>
      <c r="V321" s="12">
        <v>2206290</v>
      </c>
      <c r="W321" s="8">
        <v>26.98</v>
      </c>
      <c r="X321" s="11">
        <f ca="1">IFERROR(__xludf.DUMMYFUNCTION("GOOGLEFINANCE(""BOM:"" &amp; T321,""price"")"),19.76)</f>
        <v>19.760000000000002</v>
      </c>
      <c r="Y321" s="8">
        <f t="shared" ca="1" si="100"/>
        <v>-26.760563380281688</v>
      </c>
      <c r="Z321" s="12">
        <f t="shared" si="94"/>
        <v>59525704.200000003</v>
      </c>
      <c r="AA321" s="13">
        <f t="shared" ca="1" si="95"/>
        <v>43596290.400000006</v>
      </c>
      <c r="AB321" s="63"/>
      <c r="AC321" s="8">
        <v>543251</v>
      </c>
      <c r="AD321" s="8" t="s">
        <v>1341</v>
      </c>
      <c r="AE321" s="12">
        <v>61250746</v>
      </c>
      <c r="AF321" s="8">
        <v>45.25</v>
      </c>
      <c r="AG321" s="8">
        <f ca="1">IFERROR(__xludf.DUMMYFUNCTION("GOOGLEFINANCE(""BOM:"" &amp; AC321,""price"")"),39.4)</f>
        <v>39.4</v>
      </c>
      <c r="AH321" s="8">
        <f t="shared" ca="1" si="83"/>
        <v>-12.928176795580113</v>
      </c>
      <c r="AI321" s="12">
        <f t="shared" si="84"/>
        <v>2771596256.5</v>
      </c>
      <c r="AJ321" s="13">
        <f t="shared" ca="1" si="85"/>
        <v>2413279392.4000001</v>
      </c>
    </row>
    <row r="322" spans="1:36" x14ac:dyDescent="0.25">
      <c r="A322" s="63"/>
      <c r="B322" s="8">
        <v>540923</v>
      </c>
      <c r="C322" s="8" t="s">
        <v>1342</v>
      </c>
      <c r="D322" s="12">
        <v>17540000</v>
      </c>
      <c r="E322" s="8">
        <v>25.43</v>
      </c>
      <c r="F322" s="8">
        <f ca="1">IFERROR(__xludf.DUMMYFUNCTION("GOOGLEFINANCE(""BOM:"" &amp; B322,""price"")"),18)</f>
        <v>18</v>
      </c>
      <c r="G322" s="8">
        <f t="shared" ca="1" si="90"/>
        <v>-29.217459693275661</v>
      </c>
      <c r="H322" s="12">
        <f t="shared" si="91"/>
        <v>446042200</v>
      </c>
      <c r="I322" s="13">
        <f t="shared" ca="1" si="92"/>
        <v>315720000</v>
      </c>
      <c r="J322" s="63"/>
      <c r="K322" s="8">
        <v>532926</v>
      </c>
      <c r="L322" s="8" t="s">
        <v>1343</v>
      </c>
      <c r="M322" s="12">
        <v>366176302</v>
      </c>
      <c r="N322" s="10">
        <v>449.25</v>
      </c>
      <c r="O322" s="10">
        <f ca="1">IFERROR(__xludf.DUMMYFUNCTION("GOOGLEFINANCE(""BOM:"" &amp; K322,""price"")"),440)</f>
        <v>440</v>
      </c>
      <c r="P322" s="8">
        <f t="shared" ca="1" si="96"/>
        <v>-2.0589872008903729</v>
      </c>
      <c r="Q322" s="12">
        <f t="shared" si="97"/>
        <v>164504703673.5</v>
      </c>
      <c r="R322" s="13">
        <f t="shared" ca="1" si="98"/>
        <v>161117572880</v>
      </c>
      <c r="S322" s="63"/>
      <c r="T322" s="8">
        <v>532333</v>
      </c>
      <c r="U322" s="8" t="s">
        <v>1344</v>
      </c>
      <c r="V322" s="12">
        <v>9904704</v>
      </c>
      <c r="W322" s="8">
        <v>77.989999999999995</v>
      </c>
      <c r="X322" s="11">
        <f ca="1">IFERROR(__xludf.DUMMYFUNCTION("GOOGLEFINANCE(""BOM:"" &amp; T322,""price"")"),59.3)</f>
        <v>59.3</v>
      </c>
      <c r="Y322" s="8">
        <f t="shared" ca="1" si="100"/>
        <v>-23.964610847544556</v>
      </c>
      <c r="Z322" s="12">
        <f t="shared" si="94"/>
        <v>772467864.95999992</v>
      </c>
      <c r="AA322" s="13">
        <f t="shared" ca="1" si="95"/>
        <v>587348947.19999993</v>
      </c>
      <c r="AB322" s="63"/>
      <c r="AC322" s="8">
        <v>543376</v>
      </c>
      <c r="AD322" s="8" t="s">
        <v>1345</v>
      </c>
      <c r="AE322" s="12">
        <v>4300000</v>
      </c>
      <c r="AF322" s="8">
        <v>122.5</v>
      </c>
      <c r="AG322" s="8">
        <f ca="1">IFERROR(__xludf.DUMMYFUNCTION("GOOGLEFINANCE(""BOM:"" &amp; AC322,""price"")"),128)</f>
        <v>128</v>
      </c>
      <c r="AH322" s="8">
        <f t="shared" ca="1" si="83"/>
        <v>4.4897959183673466</v>
      </c>
      <c r="AI322" s="12">
        <f t="shared" si="84"/>
        <v>526750000</v>
      </c>
      <c r="AJ322" s="13">
        <f t="shared" ca="1" si="85"/>
        <v>550400000</v>
      </c>
    </row>
    <row r="323" spans="1:36" x14ac:dyDescent="0.25">
      <c r="A323" s="63"/>
      <c r="B323" s="8">
        <v>501630</v>
      </c>
      <c r="C323" s="8" t="s">
        <v>1346</v>
      </c>
      <c r="D323" s="12">
        <v>823292</v>
      </c>
      <c r="E323" s="8">
        <v>23.32</v>
      </c>
      <c r="F323" s="8">
        <f ca="1">IFERROR(__xludf.DUMMYFUNCTION("GOOGLEFINANCE(""BOM:"" &amp; B323,""price"")"),24.48)</f>
        <v>24.48</v>
      </c>
      <c r="G323" s="8">
        <f t="shared" ca="1" si="90"/>
        <v>4.9742710120068621</v>
      </c>
      <c r="H323" s="12">
        <f t="shared" si="91"/>
        <v>19199169.440000001</v>
      </c>
      <c r="I323" s="13">
        <f t="shared" ca="1" si="92"/>
        <v>20154188.16</v>
      </c>
      <c r="J323" s="64"/>
      <c r="K323" s="14">
        <v>524136</v>
      </c>
      <c r="L323" s="14" t="s">
        <v>1347</v>
      </c>
      <c r="M323" s="15">
        <v>2510000</v>
      </c>
      <c r="N323" s="17">
        <v>412.1</v>
      </c>
      <c r="O323" s="17">
        <f ca="1">IFERROR(__xludf.DUMMYFUNCTION("GOOGLEFINANCE(""BOM:"" &amp; K323,""price"")"),392.5)</f>
        <v>392.5</v>
      </c>
      <c r="P323" s="14">
        <f t="shared" ca="1" si="96"/>
        <v>-4.7561271536034999</v>
      </c>
      <c r="Q323" s="15">
        <f t="shared" si="97"/>
        <v>1034371000</v>
      </c>
      <c r="R323" s="16">
        <f t="shared" ca="1" si="98"/>
        <v>985175000</v>
      </c>
      <c r="S323" s="63"/>
      <c r="T323" s="8">
        <v>542332</v>
      </c>
      <c r="U323" s="8" t="s">
        <v>1348</v>
      </c>
      <c r="V323" s="12">
        <v>5265200</v>
      </c>
      <c r="W323" s="8">
        <v>5.62</v>
      </c>
      <c r="X323" s="11">
        <f ca="1">IFERROR(__xludf.DUMMYFUNCTION("GOOGLEFINANCE(""BOM:"" &amp; T323,""price"")"),5.62)</f>
        <v>5.62</v>
      </c>
      <c r="Y323" s="8">
        <f t="shared" ca="1" si="100"/>
        <v>0</v>
      </c>
      <c r="Z323" s="12">
        <f t="shared" si="94"/>
        <v>29590424</v>
      </c>
      <c r="AA323" s="13">
        <f t="shared" ca="1" si="95"/>
        <v>29590424</v>
      </c>
      <c r="AB323" s="63"/>
      <c r="AC323" s="8">
        <v>508996</v>
      </c>
      <c r="AD323" s="8" t="s">
        <v>1349</v>
      </c>
      <c r="AE323" s="12">
        <v>176698900</v>
      </c>
      <c r="AF323" s="8">
        <v>0.99</v>
      </c>
      <c r="AG323" s="8">
        <f ca="1">IFERROR(__xludf.DUMMYFUNCTION("GOOGLEFINANCE(""BOM:"" &amp; AC323,""price"")"),0.58)</f>
        <v>0.57999999999999996</v>
      </c>
      <c r="AH323" s="8">
        <f t="shared" ca="1" si="83"/>
        <v>-41.414141414141419</v>
      </c>
      <c r="AI323" s="12">
        <f t="shared" si="84"/>
        <v>174931911</v>
      </c>
      <c r="AJ323" s="13">
        <f t="shared" ca="1" si="85"/>
        <v>102485362</v>
      </c>
    </row>
    <row r="324" spans="1:36" x14ac:dyDescent="0.25">
      <c r="A324" s="63"/>
      <c r="B324" s="8">
        <v>533163</v>
      </c>
      <c r="C324" s="8" t="s">
        <v>1350</v>
      </c>
      <c r="D324" s="12">
        <v>22725239</v>
      </c>
      <c r="E324" s="8">
        <v>21.47</v>
      </c>
      <c r="F324" s="8">
        <f ca="1">IFERROR(__xludf.DUMMYFUNCTION("GOOGLEFINANCE(""BOM:"" &amp; B324,""price"")"),18)</f>
        <v>18</v>
      </c>
      <c r="G324" s="8">
        <f t="shared" ca="1" si="90"/>
        <v>-16.162086632510476</v>
      </c>
      <c r="H324" s="12">
        <f t="shared" si="91"/>
        <v>487910881.32999998</v>
      </c>
      <c r="I324" s="13">
        <f t="shared" ca="1" si="92"/>
        <v>409054302</v>
      </c>
      <c r="J324" s="62" t="s">
        <v>1351</v>
      </c>
      <c r="K324" s="6">
        <v>531608</v>
      </c>
      <c r="L324" s="6" t="s">
        <v>1352</v>
      </c>
      <c r="M324" s="7">
        <v>5438000</v>
      </c>
      <c r="N324" s="10">
        <v>145.5</v>
      </c>
      <c r="O324" s="10">
        <f ca="1">IFERROR(__xludf.DUMMYFUNCTION("GOOGLEFINANCE(""BOM:"" &amp; K324,""price"")"),111)</f>
        <v>111</v>
      </c>
      <c r="P324" s="8">
        <f t="shared" ca="1" si="96"/>
        <v>-23.711340206185564</v>
      </c>
      <c r="Q324" s="7">
        <f t="shared" si="97"/>
        <v>791229000</v>
      </c>
      <c r="R324" s="9">
        <f t="shared" ca="1" si="98"/>
        <v>603618000</v>
      </c>
      <c r="S324" s="63"/>
      <c r="T324" s="8">
        <v>511260</v>
      </c>
      <c r="U324" s="8" t="s">
        <v>1353</v>
      </c>
      <c r="V324" s="12">
        <v>1169850</v>
      </c>
      <c r="W324" s="8">
        <v>15.85</v>
      </c>
      <c r="X324" s="11">
        <f ca="1">IFERROR(__xludf.DUMMYFUNCTION("GOOGLEFINANCE(""BOM:"" &amp; T324,""price"")"),15.85)</f>
        <v>15.85</v>
      </c>
      <c r="Y324" s="8">
        <f t="shared" ca="1" si="100"/>
        <v>0</v>
      </c>
      <c r="Z324" s="12">
        <f t="shared" si="94"/>
        <v>18542122.5</v>
      </c>
      <c r="AA324" s="13">
        <f t="shared" ca="1" si="95"/>
        <v>18542122.5</v>
      </c>
      <c r="AB324" s="63"/>
      <c r="AC324" s="8">
        <v>543218</v>
      </c>
      <c r="AD324" s="8" t="s">
        <v>1354</v>
      </c>
      <c r="AE324" s="12">
        <v>17341644</v>
      </c>
      <c r="AF324" s="8">
        <v>812.05</v>
      </c>
      <c r="AG324" s="8">
        <f ca="1">IFERROR(__xludf.DUMMYFUNCTION("GOOGLEFINANCE(""BOM:"" &amp; AC324,""price"")"),879.95)</f>
        <v>879.95</v>
      </c>
      <c r="AH324" s="8">
        <f t="shared" ca="1" si="83"/>
        <v>8.3615540914968403</v>
      </c>
      <c r="AI324" s="12">
        <f t="shared" si="84"/>
        <v>14082282010.199999</v>
      </c>
      <c r="AJ324" s="13">
        <f t="shared" ca="1" si="85"/>
        <v>15259779637.800001</v>
      </c>
    </row>
    <row r="325" spans="1:36" x14ac:dyDescent="0.25">
      <c r="A325" s="63"/>
      <c r="B325" s="8">
        <v>533271</v>
      </c>
      <c r="C325" s="8" t="s">
        <v>1355</v>
      </c>
      <c r="D325" s="12">
        <v>280723210</v>
      </c>
      <c r="E325" s="8">
        <v>187</v>
      </c>
      <c r="F325" s="8">
        <f ca="1">IFERROR(__xludf.DUMMYFUNCTION("GOOGLEFINANCE(""BOM:"" &amp; B325,""price"")"),158.65)</f>
        <v>158.65</v>
      </c>
      <c r="G325" s="8">
        <f t="shared" ca="1" si="90"/>
        <v>-15.160427807486629</v>
      </c>
      <c r="H325" s="12">
        <f t="shared" si="91"/>
        <v>52495240270</v>
      </c>
      <c r="I325" s="13">
        <f t="shared" ca="1" si="92"/>
        <v>44536737266.5</v>
      </c>
      <c r="J325" s="63"/>
      <c r="K325" s="8">
        <v>531111</v>
      </c>
      <c r="L325" s="8" t="s">
        <v>1356</v>
      </c>
      <c r="M325" s="12">
        <v>8478281</v>
      </c>
      <c r="N325" s="10">
        <v>45.1</v>
      </c>
      <c r="O325" s="10">
        <f ca="1">IFERROR(__xludf.DUMMYFUNCTION("GOOGLEFINANCE(""BOM:"" &amp; K325,""price"")"),44.1)</f>
        <v>44.1</v>
      </c>
      <c r="P325" s="8">
        <f t="shared" ca="1" si="96"/>
        <v>-2.2172949002217295</v>
      </c>
      <c r="Q325" s="12">
        <f t="shared" si="97"/>
        <v>382370473.10000002</v>
      </c>
      <c r="R325" s="13">
        <f t="shared" ca="1" si="98"/>
        <v>373892192.10000002</v>
      </c>
      <c r="S325" s="63"/>
      <c r="T325" s="8">
        <v>542772</v>
      </c>
      <c r="U325" s="8" t="s">
        <v>1357</v>
      </c>
      <c r="V325" s="12">
        <v>355772112</v>
      </c>
      <c r="W325" s="8">
        <v>718.95</v>
      </c>
      <c r="X325" s="11">
        <v>718.95</v>
      </c>
      <c r="Y325" s="8">
        <f t="shared" si="100"/>
        <v>0</v>
      </c>
      <c r="Z325" s="12">
        <f t="shared" si="94"/>
        <v>255782359922.40002</v>
      </c>
      <c r="AA325" s="13">
        <f t="shared" si="95"/>
        <v>255782359922.40002</v>
      </c>
      <c r="AB325" s="63"/>
      <c r="AC325" s="8">
        <v>543366</v>
      </c>
      <c r="AD325" s="8" t="s">
        <v>1358</v>
      </c>
      <c r="AE325" s="12">
        <v>811270</v>
      </c>
      <c r="AF325" s="8">
        <v>30.22</v>
      </c>
      <c r="AG325" s="8">
        <f ca="1">IFERROR(__xludf.DUMMYFUNCTION("GOOGLEFINANCE(""BOM:"" &amp; AC325,""price"")"),29.92)</f>
        <v>29.92</v>
      </c>
      <c r="AH325" s="8">
        <f t="shared" ca="1" si="83"/>
        <v>-0.99272005294506016</v>
      </c>
      <c r="AI325" s="12">
        <f t="shared" si="84"/>
        <v>24516579.399999999</v>
      </c>
      <c r="AJ325" s="13">
        <f t="shared" ca="1" si="85"/>
        <v>24273198.400000002</v>
      </c>
    </row>
    <row r="326" spans="1:36" x14ac:dyDescent="0.25">
      <c r="A326" s="63"/>
      <c r="B326" s="8">
        <v>532759</v>
      </c>
      <c r="C326" s="8" t="s">
        <v>1359</v>
      </c>
      <c r="D326" s="12">
        <v>81499980</v>
      </c>
      <c r="E326" s="8">
        <v>22.6</v>
      </c>
      <c r="F326" s="8">
        <f ca="1">IFERROR(__xludf.DUMMYFUNCTION("GOOGLEFINANCE(""BOM:"" &amp; B326,""price"")"),22.62)</f>
        <v>22.62</v>
      </c>
      <c r="G326" s="8">
        <f t="shared" ca="1" si="90"/>
        <v>8.8495575221237049E-2</v>
      </c>
      <c r="H326" s="12">
        <f t="shared" si="91"/>
        <v>1841899548</v>
      </c>
      <c r="I326" s="13">
        <f t="shared" ca="1" si="92"/>
        <v>1843529547.6000001</v>
      </c>
      <c r="J326" s="63"/>
      <c r="K326" s="8">
        <v>508486</v>
      </c>
      <c r="L326" s="8" t="s">
        <v>1360</v>
      </c>
      <c r="M326" s="12">
        <v>5186714</v>
      </c>
      <c r="N326" s="10">
        <v>6760.05</v>
      </c>
      <c r="O326" s="10">
        <f ca="1">IFERROR(__xludf.DUMMYFUNCTION("GOOGLEFINANCE(""BOM:"" &amp; K326,""price"")"),6045.1)</f>
        <v>6045.1</v>
      </c>
      <c r="P326" s="8">
        <f t="shared" ca="1" si="96"/>
        <v>-10.576105206322435</v>
      </c>
      <c r="Q326" s="12">
        <f t="shared" si="97"/>
        <v>35062445975.700005</v>
      </c>
      <c r="R326" s="13">
        <f t="shared" ca="1" si="98"/>
        <v>31354204801.400002</v>
      </c>
      <c r="S326" s="63"/>
      <c r="T326" s="8">
        <v>531672</v>
      </c>
      <c r="U326" s="8" t="s">
        <v>1361</v>
      </c>
      <c r="V326" s="12">
        <v>4557700</v>
      </c>
      <c r="W326" s="8">
        <v>28.8</v>
      </c>
      <c r="X326" s="11">
        <f ca="1">IFERROR(__xludf.DUMMYFUNCTION("GOOGLEFINANCE(""BOM:"" &amp; T326,""price"")"),31)</f>
        <v>31</v>
      </c>
      <c r="Y326" s="8">
        <f t="shared" ca="1" si="100"/>
        <v>7.6388888888888866</v>
      </c>
      <c r="Z326" s="12">
        <f t="shared" si="94"/>
        <v>131261760</v>
      </c>
      <c r="AA326" s="13">
        <f t="shared" ca="1" si="95"/>
        <v>141288700</v>
      </c>
      <c r="AB326" s="63"/>
      <c r="AC326" s="8">
        <v>509423</v>
      </c>
      <c r="AD326" s="8" t="s">
        <v>1362</v>
      </c>
      <c r="AE326" s="12">
        <v>3067444</v>
      </c>
      <c r="AF326" s="8">
        <v>28.26</v>
      </c>
      <c r="AG326" s="8">
        <f ca="1">IFERROR(__xludf.DUMMYFUNCTION("GOOGLEFINANCE(""BOM:"" &amp; AC326,""price"")"),18.52)</f>
        <v>18.52</v>
      </c>
      <c r="AH326" s="8">
        <f t="shared" ca="1" si="83"/>
        <v>-34.465675866949759</v>
      </c>
      <c r="AI326" s="12">
        <f t="shared" si="84"/>
        <v>86685967.439999998</v>
      </c>
      <c r="AJ326" s="13">
        <f t="shared" ca="1" si="85"/>
        <v>56809062.879999995</v>
      </c>
    </row>
    <row r="327" spans="1:36" x14ac:dyDescent="0.25">
      <c r="A327" s="63"/>
      <c r="B327" s="8">
        <v>532430</v>
      </c>
      <c r="C327" s="8" t="s">
        <v>1363</v>
      </c>
      <c r="D327" s="12">
        <v>37131022</v>
      </c>
      <c r="E327" s="8">
        <v>936.15</v>
      </c>
      <c r="F327" s="8">
        <f ca="1">IFERROR(__xludf.DUMMYFUNCTION("GOOGLEFINANCE(""BOM:"" &amp; B327,""price"")"),775)</f>
        <v>775</v>
      </c>
      <c r="G327" s="8">
        <f t="shared" ca="1" si="90"/>
        <v>-17.214121668536023</v>
      </c>
      <c r="H327" s="12">
        <f t="shared" si="91"/>
        <v>34760206245.299995</v>
      </c>
      <c r="I327" s="13">
        <f t="shared" ca="1" si="92"/>
        <v>28776542050</v>
      </c>
      <c r="J327" s="63"/>
      <c r="K327" s="8">
        <v>541083</v>
      </c>
      <c r="L327" s="8" t="s">
        <v>1364</v>
      </c>
      <c r="M327" s="12">
        <v>7311000</v>
      </c>
      <c r="N327" s="10">
        <v>501</v>
      </c>
      <c r="O327" s="10">
        <f ca="1">IFERROR(__xludf.DUMMYFUNCTION("GOOGLEFINANCE(""BOM:"" &amp; K327,""price"")"),505)</f>
        <v>505</v>
      </c>
      <c r="P327" s="8">
        <f t="shared" ca="1" si="96"/>
        <v>0.79840319361277434</v>
      </c>
      <c r="Q327" s="12">
        <f t="shared" si="97"/>
        <v>3662811000</v>
      </c>
      <c r="R327" s="13">
        <f t="shared" ca="1" si="98"/>
        <v>3692055000</v>
      </c>
      <c r="S327" s="63"/>
      <c r="T327" s="8">
        <v>532745</v>
      </c>
      <c r="U327" s="8" t="s">
        <v>1365</v>
      </c>
      <c r="V327" s="12">
        <v>23336933</v>
      </c>
      <c r="W327" s="8">
        <v>31.8</v>
      </c>
      <c r="X327" s="11">
        <f ca="1">IFERROR(__xludf.DUMMYFUNCTION("GOOGLEFINANCE(""BOM:"" &amp; T327,""price"")"),29.2)</f>
        <v>29.2</v>
      </c>
      <c r="Y327" s="8">
        <f t="shared" ca="1" si="100"/>
        <v>-8.176100628930822</v>
      </c>
      <c r="Z327" s="12">
        <f t="shared" si="94"/>
        <v>742114469.39999998</v>
      </c>
      <c r="AA327" s="13">
        <f t="shared" ca="1" si="95"/>
        <v>681438443.60000002</v>
      </c>
      <c r="AB327" s="63"/>
      <c r="AC327" s="8">
        <v>509870</v>
      </c>
      <c r="AD327" s="8" t="s">
        <v>1366</v>
      </c>
      <c r="AE327" s="12">
        <v>53890</v>
      </c>
      <c r="AF327" s="8">
        <v>57.85</v>
      </c>
      <c r="AG327" s="8">
        <f ca="1">IFERROR(__xludf.DUMMYFUNCTION("GOOGLEFINANCE(""BOM:"" &amp; AC327,""price"")"),57.85)</f>
        <v>57.85</v>
      </c>
      <c r="AH327" s="8">
        <f t="shared" ca="1" si="83"/>
        <v>0</v>
      </c>
      <c r="AI327" s="12">
        <f t="shared" si="84"/>
        <v>3117536.5</v>
      </c>
      <c r="AJ327" s="13">
        <f t="shared" ca="1" si="85"/>
        <v>3117536.5</v>
      </c>
    </row>
    <row r="328" spans="1:36" x14ac:dyDescent="0.25">
      <c r="A328" s="63"/>
      <c r="B328" s="8">
        <v>532719</v>
      </c>
      <c r="C328" s="8" t="s">
        <v>1367</v>
      </c>
      <c r="D328" s="12">
        <v>225432899</v>
      </c>
      <c r="E328" s="8">
        <v>77.16</v>
      </c>
      <c r="F328" s="8">
        <f ca="1">IFERROR(__xludf.DUMMYFUNCTION("GOOGLEFINANCE(""BOM:"" &amp; B328,""price"")"),68.4)</f>
        <v>68.400000000000006</v>
      </c>
      <c r="G328" s="8">
        <f t="shared" ca="1" si="90"/>
        <v>-11.353032659409008</v>
      </c>
      <c r="H328" s="12">
        <f t="shared" si="91"/>
        <v>17394402486.84</v>
      </c>
      <c r="I328" s="13">
        <f t="shared" ca="1" si="92"/>
        <v>15419610291.6</v>
      </c>
      <c r="J328" s="63"/>
      <c r="K328" s="8">
        <v>543464</v>
      </c>
      <c r="L328" s="8" t="s">
        <v>1368</v>
      </c>
      <c r="M328" s="12">
        <v>15100000</v>
      </c>
      <c r="N328" s="10">
        <v>117</v>
      </c>
      <c r="O328" s="10">
        <f ca="1">IFERROR(__xludf.DUMMYFUNCTION("GOOGLEFINANCE(""BOM:"" &amp; K328,""price"")"),120.35)</f>
        <v>120.35</v>
      </c>
      <c r="P328" s="8">
        <f t="shared" ca="1" si="96"/>
        <v>2.8632478632478584</v>
      </c>
      <c r="Q328" s="12">
        <f t="shared" si="97"/>
        <v>1766700000</v>
      </c>
      <c r="R328" s="13">
        <f t="shared" ca="1" si="98"/>
        <v>1817285000</v>
      </c>
      <c r="S328" s="63"/>
      <c r="T328" s="8">
        <v>511609</v>
      </c>
      <c r="U328" s="8" t="s">
        <v>1369</v>
      </c>
      <c r="V328" s="12">
        <v>21429160</v>
      </c>
      <c r="W328" s="8">
        <v>31.25</v>
      </c>
      <c r="X328" s="11">
        <f ca="1">IFERROR(__xludf.DUMMYFUNCTION("GOOGLEFINANCE(""BOM:"" &amp; T328,""price"")"),31.47)</f>
        <v>31.47</v>
      </c>
      <c r="Y328" s="8">
        <f t="shared" ca="1" si="100"/>
        <v>0.70399999999999641</v>
      </c>
      <c r="Z328" s="12">
        <f t="shared" si="94"/>
        <v>669661250</v>
      </c>
      <c r="AA328" s="13">
        <f t="shared" ca="1" si="95"/>
        <v>674375665.19999993</v>
      </c>
      <c r="AB328" s="63"/>
      <c r="AC328" s="8">
        <v>526117</v>
      </c>
      <c r="AD328" s="8" t="s">
        <v>1370</v>
      </c>
      <c r="AE328" s="12">
        <v>2607526</v>
      </c>
      <c r="AF328" s="8">
        <v>584.45000000000005</v>
      </c>
      <c r="AG328" s="8">
        <f ca="1">IFERROR(__xludf.DUMMYFUNCTION("GOOGLEFINANCE(""BOM:"" &amp; AC328,""price"")"),525.1)</f>
        <v>525.1</v>
      </c>
      <c r="AH328" s="8">
        <f t="shared" ca="1" si="83"/>
        <v>-10.154846436820945</v>
      </c>
      <c r="AI328" s="12">
        <f t="shared" si="84"/>
        <v>1523968570.7</v>
      </c>
      <c r="AJ328" s="13">
        <f t="shared" ca="1" si="85"/>
        <v>1369211902.6000001</v>
      </c>
    </row>
    <row r="329" spans="1:36" x14ac:dyDescent="0.25">
      <c r="A329" s="63"/>
      <c r="B329" s="8">
        <v>540700</v>
      </c>
      <c r="C329" s="8" t="s">
        <v>1371</v>
      </c>
      <c r="D329" s="12">
        <v>83950000</v>
      </c>
      <c r="E329" s="8">
        <v>75.25</v>
      </c>
      <c r="F329" s="8">
        <f ca="1">IFERROR(__xludf.DUMMYFUNCTION("GOOGLEFINANCE(""BOM:"" &amp; B329,""price"")"),57.45)</f>
        <v>57.45</v>
      </c>
      <c r="G329" s="8">
        <f t="shared" ca="1" si="90"/>
        <v>-23.654485049833884</v>
      </c>
      <c r="H329" s="12">
        <f t="shared" si="91"/>
        <v>6317237500</v>
      </c>
      <c r="I329" s="13">
        <f t="shared" ca="1" si="92"/>
        <v>4822927500</v>
      </c>
      <c r="J329" s="64"/>
      <c r="K329" s="14">
        <v>537524</v>
      </c>
      <c r="L329" s="14" t="s">
        <v>1372</v>
      </c>
      <c r="M329" s="15">
        <v>109744350</v>
      </c>
      <c r="N329" s="17">
        <v>0.96</v>
      </c>
      <c r="O329" s="17">
        <f ca="1">IFERROR(__xludf.DUMMYFUNCTION("GOOGLEFINANCE(""BOM:"" &amp; K329,""price"")"),0.87)</f>
        <v>0.87</v>
      </c>
      <c r="P329" s="14">
        <f t="shared" ca="1" si="96"/>
        <v>-9.3749999999999964</v>
      </c>
      <c r="Q329" s="15">
        <f t="shared" si="97"/>
        <v>105354576</v>
      </c>
      <c r="R329" s="16">
        <f t="shared" ca="1" si="98"/>
        <v>95477584.5</v>
      </c>
      <c r="S329" s="63"/>
      <c r="T329" s="8">
        <v>531550</v>
      </c>
      <c r="U329" s="8" t="s">
        <v>1373</v>
      </c>
      <c r="V329" s="12">
        <v>5979400</v>
      </c>
      <c r="W329" s="8">
        <v>517</v>
      </c>
      <c r="X329" s="11">
        <f ca="1">IFERROR(__xludf.DUMMYFUNCTION("GOOGLEFINANCE(""BOM:"" &amp; T329,""price"")"),480.75)</f>
        <v>480.75</v>
      </c>
      <c r="Y329" s="8">
        <f t="shared" ca="1" si="100"/>
        <v>-7.0116054158607346</v>
      </c>
      <c r="Z329" s="12">
        <f t="shared" si="94"/>
        <v>3091349800</v>
      </c>
      <c r="AA329" s="13">
        <f t="shared" ca="1" si="95"/>
        <v>2874596550</v>
      </c>
      <c r="AB329" s="63"/>
      <c r="AC329" s="8">
        <v>531080</v>
      </c>
      <c r="AD329" s="8" t="s">
        <v>1374</v>
      </c>
      <c r="AE329" s="12">
        <v>27471450</v>
      </c>
      <c r="AF329" s="8">
        <v>36.270000000000003</v>
      </c>
      <c r="AG329" s="8">
        <f ca="1">IFERROR(__xludf.DUMMYFUNCTION("GOOGLEFINANCE(""BOM:"" &amp; AC329,""price"")"),36.08)</f>
        <v>36.08</v>
      </c>
      <c r="AH329" s="8">
        <f t="shared" ca="1" si="83"/>
        <v>-0.52384891094569841</v>
      </c>
      <c r="AI329" s="12">
        <f t="shared" si="84"/>
        <v>996389491.50000012</v>
      </c>
      <c r="AJ329" s="13">
        <f t="shared" ca="1" si="85"/>
        <v>991169916</v>
      </c>
    </row>
    <row r="330" spans="1:36" x14ac:dyDescent="0.25">
      <c r="A330" s="63"/>
      <c r="B330" s="8">
        <v>532813</v>
      </c>
      <c r="C330" s="8" t="s">
        <v>1375</v>
      </c>
      <c r="D330" s="12">
        <v>25435076</v>
      </c>
      <c r="E330" s="8" t="s">
        <v>44</v>
      </c>
      <c r="F330" s="8" t="s">
        <v>44</v>
      </c>
      <c r="G330" s="8"/>
      <c r="H330" s="12"/>
      <c r="I330" s="13"/>
      <c r="J330" s="62" t="s">
        <v>1376</v>
      </c>
      <c r="K330" s="6">
        <v>541988</v>
      </c>
      <c r="L330" s="6" t="s">
        <v>1377</v>
      </c>
      <c r="M330" s="7">
        <v>78960824</v>
      </c>
      <c r="N330" s="10">
        <v>1437</v>
      </c>
      <c r="O330" s="10">
        <f ca="1">IFERROR(__xludf.DUMMYFUNCTION("GOOGLEFINANCE(""BOM:"" &amp; K330,""price"")"),1314)</f>
        <v>1314</v>
      </c>
      <c r="P330" s="8">
        <f t="shared" ca="1" si="96"/>
        <v>-8.559498956158663</v>
      </c>
      <c r="Q330" s="7">
        <f t="shared" si="97"/>
        <v>113466704088</v>
      </c>
      <c r="R330" s="9">
        <f t="shared" ca="1" si="98"/>
        <v>103754522736</v>
      </c>
      <c r="S330" s="63"/>
      <c r="T330" s="8">
        <v>530405</v>
      </c>
      <c r="U330" s="8" t="s">
        <v>1378</v>
      </c>
      <c r="V330" s="12">
        <v>6890460</v>
      </c>
      <c r="W330" s="8">
        <v>36.75</v>
      </c>
      <c r="X330" s="11">
        <v>36.75</v>
      </c>
      <c r="Y330" s="8">
        <f t="shared" si="100"/>
        <v>0</v>
      </c>
      <c r="Z330" s="12">
        <f t="shared" si="94"/>
        <v>253224405</v>
      </c>
      <c r="AA330" s="13">
        <f t="shared" si="95"/>
        <v>253224405</v>
      </c>
      <c r="AB330" s="63"/>
      <c r="AC330" s="8">
        <v>543419</v>
      </c>
      <c r="AD330" s="8" t="s">
        <v>1379</v>
      </c>
      <c r="AE330" s="12">
        <v>169964088</v>
      </c>
      <c r="AF330" s="8">
        <v>125.8</v>
      </c>
      <c r="AG330" s="8">
        <f ca="1">IFERROR(__xludf.DUMMYFUNCTION("GOOGLEFINANCE(""BOM:"" &amp; AC330,""price"")"),113)</f>
        <v>113</v>
      </c>
      <c r="AH330" s="8">
        <f t="shared" ca="1" si="83"/>
        <v>-10.174880763116056</v>
      </c>
      <c r="AI330" s="12">
        <f t="shared" si="84"/>
        <v>21381482270.399998</v>
      </c>
      <c r="AJ330" s="13">
        <f t="shared" ca="1" si="85"/>
        <v>19205941944</v>
      </c>
    </row>
    <row r="331" spans="1:36" x14ac:dyDescent="0.25">
      <c r="A331" s="63"/>
      <c r="B331" s="8">
        <v>531900</v>
      </c>
      <c r="C331" s="8" t="s">
        <v>1380</v>
      </c>
      <c r="D331" s="12">
        <v>19192500</v>
      </c>
      <c r="E331" s="8">
        <v>29.89</v>
      </c>
      <c r="F331" s="8">
        <f ca="1">IFERROR(__xludf.DUMMYFUNCTION("GOOGLEFINANCE(""BOM:"" &amp; B331,""price"")"),22.19)</f>
        <v>22.19</v>
      </c>
      <c r="G331" s="8">
        <f t="shared" ref="G331:G333" ca="1" si="101">((F331-E331)/E331)*100</f>
        <v>-25.761124121779854</v>
      </c>
      <c r="H331" s="12">
        <f t="shared" ref="H331:H333" si="102">D331*E331</f>
        <v>573663825</v>
      </c>
      <c r="I331" s="13">
        <f t="shared" ref="I331:I333" ca="1" si="103">D331*F331</f>
        <v>425881575</v>
      </c>
      <c r="J331" s="63"/>
      <c r="K331" s="8">
        <v>543335</v>
      </c>
      <c r="L331" s="8" t="s">
        <v>1381</v>
      </c>
      <c r="M331" s="12">
        <v>496851070</v>
      </c>
      <c r="N331" s="10">
        <v>334.25</v>
      </c>
      <c r="O331" s="10">
        <f ca="1">IFERROR(__xludf.DUMMYFUNCTION("GOOGLEFINANCE(""BOM:"" &amp; K331,""price"")"),308.6)</f>
        <v>308.60000000000002</v>
      </c>
      <c r="P331" s="8">
        <f t="shared" ca="1" si="96"/>
        <v>-7.6738967838444205</v>
      </c>
      <c r="Q331" s="12">
        <f t="shared" si="97"/>
        <v>166072470147.5</v>
      </c>
      <c r="R331" s="13">
        <f t="shared" ca="1" si="98"/>
        <v>153328240202</v>
      </c>
      <c r="S331" s="63"/>
      <c r="T331" s="8">
        <v>542866</v>
      </c>
      <c r="U331" s="8" t="s">
        <v>1382</v>
      </c>
      <c r="V331" s="12">
        <v>2985800</v>
      </c>
      <c r="W331" s="8">
        <v>165.3</v>
      </c>
      <c r="X331" s="11">
        <f ca="1">IFERROR(__xludf.DUMMYFUNCTION("GOOGLEFINANCE(""BOM:"" &amp; T331,""price"")"),21.8)</f>
        <v>21.8</v>
      </c>
      <c r="Y331" s="8">
        <f t="shared" ca="1" si="100"/>
        <v>-86.811857229280093</v>
      </c>
      <c r="Z331" s="12">
        <f t="shared" si="94"/>
        <v>493552740.00000006</v>
      </c>
      <c r="AA331" s="13">
        <f t="shared" ca="1" si="95"/>
        <v>65090440</v>
      </c>
      <c r="AB331" s="63"/>
      <c r="AC331" s="8">
        <v>511411</v>
      </c>
      <c r="AD331" s="8" t="s">
        <v>1383</v>
      </c>
      <c r="AE331" s="12">
        <v>22137859</v>
      </c>
      <c r="AF331" s="8">
        <v>44.55</v>
      </c>
      <c r="AG331" s="8">
        <f ca="1">IFERROR(__xludf.DUMMYFUNCTION("GOOGLEFINANCE(""BOM:"" &amp; AC331,""price"")"),42.2)</f>
        <v>42.2</v>
      </c>
      <c r="AH331" s="8">
        <f t="shared" ca="1" si="83"/>
        <v>-5.2749719416385963</v>
      </c>
      <c r="AI331" s="12">
        <f t="shared" si="84"/>
        <v>986241618.44999993</v>
      </c>
      <c r="AJ331" s="13">
        <f t="shared" ca="1" si="85"/>
        <v>934217649.80000007</v>
      </c>
    </row>
    <row r="332" spans="1:36" x14ac:dyDescent="0.25">
      <c r="A332" s="63"/>
      <c r="B332" s="8">
        <v>522231</v>
      </c>
      <c r="C332" s="8" t="s">
        <v>1384</v>
      </c>
      <c r="D332" s="12">
        <v>2991610</v>
      </c>
      <c r="E332" s="8">
        <v>113.3</v>
      </c>
      <c r="F332" s="8">
        <f ca="1">IFERROR(__xludf.DUMMYFUNCTION("GOOGLEFINANCE(""BOM:"" &amp; B332,""price"")"),92)</f>
        <v>92</v>
      </c>
      <c r="G332" s="8">
        <f t="shared" ca="1" si="101"/>
        <v>-18.799646954986759</v>
      </c>
      <c r="H332" s="12">
        <f t="shared" si="102"/>
        <v>338949413</v>
      </c>
      <c r="I332" s="13">
        <f t="shared" ca="1" si="103"/>
        <v>275228120</v>
      </c>
      <c r="J332" s="63"/>
      <c r="K332" s="8">
        <v>511196</v>
      </c>
      <c r="L332" s="8" t="s">
        <v>1385</v>
      </c>
      <c r="M332" s="12">
        <v>131520280</v>
      </c>
      <c r="N332" s="10">
        <v>789.2</v>
      </c>
      <c r="O332" s="10">
        <f ca="1">IFERROR(__xludf.DUMMYFUNCTION("GOOGLEFINANCE(""BOM:"" &amp; K332,""price"")"),754.15)</f>
        <v>754.15</v>
      </c>
      <c r="P332" s="8">
        <f t="shared" ca="1" si="96"/>
        <v>-4.4412062848454212</v>
      </c>
      <c r="Q332" s="12">
        <f t="shared" si="97"/>
        <v>103795804976</v>
      </c>
      <c r="R332" s="13">
        <f t="shared" ca="1" si="98"/>
        <v>99186019162</v>
      </c>
      <c r="S332" s="63"/>
      <c r="T332" s="8">
        <v>542544</v>
      </c>
      <c r="U332" s="8" t="s">
        <v>1386</v>
      </c>
      <c r="V332" s="12">
        <v>790101</v>
      </c>
      <c r="W332" s="8">
        <v>0</v>
      </c>
      <c r="X332" s="11">
        <f ca="1">IFERROR(__xludf.DUMMYFUNCTION("GOOGLEFINANCE(""BOM:"" &amp; T332,""price"")"),0)</f>
        <v>0</v>
      </c>
      <c r="Y332" s="8">
        <v>0</v>
      </c>
      <c r="Z332" s="12">
        <f t="shared" si="94"/>
        <v>0</v>
      </c>
      <c r="AA332" s="13">
        <f t="shared" ca="1" si="95"/>
        <v>0</v>
      </c>
      <c r="AB332" s="63"/>
      <c r="AC332" s="8">
        <v>531640</v>
      </c>
      <c r="AD332" s="8" t="s">
        <v>1387</v>
      </c>
      <c r="AE332" s="12">
        <v>5435960</v>
      </c>
      <c r="AF332" s="8">
        <v>10.87</v>
      </c>
      <c r="AG332" s="8">
        <f ca="1">IFERROR(__xludf.DUMMYFUNCTION("GOOGLEFINANCE(""BOM:"" &amp; AC332,""price"")"),17.59)</f>
        <v>17.59</v>
      </c>
      <c r="AH332" s="8">
        <f t="shared" ca="1" si="83"/>
        <v>61.821527138914455</v>
      </c>
      <c r="AI332" s="12">
        <f t="shared" si="84"/>
        <v>59088885.199999996</v>
      </c>
      <c r="AJ332" s="13">
        <f t="shared" ca="1" si="85"/>
        <v>95618536.400000006</v>
      </c>
    </row>
    <row r="333" spans="1:36" x14ac:dyDescent="0.25">
      <c r="A333" s="63"/>
      <c r="B333" s="8">
        <v>540047</v>
      </c>
      <c r="C333" s="8" t="s">
        <v>1388</v>
      </c>
      <c r="D333" s="12">
        <v>146214971</v>
      </c>
      <c r="E333" s="8">
        <v>457.5</v>
      </c>
      <c r="F333" s="8">
        <f ca="1">IFERROR(__xludf.DUMMYFUNCTION("GOOGLEFINANCE(""BOM:"" &amp; B333,""price"")"),456.85)</f>
        <v>456.85</v>
      </c>
      <c r="G333" s="8">
        <f t="shared" ca="1" si="101"/>
        <v>-0.14207650273223546</v>
      </c>
      <c r="H333" s="12">
        <f t="shared" si="102"/>
        <v>66893349232.5</v>
      </c>
      <c r="I333" s="13">
        <f t="shared" ca="1" si="103"/>
        <v>66798309501.350006</v>
      </c>
      <c r="J333" s="63"/>
      <c r="K333" s="8">
        <v>511676</v>
      </c>
      <c r="L333" s="8" t="s">
        <v>1389</v>
      </c>
      <c r="M333" s="12">
        <v>53570833</v>
      </c>
      <c r="N333" s="10">
        <v>231.75</v>
      </c>
      <c r="O333" s="10">
        <f ca="1">IFERROR(__xludf.DUMMYFUNCTION("GOOGLEFINANCE(""BOM:"" &amp; K333,""price"")"),201.5)</f>
        <v>201.5</v>
      </c>
      <c r="P333" s="8">
        <f t="shared" ca="1" si="96"/>
        <v>-13.052858683926646</v>
      </c>
      <c r="Q333" s="12">
        <f t="shared" si="97"/>
        <v>12415040547.75</v>
      </c>
      <c r="R333" s="13">
        <f t="shared" ca="1" si="98"/>
        <v>10794522849.5</v>
      </c>
      <c r="S333" s="63"/>
      <c r="T333" s="8">
        <v>540515</v>
      </c>
      <c r="U333" s="8" t="s">
        <v>1390</v>
      </c>
      <c r="V333" s="12">
        <v>4394000</v>
      </c>
      <c r="W333" s="8">
        <v>5.39</v>
      </c>
      <c r="X333" s="11">
        <f ca="1">IFERROR(__xludf.DUMMYFUNCTION("GOOGLEFINANCE(""BOM:"" &amp; T333,""price"")"),5.23)</f>
        <v>5.23</v>
      </c>
      <c r="Y333" s="8">
        <f t="shared" ref="Y333:Y336" ca="1" si="104">((X333-W333)/W333)*100</f>
        <v>-2.9684601113172402</v>
      </c>
      <c r="Z333" s="12">
        <f t="shared" si="94"/>
        <v>23683660</v>
      </c>
      <c r="AA333" s="13">
        <f t="shared" ca="1" si="95"/>
        <v>22980620.000000004</v>
      </c>
      <c r="AB333" s="63"/>
      <c r="AC333" s="8">
        <v>524642</v>
      </c>
      <c r="AD333" s="8" t="s">
        <v>1391</v>
      </c>
      <c r="AE333" s="12">
        <v>26925000</v>
      </c>
      <c r="AF333" s="8">
        <v>0.76</v>
      </c>
      <c r="AG333" s="8">
        <f ca="1">IFERROR(__xludf.DUMMYFUNCTION("GOOGLEFINANCE(""BOM:"" &amp; AC333,""price"")"),1)</f>
        <v>1</v>
      </c>
      <c r="AH333" s="8">
        <f t="shared" ca="1" si="83"/>
        <v>31.578947368421051</v>
      </c>
      <c r="AI333" s="12">
        <f t="shared" si="84"/>
        <v>20463000</v>
      </c>
      <c r="AJ333" s="13">
        <f t="shared" ca="1" si="85"/>
        <v>26925000</v>
      </c>
    </row>
    <row r="334" spans="1:36" x14ac:dyDescent="0.25">
      <c r="A334" s="63"/>
      <c r="B334" s="8">
        <v>511634</v>
      </c>
      <c r="C334" s="8" t="s">
        <v>1392</v>
      </c>
      <c r="D334" s="12">
        <v>1288600</v>
      </c>
      <c r="E334" s="8" t="s">
        <v>44</v>
      </c>
      <c r="F334" s="8" t="s">
        <v>44</v>
      </c>
      <c r="G334" s="8"/>
      <c r="H334" s="12"/>
      <c r="I334" s="13"/>
      <c r="J334" s="63"/>
      <c r="K334" s="8">
        <v>500010</v>
      </c>
      <c r="L334" s="8" t="s">
        <v>1393</v>
      </c>
      <c r="M334" s="12">
        <v>1809190231</v>
      </c>
      <c r="N334" s="10" t="s">
        <v>44</v>
      </c>
      <c r="O334" s="10" t="s">
        <v>44</v>
      </c>
      <c r="P334" s="8"/>
      <c r="Q334" s="12"/>
      <c r="R334" s="13"/>
      <c r="S334" s="63"/>
      <c r="T334" s="8">
        <v>530357</v>
      </c>
      <c r="U334" s="8" t="s">
        <v>1394</v>
      </c>
      <c r="V334" s="12">
        <v>101792530</v>
      </c>
      <c r="W334" s="8">
        <v>10</v>
      </c>
      <c r="X334" s="11">
        <v>10</v>
      </c>
      <c r="Y334" s="8">
        <f t="shared" si="104"/>
        <v>0</v>
      </c>
      <c r="Z334" s="12">
        <f t="shared" si="94"/>
        <v>1017925300</v>
      </c>
      <c r="AA334" s="13">
        <f t="shared" si="95"/>
        <v>1017925300</v>
      </c>
      <c r="AB334" s="63"/>
      <c r="AC334" s="8">
        <v>503229</v>
      </c>
      <c r="AD334" s="8" t="s">
        <v>1395</v>
      </c>
      <c r="AE334" s="12">
        <v>2888568</v>
      </c>
      <c r="AF334" s="8">
        <v>159.1</v>
      </c>
      <c r="AG334" s="8">
        <f ca="1">IFERROR(__xludf.DUMMYFUNCTION("GOOGLEFINANCE(""BOM:"" &amp; AC334,""price"")"),125.2)</f>
        <v>125.2</v>
      </c>
      <c r="AH334" s="8">
        <f t="shared" ca="1" si="83"/>
        <v>-21.307353865493393</v>
      </c>
      <c r="AI334" s="12">
        <f t="shared" si="84"/>
        <v>459571168.80000001</v>
      </c>
      <c r="AJ334" s="13">
        <f t="shared" ca="1" si="85"/>
        <v>361648713.60000002</v>
      </c>
    </row>
    <row r="335" spans="1:36" x14ac:dyDescent="0.25">
      <c r="A335" s="63"/>
      <c r="B335" s="8">
        <v>526727</v>
      </c>
      <c r="C335" s="8" t="s">
        <v>1396</v>
      </c>
      <c r="D335" s="12">
        <v>13562195</v>
      </c>
      <c r="E335" s="8">
        <v>24.5</v>
      </c>
      <c r="F335" s="8">
        <f ca="1">IFERROR(__xludf.DUMMYFUNCTION("GOOGLEFINANCE(""BOM:"" &amp; B335,""price"")"),22.29)</f>
        <v>22.29</v>
      </c>
      <c r="G335" s="8">
        <f t="shared" ref="G335:G345" ca="1" si="105">((F335-E335)/E335)*100</f>
        <v>-9.0204081632653104</v>
      </c>
      <c r="H335" s="12">
        <f t="shared" ref="H335:H345" si="106">D335*E335</f>
        <v>332273777.5</v>
      </c>
      <c r="I335" s="13">
        <f t="shared" ref="I335:I345" ca="1" si="107">D335*F335</f>
        <v>302301326.55000001</v>
      </c>
      <c r="J335" s="63"/>
      <c r="K335" s="8">
        <v>543259</v>
      </c>
      <c r="L335" s="8" t="s">
        <v>1397</v>
      </c>
      <c r="M335" s="12">
        <v>87686355</v>
      </c>
      <c r="N335" s="10">
        <v>903.4</v>
      </c>
      <c r="O335" s="10">
        <f ca="1">IFERROR(__xludf.DUMMYFUNCTION("GOOGLEFINANCE(""BOM:"" &amp; K335,""price"")"),898)</f>
        <v>898</v>
      </c>
      <c r="P335" s="8">
        <f t="shared" ref="P335:P463" ca="1" si="108">((O335-N335)/N335)*100</f>
        <v>-0.59774186406906993</v>
      </c>
      <c r="Q335" s="12">
        <f t="shared" ref="Q335:Q463" si="109">M335*N335</f>
        <v>79215853107</v>
      </c>
      <c r="R335" s="13">
        <f t="shared" ref="R335:R463" ca="1" si="110">M335*O335</f>
        <v>78742346790</v>
      </c>
      <c r="S335" s="63"/>
      <c r="T335" s="8">
        <v>512597</v>
      </c>
      <c r="U335" s="8" t="s">
        <v>1398</v>
      </c>
      <c r="V335" s="12">
        <v>6909231</v>
      </c>
      <c r="W335" s="8">
        <v>169.8</v>
      </c>
      <c r="X335" s="11">
        <f ca="1">IFERROR(__xludf.DUMMYFUNCTION("GOOGLEFINANCE(""BOM:"" &amp; T335,""price"")"),143.6)</f>
        <v>143.6</v>
      </c>
      <c r="Y335" s="8">
        <f t="shared" ca="1" si="104"/>
        <v>-15.429917550058903</v>
      </c>
      <c r="Z335" s="12">
        <f t="shared" si="94"/>
        <v>1173187423.8000002</v>
      </c>
      <c r="AA335" s="13">
        <f t="shared" ca="1" si="95"/>
        <v>992165571.5999999</v>
      </c>
      <c r="AB335" s="63"/>
      <c r="AC335" s="8">
        <v>542146</v>
      </c>
      <c r="AD335" s="8" t="s">
        <v>1399</v>
      </c>
      <c r="AE335" s="12">
        <v>3000000</v>
      </c>
      <c r="AF335" s="8">
        <v>71</v>
      </c>
      <c r="AG335" s="8">
        <f ca="1">IFERROR(__xludf.DUMMYFUNCTION("GOOGLEFINANCE(""BOM:"" &amp; AC335,""price"")"),81)</f>
        <v>81</v>
      </c>
      <c r="AH335" s="8">
        <f t="shared" ca="1" si="83"/>
        <v>14.084507042253522</v>
      </c>
      <c r="AI335" s="12">
        <f t="shared" si="84"/>
        <v>213000000</v>
      </c>
      <c r="AJ335" s="13">
        <f t="shared" ca="1" si="85"/>
        <v>243000000</v>
      </c>
    </row>
    <row r="336" spans="1:36" x14ac:dyDescent="0.25">
      <c r="A336" s="63"/>
      <c r="B336" s="8">
        <v>541546</v>
      </c>
      <c r="C336" s="8" t="s">
        <v>1400</v>
      </c>
      <c r="D336" s="12">
        <v>239649619</v>
      </c>
      <c r="E336" s="8">
        <v>1.38</v>
      </c>
      <c r="F336" s="8">
        <f ca="1">IFERROR(__xludf.DUMMYFUNCTION("GOOGLEFINANCE(""BOM:"" &amp; B336,""price"")"),1.14)</f>
        <v>1.1399999999999999</v>
      </c>
      <c r="G336" s="8">
        <f t="shared" ca="1" si="105"/>
        <v>-17.391304347826086</v>
      </c>
      <c r="H336" s="12">
        <f t="shared" si="106"/>
        <v>330716474.21999997</v>
      </c>
      <c r="I336" s="13">
        <f t="shared" ca="1" si="107"/>
        <v>273200565.65999997</v>
      </c>
      <c r="J336" s="63"/>
      <c r="K336" s="8">
        <v>535789</v>
      </c>
      <c r="L336" s="8" t="s">
        <v>1401</v>
      </c>
      <c r="M336" s="12">
        <v>468569762</v>
      </c>
      <c r="N336" s="10">
        <v>189.6</v>
      </c>
      <c r="O336" s="10">
        <f ca="1">IFERROR(__xludf.DUMMYFUNCTION("GOOGLEFINANCE(""BOM:"" &amp; K336,""price"")"),168.3)</f>
        <v>168.3</v>
      </c>
      <c r="P336" s="8">
        <f t="shared" ca="1" si="108"/>
        <v>-11.234177215189865</v>
      </c>
      <c r="Q336" s="12">
        <f t="shared" si="109"/>
        <v>88840826875.199997</v>
      </c>
      <c r="R336" s="13">
        <f t="shared" ca="1" si="110"/>
        <v>78860290944.600006</v>
      </c>
      <c r="S336" s="63"/>
      <c r="T336" s="8">
        <v>532304</v>
      </c>
      <c r="U336" s="8" t="s">
        <v>1402</v>
      </c>
      <c r="V336" s="12">
        <v>3757844</v>
      </c>
      <c r="W336" s="8">
        <v>58.6</v>
      </c>
      <c r="X336" s="11">
        <f ca="1">IFERROR(__xludf.DUMMYFUNCTION("GOOGLEFINANCE(""BOM:"" &amp; T336,""price"")"),48.91)</f>
        <v>48.91</v>
      </c>
      <c r="Y336" s="8">
        <f t="shared" ca="1" si="104"/>
        <v>-16.535836177474412</v>
      </c>
      <c r="Z336" s="12">
        <f t="shared" si="94"/>
        <v>220209658.40000001</v>
      </c>
      <c r="AA336" s="13">
        <f t="shared" ca="1" si="95"/>
        <v>183796150.03999999</v>
      </c>
      <c r="AB336" s="63"/>
      <c r="AC336" s="8">
        <v>505650</v>
      </c>
      <c r="AD336" s="8" t="s">
        <v>1403</v>
      </c>
      <c r="AE336" s="12">
        <v>38223439</v>
      </c>
      <c r="AF336" s="8">
        <v>17.79</v>
      </c>
      <c r="AG336" s="8">
        <f ca="1">IFERROR(__xludf.DUMMYFUNCTION("GOOGLEFINANCE(""BOM:"" &amp; AC336,""price"")"),12.7)</f>
        <v>12.7</v>
      </c>
      <c r="AH336" s="8">
        <f t="shared" ca="1" si="83"/>
        <v>-28.611579539066895</v>
      </c>
      <c r="AI336" s="12">
        <f t="shared" si="84"/>
        <v>679994979.80999994</v>
      </c>
      <c r="AJ336" s="13">
        <f t="shared" ca="1" si="85"/>
        <v>485437675.29999995</v>
      </c>
    </row>
    <row r="337" spans="1:36" x14ac:dyDescent="0.25">
      <c r="A337" s="63"/>
      <c r="B337" s="8">
        <v>532767</v>
      </c>
      <c r="C337" s="8" t="s">
        <v>1404</v>
      </c>
      <c r="D337" s="12">
        <v>187198530</v>
      </c>
      <c r="E337" s="8">
        <v>9.9</v>
      </c>
      <c r="F337" s="8">
        <f ca="1">IFERROR(__xludf.DUMMYFUNCTION("GOOGLEFINANCE(""BOM:"" &amp; B337,""price"")"),8.23)</f>
        <v>8.23</v>
      </c>
      <c r="G337" s="8">
        <f t="shared" ca="1" si="105"/>
        <v>-16.868686868686865</v>
      </c>
      <c r="H337" s="12">
        <f t="shared" si="106"/>
        <v>1853265447</v>
      </c>
      <c r="I337" s="13">
        <f t="shared" ca="1" si="107"/>
        <v>1540643901.9000001</v>
      </c>
      <c r="J337" s="63"/>
      <c r="K337" s="8">
        <v>523465</v>
      </c>
      <c r="L337" s="8" t="s">
        <v>1405</v>
      </c>
      <c r="M337" s="12">
        <v>9210455</v>
      </c>
      <c r="N337" s="10">
        <v>49</v>
      </c>
      <c r="O337" s="10">
        <f ca="1">IFERROR(__xludf.DUMMYFUNCTION("GOOGLEFINANCE(""BOM:"" &amp; K337,""price"")"),46)</f>
        <v>46</v>
      </c>
      <c r="P337" s="8">
        <f t="shared" ca="1" si="108"/>
        <v>-6.1224489795918364</v>
      </c>
      <c r="Q337" s="12">
        <f t="shared" si="109"/>
        <v>451312295</v>
      </c>
      <c r="R337" s="13">
        <f t="shared" ca="1" si="110"/>
        <v>423680930</v>
      </c>
      <c r="S337" s="63"/>
      <c r="T337" s="8">
        <v>503626</v>
      </c>
      <c r="U337" s="8" t="s">
        <v>1406</v>
      </c>
      <c r="V337" s="12">
        <v>629400</v>
      </c>
      <c r="W337" s="8">
        <v>0</v>
      </c>
      <c r="X337" s="11">
        <f ca="1">IFERROR(__xludf.DUMMYFUNCTION("GOOGLEFINANCE(""BOM:"" &amp; T337,""price"")"),10.5)</f>
        <v>10.5</v>
      </c>
      <c r="Y337" s="8">
        <v>0</v>
      </c>
      <c r="Z337" s="12">
        <f t="shared" si="94"/>
        <v>0</v>
      </c>
      <c r="AA337" s="13">
        <f t="shared" ca="1" si="95"/>
        <v>6608700</v>
      </c>
      <c r="AB337" s="63"/>
      <c r="AC337" s="8">
        <v>532784</v>
      </c>
      <c r="AD337" s="8" t="s">
        <v>1407</v>
      </c>
      <c r="AE337" s="12">
        <v>94845795</v>
      </c>
      <c r="AF337" s="8">
        <v>1593</v>
      </c>
      <c r="AG337" s="8">
        <f ca="1">IFERROR(__xludf.DUMMYFUNCTION("GOOGLEFINANCE(""BOM:"" &amp; AC337,""price"")"),1441)</f>
        <v>1441</v>
      </c>
      <c r="AH337" s="8">
        <f t="shared" ca="1" si="83"/>
        <v>-9.5417451349654741</v>
      </c>
      <c r="AI337" s="12">
        <f t="shared" si="84"/>
        <v>151089351435</v>
      </c>
      <c r="AJ337" s="13">
        <f t="shared" ca="1" si="85"/>
        <v>136672790595</v>
      </c>
    </row>
    <row r="338" spans="1:36" x14ac:dyDescent="0.25">
      <c r="A338" s="63"/>
      <c r="B338" s="8">
        <v>533761</v>
      </c>
      <c r="C338" s="8" t="s">
        <v>1408</v>
      </c>
      <c r="D338" s="12">
        <v>29085994</v>
      </c>
      <c r="E338" s="8">
        <v>196.4</v>
      </c>
      <c r="F338" s="8">
        <f ca="1">IFERROR(__xludf.DUMMYFUNCTION("GOOGLEFINANCE(""BOM:"" &amp; B338,""price"")"),153.2)</f>
        <v>153.19999999999999</v>
      </c>
      <c r="G338" s="8">
        <f t="shared" ca="1" si="105"/>
        <v>-21.995926680244406</v>
      </c>
      <c r="H338" s="12">
        <f t="shared" si="106"/>
        <v>5712489221.6000004</v>
      </c>
      <c r="I338" s="13">
        <f t="shared" ca="1" si="107"/>
        <v>4455974280.7999992</v>
      </c>
      <c r="J338" s="63"/>
      <c r="K338" s="8">
        <v>530979</v>
      </c>
      <c r="L338" s="8" t="s">
        <v>1409</v>
      </c>
      <c r="M338" s="12">
        <v>13959215</v>
      </c>
      <c r="N338" s="10">
        <v>32.909999999999997</v>
      </c>
      <c r="O338" s="10">
        <f ca="1">IFERROR(__xludf.DUMMYFUNCTION("GOOGLEFINANCE(""BOM:"" &amp; K338,""price"")"),31.49)</f>
        <v>31.49</v>
      </c>
      <c r="P338" s="8">
        <f t="shared" ca="1" si="108"/>
        <v>-4.3147979337587312</v>
      </c>
      <c r="Q338" s="12">
        <f t="shared" si="109"/>
        <v>459397765.64999998</v>
      </c>
      <c r="R338" s="13">
        <f t="shared" ca="1" si="110"/>
        <v>439575680.34999996</v>
      </c>
      <c r="S338" s="63"/>
      <c r="T338" s="8">
        <v>531027</v>
      </c>
      <c r="U338" s="8" t="s">
        <v>1410</v>
      </c>
      <c r="V338" s="12">
        <v>4616940</v>
      </c>
      <c r="W338" s="8">
        <v>11.73</v>
      </c>
      <c r="X338" s="11">
        <f ca="1">IFERROR(__xludf.DUMMYFUNCTION("GOOGLEFINANCE(""BOM:"" &amp; T338,""price"")"),12.81)</f>
        <v>12.81</v>
      </c>
      <c r="Y338" s="8">
        <f t="shared" ref="Y338:Y372" ca="1" si="111">((X338-W338)/W338)*100</f>
        <v>9.2071611253196934</v>
      </c>
      <c r="Z338" s="12">
        <f t="shared" si="94"/>
        <v>54156706.200000003</v>
      </c>
      <c r="AA338" s="13">
        <f t="shared" ca="1" si="95"/>
        <v>59143001.400000006</v>
      </c>
      <c r="AB338" s="63"/>
      <c r="AC338" s="8">
        <v>530821</v>
      </c>
      <c r="AD338" s="8" t="s">
        <v>1411</v>
      </c>
      <c r="AE338" s="12">
        <v>12859419</v>
      </c>
      <c r="AF338" s="8">
        <v>18.3</v>
      </c>
      <c r="AG338" s="8">
        <f ca="1">IFERROR(__xludf.DUMMYFUNCTION("GOOGLEFINANCE(""BOM:"" &amp; AC338,""price"")"),14.5)</f>
        <v>14.5</v>
      </c>
      <c r="AH338" s="8">
        <f t="shared" ca="1" si="83"/>
        <v>-20.765027322404375</v>
      </c>
      <c r="AI338" s="12">
        <f t="shared" si="84"/>
        <v>235327367.70000002</v>
      </c>
      <c r="AJ338" s="13">
        <f t="shared" ca="1" si="85"/>
        <v>186461575.5</v>
      </c>
    </row>
    <row r="339" spans="1:36" x14ac:dyDescent="0.25">
      <c r="A339" s="63"/>
      <c r="B339" s="8">
        <v>543317</v>
      </c>
      <c r="C339" s="8" t="s">
        <v>1412</v>
      </c>
      <c r="D339" s="12">
        <v>96689010</v>
      </c>
      <c r="E339" s="8">
        <v>1221.1500000000001</v>
      </c>
      <c r="F339" s="8">
        <f ca="1">IFERROR(__xludf.DUMMYFUNCTION("GOOGLEFINANCE(""BOM:"" &amp; B339,""price"")"),1303.1)</f>
        <v>1303.0999999999999</v>
      </c>
      <c r="G339" s="8">
        <f t="shared" ca="1" si="105"/>
        <v>6.7108872783851137</v>
      </c>
      <c r="H339" s="12">
        <f t="shared" si="106"/>
        <v>118071784561.50002</v>
      </c>
      <c r="I339" s="13">
        <f t="shared" ca="1" si="107"/>
        <v>125995448930.99998</v>
      </c>
      <c r="J339" s="63"/>
      <c r="K339" s="8">
        <v>500253</v>
      </c>
      <c r="L339" s="8" t="s">
        <v>1413</v>
      </c>
      <c r="M339" s="12">
        <v>547561364</v>
      </c>
      <c r="N339" s="10">
        <v>649.29999999999995</v>
      </c>
      <c r="O339" s="10">
        <f ca="1">IFERROR(__xludf.DUMMYFUNCTION("GOOGLEFINANCE(""BOM:"" &amp; K339,""price"")"),611.05)</f>
        <v>611.04999999999995</v>
      </c>
      <c r="P339" s="8">
        <f t="shared" ca="1" si="108"/>
        <v>-5.8909594948405983</v>
      </c>
      <c r="Q339" s="12">
        <f t="shared" si="109"/>
        <v>355531593645.19995</v>
      </c>
      <c r="R339" s="13">
        <f t="shared" ca="1" si="110"/>
        <v>334587371472.19995</v>
      </c>
      <c r="S339" s="63"/>
      <c r="T339" s="8">
        <v>507912</v>
      </c>
      <c r="U339" s="8" t="s">
        <v>1414</v>
      </c>
      <c r="V339" s="12">
        <v>12353791</v>
      </c>
      <c r="W339" s="8">
        <v>222</v>
      </c>
      <c r="X339" s="11">
        <f ca="1">IFERROR(__xludf.DUMMYFUNCTION("GOOGLEFINANCE(""BOM:"" &amp; T339,""price"")"),153.55)</f>
        <v>153.55000000000001</v>
      </c>
      <c r="Y339" s="8">
        <f t="shared" ca="1" si="111"/>
        <v>-30.833333333333329</v>
      </c>
      <c r="Z339" s="12">
        <f t="shared" si="94"/>
        <v>2742541602</v>
      </c>
      <c r="AA339" s="13">
        <f t="shared" ca="1" si="95"/>
        <v>1896924608.0500002</v>
      </c>
      <c r="AB339" s="63"/>
      <c r="AC339" s="8">
        <v>513173</v>
      </c>
      <c r="AD339" s="8" t="s">
        <v>1415</v>
      </c>
      <c r="AE339" s="12">
        <v>7121050</v>
      </c>
      <c r="AF339" s="8">
        <v>35.700000000000003</v>
      </c>
      <c r="AG339" s="8">
        <f ca="1">IFERROR(__xludf.DUMMYFUNCTION("GOOGLEFINANCE(""BOM:"" &amp; AC339,""price"")"),33.84)</f>
        <v>33.840000000000003</v>
      </c>
      <c r="AH339" s="8">
        <f t="shared" ca="1" si="83"/>
        <v>-5.2100840336134437</v>
      </c>
      <c r="AI339" s="12">
        <f t="shared" si="84"/>
        <v>254221485.00000003</v>
      </c>
      <c r="AJ339" s="13">
        <f t="shared" ca="1" si="85"/>
        <v>240976332.00000003</v>
      </c>
    </row>
    <row r="340" spans="1:36" x14ac:dyDescent="0.25">
      <c r="A340" s="63"/>
      <c r="B340" s="8">
        <v>533177</v>
      </c>
      <c r="C340" s="8" t="s">
        <v>1416</v>
      </c>
      <c r="D340" s="12">
        <v>328954590</v>
      </c>
      <c r="E340" s="8">
        <v>5.35</v>
      </c>
      <c r="F340" s="8">
        <f ca="1">IFERROR(__xludf.DUMMYFUNCTION("GOOGLEFINANCE(""BOM:"" &amp; B340,""price"")"),4.1)</f>
        <v>4.0999999999999996</v>
      </c>
      <c r="G340" s="8">
        <f t="shared" ca="1" si="105"/>
        <v>-23.364485981308412</v>
      </c>
      <c r="H340" s="12">
        <f t="shared" si="106"/>
        <v>1759907056.5</v>
      </c>
      <c r="I340" s="13">
        <f t="shared" ca="1" si="107"/>
        <v>1348713819</v>
      </c>
      <c r="J340" s="63"/>
      <c r="K340" s="8">
        <v>530537</v>
      </c>
      <c r="L340" s="8" t="s">
        <v>1417</v>
      </c>
      <c r="M340" s="12">
        <v>1514100</v>
      </c>
      <c r="N340" s="10">
        <v>39.5</v>
      </c>
      <c r="O340" s="10">
        <f ca="1">IFERROR(__xludf.DUMMYFUNCTION("GOOGLEFINANCE(""BOM:"" &amp; K340,""price"")"),38.71)</f>
        <v>38.71</v>
      </c>
      <c r="P340" s="8">
        <f t="shared" ca="1" si="108"/>
        <v>-1.999999999999998</v>
      </c>
      <c r="Q340" s="12">
        <f t="shared" si="109"/>
        <v>59806950</v>
      </c>
      <c r="R340" s="13">
        <f t="shared" ca="1" si="110"/>
        <v>58610811</v>
      </c>
      <c r="S340" s="63"/>
      <c r="T340" s="8">
        <v>523384</v>
      </c>
      <c r="U340" s="8" t="s">
        <v>1418</v>
      </c>
      <c r="V340" s="12">
        <v>11911148</v>
      </c>
      <c r="W340" s="8">
        <v>136</v>
      </c>
      <c r="X340" s="11">
        <f ca="1">IFERROR(__xludf.DUMMYFUNCTION("GOOGLEFINANCE(""BOM:"" &amp; T340,""price"")"),132)</f>
        <v>132</v>
      </c>
      <c r="Y340" s="8">
        <f t="shared" ca="1" si="111"/>
        <v>-2.9411764705882351</v>
      </c>
      <c r="Z340" s="12">
        <f t="shared" si="94"/>
        <v>1619916128</v>
      </c>
      <c r="AA340" s="13">
        <f t="shared" ca="1" si="95"/>
        <v>1572271536</v>
      </c>
      <c r="AB340" s="63"/>
      <c r="AC340" s="8">
        <v>512179</v>
      </c>
      <c r="AD340" s="8" t="s">
        <v>1419</v>
      </c>
      <c r="AE340" s="12">
        <v>146449985</v>
      </c>
      <c r="AF340" s="8">
        <v>466.5</v>
      </c>
      <c r="AG340" s="8">
        <f ca="1">IFERROR(__xludf.DUMMYFUNCTION("GOOGLEFINANCE(""BOM:"" &amp; AC340,""price"")"),390.6)</f>
        <v>390.6</v>
      </c>
      <c r="AH340" s="8">
        <f t="shared" ca="1" si="83"/>
        <v>-16.270096463022504</v>
      </c>
      <c r="AI340" s="12">
        <f t="shared" si="84"/>
        <v>68318918002.5</v>
      </c>
      <c r="AJ340" s="13">
        <f t="shared" ca="1" si="85"/>
        <v>57203364141</v>
      </c>
    </row>
    <row r="341" spans="1:36" x14ac:dyDescent="0.25">
      <c r="A341" s="63"/>
      <c r="B341" s="8">
        <v>541300</v>
      </c>
      <c r="C341" s="8" t="s">
        <v>1420</v>
      </c>
      <c r="D341" s="12">
        <v>620411177</v>
      </c>
      <c r="E341" s="8">
        <v>135.1</v>
      </c>
      <c r="F341" s="8">
        <f ca="1">IFERROR(__xludf.DUMMYFUNCTION("GOOGLEFINANCE(""BOM:"" &amp; B341,""price"")"),135.1)</f>
        <v>135.1</v>
      </c>
      <c r="G341" s="8">
        <f t="shared" ca="1" si="105"/>
        <v>0</v>
      </c>
      <c r="H341" s="12">
        <f t="shared" si="106"/>
        <v>83817550012.699997</v>
      </c>
      <c r="I341" s="13">
        <f t="shared" ca="1" si="107"/>
        <v>83817550012.699997</v>
      </c>
      <c r="J341" s="63"/>
      <c r="K341" s="8">
        <v>511740</v>
      </c>
      <c r="L341" s="8" t="s">
        <v>1421</v>
      </c>
      <c r="M341" s="12">
        <v>2502400</v>
      </c>
      <c r="N341" s="10">
        <v>118</v>
      </c>
      <c r="O341" s="10">
        <f ca="1">IFERROR(__xludf.DUMMYFUNCTION("GOOGLEFINANCE(""BOM:"" &amp; K341,""price"")"),103.35)</f>
        <v>103.35</v>
      </c>
      <c r="P341" s="8">
        <f t="shared" ca="1" si="108"/>
        <v>-12.41525423728814</v>
      </c>
      <c r="Q341" s="12">
        <f t="shared" si="109"/>
        <v>295283200</v>
      </c>
      <c r="R341" s="13">
        <f t="shared" ca="1" si="110"/>
        <v>258623040</v>
      </c>
      <c r="S341" s="63"/>
      <c r="T341" s="8">
        <v>511738</v>
      </c>
      <c r="U341" s="8" t="s">
        <v>1422</v>
      </c>
      <c r="V341" s="12">
        <v>2460024</v>
      </c>
      <c r="W341" s="8">
        <v>30.43</v>
      </c>
      <c r="X341" s="11">
        <f ca="1">IFERROR(__xludf.DUMMYFUNCTION("GOOGLEFINANCE(""BOM:"" &amp; T341,""price"")"),30)</f>
        <v>30</v>
      </c>
      <c r="Y341" s="8">
        <f t="shared" ca="1" si="111"/>
        <v>-1.4130791981597099</v>
      </c>
      <c r="Z341" s="12">
        <f t="shared" si="94"/>
        <v>74858530.319999993</v>
      </c>
      <c r="AA341" s="13">
        <f t="shared" ca="1" si="95"/>
        <v>73800720</v>
      </c>
      <c r="AB341" s="63"/>
      <c r="AC341" s="8">
        <v>530677</v>
      </c>
      <c r="AD341" s="8" t="s">
        <v>1423</v>
      </c>
      <c r="AE341" s="12">
        <v>35327553</v>
      </c>
      <c r="AF341" s="8">
        <v>56.1</v>
      </c>
      <c r="AG341" s="8">
        <f ca="1">IFERROR(__xludf.DUMMYFUNCTION("GOOGLEFINANCE(""BOM:"" &amp; AC341,""price"")"),43.12)</f>
        <v>43.12</v>
      </c>
      <c r="AH341" s="8">
        <f t="shared" ca="1" si="83"/>
        <v>-23.137254901960791</v>
      </c>
      <c r="AI341" s="12">
        <f t="shared" si="84"/>
        <v>1981875723.3</v>
      </c>
      <c r="AJ341" s="13">
        <f t="shared" ca="1" si="85"/>
        <v>1523324085.3599999</v>
      </c>
    </row>
    <row r="342" spans="1:36" x14ac:dyDescent="0.25">
      <c r="A342" s="63"/>
      <c r="B342" s="8">
        <v>532947</v>
      </c>
      <c r="C342" s="8" t="s">
        <v>1424</v>
      </c>
      <c r="D342" s="12">
        <v>6038999020</v>
      </c>
      <c r="E342" s="8">
        <v>62.9</v>
      </c>
      <c r="F342" s="8">
        <v>62.9</v>
      </c>
      <c r="G342" s="8">
        <f t="shared" si="105"/>
        <v>0</v>
      </c>
      <c r="H342" s="12">
        <f t="shared" si="106"/>
        <v>379853038358</v>
      </c>
      <c r="I342" s="13">
        <f t="shared" si="107"/>
        <v>379853038358</v>
      </c>
      <c r="J342" s="63"/>
      <c r="K342" s="8">
        <v>540173</v>
      </c>
      <c r="L342" s="8" t="s">
        <v>1425</v>
      </c>
      <c r="M342" s="12">
        <v>168598548</v>
      </c>
      <c r="N342" s="10">
        <v>726.35</v>
      </c>
      <c r="O342" s="10">
        <f ca="1">IFERROR(__xludf.DUMMYFUNCTION("GOOGLEFINANCE(""BOM:"" &amp; K342,""price"")"),629.3)</f>
        <v>629.29999999999995</v>
      </c>
      <c r="P342" s="8">
        <f t="shared" ca="1" si="108"/>
        <v>-13.361327183864539</v>
      </c>
      <c r="Q342" s="12">
        <f t="shared" si="109"/>
        <v>122461555339.8</v>
      </c>
      <c r="R342" s="13">
        <f t="shared" ca="1" si="110"/>
        <v>106099066256.39999</v>
      </c>
      <c r="S342" s="63"/>
      <c r="T342" s="8">
        <v>526251</v>
      </c>
      <c r="U342" s="8" t="s">
        <v>1426</v>
      </c>
      <c r="V342" s="12">
        <v>4164282</v>
      </c>
      <c r="W342" s="8">
        <v>10.93</v>
      </c>
      <c r="X342" s="11">
        <f ca="1">IFERROR(__xludf.DUMMYFUNCTION("GOOGLEFINANCE(""BOM:"" &amp; T342,""price"")"),9.15)</f>
        <v>9.15</v>
      </c>
      <c r="Y342" s="8">
        <f t="shared" ca="1" si="111"/>
        <v>-16.285452881976205</v>
      </c>
      <c r="Z342" s="12">
        <f t="shared" si="94"/>
        <v>45515602.259999998</v>
      </c>
      <c r="AA342" s="13">
        <f t="shared" ca="1" si="95"/>
        <v>38103180.300000004</v>
      </c>
      <c r="AB342" s="63"/>
      <c r="AC342" s="8">
        <v>535621</v>
      </c>
      <c r="AD342" s="8" t="s">
        <v>1427</v>
      </c>
      <c r="AE342" s="12">
        <v>16904079</v>
      </c>
      <c r="AF342" s="8">
        <v>115.95</v>
      </c>
      <c r="AG342" s="8">
        <f ca="1">IFERROR(__xludf.DUMMYFUNCTION("GOOGLEFINANCE(""BOM:"" &amp; AC342,""price"")"),105.75)</f>
        <v>105.75</v>
      </c>
      <c r="AH342" s="8">
        <f t="shared" ca="1" si="83"/>
        <v>-8.7968952134540768</v>
      </c>
      <c r="AI342" s="12">
        <f t="shared" si="84"/>
        <v>1960027960.05</v>
      </c>
      <c r="AJ342" s="13">
        <f t="shared" ca="1" si="85"/>
        <v>1787606354.25</v>
      </c>
    </row>
    <row r="343" spans="1:36" x14ac:dyDescent="0.25">
      <c r="A343" s="63"/>
      <c r="B343" s="8">
        <v>540526</v>
      </c>
      <c r="C343" s="8" t="s">
        <v>1428</v>
      </c>
      <c r="D343" s="12">
        <v>580500000</v>
      </c>
      <c r="E343" s="8">
        <v>68.650000000000006</v>
      </c>
      <c r="F343" s="8">
        <f ca="1">IFERROR(__xludf.DUMMYFUNCTION("GOOGLEFINANCE(""BOM:"" &amp; B343,""price"")"),66.91)</f>
        <v>66.91</v>
      </c>
      <c r="G343" s="8">
        <f t="shared" ca="1" si="105"/>
        <v>-2.5345957756737203</v>
      </c>
      <c r="H343" s="12">
        <f t="shared" si="106"/>
        <v>39851325000</v>
      </c>
      <c r="I343" s="13">
        <f t="shared" ca="1" si="107"/>
        <v>38841255000</v>
      </c>
      <c r="J343" s="63"/>
      <c r="K343" s="8">
        <v>540709</v>
      </c>
      <c r="L343" s="8" t="s">
        <v>1429</v>
      </c>
      <c r="M343" s="12">
        <v>481088594</v>
      </c>
      <c r="N343" s="10">
        <v>3.07</v>
      </c>
      <c r="O343" s="10">
        <f ca="1">IFERROR(__xludf.DUMMYFUNCTION("GOOGLEFINANCE(""BOM:"" &amp; K343,""price"")"),2.91)</f>
        <v>2.91</v>
      </c>
      <c r="P343" s="8">
        <f t="shared" ca="1" si="108"/>
        <v>-5.2117263843648116</v>
      </c>
      <c r="Q343" s="12">
        <f t="shared" si="109"/>
        <v>1476941983.5799999</v>
      </c>
      <c r="R343" s="13">
        <f t="shared" ca="1" si="110"/>
        <v>1399967808.54</v>
      </c>
      <c r="S343" s="63"/>
      <c r="T343" s="8">
        <v>539938</v>
      </c>
      <c r="U343" s="8" t="s">
        <v>1430</v>
      </c>
      <c r="V343" s="12">
        <v>3155928</v>
      </c>
      <c r="W343" s="8">
        <v>62.8</v>
      </c>
      <c r="X343" s="11">
        <v>62.8</v>
      </c>
      <c r="Y343" s="8">
        <f t="shared" si="111"/>
        <v>0</v>
      </c>
      <c r="Z343" s="12">
        <f t="shared" si="94"/>
        <v>198192278.39999998</v>
      </c>
      <c r="AA343" s="13">
        <f t="shared" si="95"/>
        <v>198192278.39999998</v>
      </c>
      <c r="AB343" s="63"/>
      <c r="AC343" s="8">
        <v>543249</v>
      </c>
      <c r="AD343" s="8" t="s">
        <v>1431</v>
      </c>
      <c r="AE343" s="12">
        <v>293883648</v>
      </c>
      <c r="AF343" s="8">
        <v>160.25</v>
      </c>
      <c r="AG343" s="8">
        <f ca="1">IFERROR(__xludf.DUMMYFUNCTION("GOOGLEFINANCE(""BOM:"" &amp; AC343,""price"")"),140)</f>
        <v>140</v>
      </c>
      <c r="AH343" s="8">
        <f t="shared" ca="1" si="83"/>
        <v>-12.636505460218409</v>
      </c>
      <c r="AI343" s="12">
        <f t="shared" si="84"/>
        <v>47094854592</v>
      </c>
      <c r="AJ343" s="13">
        <f t="shared" ca="1" si="85"/>
        <v>41143710720</v>
      </c>
    </row>
    <row r="344" spans="1:36" x14ac:dyDescent="0.25">
      <c r="A344" s="63"/>
      <c r="B344" s="8">
        <v>509496</v>
      </c>
      <c r="C344" s="8" t="s">
        <v>1432</v>
      </c>
      <c r="D344" s="12">
        <v>171182224</v>
      </c>
      <c r="E344" s="8">
        <v>329.1</v>
      </c>
      <c r="F344" s="8">
        <f ca="1">IFERROR(__xludf.DUMMYFUNCTION("GOOGLEFINANCE(""BOM:"" &amp; B344,""price"")"),334.2)</f>
        <v>334.2</v>
      </c>
      <c r="G344" s="8">
        <f t="shared" ca="1" si="105"/>
        <v>1.5496809480400988</v>
      </c>
      <c r="H344" s="12">
        <f t="shared" si="106"/>
        <v>56336069918.400002</v>
      </c>
      <c r="I344" s="13">
        <f t="shared" ca="1" si="107"/>
        <v>57209099260.799995</v>
      </c>
      <c r="J344" s="63"/>
      <c r="K344" s="8">
        <v>535322</v>
      </c>
      <c r="L344" s="8" t="s">
        <v>1433</v>
      </c>
      <c r="M344" s="12">
        <v>62561290</v>
      </c>
      <c r="N344" s="10">
        <v>433.4</v>
      </c>
      <c r="O344" s="10">
        <f ca="1">IFERROR(__xludf.DUMMYFUNCTION("GOOGLEFINANCE(""BOM:"" &amp; K344,""price"")"),398.9)</f>
        <v>398.9</v>
      </c>
      <c r="P344" s="8">
        <f t="shared" ca="1" si="108"/>
        <v>-7.9603137978772498</v>
      </c>
      <c r="Q344" s="12">
        <f t="shared" si="109"/>
        <v>27114063086</v>
      </c>
      <c r="R344" s="13">
        <f t="shared" ca="1" si="110"/>
        <v>24955698581</v>
      </c>
      <c r="S344" s="63"/>
      <c r="T344" s="8">
        <v>526891</v>
      </c>
      <c r="U344" s="8" t="s">
        <v>1434</v>
      </c>
      <c r="V344" s="12">
        <v>4557039</v>
      </c>
      <c r="W344" s="8">
        <v>10.99</v>
      </c>
      <c r="X344" s="11">
        <f ca="1">IFERROR(__xludf.DUMMYFUNCTION("GOOGLEFINANCE(""BOM:"" &amp; T344,""price"")"),9.9)</f>
        <v>9.9</v>
      </c>
      <c r="Y344" s="8">
        <f t="shared" ca="1" si="111"/>
        <v>-9.9181073703366671</v>
      </c>
      <c r="Z344" s="12">
        <f t="shared" si="94"/>
        <v>50081858.609999999</v>
      </c>
      <c r="AA344" s="13">
        <f t="shared" ca="1" si="95"/>
        <v>45114686.100000001</v>
      </c>
      <c r="AB344" s="63"/>
      <c r="AC344" s="8">
        <v>521228</v>
      </c>
      <c r="AD344" s="8" t="s">
        <v>1435</v>
      </c>
      <c r="AE344" s="12">
        <v>127225210</v>
      </c>
      <c r="AF344" s="8">
        <v>5.8</v>
      </c>
      <c r="AG344" s="8">
        <v>5.8</v>
      </c>
      <c r="AH344" s="8">
        <f t="shared" si="83"/>
        <v>0</v>
      </c>
      <c r="AI344" s="12">
        <f t="shared" si="84"/>
        <v>737906218</v>
      </c>
      <c r="AJ344" s="13">
        <f t="shared" si="85"/>
        <v>737906218</v>
      </c>
    </row>
    <row r="345" spans="1:36" x14ac:dyDescent="0.25">
      <c r="A345" s="63"/>
      <c r="B345" s="8">
        <v>532940</v>
      </c>
      <c r="C345" s="8" t="s">
        <v>1436</v>
      </c>
      <c r="D345" s="12">
        <v>75665498</v>
      </c>
      <c r="E345" s="8">
        <v>648.45000000000005</v>
      </c>
      <c r="F345" s="8">
        <f ca="1">IFERROR(__xludf.DUMMYFUNCTION("GOOGLEFINANCE(""BOM:"" &amp; B345,""price"")"),631.2)</f>
        <v>631.20000000000005</v>
      </c>
      <c r="G345" s="8">
        <f t="shared" ca="1" si="105"/>
        <v>-2.6601896830904463</v>
      </c>
      <c r="H345" s="12">
        <f t="shared" si="106"/>
        <v>49065292178.100006</v>
      </c>
      <c r="I345" s="13">
        <f t="shared" ca="1" si="107"/>
        <v>47760062337.600006</v>
      </c>
      <c r="J345" s="63"/>
      <c r="K345" s="8">
        <v>511533</v>
      </c>
      <c r="L345" s="8" t="s">
        <v>1437</v>
      </c>
      <c r="M345" s="12">
        <v>6792664</v>
      </c>
      <c r="N345" s="10">
        <v>49.98</v>
      </c>
      <c r="O345" s="10">
        <f ca="1">IFERROR(__xludf.DUMMYFUNCTION("GOOGLEFINANCE(""BOM:"" &amp; K345,""price"")"),37.3)</f>
        <v>37.299999999999997</v>
      </c>
      <c r="P345" s="8">
        <f t="shared" ca="1" si="108"/>
        <v>-25.370148059223691</v>
      </c>
      <c r="Q345" s="12">
        <f t="shared" si="109"/>
        <v>339497346.71999997</v>
      </c>
      <c r="R345" s="13">
        <f t="shared" ca="1" si="110"/>
        <v>253366367.19999999</v>
      </c>
      <c r="S345" s="63"/>
      <c r="T345" s="8">
        <v>509760</v>
      </c>
      <c r="U345" s="8" t="s">
        <v>1438</v>
      </c>
      <c r="V345" s="12">
        <v>2873067</v>
      </c>
      <c r="W345" s="8">
        <v>38.67</v>
      </c>
      <c r="X345" s="11">
        <f ca="1">IFERROR(__xludf.DUMMYFUNCTION("GOOGLEFINANCE(""BOM:"" &amp; T345,""price"")"),30.66)</f>
        <v>30.66</v>
      </c>
      <c r="Y345" s="8">
        <f t="shared" ca="1" si="111"/>
        <v>-20.713731574864237</v>
      </c>
      <c r="Z345" s="12">
        <f t="shared" si="94"/>
        <v>111101500.89</v>
      </c>
      <c r="AA345" s="13">
        <f t="shared" ca="1" si="95"/>
        <v>88088234.219999999</v>
      </c>
      <c r="AB345" s="63"/>
      <c r="AC345" s="8">
        <v>533393</v>
      </c>
      <c r="AD345" s="8" t="s">
        <v>1439</v>
      </c>
      <c r="AE345" s="12">
        <v>3693254</v>
      </c>
      <c r="AF345" s="8" t="s">
        <v>60</v>
      </c>
      <c r="AG345" s="8" t="s">
        <v>60</v>
      </c>
      <c r="AH345" s="8"/>
      <c r="AI345" s="12"/>
      <c r="AJ345" s="13"/>
    </row>
    <row r="346" spans="1:36" ht="15.75" customHeight="1" x14ac:dyDescent="0.3">
      <c r="A346" s="63"/>
      <c r="B346" s="8">
        <v>522263</v>
      </c>
      <c r="C346" s="8" t="s">
        <v>1440</v>
      </c>
      <c r="D346" s="12">
        <v>167693304</v>
      </c>
      <c r="E346" s="22" t="s">
        <v>60</v>
      </c>
      <c r="F346" s="22" t="s">
        <v>60</v>
      </c>
      <c r="G346" s="22"/>
      <c r="H346" s="24"/>
      <c r="I346" s="25"/>
      <c r="J346" s="63"/>
      <c r="K346" s="8">
        <v>534680</v>
      </c>
      <c r="L346" s="8" t="s">
        <v>1441</v>
      </c>
      <c r="M346" s="12">
        <v>13000000</v>
      </c>
      <c r="N346" s="10">
        <v>262.75</v>
      </c>
      <c r="O346" s="10">
        <f ca="1">IFERROR(__xludf.DUMMYFUNCTION("GOOGLEFINANCE(""BOM:"" &amp; K346,""price"")"),264.6)</f>
        <v>264.60000000000002</v>
      </c>
      <c r="P346" s="8">
        <f t="shared" ca="1" si="108"/>
        <v>0.70409134157945685</v>
      </c>
      <c r="Q346" s="12">
        <f t="shared" si="109"/>
        <v>3415750000</v>
      </c>
      <c r="R346" s="13">
        <f t="shared" ca="1" si="110"/>
        <v>3439800000.0000005</v>
      </c>
      <c r="S346" s="63"/>
      <c r="T346" s="8">
        <v>539199</v>
      </c>
      <c r="U346" s="8" t="s">
        <v>1442</v>
      </c>
      <c r="V346" s="12">
        <v>5000800</v>
      </c>
      <c r="W346" s="8">
        <v>434.55</v>
      </c>
      <c r="X346" s="11">
        <f ca="1">IFERROR(__xludf.DUMMYFUNCTION("GOOGLEFINANCE(""BOM:"" &amp; T346,""price"")"),410.45)</f>
        <v>410.45</v>
      </c>
      <c r="Y346" s="8">
        <f t="shared" ca="1" si="111"/>
        <v>-5.5459670923944362</v>
      </c>
      <c r="Z346" s="12">
        <f t="shared" si="94"/>
        <v>2173097640</v>
      </c>
      <c r="AA346" s="13">
        <f t="shared" ca="1" si="95"/>
        <v>2052578360</v>
      </c>
      <c r="AB346" s="63"/>
      <c r="AC346" s="8">
        <v>526576</v>
      </c>
      <c r="AD346" s="8" t="s">
        <v>1443</v>
      </c>
      <c r="AE346" s="12">
        <v>13519463</v>
      </c>
      <c r="AF346" s="8">
        <v>33.5</v>
      </c>
      <c r="AG346" s="8">
        <f ca="1">IFERROR(__xludf.DUMMYFUNCTION("GOOGLEFINANCE(""BOM:"" &amp; AC346,""price"")"),30.52)</f>
        <v>30.52</v>
      </c>
      <c r="AH346" s="8">
        <f t="shared" ref="AH346:AH350" ca="1" si="112">((AG346-AF346)/AF346)*100</f>
        <v>-8.8955223880597032</v>
      </c>
      <c r="AI346" s="12">
        <f t="shared" ref="AI346:AI383" si="113">AE346*AF346</f>
        <v>452902010.5</v>
      </c>
      <c r="AJ346" s="13">
        <f t="shared" ref="AJ346:AJ383" ca="1" si="114">AE346*AG346</f>
        <v>412614010.75999999</v>
      </c>
    </row>
    <row r="347" spans="1:36" x14ac:dyDescent="0.25">
      <c r="A347" s="63"/>
      <c r="B347" s="8">
        <v>532532</v>
      </c>
      <c r="C347" s="8" t="s">
        <v>1444</v>
      </c>
      <c r="D347" s="12">
        <v>2438832062</v>
      </c>
      <c r="E347" s="8">
        <v>18.89</v>
      </c>
      <c r="F347" s="8">
        <f ca="1">IFERROR(__xludf.DUMMYFUNCTION("GOOGLEFINANCE(""BOM:"" &amp; B347,""price"")"),17.94)</f>
        <v>17.940000000000001</v>
      </c>
      <c r="G347" s="8">
        <f ca="1">((F347-E347)/E347)*100</f>
        <v>-5.029115934356799</v>
      </c>
      <c r="H347" s="12">
        <f>D347*E347</f>
        <v>46069537651.18</v>
      </c>
      <c r="I347" s="13">
        <f ca="1">D347*F347</f>
        <v>43752647192.280006</v>
      </c>
      <c r="J347" s="63"/>
      <c r="K347" s="8">
        <v>539017</v>
      </c>
      <c r="L347" s="8" t="s">
        <v>1445</v>
      </c>
      <c r="M347" s="12">
        <v>75650916</v>
      </c>
      <c r="N347" s="10">
        <v>61</v>
      </c>
      <c r="O347" s="10">
        <f ca="1">IFERROR(__xludf.DUMMYFUNCTION("GOOGLEFINANCE(""BOM:"" &amp; K347,""price"")"),47)</f>
        <v>47</v>
      </c>
      <c r="P347" s="8">
        <f t="shared" ca="1" si="108"/>
        <v>-22.950819672131146</v>
      </c>
      <c r="Q347" s="12">
        <f t="shared" si="109"/>
        <v>4614705876</v>
      </c>
      <c r="R347" s="13">
        <f t="shared" ca="1" si="110"/>
        <v>3555593052</v>
      </c>
      <c r="S347" s="63"/>
      <c r="T347" s="8">
        <v>500450</v>
      </c>
      <c r="U347" s="8" t="s">
        <v>1446</v>
      </c>
      <c r="V347" s="12">
        <v>562614</v>
      </c>
      <c r="W347" s="8">
        <v>715.6</v>
      </c>
      <c r="X347" s="11">
        <f ca="1">IFERROR(__xludf.DUMMYFUNCTION("GOOGLEFINANCE(""BOM:"" &amp; T347,""price"")"),855)</f>
        <v>855</v>
      </c>
      <c r="Y347" s="8">
        <f t="shared" ca="1" si="111"/>
        <v>19.480156512017881</v>
      </c>
      <c r="Z347" s="12">
        <f t="shared" si="94"/>
        <v>402606578.40000004</v>
      </c>
      <c r="AA347" s="13">
        <f t="shared" ca="1" si="95"/>
        <v>481034970</v>
      </c>
      <c r="AB347" s="63"/>
      <c r="AC347" s="8">
        <v>505400</v>
      </c>
      <c r="AD347" s="8" t="s">
        <v>1447</v>
      </c>
      <c r="AE347" s="12">
        <v>126748811</v>
      </c>
      <c r="AF347" s="8">
        <v>112.9</v>
      </c>
      <c r="AG347" s="8">
        <f ca="1">IFERROR(__xludf.DUMMYFUNCTION("GOOGLEFINANCE(""BOM:"" &amp; AC347,""price"")"),94.9)</f>
        <v>94.9</v>
      </c>
      <c r="AH347" s="8">
        <f t="shared" ca="1" si="112"/>
        <v>-15.943312666076173</v>
      </c>
      <c r="AI347" s="12">
        <f t="shared" si="113"/>
        <v>14309940761.900002</v>
      </c>
      <c r="AJ347" s="13">
        <f t="shared" ca="1" si="114"/>
        <v>12028462163.900002</v>
      </c>
    </row>
    <row r="348" spans="1:36" x14ac:dyDescent="0.25">
      <c r="A348" s="63"/>
      <c r="B348" s="8">
        <v>533207</v>
      </c>
      <c r="C348" s="8" t="s">
        <v>1448</v>
      </c>
      <c r="D348" s="12">
        <v>1388930046</v>
      </c>
      <c r="E348" s="8" t="s">
        <v>44</v>
      </c>
      <c r="F348" s="8" t="s">
        <v>44</v>
      </c>
      <c r="G348" s="8"/>
      <c r="H348" s="12"/>
      <c r="I348" s="13"/>
      <c r="J348" s="64"/>
      <c r="K348" s="14">
        <v>509650</v>
      </c>
      <c r="L348" s="14" t="s">
        <v>1449</v>
      </c>
      <c r="M348" s="15">
        <v>15392</v>
      </c>
      <c r="N348" s="17">
        <v>38.74</v>
      </c>
      <c r="O348" s="17">
        <f ca="1">IFERROR(__xludf.DUMMYFUNCTION("GOOGLEFINANCE(""BOM:"" &amp; K348,""price"")"),38.74)</f>
        <v>38.74</v>
      </c>
      <c r="P348" s="14">
        <f t="shared" ca="1" si="108"/>
        <v>0</v>
      </c>
      <c r="Q348" s="15">
        <f t="shared" si="109"/>
        <v>596286.08000000007</v>
      </c>
      <c r="R348" s="16">
        <f t="shared" ca="1" si="110"/>
        <v>596286.08000000007</v>
      </c>
      <c r="S348" s="63"/>
      <c r="T348" s="8">
        <v>539819</v>
      </c>
      <c r="U348" s="8" t="s">
        <v>1450</v>
      </c>
      <c r="V348" s="12">
        <v>4611000</v>
      </c>
      <c r="W348" s="8">
        <v>4.0999999999999996</v>
      </c>
      <c r="X348" s="11">
        <f ca="1">IFERROR(__xludf.DUMMYFUNCTION("GOOGLEFINANCE(""BOM:"" &amp; T348,""price"")"),4.1)</f>
        <v>4.0999999999999996</v>
      </c>
      <c r="Y348" s="8">
        <f t="shared" ca="1" si="111"/>
        <v>0</v>
      </c>
      <c r="Z348" s="12">
        <f t="shared" si="94"/>
        <v>18905100</v>
      </c>
      <c r="AA348" s="13">
        <f t="shared" ca="1" si="95"/>
        <v>18905100</v>
      </c>
      <c r="AB348" s="63"/>
      <c r="AC348" s="8">
        <v>526654</v>
      </c>
      <c r="AD348" s="8" t="s">
        <v>1451</v>
      </c>
      <c r="AE348" s="12">
        <v>8862800</v>
      </c>
      <c r="AF348" s="8">
        <v>182</v>
      </c>
      <c r="AG348" s="8">
        <f ca="1">IFERROR(__xludf.DUMMYFUNCTION("GOOGLEFINANCE(""BOM:"" &amp; AC348,""price"")"),157.05)</f>
        <v>157.05000000000001</v>
      </c>
      <c r="AH348" s="8">
        <f t="shared" ca="1" si="112"/>
        <v>-13.708791208791201</v>
      </c>
      <c r="AI348" s="12">
        <f t="shared" si="113"/>
        <v>1613029600</v>
      </c>
      <c r="AJ348" s="13">
        <f t="shared" ca="1" si="114"/>
        <v>1391902740</v>
      </c>
    </row>
    <row r="349" spans="1:36" x14ac:dyDescent="0.25">
      <c r="A349" s="63"/>
      <c r="B349" s="8">
        <v>532925</v>
      </c>
      <c r="C349" s="8" t="s">
        <v>1452</v>
      </c>
      <c r="D349" s="12">
        <v>346301</v>
      </c>
      <c r="E349" s="8">
        <v>760</v>
      </c>
      <c r="F349" s="8">
        <f ca="1">IFERROR(__xludf.DUMMYFUNCTION("GOOGLEFINANCE(""BOM:"" &amp; B349,""price"")"),592.5)</f>
        <v>592.5</v>
      </c>
      <c r="G349" s="8">
        <f t="shared" ref="G349:G378" ca="1" si="115">((F349-E349)/E349)*100</f>
        <v>-22.039473684210524</v>
      </c>
      <c r="H349" s="12">
        <f t="shared" ref="H349:H378" si="116">D349*E349</f>
        <v>263188760</v>
      </c>
      <c r="I349" s="13">
        <f t="shared" ref="I349:I378" ca="1" si="117">D349*F349</f>
        <v>205183342.5</v>
      </c>
      <c r="J349" s="62" t="s">
        <v>1453</v>
      </c>
      <c r="K349" s="6">
        <v>517544</v>
      </c>
      <c r="L349" s="6" t="s">
        <v>1454</v>
      </c>
      <c r="M349" s="7">
        <v>12786489</v>
      </c>
      <c r="N349" s="10">
        <v>1841.05</v>
      </c>
      <c r="O349" s="10">
        <f ca="1">IFERROR(__xludf.DUMMYFUNCTION("GOOGLEFINANCE(""BOM:"" &amp; K349,""price"")"),1695.55)</f>
        <v>1695.55</v>
      </c>
      <c r="P349" s="8">
        <f t="shared" ca="1" si="108"/>
        <v>-7.9030987751554811</v>
      </c>
      <c r="Q349" s="7">
        <f t="shared" si="109"/>
        <v>23540565573.450001</v>
      </c>
      <c r="R349" s="9">
        <f t="shared" ca="1" si="110"/>
        <v>21680131423.950001</v>
      </c>
      <c r="S349" s="63"/>
      <c r="T349" s="8">
        <v>531821</v>
      </c>
      <c r="U349" s="8" t="s">
        <v>1455</v>
      </c>
      <c r="V349" s="12">
        <v>4782875</v>
      </c>
      <c r="W349" s="8">
        <v>68.400000000000006</v>
      </c>
      <c r="X349" s="11">
        <f ca="1">IFERROR(__xludf.DUMMYFUNCTION("GOOGLEFINANCE(""BOM:"" &amp; T349,""price"")"),59.75)</f>
        <v>59.75</v>
      </c>
      <c r="Y349" s="8">
        <f t="shared" ca="1" si="111"/>
        <v>-12.646198830409364</v>
      </c>
      <c r="Z349" s="12">
        <f t="shared" si="94"/>
        <v>327148650</v>
      </c>
      <c r="AA349" s="13">
        <f t="shared" ca="1" si="95"/>
        <v>285776781.25</v>
      </c>
      <c r="AB349" s="63"/>
      <c r="AC349" s="8">
        <v>531814</v>
      </c>
      <c r="AD349" s="8" t="s">
        <v>1456</v>
      </c>
      <c r="AE349" s="12">
        <v>32550317</v>
      </c>
      <c r="AF349" s="8">
        <v>15.2</v>
      </c>
      <c r="AG349" s="8">
        <f ca="1">IFERROR(__xludf.DUMMYFUNCTION("GOOGLEFINANCE(""BOM:"" &amp; AC349,""price"")"),12.62)</f>
        <v>12.62</v>
      </c>
      <c r="AH349" s="8">
        <f t="shared" ca="1" si="112"/>
        <v>-16.973684210526315</v>
      </c>
      <c r="AI349" s="12">
        <f t="shared" si="113"/>
        <v>494764818.39999998</v>
      </c>
      <c r="AJ349" s="13">
        <f t="shared" ca="1" si="114"/>
        <v>410785000.53999996</v>
      </c>
    </row>
    <row r="350" spans="1:36" x14ac:dyDescent="0.25">
      <c r="A350" s="63"/>
      <c r="B350" s="8">
        <v>531784</v>
      </c>
      <c r="C350" s="8" t="s">
        <v>1457</v>
      </c>
      <c r="D350" s="12">
        <v>25114370</v>
      </c>
      <c r="E350" s="8">
        <v>1.98</v>
      </c>
      <c r="F350" s="8">
        <f ca="1">IFERROR(__xludf.DUMMYFUNCTION("GOOGLEFINANCE(""BOM:"" &amp; B350,""price"")"),1.77)</f>
        <v>1.77</v>
      </c>
      <c r="G350" s="8">
        <f t="shared" ca="1" si="115"/>
        <v>-10.606060606060606</v>
      </c>
      <c r="H350" s="12">
        <f t="shared" si="116"/>
        <v>49726452.600000001</v>
      </c>
      <c r="I350" s="13">
        <f t="shared" ca="1" si="117"/>
        <v>44452434.899999999</v>
      </c>
      <c r="J350" s="63"/>
      <c r="K350" s="8">
        <v>523100</v>
      </c>
      <c r="L350" s="8" t="s">
        <v>1458</v>
      </c>
      <c r="M350" s="12">
        <v>11731549</v>
      </c>
      <c r="N350" s="10">
        <v>215</v>
      </c>
      <c r="O350" s="10">
        <f ca="1">IFERROR(__xludf.DUMMYFUNCTION("GOOGLEFINANCE(""BOM:"" &amp; K350,""price"")"),184.5)</f>
        <v>184.5</v>
      </c>
      <c r="P350" s="8">
        <f t="shared" ca="1" si="108"/>
        <v>-14.186046511627906</v>
      </c>
      <c r="Q350" s="12">
        <f t="shared" si="109"/>
        <v>2522283035</v>
      </c>
      <c r="R350" s="13">
        <f t="shared" ca="1" si="110"/>
        <v>2164470790.5</v>
      </c>
      <c r="S350" s="63"/>
      <c r="T350" s="8">
        <v>538395</v>
      </c>
      <c r="U350" s="8" t="s">
        <v>1459</v>
      </c>
      <c r="V350" s="12">
        <v>5129550</v>
      </c>
      <c r="W350" s="8">
        <v>97.3</v>
      </c>
      <c r="X350" s="11">
        <f ca="1">IFERROR(__xludf.DUMMYFUNCTION("GOOGLEFINANCE(""BOM:"" &amp; T350,""price"")"),113.4)</f>
        <v>113.4</v>
      </c>
      <c r="Y350" s="8">
        <f t="shared" ca="1" si="111"/>
        <v>16.546762589928065</v>
      </c>
      <c r="Z350" s="12">
        <f t="shared" si="94"/>
        <v>499105215</v>
      </c>
      <c r="AA350" s="13">
        <f t="shared" ca="1" si="95"/>
        <v>581690970</v>
      </c>
      <c r="AB350" s="63"/>
      <c r="AC350" s="8">
        <v>532159</v>
      </c>
      <c r="AD350" s="8" t="s">
        <v>1460</v>
      </c>
      <c r="AE350" s="12">
        <v>69853500</v>
      </c>
      <c r="AF350" s="8">
        <v>17.899999999999999</v>
      </c>
      <c r="AG350" s="8">
        <f ca="1">IFERROR(__xludf.DUMMYFUNCTION("GOOGLEFINANCE(""BOM:"" &amp; AC350,""price"")"),14.64)</f>
        <v>14.64</v>
      </c>
      <c r="AH350" s="8">
        <f t="shared" ca="1" si="112"/>
        <v>-18.212290502793284</v>
      </c>
      <c r="AI350" s="12">
        <f t="shared" si="113"/>
        <v>1250377650</v>
      </c>
      <c r="AJ350" s="13">
        <f t="shared" ca="1" si="114"/>
        <v>1022655240</v>
      </c>
    </row>
    <row r="351" spans="1:36" x14ac:dyDescent="0.25">
      <c r="A351" s="63"/>
      <c r="B351" s="8">
        <v>532942</v>
      </c>
      <c r="C351" s="8" t="s">
        <v>1461</v>
      </c>
      <c r="D351" s="12">
        <v>281231163</v>
      </c>
      <c r="E351" s="8">
        <v>272.39999999999998</v>
      </c>
      <c r="F351" s="8">
        <f ca="1">IFERROR(__xludf.DUMMYFUNCTION("GOOGLEFINANCE(""BOM:"" &amp; B351,""price"")"),246.6)</f>
        <v>246.6</v>
      </c>
      <c r="G351" s="8">
        <f t="shared" ca="1" si="115"/>
        <v>-9.4713656387665139</v>
      </c>
      <c r="H351" s="12">
        <f t="shared" si="116"/>
        <v>76607368801.199997</v>
      </c>
      <c r="I351" s="13">
        <f t="shared" ca="1" si="117"/>
        <v>69351604795.800003</v>
      </c>
      <c r="J351" s="63"/>
      <c r="K351" s="8">
        <v>532329</v>
      </c>
      <c r="L351" s="8" t="s">
        <v>1462</v>
      </c>
      <c r="M351" s="12">
        <v>3691249</v>
      </c>
      <c r="N351" s="10">
        <v>1912.05</v>
      </c>
      <c r="O351" s="10">
        <f ca="1">IFERROR(__xludf.DUMMYFUNCTION("GOOGLEFINANCE(""BOM:"" &amp; K351,""price"")"),1871.75)</f>
        <v>1871.75</v>
      </c>
      <c r="P351" s="8">
        <f t="shared" ca="1" si="108"/>
        <v>-2.1076854684762405</v>
      </c>
      <c r="Q351" s="12">
        <f t="shared" si="109"/>
        <v>7057852650.4499998</v>
      </c>
      <c r="R351" s="13">
        <f t="shared" ca="1" si="110"/>
        <v>6909095315.75</v>
      </c>
      <c r="S351" s="63"/>
      <c r="T351" s="8">
        <v>539521</v>
      </c>
      <c r="U351" s="8" t="s">
        <v>1463</v>
      </c>
      <c r="V351" s="12">
        <v>3152750</v>
      </c>
      <c r="W351" s="8">
        <v>40.369999999999997</v>
      </c>
      <c r="X351" s="11">
        <f ca="1">IFERROR(__xludf.DUMMYFUNCTION("GOOGLEFINANCE(""BOM:"" &amp; T351,""price"")"),42.37)</f>
        <v>42.37</v>
      </c>
      <c r="Y351" s="8">
        <f t="shared" ca="1" si="111"/>
        <v>4.9541738915035927</v>
      </c>
      <c r="Z351" s="12">
        <f t="shared" si="94"/>
        <v>127276517.49999999</v>
      </c>
      <c r="AA351" s="13">
        <f t="shared" ca="1" si="95"/>
        <v>133582017.49999999</v>
      </c>
      <c r="AB351" s="63"/>
      <c r="AC351" s="8">
        <v>511096</v>
      </c>
      <c r="AD351" s="8" t="s">
        <v>1464</v>
      </c>
      <c r="AE351" s="12">
        <v>284630</v>
      </c>
      <c r="AF351" s="8">
        <v>0</v>
      </c>
      <c r="AG351" s="8">
        <f ca="1">IFERROR(__xludf.DUMMYFUNCTION("GOOGLEFINANCE(""BOM:"" &amp; AC351,""price"")"),0)</f>
        <v>0</v>
      </c>
      <c r="AH351" s="8">
        <v>0</v>
      </c>
      <c r="AI351" s="12">
        <f t="shared" si="113"/>
        <v>0</v>
      </c>
      <c r="AJ351" s="13">
        <f t="shared" ca="1" si="114"/>
        <v>0</v>
      </c>
    </row>
    <row r="352" spans="1:36" x14ac:dyDescent="0.25">
      <c r="A352" s="63"/>
      <c r="B352" s="8">
        <v>543240</v>
      </c>
      <c r="C352" s="8" t="s">
        <v>1465</v>
      </c>
      <c r="D352" s="12">
        <v>19725000</v>
      </c>
      <c r="E352" s="8">
        <v>266.45</v>
      </c>
      <c r="F352" s="8">
        <f ca="1">IFERROR(__xludf.DUMMYFUNCTION("GOOGLEFINANCE(""BOM:"" &amp; B352,""price"")"),232.65)</f>
        <v>232.65</v>
      </c>
      <c r="G352" s="8">
        <f t="shared" ca="1" si="115"/>
        <v>-12.685306811784569</v>
      </c>
      <c r="H352" s="12">
        <f t="shared" si="116"/>
        <v>5255726250</v>
      </c>
      <c r="I352" s="13">
        <f t="shared" ca="1" si="117"/>
        <v>4589021250</v>
      </c>
      <c r="J352" s="63"/>
      <c r="K352" s="8">
        <v>517174</v>
      </c>
      <c r="L352" s="8" t="s">
        <v>1466</v>
      </c>
      <c r="M352" s="12">
        <v>8793313</v>
      </c>
      <c r="N352" s="10">
        <v>37960</v>
      </c>
      <c r="O352" s="10">
        <f ca="1">IFERROR(__xludf.DUMMYFUNCTION("GOOGLEFINANCE(""BOM:"" &amp; K352,""price"")"),38900)</f>
        <v>38900</v>
      </c>
      <c r="P352" s="8">
        <f t="shared" ca="1" si="108"/>
        <v>2.476290832455216</v>
      </c>
      <c r="Q352" s="12">
        <f t="shared" si="109"/>
        <v>333794161480</v>
      </c>
      <c r="R352" s="13">
        <f t="shared" ca="1" si="110"/>
        <v>342059875700</v>
      </c>
      <c r="S352" s="63"/>
      <c r="T352" s="8">
        <v>511535</v>
      </c>
      <c r="U352" s="8" t="s">
        <v>1467</v>
      </c>
      <c r="V352" s="12">
        <v>4723340</v>
      </c>
      <c r="W352" s="8">
        <v>87.54</v>
      </c>
      <c r="X352" s="11">
        <f ca="1">IFERROR(__xludf.DUMMYFUNCTION("GOOGLEFINANCE(""BOM:"" &amp; T352,""price"")"),66)</f>
        <v>66</v>
      </c>
      <c r="Y352" s="8">
        <f t="shared" ca="1" si="111"/>
        <v>-24.605894448252233</v>
      </c>
      <c r="Z352" s="12">
        <f t="shared" si="94"/>
        <v>413481183.60000002</v>
      </c>
      <c r="AA352" s="13">
        <f t="shared" ca="1" si="95"/>
        <v>311740440</v>
      </c>
      <c r="AB352" s="63"/>
      <c r="AC352" s="8">
        <v>537582</v>
      </c>
      <c r="AD352" s="8" t="s">
        <v>1468</v>
      </c>
      <c r="AE352" s="12">
        <v>24228500</v>
      </c>
      <c r="AF352" s="8">
        <v>3.5</v>
      </c>
      <c r="AG352" s="8">
        <f ca="1">IFERROR(__xludf.DUMMYFUNCTION("GOOGLEFINANCE(""BOM:"" &amp; AC352,""price"")"),1.89)</f>
        <v>1.89</v>
      </c>
      <c r="AH352" s="8">
        <f t="shared" ref="AH352:AH383" ca="1" si="118">((AG352-AF352)/AF352)*100</f>
        <v>-46</v>
      </c>
      <c r="AI352" s="12">
        <f t="shared" si="113"/>
        <v>84799750</v>
      </c>
      <c r="AJ352" s="13">
        <f t="shared" ca="1" si="114"/>
        <v>45791865</v>
      </c>
    </row>
    <row r="353" spans="1:36" x14ac:dyDescent="0.25">
      <c r="A353" s="63"/>
      <c r="B353" s="8">
        <v>539894</v>
      </c>
      <c r="C353" s="8" t="s">
        <v>1469</v>
      </c>
      <c r="D353" s="12">
        <v>265609560</v>
      </c>
      <c r="E353" s="8">
        <v>10.26</v>
      </c>
      <c r="F353" s="8">
        <f ca="1">IFERROR(__xludf.DUMMYFUNCTION("GOOGLEFINANCE(""BOM:"" &amp; B353,""price"")"),10.62)</f>
        <v>10.62</v>
      </c>
      <c r="G353" s="8">
        <f t="shared" ca="1" si="115"/>
        <v>3.5087719298245554</v>
      </c>
      <c r="H353" s="12">
        <f t="shared" si="116"/>
        <v>2725154085.5999999</v>
      </c>
      <c r="I353" s="13">
        <f t="shared" ca="1" si="117"/>
        <v>2820773527.1999998</v>
      </c>
      <c r="J353" s="63"/>
      <c r="K353" s="8">
        <v>538401</v>
      </c>
      <c r="L353" s="8" t="s">
        <v>1470</v>
      </c>
      <c r="M353" s="12">
        <v>5444913</v>
      </c>
      <c r="N353" s="10">
        <v>122.7</v>
      </c>
      <c r="O353" s="10">
        <f ca="1">IFERROR(__xludf.DUMMYFUNCTION("GOOGLEFINANCE(""BOM:"" &amp; K353,""price"")"),109.2)</f>
        <v>109.2</v>
      </c>
      <c r="P353" s="8">
        <f t="shared" ca="1" si="108"/>
        <v>-11.002444987775061</v>
      </c>
      <c r="Q353" s="12">
        <f t="shared" si="109"/>
        <v>668090825.10000002</v>
      </c>
      <c r="R353" s="13">
        <f t="shared" ca="1" si="110"/>
        <v>594584499.60000002</v>
      </c>
      <c r="S353" s="63"/>
      <c r="T353" s="8">
        <v>538874</v>
      </c>
      <c r="U353" s="8" t="s">
        <v>1471</v>
      </c>
      <c r="V353" s="12">
        <v>5329668</v>
      </c>
      <c r="W353" s="8">
        <v>13.48</v>
      </c>
      <c r="X353" s="11">
        <f ca="1">IFERROR(__xludf.DUMMYFUNCTION("GOOGLEFINANCE(""BOM:"" &amp; T353,""price"")"),13.46)</f>
        <v>13.46</v>
      </c>
      <c r="Y353" s="8">
        <f t="shared" ca="1" si="111"/>
        <v>-0.14836795252225204</v>
      </c>
      <c r="Z353" s="12">
        <f t="shared" si="94"/>
        <v>71843924.640000001</v>
      </c>
      <c r="AA353" s="13">
        <f t="shared" ca="1" si="95"/>
        <v>71737331.280000001</v>
      </c>
      <c r="AB353" s="63"/>
      <c r="AC353" s="8">
        <v>507878</v>
      </c>
      <c r="AD353" s="8" t="s">
        <v>1472</v>
      </c>
      <c r="AE353" s="12">
        <v>2604851402</v>
      </c>
      <c r="AF353" s="8">
        <v>13.06</v>
      </c>
      <c r="AG353" s="8">
        <f ca="1">IFERROR(__xludf.DUMMYFUNCTION("GOOGLEFINANCE(""BOM:"" &amp; AC353,""price"")"),11.21)</f>
        <v>11.21</v>
      </c>
      <c r="AH353" s="8">
        <f t="shared" ca="1" si="118"/>
        <v>-14.165390505359873</v>
      </c>
      <c r="AI353" s="12">
        <f t="shared" si="113"/>
        <v>34019359310.120003</v>
      </c>
      <c r="AJ353" s="13">
        <f t="shared" ca="1" si="114"/>
        <v>29200384216.420002</v>
      </c>
    </row>
    <row r="354" spans="1:36" x14ac:dyDescent="0.25">
      <c r="A354" s="63"/>
      <c r="B354" s="8">
        <v>531497</v>
      </c>
      <c r="C354" s="8" t="s">
        <v>1473</v>
      </c>
      <c r="D354" s="12">
        <v>73540130</v>
      </c>
      <c r="E354" s="8">
        <v>8.8000000000000007</v>
      </c>
      <c r="F354" s="8">
        <f ca="1">IFERROR(__xludf.DUMMYFUNCTION("GOOGLEFINANCE(""BOM:"" &amp; B354,""price"")"),9.21)</f>
        <v>9.2100000000000009</v>
      </c>
      <c r="G354" s="8">
        <f t="shared" ca="1" si="115"/>
        <v>4.6590909090909109</v>
      </c>
      <c r="H354" s="12">
        <f t="shared" si="116"/>
        <v>647153144</v>
      </c>
      <c r="I354" s="13">
        <f t="shared" ca="1" si="117"/>
        <v>677304597.30000007</v>
      </c>
      <c r="J354" s="64"/>
      <c r="K354" s="14">
        <v>532850</v>
      </c>
      <c r="L354" s="14" t="s">
        <v>1474</v>
      </c>
      <c r="M354" s="15">
        <v>220938091</v>
      </c>
      <c r="N354" s="17">
        <v>47.21</v>
      </c>
      <c r="O354" s="17">
        <f ca="1">IFERROR(__xludf.DUMMYFUNCTION("GOOGLEFINANCE(""BOM:"" &amp; K354,""price"")"),39.82)</f>
        <v>39.82</v>
      </c>
      <c r="P354" s="14">
        <f t="shared" ca="1" si="108"/>
        <v>-15.653463249311589</v>
      </c>
      <c r="Q354" s="15">
        <f t="shared" si="109"/>
        <v>10430487276.110001</v>
      </c>
      <c r="R354" s="16">
        <f t="shared" ca="1" si="110"/>
        <v>8797754783.6200008</v>
      </c>
      <c r="S354" s="63"/>
      <c r="T354" s="8">
        <v>530127</v>
      </c>
      <c r="U354" s="8" t="s">
        <v>1475</v>
      </c>
      <c r="V354" s="12">
        <v>5582863</v>
      </c>
      <c r="W354" s="8">
        <v>21.8</v>
      </c>
      <c r="X354" s="11">
        <f ca="1">IFERROR(__xludf.DUMMYFUNCTION("GOOGLEFINANCE(""BOM:"" &amp; T354,""price"")"),20.27)</f>
        <v>20.27</v>
      </c>
      <c r="Y354" s="8">
        <f t="shared" ca="1" si="111"/>
        <v>-7.0183486238532158</v>
      </c>
      <c r="Z354" s="12">
        <f t="shared" si="94"/>
        <v>121706413.40000001</v>
      </c>
      <c r="AA354" s="13">
        <f t="shared" ca="1" si="95"/>
        <v>113164633.00999999</v>
      </c>
      <c r="AB354" s="63"/>
      <c r="AC354" s="8">
        <v>500426</v>
      </c>
      <c r="AD354" s="8" t="s">
        <v>1476</v>
      </c>
      <c r="AE354" s="12">
        <v>31631300</v>
      </c>
      <c r="AF354" s="8">
        <v>2.2000000000000002</v>
      </c>
      <c r="AG354" s="8">
        <f ca="1">IFERROR(__xludf.DUMMYFUNCTION("GOOGLEFINANCE(""BOM:"" &amp; AC354,""price"")"),2.27)</f>
        <v>2.27</v>
      </c>
      <c r="AH354" s="8">
        <f t="shared" ca="1" si="118"/>
        <v>3.1818181818181746</v>
      </c>
      <c r="AI354" s="12">
        <f t="shared" si="113"/>
        <v>69588860</v>
      </c>
      <c r="AJ354" s="13">
        <f t="shared" ca="1" si="114"/>
        <v>71803051</v>
      </c>
    </row>
    <row r="355" spans="1:36" x14ac:dyDescent="0.25">
      <c r="A355" s="63"/>
      <c r="B355" s="8">
        <v>531540</v>
      </c>
      <c r="C355" s="8" t="s">
        <v>1477</v>
      </c>
      <c r="D355" s="12">
        <v>12222385</v>
      </c>
      <c r="E355" s="8">
        <v>167.45</v>
      </c>
      <c r="F355" s="8">
        <f ca="1">IFERROR(__xludf.DUMMYFUNCTION("GOOGLEFINANCE(""BOM:"" &amp; B355,""price"")"),163)</f>
        <v>163</v>
      </c>
      <c r="G355" s="8">
        <f t="shared" ca="1" si="115"/>
        <v>-2.6575097043893634</v>
      </c>
      <c r="H355" s="12">
        <f t="shared" si="116"/>
        <v>2046638368.2499998</v>
      </c>
      <c r="I355" s="13">
        <f t="shared" ca="1" si="117"/>
        <v>1992248755</v>
      </c>
      <c r="J355" s="62" t="s">
        <v>1478</v>
      </c>
      <c r="K355" s="6">
        <v>530431</v>
      </c>
      <c r="L355" s="6" t="s">
        <v>1479</v>
      </c>
      <c r="M355" s="7">
        <v>32948445</v>
      </c>
      <c r="N355" s="10">
        <v>147.6</v>
      </c>
      <c r="O355" s="10">
        <f ca="1">IFERROR(__xludf.DUMMYFUNCTION("GOOGLEFINANCE(""BOM:"" &amp; K355,""price"")"),139.5)</f>
        <v>139.5</v>
      </c>
      <c r="P355" s="8">
        <f t="shared" ca="1" si="108"/>
        <v>-5.4878048780487774</v>
      </c>
      <c r="Q355" s="7">
        <f t="shared" si="109"/>
        <v>4863190482</v>
      </c>
      <c r="R355" s="9">
        <f t="shared" ca="1" si="110"/>
        <v>4596308077.5</v>
      </c>
      <c r="S355" s="63"/>
      <c r="T355" s="8">
        <v>533632</v>
      </c>
      <c r="U355" s="8" t="s">
        <v>1480</v>
      </c>
      <c r="V355" s="12">
        <v>13360000</v>
      </c>
      <c r="W355" s="8">
        <v>19</v>
      </c>
      <c r="X355" s="11">
        <f ca="1">IFERROR(__xludf.DUMMYFUNCTION("GOOGLEFINANCE(""BOM:"" &amp; T355,""price"")"),29.84)</f>
        <v>29.84</v>
      </c>
      <c r="Y355" s="8">
        <f t="shared" ca="1" si="111"/>
        <v>57.052631578947363</v>
      </c>
      <c r="Z355" s="12">
        <f t="shared" si="94"/>
        <v>253840000</v>
      </c>
      <c r="AA355" s="13">
        <f t="shared" ca="1" si="95"/>
        <v>398662400</v>
      </c>
      <c r="AB355" s="63"/>
      <c r="AC355" s="8">
        <v>531574</v>
      </c>
      <c r="AD355" s="8" t="s">
        <v>1481</v>
      </c>
      <c r="AE355" s="12">
        <v>15062740</v>
      </c>
      <c r="AF355" s="8">
        <v>4.1500000000000004</v>
      </c>
      <c r="AG355" s="8">
        <f ca="1">IFERROR(__xludf.DUMMYFUNCTION("GOOGLEFINANCE(""BOM:"" &amp; AC355,""price"")"),3)</f>
        <v>3</v>
      </c>
      <c r="AH355" s="8">
        <f t="shared" ca="1" si="118"/>
        <v>-27.710843373493983</v>
      </c>
      <c r="AI355" s="12">
        <f t="shared" si="113"/>
        <v>62510371.000000007</v>
      </c>
      <c r="AJ355" s="13">
        <f t="shared" ca="1" si="114"/>
        <v>45188220</v>
      </c>
    </row>
    <row r="356" spans="1:36" x14ac:dyDescent="0.25">
      <c r="A356" s="63"/>
      <c r="B356" s="8">
        <v>533152</v>
      </c>
      <c r="C356" s="8" t="s">
        <v>1482</v>
      </c>
      <c r="D356" s="12">
        <v>104754606</v>
      </c>
      <c r="E356" s="8">
        <v>48.5</v>
      </c>
      <c r="F356" s="8">
        <f ca="1">IFERROR(__xludf.DUMMYFUNCTION("GOOGLEFINANCE(""BOM:"" &amp; B356,""price"")"),54.12)</f>
        <v>54.12</v>
      </c>
      <c r="G356" s="8">
        <f t="shared" ca="1" si="115"/>
        <v>11.587628865979376</v>
      </c>
      <c r="H356" s="12">
        <f t="shared" si="116"/>
        <v>5080598391</v>
      </c>
      <c r="I356" s="13">
        <f t="shared" ca="1" si="117"/>
        <v>5669319276.7199993</v>
      </c>
      <c r="J356" s="63"/>
      <c r="K356" s="8">
        <v>541402</v>
      </c>
      <c r="L356" s="8" t="s">
        <v>1483</v>
      </c>
      <c r="M356" s="12">
        <v>10179600</v>
      </c>
      <c r="N356" s="10">
        <v>498.5</v>
      </c>
      <c r="O356" s="10">
        <f ca="1">IFERROR(__xludf.DUMMYFUNCTION("GOOGLEFINANCE(""BOM:"" &amp; K356,""price"")"),434)</f>
        <v>434</v>
      </c>
      <c r="P356" s="8">
        <f t="shared" ca="1" si="108"/>
        <v>-12.938816449348046</v>
      </c>
      <c r="Q356" s="12">
        <f t="shared" si="109"/>
        <v>5074530600</v>
      </c>
      <c r="R356" s="13">
        <f t="shared" ca="1" si="110"/>
        <v>4417946400</v>
      </c>
      <c r="S356" s="63"/>
      <c r="T356" s="8">
        <v>540386</v>
      </c>
      <c r="U356" s="8" t="s">
        <v>1484</v>
      </c>
      <c r="V356" s="12">
        <v>68730000</v>
      </c>
      <c r="W356" s="8">
        <v>0.72</v>
      </c>
      <c r="X356" s="11">
        <v>0.72</v>
      </c>
      <c r="Y356" s="8">
        <f t="shared" si="111"/>
        <v>0</v>
      </c>
      <c r="Z356" s="12">
        <f t="shared" si="94"/>
        <v>49485600</v>
      </c>
      <c r="AA356" s="13">
        <f t="shared" si="95"/>
        <v>49485600</v>
      </c>
      <c r="AB356" s="63"/>
      <c r="AC356" s="8">
        <v>543241</v>
      </c>
      <c r="AD356" s="8" t="s">
        <v>1485</v>
      </c>
      <c r="AE356" s="12">
        <v>16233900</v>
      </c>
      <c r="AF356" s="8">
        <v>151</v>
      </c>
      <c r="AG356" s="8">
        <f ca="1">IFERROR(__xludf.DUMMYFUNCTION("GOOGLEFINANCE(""BOM:"" &amp; AC356,""price"")"),154)</f>
        <v>154</v>
      </c>
      <c r="AH356" s="8">
        <f t="shared" ca="1" si="118"/>
        <v>1.9867549668874174</v>
      </c>
      <c r="AI356" s="12">
        <f t="shared" si="113"/>
        <v>2451318900</v>
      </c>
      <c r="AJ356" s="13">
        <f t="shared" ca="1" si="114"/>
        <v>2500020600</v>
      </c>
    </row>
    <row r="357" spans="1:36" x14ac:dyDescent="0.25">
      <c r="A357" s="63"/>
      <c r="B357" s="8">
        <v>504273</v>
      </c>
      <c r="C357" s="8" t="s">
        <v>1486</v>
      </c>
      <c r="D357" s="12">
        <v>51103957</v>
      </c>
      <c r="E357" s="8">
        <v>12.4</v>
      </c>
      <c r="F357" s="8">
        <f ca="1">IFERROR(__xludf.DUMMYFUNCTION("GOOGLEFINANCE(""BOM:"" &amp; B357,""price"")"),9.72)</f>
        <v>9.7200000000000006</v>
      </c>
      <c r="G357" s="8">
        <f t="shared" ca="1" si="115"/>
        <v>-21.612903225806448</v>
      </c>
      <c r="H357" s="12">
        <f t="shared" si="116"/>
        <v>633689066.80000007</v>
      </c>
      <c r="I357" s="13">
        <f t="shared" ca="1" si="117"/>
        <v>496730462.04000002</v>
      </c>
      <c r="J357" s="63"/>
      <c r="K357" s="8">
        <v>542460</v>
      </c>
      <c r="L357" s="8" t="s">
        <v>1487</v>
      </c>
      <c r="M357" s="12">
        <v>9675891</v>
      </c>
      <c r="N357" s="10">
        <v>2770</v>
      </c>
      <c r="O357" s="10">
        <f ca="1">IFERROR(__xludf.DUMMYFUNCTION("GOOGLEFINANCE(""BOM:"" &amp; K357,""price"")"),3150)</f>
        <v>3150</v>
      </c>
      <c r="P357" s="8">
        <f t="shared" ca="1" si="108"/>
        <v>13.718411552346572</v>
      </c>
      <c r="Q357" s="12">
        <f t="shared" si="109"/>
        <v>26802218070</v>
      </c>
      <c r="R357" s="13">
        <f t="shared" ca="1" si="110"/>
        <v>30479056650</v>
      </c>
      <c r="S357" s="63"/>
      <c r="T357" s="8">
        <v>500302</v>
      </c>
      <c r="U357" s="8" t="s">
        <v>1488</v>
      </c>
      <c r="V357" s="12">
        <v>236386502</v>
      </c>
      <c r="W357" s="8">
        <v>934.95</v>
      </c>
      <c r="X357" s="11">
        <f ca="1">IFERROR(__xludf.DUMMYFUNCTION("GOOGLEFINANCE(""BOM:"" &amp; T357,""price"")"),848.5)</f>
        <v>848.5</v>
      </c>
      <c r="Y357" s="8">
        <f t="shared" ca="1" si="111"/>
        <v>-9.246483769185522</v>
      </c>
      <c r="Z357" s="12">
        <f t="shared" si="94"/>
        <v>221009560044.90002</v>
      </c>
      <c r="AA357" s="13">
        <f t="shared" ca="1" si="95"/>
        <v>200573946947</v>
      </c>
      <c r="AB357" s="63"/>
      <c r="AC357" s="8">
        <v>503349</v>
      </c>
      <c r="AD357" s="8" t="s">
        <v>1489</v>
      </c>
      <c r="AE357" s="12">
        <v>94358</v>
      </c>
      <c r="AF357" s="8">
        <v>4349.6000000000004</v>
      </c>
      <c r="AG357" s="8">
        <f ca="1">IFERROR(__xludf.DUMMYFUNCTION("GOOGLEFINANCE(""BOM:"" &amp; AC357,""price"")"),4100)</f>
        <v>4100</v>
      </c>
      <c r="AH357" s="8">
        <f t="shared" ca="1" si="118"/>
        <v>-5.7384587088467987</v>
      </c>
      <c r="AI357" s="12">
        <f t="shared" si="113"/>
        <v>410419556.80000001</v>
      </c>
      <c r="AJ357" s="13">
        <f t="shared" ca="1" si="114"/>
        <v>386867800</v>
      </c>
    </row>
    <row r="358" spans="1:36" x14ac:dyDescent="0.25">
      <c r="A358" s="63"/>
      <c r="B358" s="8">
        <v>543364</v>
      </c>
      <c r="C358" s="8" t="s">
        <v>1490</v>
      </c>
      <c r="D358" s="12">
        <v>19107520</v>
      </c>
      <c r="E358" s="8">
        <v>143.30000000000001</v>
      </c>
      <c r="F358" s="8">
        <f ca="1">IFERROR(__xludf.DUMMYFUNCTION("GOOGLEFINANCE(""BOM:"" &amp; B358,""price"")"),132.9)</f>
        <v>132.9</v>
      </c>
      <c r="G358" s="8">
        <f t="shared" ca="1" si="115"/>
        <v>-7.2575017445917682</v>
      </c>
      <c r="H358" s="12">
        <f t="shared" si="116"/>
        <v>2738107616</v>
      </c>
      <c r="I358" s="13">
        <f t="shared" ca="1" si="117"/>
        <v>2539389408</v>
      </c>
      <c r="J358" s="63"/>
      <c r="K358" s="8">
        <v>500028</v>
      </c>
      <c r="L358" s="8" t="s">
        <v>1491</v>
      </c>
      <c r="M358" s="12">
        <v>35891240</v>
      </c>
      <c r="N358" s="10">
        <v>20</v>
      </c>
      <c r="O358" s="10">
        <f ca="1">IFERROR(__xludf.DUMMYFUNCTION("GOOGLEFINANCE(""BOM:"" &amp; K358,""price"")"),15.71)</f>
        <v>15.71</v>
      </c>
      <c r="P358" s="8">
        <f t="shared" ca="1" si="108"/>
        <v>-21.449999999999996</v>
      </c>
      <c r="Q358" s="12">
        <f t="shared" si="109"/>
        <v>717824800</v>
      </c>
      <c r="R358" s="13">
        <f t="shared" ca="1" si="110"/>
        <v>563851380.39999998</v>
      </c>
      <c r="S358" s="63"/>
      <c r="T358" s="8">
        <v>507864</v>
      </c>
      <c r="U358" s="8" t="s">
        <v>1492</v>
      </c>
      <c r="V358" s="12">
        <v>11326617</v>
      </c>
      <c r="W358" s="8">
        <v>44.27</v>
      </c>
      <c r="X358" s="11">
        <f ca="1">IFERROR(__xludf.DUMMYFUNCTION("GOOGLEFINANCE(""BOM:"" &amp; T358,""price"")"),46.11)</f>
        <v>46.11</v>
      </c>
      <c r="Y358" s="8">
        <f t="shared" ca="1" si="111"/>
        <v>4.1563135306076262</v>
      </c>
      <c r="Z358" s="12">
        <f t="shared" si="94"/>
        <v>501429334.59000003</v>
      </c>
      <c r="AA358" s="13">
        <f t="shared" ca="1" si="95"/>
        <v>522270309.87</v>
      </c>
      <c r="AB358" s="63"/>
      <c r="AC358" s="8">
        <v>511726</v>
      </c>
      <c r="AD358" s="8" t="s">
        <v>1493</v>
      </c>
      <c r="AE358" s="12">
        <v>119675725</v>
      </c>
      <c r="AF358" s="8">
        <v>30.99</v>
      </c>
      <c r="AG358" s="8">
        <f ca="1">IFERROR(__xludf.DUMMYFUNCTION("GOOGLEFINANCE(""BOM:"" &amp; AC358,""price"")"),26.81)</f>
        <v>26.81</v>
      </c>
      <c r="AH358" s="8">
        <f t="shared" ca="1" si="118"/>
        <v>-13.488222007099063</v>
      </c>
      <c r="AI358" s="12">
        <f t="shared" si="113"/>
        <v>3708750717.75</v>
      </c>
      <c r="AJ358" s="13">
        <f t="shared" ca="1" si="114"/>
        <v>3208506187.25</v>
      </c>
    </row>
    <row r="359" spans="1:36" x14ac:dyDescent="0.25">
      <c r="A359" s="63"/>
      <c r="B359" s="8">
        <v>500294</v>
      </c>
      <c r="C359" s="8" t="s">
        <v>1494</v>
      </c>
      <c r="D359" s="12">
        <v>620001209</v>
      </c>
      <c r="E359" s="8">
        <v>253</v>
      </c>
      <c r="F359" s="8">
        <f ca="1">IFERROR(__xludf.DUMMYFUNCTION("GOOGLEFINANCE(""BOM:"" &amp; B359,""price"")"),232.4)</f>
        <v>232.4</v>
      </c>
      <c r="G359" s="8">
        <f t="shared" ca="1" si="115"/>
        <v>-8.1422924901185745</v>
      </c>
      <c r="H359" s="12">
        <f t="shared" si="116"/>
        <v>156860305877</v>
      </c>
      <c r="I359" s="13">
        <f t="shared" ca="1" si="117"/>
        <v>144088280971.60001</v>
      </c>
      <c r="J359" s="63"/>
      <c r="K359" s="8">
        <v>522004</v>
      </c>
      <c r="L359" s="8" t="s">
        <v>1495</v>
      </c>
      <c r="M359" s="12">
        <v>28200902</v>
      </c>
      <c r="N359" s="10">
        <v>133.94999999999999</v>
      </c>
      <c r="O359" s="10">
        <f ca="1">IFERROR(__xludf.DUMMYFUNCTION("GOOGLEFINANCE(""BOM:"" &amp; K359,""price"")"),139.15)</f>
        <v>139.15</v>
      </c>
      <c r="P359" s="8">
        <f t="shared" ca="1" si="108"/>
        <v>3.8820455393803792</v>
      </c>
      <c r="Q359" s="12">
        <f t="shared" si="109"/>
        <v>3777510822.8999996</v>
      </c>
      <c r="R359" s="13">
        <f t="shared" ca="1" si="110"/>
        <v>3924155513.3000002</v>
      </c>
      <c r="S359" s="63"/>
      <c r="T359" s="8">
        <v>539113</v>
      </c>
      <c r="U359" s="8" t="s">
        <v>1496</v>
      </c>
      <c r="V359" s="12">
        <v>3084000</v>
      </c>
      <c r="W359" s="8">
        <v>1013</v>
      </c>
      <c r="X359" s="11">
        <f ca="1">IFERROR(__xludf.DUMMYFUNCTION("GOOGLEFINANCE(""BOM:"" &amp; T359,""price"")"),900.05)</f>
        <v>900.05</v>
      </c>
      <c r="Y359" s="8">
        <f t="shared" ca="1" si="111"/>
        <v>-11.150049358341564</v>
      </c>
      <c r="Z359" s="12">
        <f t="shared" si="94"/>
        <v>3124092000</v>
      </c>
      <c r="AA359" s="13">
        <f t="shared" ca="1" si="95"/>
        <v>2775754200</v>
      </c>
      <c r="AB359" s="64"/>
      <c r="AC359" s="14">
        <v>542046</v>
      </c>
      <c r="AD359" s="14" t="s">
        <v>1497</v>
      </c>
      <c r="AE359" s="15">
        <v>10025630</v>
      </c>
      <c r="AF359" s="14">
        <v>80.5</v>
      </c>
      <c r="AG359" s="14">
        <f ca="1">IFERROR(__xludf.DUMMYFUNCTION("GOOGLEFINANCE(""BOM:"" &amp; AC359,""price"")"),81.98)</f>
        <v>81.98</v>
      </c>
      <c r="AH359" s="14">
        <f t="shared" ca="1" si="118"/>
        <v>1.8385093167701914</v>
      </c>
      <c r="AI359" s="15">
        <f t="shared" si="113"/>
        <v>807063215</v>
      </c>
      <c r="AJ359" s="16">
        <f t="shared" ca="1" si="114"/>
        <v>821901147.4000001</v>
      </c>
    </row>
    <row r="360" spans="1:36" x14ac:dyDescent="0.25">
      <c r="A360" s="63"/>
      <c r="B360" s="8">
        <v>543385</v>
      </c>
      <c r="C360" s="8" t="s">
        <v>1498</v>
      </c>
      <c r="D360" s="12">
        <v>595200000</v>
      </c>
      <c r="E360" s="8">
        <v>118.5</v>
      </c>
      <c r="F360" s="8">
        <f ca="1">IFERROR(__xludf.DUMMYFUNCTION("GOOGLEFINANCE(""BOM:"" &amp; B360,""price"")"),125.75)</f>
        <v>125.75</v>
      </c>
      <c r="G360" s="8">
        <f t="shared" ca="1" si="115"/>
        <v>6.1181434599156121</v>
      </c>
      <c r="H360" s="12">
        <f t="shared" si="116"/>
        <v>70531200000</v>
      </c>
      <c r="I360" s="13">
        <f t="shared" ca="1" si="117"/>
        <v>74846400000</v>
      </c>
      <c r="J360" s="63"/>
      <c r="K360" s="8">
        <v>522650</v>
      </c>
      <c r="L360" s="8" t="s">
        <v>1499</v>
      </c>
      <c r="M360" s="12">
        <v>2017182</v>
      </c>
      <c r="N360" s="10">
        <v>969</v>
      </c>
      <c r="O360" s="10">
        <f ca="1">IFERROR(__xludf.DUMMYFUNCTION("GOOGLEFINANCE(""BOM:"" &amp; K360,""price"")"),948.1)</f>
        <v>948.1</v>
      </c>
      <c r="P360" s="8">
        <f t="shared" ca="1" si="108"/>
        <v>-2.1568627450980369</v>
      </c>
      <c r="Q360" s="12">
        <f t="shared" si="109"/>
        <v>1954649358</v>
      </c>
      <c r="R360" s="13">
        <f t="shared" ca="1" si="110"/>
        <v>1912490254.2</v>
      </c>
      <c r="S360" s="63"/>
      <c r="T360" s="8">
        <v>500337</v>
      </c>
      <c r="U360" s="8" t="s">
        <v>1500</v>
      </c>
      <c r="V360" s="12">
        <v>30266111</v>
      </c>
      <c r="W360" s="8">
        <v>182.35</v>
      </c>
      <c r="X360" s="11">
        <f ca="1">IFERROR(__xludf.DUMMYFUNCTION("GOOGLEFINANCE(""BOM:"" &amp; T360,""price"")"),181.65)</f>
        <v>181.65</v>
      </c>
      <c r="Y360" s="8">
        <f t="shared" ca="1" si="111"/>
        <v>-0.38387715930901489</v>
      </c>
      <c r="Z360" s="12">
        <f t="shared" si="94"/>
        <v>5519025340.8499994</v>
      </c>
      <c r="AA360" s="13">
        <f t="shared" ca="1" si="95"/>
        <v>5497839063.1500006</v>
      </c>
      <c r="AB360" s="65" t="s">
        <v>1501</v>
      </c>
      <c r="AC360" s="6">
        <v>543283</v>
      </c>
      <c r="AD360" s="6" t="s">
        <v>1502</v>
      </c>
      <c r="AE360" s="7">
        <v>38940810</v>
      </c>
      <c r="AF360" s="8">
        <v>581.6</v>
      </c>
      <c r="AG360" s="8">
        <f ca="1">IFERROR(__xludf.DUMMYFUNCTION("GOOGLEFINANCE(""BOM:"" &amp; AC360,""price"")"),507)</f>
        <v>507</v>
      </c>
      <c r="AH360" s="8">
        <f t="shared" ca="1" si="118"/>
        <v>-12.826685006877584</v>
      </c>
      <c r="AI360" s="7">
        <f t="shared" si="113"/>
        <v>22647975096</v>
      </c>
      <c r="AJ360" s="9">
        <f t="shared" ca="1" si="114"/>
        <v>19742990670</v>
      </c>
    </row>
    <row r="361" spans="1:36" x14ac:dyDescent="0.25">
      <c r="A361" s="63"/>
      <c r="B361" s="8">
        <v>532986</v>
      </c>
      <c r="C361" s="8" t="s">
        <v>1503</v>
      </c>
      <c r="D361" s="12">
        <v>40154298</v>
      </c>
      <c r="E361" s="8">
        <v>47.2</v>
      </c>
      <c r="F361" s="8">
        <f ca="1">IFERROR(__xludf.DUMMYFUNCTION("GOOGLEFINANCE(""BOM:"" &amp; B361,""price"")"),37.05)</f>
        <v>37.049999999999997</v>
      </c>
      <c r="G361" s="8">
        <f t="shared" ca="1" si="115"/>
        <v>-21.504237288135606</v>
      </c>
      <c r="H361" s="12">
        <f t="shared" si="116"/>
        <v>1895282865.6000001</v>
      </c>
      <c r="I361" s="13">
        <f t="shared" ca="1" si="117"/>
        <v>1487716740.8999999</v>
      </c>
      <c r="J361" s="63"/>
      <c r="K361" s="8">
        <v>541178</v>
      </c>
      <c r="L361" s="8" t="s">
        <v>1504</v>
      </c>
      <c r="M361" s="12">
        <v>17707288</v>
      </c>
      <c r="N361" s="10">
        <v>22.34</v>
      </c>
      <c r="O361" s="10">
        <f ca="1">IFERROR(__xludf.DUMMYFUNCTION("GOOGLEFINANCE(""BOM:"" &amp; K361,""price"")"),16.71)</f>
        <v>16.71</v>
      </c>
      <c r="P361" s="8">
        <f t="shared" ca="1" si="108"/>
        <v>-25.201432408236339</v>
      </c>
      <c r="Q361" s="12">
        <f t="shared" si="109"/>
        <v>395580813.92000002</v>
      </c>
      <c r="R361" s="13">
        <f t="shared" ca="1" si="110"/>
        <v>295888782.48000002</v>
      </c>
      <c r="S361" s="63"/>
      <c r="T361" s="8">
        <v>531688</v>
      </c>
      <c r="U361" s="8" t="s">
        <v>1505</v>
      </c>
      <c r="V361" s="12">
        <v>7998039</v>
      </c>
      <c r="W361" s="8">
        <v>215.8</v>
      </c>
      <c r="X361" s="11">
        <f ca="1">IFERROR(__xludf.DUMMYFUNCTION("GOOGLEFINANCE(""BOM:"" &amp; T361,""price"")"),273.1)</f>
        <v>273.10000000000002</v>
      </c>
      <c r="Y361" s="8">
        <f t="shared" ca="1" si="111"/>
        <v>26.552363299351256</v>
      </c>
      <c r="Z361" s="12">
        <f t="shared" si="94"/>
        <v>1725976816.2</v>
      </c>
      <c r="AA361" s="13">
        <f t="shared" ca="1" si="95"/>
        <v>2184264450.9000001</v>
      </c>
      <c r="AB361" s="63"/>
      <c r="AC361" s="8">
        <v>539436</v>
      </c>
      <c r="AD361" s="8" t="s">
        <v>1506</v>
      </c>
      <c r="AE361" s="12">
        <v>211251467</v>
      </c>
      <c r="AF361" s="8">
        <v>57</v>
      </c>
      <c r="AG361" s="8">
        <f ca="1">IFERROR(__xludf.DUMMYFUNCTION("GOOGLEFINANCE(""BOM:"" &amp; AC361,""price"")"),49.65)</f>
        <v>49.65</v>
      </c>
      <c r="AH361" s="8">
        <f t="shared" ca="1" si="118"/>
        <v>-12.894736842105264</v>
      </c>
      <c r="AI361" s="12">
        <f t="shared" si="113"/>
        <v>12041333619</v>
      </c>
      <c r="AJ361" s="13">
        <f t="shared" ca="1" si="114"/>
        <v>10488635336.549999</v>
      </c>
    </row>
    <row r="362" spans="1:36" x14ac:dyDescent="0.25">
      <c r="A362" s="63"/>
      <c r="B362" s="8">
        <v>531120</v>
      </c>
      <c r="C362" s="8" t="s">
        <v>1507</v>
      </c>
      <c r="D362" s="12">
        <v>478789226</v>
      </c>
      <c r="E362" s="8">
        <v>68.239999999999995</v>
      </c>
      <c r="F362" s="8">
        <f ca="1">IFERROR(__xludf.DUMMYFUNCTION("GOOGLEFINANCE(""BOM:"" &amp; B362,""price"")"),56.95)</f>
        <v>56.95</v>
      </c>
      <c r="G362" s="8">
        <f t="shared" ca="1" si="115"/>
        <v>-16.544548651817106</v>
      </c>
      <c r="H362" s="12">
        <f t="shared" si="116"/>
        <v>32672576782.239998</v>
      </c>
      <c r="I362" s="13">
        <f t="shared" ca="1" si="117"/>
        <v>27267046420.700001</v>
      </c>
      <c r="J362" s="63"/>
      <c r="K362" s="8">
        <v>540652</v>
      </c>
      <c r="L362" s="8" t="s">
        <v>1508</v>
      </c>
      <c r="M362" s="12">
        <v>10210050</v>
      </c>
      <c r="N362" s="10">
        <v>179</v>
      </c>
      <c r="O362" s="10">
        <f ca="1">IFERROR(__xludf.DUMMYFUNCTION("GOOGLEFINANCE(""BOM:"" &amp; K362,""price"")"),192)</f>
        <v>192</v>
      </c>
      <c r="P362" s="8">
        <f t="shared" ca="1" si="108"/>
        <v>7.2625698324022352</v>
      </c>
      <c r="Q362" s="12">
        <f t="shared" si="109"/>
        <v>1827598950</v>
      </c>
      <c r="R362" s="13">
        <f t="shared" ca="1" si="110"/>
        <v>1960329600</v>
      </c>
      <c r="S362" s="63"/>
      <c r="T362" s="8">
        <v>532024</v>
      </c>
      <c r="U362" s="8" t="s">
        <v>1509</v>
      </c>
      <c r="V362" s="12">
        <v>4606700</v>
      </c>
      <c r="W362" s="8">
        <v>7.29</v>
      </c>
      <c r="X362" s="11">
        <f ca="1">IFERROR(__xludf.DUMMYFUNCTION("GOOGLEFINANCE(""BOM:"" &amp; T362,""price"")"),7.29)</f>
        <v>7.29</v>
      </c>
      <c r="Y362" s="8">
        <f t="shared" ca="1" si="111"/>
        <v>0</v>
      </c>
      <c r="Z362" s="12">
        <f t="shared" si="94"/>
        <v>33582843</v>
      </c>
      <c r="AA362" s="13">
        <f t="shared" ca="1" si="95"/>
        <v>33582843</v>
      </c>
      <c r="AB362" s="63"/>
      <c r="AC362" s="8">
        <v>543330</v>
      </c>
      <c r="AD362" s="8" t="s">
        <v>1510</v>
      </c>
      <c r="AE362" s="12">
        <v>1204736223</v>
      </c>
      <c r="AF362" s="8">
        <v>154.55000000000001</v>
      </c>
      <c r="AG362" s="8">
        <f ca="1">IFERROR(__xludf.DUMMYFUNCTION("GOOGLEFINANCE(""BOM:"" &amp; AC362,""price"")"),150.45)</f>
        <v>150.44999999999999</v>
      </c>
      <c r="AH362" s="8">
        <f t="shared" ca="1" si="118"/>
        <v>-2.6528631510838063</v>
      </c>
      <c r="AI362" s="12">
        <f t="shared" si="113"/>
        <v>186191983264.65002</v>
      </c>
      <c r="AJ362" s="13">
        <f t="shared" ca="1" si="114"/>
        <v>181252564750.34998</v>
      </c>
    </row>
    <row r="363" spans="1:36" x14ac:dyDescent="0.25">
      <c r="A363" s="63"/>
      <c r="B363" s="8">
        <v>532676</v>
      </c>
      <c r="C363" s="8" t="s">
        <v>1511</v>
      </c>
      <c r="D363" s="12">
        <v>13500106</v>
      </c>
      <c r="E363" s="8">
        <v>13.36</v>
      </c>
      <c r="F363" s="8">
        <f ca="1">IFERROR(__xludf.DUMMYFUNCTION("GOOGLEFINANCE(""BOM:"" &amp; B363,""price"")"),10.41)</f>
        <v>10.41</v>
      </c>
      <c r="G363" s="8">
        <f t="shared" ca="1" si="115"/>
        <v>-22.080838323353287</v>
      </c>
      <c r="H363" s="12">
        <f t="shared" si="116"/>
        <v>180361416.16</v>
      </c>
      <c r="I363" s="13">
        <f t="shared" ca="1" si="117"/>
        <v>140536103.46000001</v>
      </c>
      <c r="J363" s="63"/>
      <c r="K363" s="8">
        <v>517514</v>
      </c>
      <c r="L363" s="8" t="s">
        <v>1512</v>
      </c>
      <c r="M363" s="12">
        <v>7192585</v>
      </c>
      <c r="N363" s="10">
        <v>96.1</v>
      </c>
      <c r="O363" s="10">
        <f ca="1">IFERROR(__xludf.DUMMYFUNCTION("GOOGLEFINANCE(""BOM:"" &amp; K363,""price"")"),90.57)</f>
        <v>90.57</v>
      </c>
      <c r="P363" s="8">
        <f t="shared" ca="1" si="108"/>
        <v>-5.7544224765868899</v>
      </c>
      <c r="Q363" s="12">
        <f t="shared" si="109"/>
        <v>691207418.5</v>
      </c>
      <c r="R363" s="13">
        <f t="shared" ca="1" si="110"/>
        <v>651432423.44999993</v>
      </c>
      <c r="S363" s="63"/>
      <c r="T363" s="8">
        <v>540175</v>
      </c>
      <c r="U363" s="8" t="s">
        <v>1513</v>
      </c>
      <c r="V363" s="12">
        <v>5229664</v>
      </c>
      <c r="W363" s="8">
        <v>12.64</v>
      </c>
      <c r="X363" s="11">
        <f ca="1">IFERROR(__xludf.DUMMYFUNCTION("GOOGLEFINANCE(""BOM:"" &amp; T363,""price"")"),11.49)</f>
        <v>11.49</v>
      </c>
      <c r="Y363" s="8">
        <f t="shared" ca="1" si="111"/>
        <v>-9.0981012658227876</v>
      </c>
      <c r="Z363" s="12">
        <f t="shared" si="94"/>
        <v>66102952.960000001</v>
      </c>
      <c r="AA363" s="13">
        <f t="shared" ca="1" si="95"/>
        <v>60088839.359999999</v>
      </c>
      <c r="AB363" s="63"/>
      <c r="AC363" s="8">
        <v>533155</v>
      </c>
      <c r="AD363" s="8" t="s">
        <v>1514</v>
      </c>
      <c r="AE363" s="12">
        <v>659843955</v>
      </c>
      <c r="AF363" s="8">
        <v>463.25</v>
      </c>
      <c r="AG363" s="8">
        <f ca="1">IFERROR(__xludf.DUMMYFUNCTION("GOOGLEFINANCE(""BOM:"" &amp; AC363,""price"")"),448.35)</f>
        <v>448.35</v>
      </c>
      <c r="AH363" s="8">
        <f t="shared" ca="1" si="118"/>
        <v>-3.2164058283863954</v>
      </c>
      <c r="AI363" s="12">
        <f t="shared" si="113"/>
        <v>305672712153.75</v>
      </c>
      <c r="AJ363" s="13">
        <f t="shared" ca="1" si="114"/>
        <v>295841037224.25</v>
      </c>
    </row>
    <row r="364" spans="1:36" x14ac:dyDescent="0.25">
      <c r="A364" s="63"/>
      <c r="B364" s="8">
        <v>539150</v>
      </c>
      <c r="C364" s="8" t="s">
        <v>1515</v>
      </c>
      <c r="D364" s="12">
        <v>256539160</v>
      </c>
      <c r="E364" s="8">
        <v>428.8</v>
      </c>
      <c r="F364" s="8">
        <f ca="1">IFERROR(__xludf.DUMMYFUNCTION("GOOGLEFINANCE(""BOM:"" &amp; B364,""price"")"),437.15)</f>
        <v>437.15</v>
      </c>
      <c r="G364" s="8">
        <f t="shared" ca="1" si="115"/>
        <v>1.9472947761193948</v>
      </c>
      <c r="H364" s="12">
        <f t="shared" si="116"/>
        <v>110003991808</v>
      </c>
      <c r="I364" s="13">
        <f t="shared" ca="1" si="117"/>
        <v>112146093794</v>
      </c>
      <c r="J364" s="63"/>
      <c r="K364" s="8">
        <v>505242</v>
      </c>
      <c r="L364" s="8" t="s">
        <v>1516</v>
      </c>
      <c r="M364" s="12">
        <v>6282923</v>
      </c>
      <c r="N364" s="10">
        <v>7235.8</v>
      </c>
      <c r="O364" s="10">
        <f ca="1">IFERROR(__xludf.DUMMYFUNCTION("GOOGLEFINANCE(""BOM:"" &amp; K364,""price"")"),7458.05)</f>
        <v>7458.05</v>
      </c>
      <c r="P364" s="8">
        <f t="shared" ca="1" si="108"/>
        <v>3.0715332098731305</v>
      </c>
      <c r="Q364" s="12">
        <f t="shared" si="109"/>
        <v>45461974243.400002</v>
      </c>
      <c r="R364" s="13">
        <f t="shared" ca="1" si="110"/>
        <v>46858353880.150002</v>
      </c>
      <c r="S364" s="63"/>
      <c r="T364" s="8">
        <v>511712</v>
      </c>
      <c r="U364" s="8" t="s">
        <v>1517</v>
      </c>
      <c r="V364" s="12">
        <v>3502494</v>
      </c>
      <c r="W364" s="8">
        <v>17</v>
      </c>
      <c r="X364" s="11">
        <f ca="1">IFERROR(__xludf.DUMMYFUNCTION("GOOGLEFINANCE(""BOM:"" &amp; T364,""price"")"),15)</f>
        <v>15</v>
      </c>
      <c r="Y364" s="8">
        <f t="shared" ca="1" si="111"/>
        <v>-11.76470588235294</v>
      </c>
      <c r="Z364" s="12">
        <f t="shared" si="94"/>
        <v>59542398</v>
      </c>
      <c r="AA364" s="13">
        <f t="shared" ca="1" si="95"/>
        <v>52537410</v>
      </c>
      <c r="AB364" s="63"/>
      <c r="AC364" s="8">
        <v>539273</v>
      </c>
      <c r="AD364" s="8" t="s">
        <v>1518</v>
      </c>
      <c r="AE364" s="12">
        <v>1309875</v>
      </c>
      <c r="AF364" s="8">
        <v>113</v>
      </c>
      <c r="AG364" s="8">
        <f ca="1">IFERROR(__xludf.DUMMYFUNCTION("GOOGLEFINANCE(""BOM:"" &amp; AC364,""price"")"),113.15)</f>
        <v>113.15</v>
      </c>
      <c r="AH364" s="8">
        <f t="shared" ca="1" si="118"/>
        <v>0.13274336283186344</v>
      </c>
      <c r="AI364" s="12">
        <f t="shared" si="113"/>
        <v>148015875</v>
      </c>
      <c r="AJ364" s="13">
        <f t="shared" ca="1" si="114"/>
        <v>148212356.25</v>
      </c>
    </row>
    <row r="365" spans="1:36" x14ac:dyDescent="0.25">
      <c r="A365" s="63"/>
      <c r="B365" s="8">
        <v>540544</v>
      </c>
      <c r="C365" s="8" t="s">
        <v>1519</v>
      </c>
      <c r="D365" s="12">
        <v>36000000</v>
      </c>
      <c r="E365" s="8">
        <v>698</v>
      </c>
      <c r="F365" s="8">
        <f ca="1">IFERROR(__xludf.DUMMYFUNCTION("GOOGLEFINANCE(""BOM:"" &amp; B365,""price"")"),686.1)</f>
        <v>686.1</v>
      </c>
      <c r="G365" s="8">
        <f t="shared" ca="1" si="115"/>
        <v>-1.7048710601719166</v>
      </c>
      <c r="H365" s="12">
        <f t="shared" si="116"/>
        <v>25128000000</v>
      </c>
      <c r="I365" s="13">
        <f t="shared" ca="1" si="117"/>
        <v>24699600000</v>
      </c>
      <c r="J365" s="63"/>
      <c r="K365" s="8">
        <v>523708</v>
      </c>
      <c r="L365" s="8" t="s">
        <v>1520</v>
      </c>
      <c r="M365" s="12">
        <v>5702229</v>
      </c>
      <c r="N365" s="10">
        <v>1337.8</v>
      </c>
      <c r="O365" s="10">
        <f ca="1">IFERROR(__xludf.DUMMYFUNCTION("GOOGLEFINANCE(""BOM:"" &amp; K365,""price"")"),1522.1)</f>
        <v>1522.1</v>
      </c>
      <c r="P365" s="8">
        <f t="shared" ca="1" si="108"/>
        <v>13.776349230079232</v>
      </c>
      <c r="Q365" s="12">
        <f t="shared" si="109"/>
        <v>7628441956.1999998</v>
      </c>
      <c r="R365" s="13">
        <f t="shared" ca="1" si="110"/>
        <v>8679362760.8999996</v>
      </c>
      <c r="S365" s="63"/>
      <c r="T365" s="8">
        <v>539435</v>
      </c>
      <c r="U365" s="8" t="s">
        <v>1521</v>
      </c>
      <c r="V365" s="12">
        <v>3676300</v>
      </c>
      <c r="W365" s="8">
        <v>31.42</v>
      </c>
      <c r="X365" s="11">
        <f ca="1">IFERROR(__xludf.DUMMYFUNCTION("GOOGLEFINANCE(""BOM:"" &amp; T365,""price"")"),44.7)</f>
        <v>44.7</v>
      </c>
      <c r="Y365" s="8">
        <f t="shared" ca="1" si="111"/>
        <v>42.266072565245068</v>
      </c>
      <c r="Z365" s="12">
        <f t="shared" si="94"/>
        <v>115509346</v>
      </c>
      <c r="AA365" s="13">
        <f t="shared" ca="1" si="95"/>
        <v>164330610</v>
      </c>
      <c r="AB365" s="63"/>
      <c r="AC365" s="8">
        <v>543248</v>
      </c>
      <c r="AD365" s="8" t="s">
        <v>1522</v>
      </c>
      <c r="AE365" s="12">
        <v>493282936</v>
      </c>
      <c r="AF365" s="8">
        <v>108.3</v>
      </c>
      <c r="AG365" s="8">
        <f ca="1">IFERROR(__xludf.DUMMYFUNCTION("GOOGLEFINANCE(""BOM:"" &amp; AC365,""price"")"),101.25)</f>
        <v>101.25</v>
      </c>
      <c r="AH365" s="8">
        <f t="shared" ca="1" si="118"/>
        <v>-6.5096952908587236</v>
      </c>
      <c r="AI365" s="12">
        <f t="shared" si="113"/>
        <v>53422541968.799995</v>
      </c>
      <c r="AJ365" s="13">
        <f t="shared" ca="1" si="114"/>
        <v>49944897270</v>
      </c>
    </row>
    <row r="366" spans="1:36" x14ac:dyDescent="0.25">
      <c r="A366" s="63"/>
      <c r="B366" s="8">
        <v>536659</v>
      </c>
      <c r="C366" s="8" t="s">
        <v>1523</v>
      </c>
      <c r="D366" s="12">
        <v>6996001</v>
      </c>
      <c r="E366" s="8">
        <v>28</v>
      </c>
      <c r="F366" s="8">
        <f ca="1">IFERROR(__xludf.DUMMYFUNCTION("GOOGLEFINANCE(""BOM:"" &amp; B366,""price"")"),23.05)</f>
        <v>23.05</v>
      </c>
      <c r="G366" s="8">
        <f t="shared" ca="1" si="115"/>
        <v>-17.678571428571427</v>
      </c>
      <c r="H366" s="12">
        <f t="shared" si="116"/>
        <v>195888028</v>
      </c>
      <c r="I366" s="13">
        <f t="shared" ca="1" si="117"/>
        <v>161257823.05000001</v>
      </c>
      <c r="J366" s="63"/>
      <c r="K366" s="8">
        <v>532684</v>
      </c>
      <c r="L366" s="8" t="s">
        <v>1524</v>
      </c>
      <c r="M366" s="12">
        <v>112206052</v>
      </c>
      <c r="N366" s="10">
        <v>154.30000000000001</v>
      </c>
      <c r="O366" s="10">
        <f ca="1">IFERROR(__xludf.DUMMYFUNCTION("GOOGLEFINANCE(""BOM:"" &amp; K366,""price"")"),131.35)</f>
        <v>131.35</v>
      </c>
      <c r="P366" s="8">
        <f t="shared" ca="1" si="108"/>
        <v>-14.873622812702539</v>
      </c>
      <c r="Q366" s="12">
        <f t="shared" si="109"/>
        <v>17313393823.600002</v>
      </c>
      <c r="R366" s="13">
        <f t="shared" ca="1" si="110"/>
        <v>14738264930.199999</v>
      </c>
      <c r="S366" s="63"/>
      <c r="T366" s="8">
        <v>504365</v>
      </c>
      <c r="U366" s="8" t="s">
        <v>1525</v>
      </c>
      <c r="V366" s="12">
        <v>890000</v>
      </c>
      <c r="W366" s="8">
        <v>4.1100000000000003</v>
      </c>
      <c r="X366" s="11">
        <f ca="1">IFERROR(__xludf.DUMMYFUNCTION("GOOGLEFINANCE(""BOM:"" &amp; T366,""price"")"),4.11)</f>
        <v>4.1100000000000003</v>
      </c>
      <c r="Y366" s="8">
        <f t="shared" ca="1" si="111"/>
        <v>0</v>
      </c>
      <c r="Z366" s="12">
        <f t="shared" si="94"/>
        <v>3657900.0000000005</v>
      </c>
      <c r="AA366" s="13">
        <f t="shared" ca="1" si="95"/>
        <v>3657900.0000000005</v>
      </c>
      <c r="AB366" s="63"/>
      <c r="AC366" s="8">
        <v>543397</v>
      </c>
      <c r="AD366" s="8" t="s">
        <v>1526</v>
      </c>
      <c r="AE366" s="12">
        <v>63542541</v>
      </c>
      <c r="AF366" s="8">
        <v>1481.2</v>
      </c>
      <c r="AG366" s="8">
        <f ca="1">IFERROR(__xludf.DUMMYFUNCTION("GOOGLEFINANCE(""BOM:"" &amp; AC366,""price"")"),1570)</f>
        <v>1570</v>
      </c>
      <c r="AH366" s="8">
        <f t="shared" ca="1" si="118"/>
        <v>5.9951390764245174</v>
      </c>
      <c r="AI366" s="12">
        <f t="shared" si="113"/>
        <v>94119211729.199997</v>
      </c>
      <c r="AJ366" s="13">
        <f t="shared" ca="1" si="114"/>
        <v>99761789370</v>
      </c>
    </row>
    <row r="367" spans="1:36" x14ac:dyDescent="0.25">
      <c r="A367" s="63"/>
      <c r="B367" s="8">
        <v>533262</v>
      </c>
      <c r="C367" s="8" t="s">
        <v>1527</v>
      </c>
      <c r="D367" s="12">
        <v>69160469</v>
      </c>
      <c r="E367" s="8">
        <v>600.6</v>
      </c>
      <c r="F367" s="8">
        <f ca="1">IFERROR(__xludf.DUMMYFUNCTION("GOOGLEFINANCE(""BOM:"" &amp; B367,""price"")"),485)</f>
        <v>485</v>
      </c>
      <c r="G367" s="8">
        <f t="shared" ca="1" si="115"/>
        <v>-19.247419247419252</v>
      </c>
      <c r="H367" s="12">
        <f t="shared" si="116"/>
        <v>41537777681.400002</v>
      </c>
      <c r="I367" s="13">
        <f t="shared" ca="1" si="117"/>
        <v>33542827465</v>
      </c>
      <c r="J367" s="63"/>
      <c r="K367" s="8">
        <v>505700</v>
      </c>
      <c r="L367" s="8" t="s">
        <v>1528</v>
      </c>
      <c r="M367" s="12">
        <v>110674545</v>
      </c>
      <c r="N367" s="10">
        <v>991.7</v>
      </c>
      <c r="O367" s="10">
        <f ca="1">IFERROR(__xludf.DUMMYFUNCTION("GOOGLEFINANCE(""BOM:"" &amp; K367,""price"")"),945)</f>
        <v>945</v>
      </c>
      <c r="P367" s="8">
        <f t="shared" ca="1" si="108"/>
        <v>-4.7090854088938237</v>
      </c>
      <c r="Q367" s="12">
        <f t="shared" si="109"/>
        <v>109755946276.5</v>
      </c>
      <c r="R367" s="13">
        <f t="shared" ca="1" si="110"/>
        <v>104587445025</v>
      </c>
      <c r="S367" s="63"/>
      <c r="T367" s="8">
        <v>531324</v>
      </c>
      <c r="U367" s="8" t="s">
        <v>1529</v>
      </c>
      <c r="V367" s="12">
        <v>9387870</v>
      </c>
      <c r="W367" s="8">
        <v>31</v>
      </c>
      <c r="X367" s="11">
        <f ca="1">IFERROR(__xludf.DUMMYFUNCTION("GOOGLEFINANCE(""BOM:"" &amp; T367,""price"")"),25.25)</f>
        <v>25.25</v>
      </c>
      <c r="Y367" s="8">
        <f t="shared" ca="1" si="111"/>
        <v>-18.548387096774192</v>
      </c>
      <c r="Z367" s="12">
        <f t="shared" si="94"/>
        <v>291023970</v>
      </c>
      <c r="AA367" s="13">
        <f t="shared" ca="1" si="95"/>
        <v>237043717.5</v>
      </c>
      <c r="AB367" s="63"/>
      <c r="AC367" s="8">
        <v>534425</v>
      </c>
      <c r="AD367" s="8" t="s">
        <v>1530</v>
      </c>
      <c r="AE367" s="12">
        <v>46957606</v>
      </c>
      <c r="AF367" s="8">
        <v>231</v>
      </c>
      <c r="AG367" s="8">
        <f ca="1">IFERROR(__xludf.DUMMYFUNCTION("GOOGLEFINANCE(""BOM:"" &amp; AC367,""price"")"),176)</f>
        <v>176</v>
      </c>
      <c r="AH367" s="8">
        <f t="shared" ca="1" si="118"/>
        <v>-23.809523809523807</v>
      </c>
      <c r="AI367" s="12">
        <f t="shared" si="113"/>
        <v>10847206986</v>
      </c>
      <c r="AJ367" s="13">
        <f t="shared" ca="1" si="114"/>
        <v>8264538656</v>
      </c>
    </row>
    <row r="368" spans="1:36" x14ac:dyDescent="0.25">
      <c r="A368" s="63"/>
      <c r="B368" s="8">
        <v>541945</v>
      </c>
      <c r="C368" s="8" t="s">
        <v>1531</v>
      </c>
      <c r="D368" s="12">
        <v>6490380</v>
      </c>
      <c r="E368" s="8">
        <v>59.14</v>
      </c>
      <c r="F368" s="8">
        <f ca="1">IFERROR(__xludf.DUMMYFUNCTION("GOOGLEFINANCE(""BOM:"" &amp; B368,""price"")"),58.73)</f>
        <v>58.73</v>
      </c>
      <c r="G368" s="8">
        <f t="shared" ca="1" si="115"/>
        <v>-0.69327020629016511</v>
      </c>
      <c r="H368" s="12">
        <f t="shared" si="116"/>
        <v>383841073.19999999</v>
      </c>
      <c r="I368" s="13">
        <f t="shared" ca="1" si="117"/>
        <v>381180017.39999998</v>
      </c>
      <c r="J368" s="63"/>
      <c r="K368" s="8">
        <v>522017</v>
      </c>
      <c r="L368" s="8" t="s">
        <v>1532</v>
      </c>
      <c r="M368" s="12">
        <v>4761975</v>
      </c>
      <c r="N368" s="10">
        <v>591</v>
      </c>
      <c r="O368" s="10">
        <f ca="1">IFERROR(__xludf.DUMMYFUNCTION("GOOGLEFINANCE(""BOM:"" &amp; K368,""price"")"),468.7)</f>
        <v>468.7</v>
      </c>
      <c r="P368" s="8">
        <f t="shared" ca="1" si="108"/>
        <v>-20.693739424703892</v>
      </c>
      <c r="Q368" s="12">
        <f t="shared" si="109"/>
        <v>2814327225</v>
      </c>
      <c r="R368" s="13">
        <f t="shared" ca="1" si="110"/>
        <v>2231937682.5</v>
      </c>
      <c r="S368" s="63"/>
      <c r="T368" s="8">
        <v>538611</v>
      </c>
      <c r="U368" s="8" t="s">
        <v>1533</v>
      </c>
      <c r="V368" s="12">
        <v>12117740</v>
      </c>
      <c r="W368" s="8">
        <v>45.44</v>
      </c>
      <c r="X368" s="11">
        <f ca="1">IFERROR(__xludf.DUMMYFUNCTION("GOOGLEFINANCE(""BOM:"" &amp; T368,""price"")"),49.5)</f>
        <v>49.5</v>
      </c>
      <c r="Y368" s="8">
        <f t="shared" ca="1" si="111"/>
        <v>8.9348591549295833</v>
      </c>
      <c r="Z368" s="12">
        <f t="shared" si="94"/>
        <v>550630105.60000002</v>
      </c>
      <c r="AA368" s="13">
        <f t="shared" ca="1" si="95"/>
        <v>599828130</v>
      </c>
      <c r="AB368" s="64"/>
      <c r="AC368" s="14">
        <v>539659</v>
      </c>
      <c r="AD368" s="14" t="s">
        <v>1534</v>
      </c>
      <c r="AE368" s="15">
        <v>10825000</v>
      </c>
      <c r="AF368" s="14">
        <v>71.099999999999994</v>
      </c>
      <c r="AG368" s="14">
        <f ca="1">IFERROR(__xludf.DUMMYFUNCTION("GOOGLEFINANCE(""BOM:"" &amp; AC368,""price"")"),66.99)</f>
        <v>66.989999999999995</v>
      </c>
      <c r="AH368" s="14">
        <f t="shared" ca="1" si="118"/>
        <v>-5.7805907172995772</v>
      </c>
      <c r="AI368" s="15">
        <f t="shared" si="113"/>
        <v>769657499.99999988</v>
      </c>
      <c r="AJ368" s="16">
        <f t="shared" ca="1" si="114"/>
        <v>725166750</v>
      </c>
    </row>
    <row r="369" spans="1:36" x14ac:dyDescent="0.25">
      <c r="A369" s="63"/>
      <c r="B369" s="8">
        <v>537840</v>
      </c>
      <c r="C369" s="8" t="s">
        <v>1535</v>
      </c>
      <c r="D369" s="12">
        <v>3191547</v>
      </c>
      <c r="E369" s="8">
        <v>43.81</v>
      </c>
      <c r="F369" s="8">
        <f ca="1">IFERROR(__xludf.DUMMYFUNCTION("GOOGLEFINANCE(""BOM:"" &amp; B369,""price"")"),41.65)</f>
        <v>41.65</v>
      </c>
      <c r="G369" s="8">
        <f t="shared" ca="1" si="115"/>
        <v>-4.9303811915087961</v>
      </c>
      <c r="H369" s="12">
        <f t="shared" si="116"/>
        <v>139821674.06999999</v>
      </c>
      <c r="I369" s="13">
        <f t="shared" ca="1" si="117"/>
        <v>132927932.55</v>
      </c>
      <c r="J369" s="63"/>
      <c r="K369" s="8">
        <v>505255</v>
      </c>
      <c r="L369" s="8" t="s">
        <v>1536</v>
      </c>
      <c r="M369" s="12">
        <v>14400850</v>
      </c>
      <c r="N369" s="10">
        <v>1325.3</v>
      </c>
      <c r="O369" s="10">
        <f ca="1">IFERROR(__xludf.DUMMYFUNCTION("GOOGLEFINANCE(""BOM:"" &amp; K369,""price"")"),1235.75)</f>
        <v>1235.75</v>
      </c>
      <c r="P369" s="8">
        <f t="shared" ca="1" si="108"/>
        <v>-6.7569606881460773</v>
      </c>
      <c r="Q369" s="12">
        <f t="shared" si="109"/>
        <v>19085446505</v>
      </c>
      <c r="R369" s="13">
        <f t="shared" ca="1" si="110"/>
        <v>17795850387.5</v>
      </c>
      <c r="S369" s="63"/>
      <c r="T369" s="8">
        <v>503635</v>
      </c>
      <c r="U369" s="8" t="s">
        <v>1537</v>
      </c>
      <c r="V369" s="12">
        <v>5321560</v>
      </c>
      <c r="W369" s="8">
        <v>13.89</v>
      </c>
      <c r="X369" s="11">
        <f ca="1">IFERROR(__xludf.DUMMYFUNCTION("GOOGLEFINANCE(""BOM:"" &amp; T369,""price"")"),13.89)</f>
        <v>13.89</v>
      </c>
      <c r="Y369" s="8">
        <f t="shared" ca="1" si="111"/>
        <v>0</v>
      </c>
      <c r="Z369" s="12">
        <f t="shared" si="94"/>
        <v>73916468.400000006</v>
      </c>
      <c r="AA369" s="13">
        <f t="shared" ca="1" si="95"/>
        <v>73916468.400000006</v>
      </c>
      <c r="AB369" s="65" t="s">
        <v>1538</v>
      </c>
      <c r="AC369" s="6">
        <v>520123</v>
      </c>
      <c r="AD369" s="6" t="s">
        <v>1539</v>
      </c>
      <c r="AE369" s="7">
        <v>5104005</v>
      </c>
      <c r="AF369" s="8">
        <v>144</v>
      </c>
      <c r="AG369" s="8">
        <f ca="1">IFERROR(__xludf.DUMMYFUNCTION("GOOGLEFINANCE(""BOM:"" &amp; AC369,""price"")"),111.55)</f>
        <v>111.55</v>
      </c>
      <c r="AH369" s="8">
        <f t="shared" ca="1" si="118"/>
        <v>-22.534722222222225</v>
      </c>
      <c r="AI369" s="7">
        <f t="shared" si="113"/>
        <v>734976720</v>
      </c>
      <c r="AJ369" s="9">
        <f t="shared" ca="1" si="114"/>
        <v>569351757.75</v>
      </c>
    </row>
    <row r="370" spans="1:36" x14ac:dyDescent="0.25">
      <c r="A370" s="63"/>
      <c r="B370" s="8">
        <v>533284</v>
      </c>
      <c r="C370" s="8" t="s">
        <v>1540</v>
      </c>
      <c r="D370" s="12">
        <v>37879736</v>
      </c>
      <c r="E370" s="8">
        <v>114.15</v>
      </c>
      <c r="F370" s="8">
        <f ca="1">IFERROR(__xludf.DUMMYFUNCTION("GOOGLEFINANCE(""BOM:"" &amp; B370,""price"")"),108)</f>
        <v>108</v>
      </c>
      <c r="G370" s="8">
        <f t="shared" ca="1" si="115"/>
        <v>-5.3876478318002681</v>
      </c>
      <c r="H370" s="12">
        <f t="shared" si="116"/>
        <v>4323971864.4000006</v>
      </c>
      <c r="I370" s="13">
        <f t="shared" ca="1" si="117"/>
        <v>4091011488</v>
      </c>
      <c r="J370" s="63"/>
      <c r="K370" s="8">
        <v>505720</v>
      </c>
      <c r="L370" s="8" t="s">
        <v>1541</v>
      </c>
      <c r="M370" s="12">
        <v>30327210</v>
      </c>
      <c r="N370" s="10">
        <v>428.5</v>
      </c>
      <c r="O370" s="10">
        <f ca="1">IFERROR(__xludf.DUMMYFUNCTION("GOOGLEFINANCE(""BOM:"" &amp; K370,""price"")"),542.9)</f>
        <v>542.9</v>
      </c>
      <c r="P370" s="8">
        <f t="shared" ca="1" si="108"/>
        <v>26.697782963827301</v>
      </c>
      <c r="Q370" s="12">
        <f t="shared" si="109"/>
        <v>12995209485</v>
      </c>
      <c r="R370" s="13">
        <f t="shared" ca="1" si="110"/>
        <v>16464642309</v>
      </c>
      <c r="S370" s="63"/>
      <c r="T370" s="8">
        <v>539593</v>
      </c>
      <c r="U370" s="8" t="s">
        <v>1542</v>
      </c>
      <c r="V370" s="12">
        <v>6041150</v>
      </c>
      <c r="W370" s="8">
        <v>5.53</v>
      </c>
      <c r="X370" s="11">
        <f ca="1">IFERROR(__xludf.DUMMYFUNCTION("GOOGLEFINANCE(""BOM:"" &amp; T370,""price"")"),5.17)</f>
        <v>5.17</v>
      </c>
      <c r="Y370" s="8">
        <f t="shared" ca="1" si="111"/>
        <v>-6.5099457504520855</v>
      </c>
      <c r="Z370" s="12">
        <f t="shared" si="94"/>
        <v>33407559.5</v>
      </c>
      <c r="AA370" s="13">
        <f t="shared" ca="1" si="95"/>
        <v>31232745.5</v>
      </c>
      <c r="AB370" s="63"/>
      <c r="AC370" s="8">
        <v>520127</v>
      </c>
      <c r="AD370" s="8" t="s">
        <v>1543</v>
      </c>
      <c r="AE370" s="12">
        <v>12865898</v>
      </c>
      <c r="AF370" s="8">
        <v>31.77</v>
      </c>
      <c r="AG370" s="8">
        <f ca="1">IFERROR(__xludf.DUMMYFUNCTION("GOOGLEFINANCE(""BOM:"" &amp; AC370,""price"")"),21.76)</f>
        <v>21.76</v>
      </c>
      <c r="AH370" s="8">
        <f t="shared" ca="1" si="118"/>
        <v>-31.507711677683343</v>
      </c>
      <c r="AI370" s="12">
        <f t="shared" si="113"/>
        <v>408749579.45999998</v>
      </c>
      <c r="AJ370" s="13">
        <f t="shared" ca="1" si="114"/>
        <v>279961940.48000002</v>
      </c>
    </row>
    <row r="371" spans="1:36" x14ac:dyDescent="0.25">
      <c r="A371" s="63"/>
      <c r="B371" s="8">
        <v>539112</v>
      </c>
      <c r="C371" s="8" t="s">
        <v>1544</v>
      </c>
      <c r="D371" s="12">
        <v>15141683</v>
      </c>
      <c r="E371" s="8">
        <v>181</v>
      </c>
      <c r="F371" s="8">
        <f ca="1">IFERROR(__xludf.DUMMYFUNCTION("GOOGLEFINANCE(""BOM:"" &amp; B371,""price"")"),194.45)</f>
        <v>194.45</v>
      </c>
      <c r="G371" s="8">
        <f t="shared" ca="1" si="115"/>
        <v>7.4309392265193317</v>
      </c>
      <c r="H371" s="12">
        <f t="shared" si="116"/>
        <v>2740644623</v>
      </c>
      <c r="I371" s="13">
        <f t="shared" ca="1" si="117"/>
        <v>2944300259.3499999</v>
      </c>
      <c r="J371" s="63"/>
      <c r="K371" s="8">
        <v>504036</v>
      </c>
      <c r="L371" s="8" t="s">
        <v>1545</v>
      </c>
      <c r="M371" s="12">
        <v>13655823</v>
      </c>
      <c r="N371" s="10">
        <v>759.85</v>
      </c>
      <c r="O371" s="10">
        <f ca="1">IFERROR(__xludf.DUMMYFUNCTION("GOOGLEFINANCE(""BOM:"" &amp; K371,""price"")"),603.1)</f>
        <v>603.1</v>
      </c>
      <c r="P371" s="8">
        <f t="shared" ca="1" si="108"/>
        <v>-20.629071527275119</v>
      </c>
      <c r="Q371" s="12">
        <f t="shared" si="109"/>
        <v>10376377106.550001</v>
      </c>
      <c r="R371" s="13">
        <f t="shared" ca="1" si="110"/>
        <v>8235826851.3000002</v>
      </c>
      <c r="S371" s="63"/>
      <c r="T371" s="8">
        <v>532217</v>
      </c>
      <c r="U371" s="8" t="s">
        <v>1546</v>
      </c>
      <c r="V371" s="12">
        <v>10681828</v>
      </c>
      <c r="W371" s="8">
        <v>16.989999999999998</v>
      </c>
      <c r="X371" s="11">
        <f ca="1">IFERROR(__xludf.DUMMYFUNCTION("GOOGLEFINANCE(""BOM:"" &amp; T371,""price"")"),12.39)</f>
        <v>12.39</v>
      </c>
      <c r="Y371" s="8">
        <f t="shared" ca="1" si="111"/>
        <v>-27.074749852854612</v>
      </c>
      <c r="Z371" s="12">
        <f t="shared" si="94"/>
        <v>181484257.71999997</v>
      </c>
      <c r="AA371" s="13">
        <f t="shared" ca="1" si="95"/>
        <v>132347848.92</v>
      </c>
      <c r="AB371" s="63"/>
      <c r="AC371" s="8">
        <v>520131</v>
      </c>
      <c r="AD371" s="8" t="s">
        <v>1547</v>
      </c>
      <c r="AE371" s="12">
        <v>3702270</v>
      </c>
      <c r="AF371" s="8">
        <v>41.65</v>
      </c>
      <c r="AG371" s="8">
        <f ca="1">IFERROR(__xludf.DUMMYFUNCTION("GOOGLEFINANCE(""BOM:"" &amp; AC371,""price"")"),44.04)</f>
        <v>44.04</v>
      </c>
      <c r="AH371" s="8">
        <f t="shared" ca="1" si="118"/>
        <v>5.7382953181272525</v>
      </c>
      <c r="AI371" s="12">
        <f t="shared" si="113"/>
        <v>154199545.5</v>
      </c>
      <c r="AJ371" s="13">
        <f t="shared" ca="1" si="114"/>
        <v>163047970.79999998</v>
      </c>
    </row>
    <row r="372" spans="1:36" x14ac:dyDescent="0.25">
      <c r="A372" s="63"/>
      <c r="B372" s="8">
        <v>533605</v>
      </c>
      <c r="C372" s="8" t="s">
        <v>1548</v>
      </c>
      <c r="D372" s="12">
        <v>125678240</v>
      </c>
      <c r="E372" s="8">
        <v>0.78</v>
      </c>
      <c r="F372" s="8">
        <f ca="1">IFERROR(__xludf.DUMMYFUNCTION("GOOGLEFINANCE(""BOM:"" &amp; B372,""price"")"),0.66)</f>
        <v>0.66</v>
      </c>
      <c r="G372" s="8">
        <f t="shared" ca="1" si="115"/>
        <v>-15.384615384615383</v>
      </c>
      <c r="H372" s="12">
        <f t="shared" si="116"/>
        <v>98029027.200000003</v>
      </c>
      <c r="I372" s="13">
        <f t="shared" ca="1" si="117"/>
        <v>82947638.400000006</v>
      </c>
      <c r="J372" s="63"/>
      <c r="K372" s="8">
        <v>522215</v>
      </c>
      <c r="L372" s="8" t="s">
        <v>1549</v>
      </c>
      <c r="M372" s="12">
        <v>12933986</v>
      </c>
      <c r="N372" s="10">
        <v>493.1</v>
      </c>
      <c r="O372" s="10">
        <f ca="1">IFERROR(__xludf.DUMMYFUNCTION("GOOGLEFINANCE(""BOM:"" &amp; K372,""price"")"),407.05)</f>
        <v>407.05</v>
      </c>
      <c r="P372" s="8">
        <f t="shared" ca="1" si="108"/>
        <v>-17.450821334414929</v>
      </c>
      <c r="Q372" s="12">
        <f t="shared" si="109"/>
        <v>6377748496.6000004</v>
      </c>
      <c r="R372" s="13">
        <f t="shared" ca="1" si="110"/>
        <v>5264779001.3000002</v>
      </c>
      <c r="S372" s="63"/>
      <c r="T372" s="8">
        <v>508905</v>
      </c>
      <c r="U372" s="8" t="s">
        <v>1550</v>
      </c>
      <c r="V372" s="12">
        <v>5537060</v>
      </c>
      <c r="W372" s="8">
        <v>76.75</v>
      </c>
      <c r="X372" s="11">
        <f ca="1">IFERROR(__xludf.DUMMYFUNCTION("GOOGLEFINANCE(""BOM:"" &amp; T372,""price"")"),49.7)</f>
        <v>49.7</v>
      </c>
      <c r="Y372" s="8">
        <f t="shared" ca="1" si="111"/>
        <v>-35.244299674267097</v>
      </c>
      <c r="Z372" s="12">
        <f t="shared" si="94"/>
        <v>424969355</v>
      </c>
      <c r="AA372" s="13">
        <f t="shared" ca="1" si="95"/>
        <v>275191882</v>
      </c>
      <c r="AB372" s="63"/>
      <c r="AC372" s="8">
        <v>532042</v>
      </c>
      <c r="AD372" s="8" t="s">
        <v>1551</v>
      </c>
      <c r="AE372" s="12">
        <v>4180476</v>
      </c>
      <c r="AF372" s="8">
        <v>43.47</v>
      </c>
      <c r="AG372" s="8">
        <f ca="1">IFERROR(__xludf.DUMMYFUNCTION("GOOGLEFINANCE(""BOM:"" &amp; AC372,""price"")"),38.8)</f>
        <v>38.799999999999997</v>
      </c>
      <c r="AH372" s="8">
        <f t="shared" ca="1" si="118"/>
        <v>-10.743041177823791</v>
      </c>
      <c r="AI372" s="12">
        <f t="shared" si="113"/>
        <v>181725291.72</v>
      </c>
      <c r="AJ372" s="13">
        <f t="shared" ca="1" si="114"/>
        <v>162202468.79999998</v>
      </c>
    </row>
    <row r="373" spans="1:36" x14ac:dyDescent="0.25">
      <c r="A373" s="63"/>
      <c r="B373" s="8">
        <v>543391</v>
      </c>
      <c r="C373" s="8" t="s">
        <v>1552</v>
      </c>
      <c r="D373" s="12">
        <v>23806022</v>
      </c>
      <c r="E373" s="8">
        <v>150</v>
      </c>
      <c r="F373" s="8">
        <f ca="1">IFERROR(__xludf.DUMMYFUNCTION("GOOGLEFINANCE(""BOM:"" &amp; B373,""price"")"),111.05)</f>
        <v>111.05</v>
      </c>
      <c r="G373" s="8">
        <f t="shared" ca="1" si="115"/>
        <v>-25.966666666666672</v>
      </c>
      <c r="H373" s="12">
        <f t="shared" si="116"/>
        <v>3570903300</v>
      </c>
      <c r="I373" s="13">
        <f t="shared" ca="1" si="117"/>
        <v>2643658743.0999999</v>
      </c>
      <c r="J373" s="63"/>
      <c r="K373" s="8">
        <v>522064</v>
      </c>
      <c r="L373" s="8" t="s">
        <v>1553</v>
      </c>
      <c r="M373" s="12">
        <v>10030295</v>
      </c>
      <c r="N373" s="10">
        <v>2517.5</v>
      </c>
      <c r="O373" s="10">
        <f ca="1">IFERROR(__xludf.DUMMYFUNCTION("GOOGLEFINANCE(""BOM:"" &amp; K373,""price"")"),2233.45)</f>
        <v>2233.4499999999998</v>
      </c>
      <c r="P373" s="8">
        <f t="shared" ca="1" si="108"/>
        <v>-11.283018867924536</v>
      </c>
      <c r="Q373" s="12">
        <f t="shared" si="109"/>
        <v>25251267662.5</v>
      </c>
      <c r="R373" s="13">
        <f t="shared" ca="1" si="110"/>
        <v>22402162367.75</v>
      </c>
      <c r="S373" s="63"/>
      <c r="T373" s="8">
        <v>542376</v>
      </c>
      <c r="U373" s="8" t="s">
        <v>1554</v>
      </c>
      <c r="V373" s="12">
        <v>2493945</v>
      </c>
      <c r="W373" s="8">
        <v>0</v>
      </c>
      <c r="X373" s="11">
        <f ca="1">IFERROR(__xludf.DUMMYFUNCTION("GOOGLEFINANCE(""BOM:"" &amp; T373,""price"")"),0)</f>
        <v>0</v>
      </c>
      <c r="Y373" s="8">
        <v>0</v>
      </c>
      <c r="Z373" s="12">
        <f t="shared" si="94"/>
        <v>0</v>
      </c>
      <c r="AA373" s="13">
        <f t="shared" ca="1" si="95"/>
        <v>0</v>
      </c>
      <c r="AB373" s="63"/>
      <c r="AC373" s="8">
        <v>530259</v>
      </c>
      <c r="AD373" s="8" t="s">
        <v>1555</v>
      </c>
      <c r="AE373" s="12">
        <v>4639604</v>
      </c>
      <c r="AF373" s="8">
        <v>42.95</v>
      </c>
      <c r="AG373" s="8">
        <f ca="1">IFERROR(__xludf.DUMMYFUNCTION("GOOGLEFINANCE(""BOM:"" &amp; AC373,""price"")"),36.45)</f>
        <v>36.450000000000003</v>
      </c>
      <c r="AH373" s="8">
        <f t="shared" ca="1" si="118"/>
        <v>-15.133876600698484</v>
      </c>
      <c r="AI373" s="12">
        <f t="shared" si="113"/>
        <v>199270991.80000001</v>
      </c>
      <c r="AJ373" s="13">
        <f t="shared" ca="1" si="114"/>
        <v>169113565.80000001</v>
      </c>
    </row>
    <row r="374" spans="1:36" x14ac:dyDescent="0.25">
      <c r="A374" s="63"/>
      <c r="B374" s="8">
        <v>540147</v>
      </c>
      <c r="C374" s="8" t="s">
        <v>1556</v>
      </c>
      <c r="D374" s="12">
        <v>103440000</v>
      </c>
      <c r="E374" s="8">
        <v>5.54</v>
      </c>
      <c r="F374" s="8">
        <f ca="1">IFERROR(__xludf.DUMMYFUNCTION("GOOGLEFINANCE(""BOM:"" &amp; B374,""price"")"),6.11)</f>
        <v>6.11</v>
      </c>
      <c r="G374" s="8">
        <f t="shared" ca="1" si="115"/>
        <v>10.288808664259932</v>
      </c>
      <c r="H374" s="12">
        <f t="shared" si="116"/>
        <v>573057600</v>
      </c>
      <c r="I374" s="13">
        <f t="shared" ca="1" si="117"/>
        <v>632018400</v>
      </c>
      <c r="J374" s="63"/>
      <c r="K374" s="8">
        <v>509709</v>
      </c>
      <c r="L374" s="8" t="s">
        <v>1557</v>
      </c>
      <c r="M374" s="12">
        <v>67394425</v>
      </c>
      <c r="N374" s="10">
        <v>88.89</v>
      </c>
      <c r="O374" s="10">
        <f ca="1">IFERROR(__xludf.DUMMYFUNCTION("GOOGLEFINANCE(""BOM:"" &amp; K374,""price"")"),79.46)</f>
        <v>79.459999999999994</v>
      </c>
      <c r="P374" s="8">
        <f t="shared" ca="1" si="108"/>
        <v>-10.608617392282603</v>
      </c>
      <c r="Q374" s="12">
        <f t="shared" si="109"/>
        <v>5990690438.25</v>
      </c>
      <c r="R374" s="13">
        <f t="shared" ca="1" si="110"/>
        <v>5355161010.5</v>
      </c>
      <c r="S374" s="63"/>
      <c r="T374" s="8">
        <v>539026</v>
      </c>
      <c r="U374" s="8" t="s">
        <v>1558</v>
      </c>
      <c r="V374" s="12">
        <v>3783300</v>
      </c>
      <c r="W374" s="8">
        <v>9</v>
      </c>
      <c r="X374" s="11">
        <f ca="1">IFERROR(__xludf.DUMMYFUNCTION("GOOGLEFINANCE(""BOM:"" &amp; T374,""price"")"),9)</f>
        <v>9</v>
      </c>
      <c r="Y374" s="8">
        <f t="shared" ref="Y374:Y382" ca="1" si="119">((X374-W374)/W374)*100</f>
        <v>0</v>
      </c>
      <c r="Z374" s="12">
        <f t="shared" si="94"/>
        <v>34049700</v>
      </c>
      <c r="AA374" s="13">
        <f t="shared" ca="1" si="95"/>
        <v>34049700</v>
      </c>
      <c r="AB374" s="64"/>
      <c r="AC374" s="14">
        <v>526795</v>
      </c>
      <c r="AD374" s="14" t="s">
        <v>1559</v>
      </c>
      <c r="AE374" s="15">
        <v>4223350</v>
      </c>
      <c r="AF374" s="14">
        <v>7.97</v>
      </c>
      <c r="AG374" s="14">
        <f ca="1">IFERROR(__xludf.DUMMYFUNCTION("GOOGLEFINANCE(""BOM:"" &amp; AC374,""price"")"),7.81)</f>
        <v>7.81</v>
      </c>
      <c r="AH374" s="14">
        <f t="shared" ca="1" si="118"/>
        <v>-2.0075282308657485</v>
      </c>
      <c r="AI374" s="15">
        <f t="shared" si="113"/>
        <v>33660099.5</v>
      </c>
      <c r="AJ374" s="16">
        <f t="shared" ca="1" si="114"/>
        <v>32984363.5</v>
      </c>
    </row>
    <row r="375" spans="1:36" x14ac:dyDescent="0.25">
      <c r="A375" s="63"/>
      <c r="B375" s="8">
        <v>541112</v>
      </c>
      <c r="C375" s="8" t="s">
        <v>1560</v>
      </c>
      <c r="D375" s="12">
        <v>13203396</v>
      </c>
      <c r="E375" s="8">
        <v>30</v>
      </c>
      <c r="F375" s="8">
        <f ca="1">IFERROR(__xludf.DUMMYFUNCTION("GOOGLEFINANCE(""BOM:"" &amp; B375,""price"")"),30)</f>
        <v>30</v>
      </c>
      <c r="G375" s="8">
        <f t="shared" ca="1" si="115"/>
        <v>0</v>
      </c>
      <c r="H375" s="12">
        <f t="shared" si="116"/>
        <v>396101880</v>
      </c>
      <c r="I375" s="13">
        <f t="shared" ca="1" si="117"/>
        <v>396101880</v>
      </c>
      <c r="J375" s="63"/>
      <c r="K375" s="8">
        <v>522245</v>
      </c>
      <c r="L375" s="8" t="s">
        <v>1561</v>
      </c>
      <c r="M375" s="12">
        <v>3340680</v>
      </c>
      <c r="N375" s="10">
        <v>26.84</v>
      </c>
      <c r="O375" s="10">
        <f ca="1">IFERROR(__xludf.DUMMYFUNCTION("GOOGLEFINANCE(""BOM:"" &amp; K375,""price"")"),33.88)</f>
        <v>33.880000000000003</v>
      </c>
      <c r="P375" s="8">
        <f t="shared" ca="1" si="108"/>
        <v>26.229508196721323</v>
      </c>
      <c r="Q375" s="12">
        <f t="shared" si="109"/>
        <v>89663851.200000003</v>
      </c>
      <c r="R375" s="13">
        <f t="shared" ca="1" si="110"/>
        <v>113182238.40000001</v>
      </c>
      <c r="S375" s="63"/>
      <c r="T375" s="8">
        <v>526071</v>
      </c>
      <c r="U375" s="8" t="s">
        <v>1562</v>
      </c>
      <c r="V375" s="12">
        <v>652895</v>
      </c>
      <c r="W375" s="8">
        <v>14.4</v>
      </c>
      <c r="X375" s="11">
        <f ca="1">IFERROR(__xludf.DUMMYFUNCTION("GOOGLEFINANCE(""BOM:"" &amp; T375,""price"")"),15.12)</f>
        <v>15.12</v>
      </c>
      <c r="Y375" s="8">
        <f t="shared" ca="1" si="119"/>
        <v>4.999999999999992</v>
      </c>
      <c r="Z375" s="12">
        <f t="shared" si="94"/>
        <v>9401688</v>
      </c>
      <c r="AA375" s="13">
        <f t="shared" ca="1" si="95"/>
        <v>9871772.4000000004</v>
      </c>
      <c r="AB375" s="65" t="s">
        <v>1563</v>
      </c>
      <c r="AC375" s="6">
        <v>523694</v>
      </c>
      <c r="AD375" s="6" t="s">
        <v>1564</v>
      </c>
      <c r="AE375" s="7">
        <v>50294506</v>
      </c>
      <c r="AF375" s="8">
        <v>472.7</v>
      </c>
      <c r="AG375" s="8">
        <f ca="1">IFERROR(__xludf.DUMMYFUNCTION("GOOGLEFINANCE(""BOM:"" &amp; AC375,""price"")"),440.65)</f>
        <v>440.65</v>
      </c>
      <c r="AH375" s="8">
        <f t="shared" ca="1" si="118"/>
        <v>-6.7801988576264041</v>
      </c>
      <c r="AI375" s="7">
        <f t="shared" si="113"/>
        <v>23774212986.200001</v>
      </c>
      <c r="AJ375" s="9">
        <f t="shared" ca="1" si="114"/>
        <v>22162274068.899998</v>
      </c>
    </row>
    <row r="376" spans="1:36" x14ac:dyDescent="0.25">
      <c r="A376" s="63"/>
      <c r="B376" s="8">
        <v>523838</v>
      </c>
      <c r="C376" s="8" t="s">
        <v>1565</v>
      </c>
      <c r="D376" s="12">
        <v>56700885</v>
      </c>
      <c r="E376" s="8">
        <v>103.65</v>
      </c>
      <c r="F376" s="8">
        <f ca="1">IFERROR(__xludf.DUMMYFUNCTION("GOOGLEFINANCE(""BOM:"" &amp; B376,""price"")"),102.45)</f>
        <v>102.45</v>
      </c>
      <c r="G376" s="8">
        <f t="shared" ca="1" si="115"/>
        <v>-1.1577424023154874</v>
      </c>
      <c r="H376" s="12">
        <f t="shared" si="116"/>
        <v>5877046730.25</v>
      </c>
      <c r="I376" s="13">
        <f t="shared" ca="1" si="117"/>
        <v>5809005668.25</v>
      </c>
      <c r="J376" s="63"/>
      <c r="K376" s="8">
        <v>505750</v>
      </c>
      <c r="L376" s="8" t="s">
        <v>1566</v>
      </c>
      <c r="M376" s="12">
        <v>1824734</v>
      </c>
      <c r="N376" s="10">
        <v>681.15</v>
      </c>
      <c r="O376" s="10">
        <f ca="1">IFERROR(__xludf.DUMMYFUNCTION("GOOGLEFINANCE(""BOM:"" &amp; K376,""price"")"),739.2)</f>
        <v>739.2</v>
      </c>
      <c r="P376" s="8">
        <f t="shared" ca="1" si="108"/>
        <v>8.5223519048667811</v>
      </c>
      <c r="Q376" s="12">
        <f t="shared" si="109"/>
        <v>1242917564.0999999</v>
      </c>
      <c r="R376" s="13">
        <f t="shared" ca="1" si="110"/>
        <v>1348843372.8000002</v>
      </c>
      <c r="S376" s="63"/>
      <c r="T376" s="8">
        <v>536738</v>
      </c>
      <c r="U376" s="8" t="s">
        <v>1567</v>
      </c>
      <c r="V376" s="12">
        <v>24961500</v>
      </c>
      <c r="W376" s="8">
        <v>5.74</v>
      </c>
      <c r="X376" s="11">
        <f ca="1">IFERROR(__xludf.DUMMYFUNCTION("GOOGLEFINANCE(""BOM:"" &amp; T376,""price"")"),5.74)</f>
        <v>5.74</v>
      </c>
      <c r="Y376" s="8">
        <f t="shared" ca="1" si="119"/>
        <v>0</v>
      </c>
      <c r="Z376" s="12">
        <f t="shared" si="94"/>
        <v>143279010</v>
      </c>
      <c r="AA376" s="13">
        <f t="shared" ca="1" si="95"/>
        <v>143279010</v>
      </c>
      <c r="AB376" s="63"/>
      <c r="AC376" s="8">
        <v>509152</v>
      </c>
      <c r="AD376" s="8" t="s">
        <v>1568</v>
      </c>
      <c r="AE376" s="12">
        <v>1287174</v>
      </c>
      <c r="AF376" s="8">
        <v>6542.2</v>
      </c>
      <c r="AG376" s="8">
        <f ca="1">IFERROR(__xludf.DUMMYFUNCTION("GOOGLEFINANCE(""BOM:"" &amp; AC376,""price"")"),6496.2)</f>
        <v>6496.2</v>
      </c>
      <c r="AH376" s="8">
        <f t="shared" ca="1" si="118"/>
        <v>-0.70312738834031363</v>
      </c>
      <c r="AI376" s="12">
        <f t="shared" si="113"/>
        <v>8420949742.8000002</v>
      </c>
      <c r="AJ376" s="13">
        <f t="shared" ca="1" si="114"/>
        <v>8361739738.8000002</v>
      </c>
    </row>
    <row r="377" spans="1:36" x14ac:dyDescent="0.25">
      <c r="A377" s="63"/>
      <c r="B377" s="8">
        <v>526839</v>
      </c>
      <c r="C377" s="8" t="s">
        <v>1569</v>
      </c>
      <c r="D377" s="12">
        <v>3265744</v>
      </c>
      <c r="E377" s="8">
        <v>11.49</v>
      </c>
      <c r="F377" s="8">
        <f ca="1">IFERROR(__xludf.DUMMYFUNCTION("GOOGLEFINANCE(""BOM:"" &amp; B377,""price"")"),9.81)</f>
        <v>9.81</v>
      </c>
      <c r="G377" s="8">
        <f t="shared" ca="1" si="115"/>
        <v>-14.621409921671017</v>
      </c>
      <c r="H377" s="12">
        <f t="shared" si="116"/>
        <v>37523398.560000002</v>
      </c>
      <c r="I377" s="13">
        <f t="shared" ca="1" si="117"/>
        <v>32036948.640000001</v>
      </c>
      <c r="J377" s="63"/>
      <c r="K377" s="8">
        <v>524109</v>
      </c>
      <c r="L377" s="8" t="s">
        <v>1570</v>
      </c>
      <c r="M377" s="12">
        <v>31693364</v>
      </c>
      <c r="N377" s="10">
        <v>360.55</v>
      </c>
      <c r="O377" s="10">
        <f ca="1">IFERROR(__xludf.DUMMYFUNCTION("GOOGLEFINANCE(""BOM:"" &amp; K377,""price"")"),293.5)</f>
        <v>293.5</v>
      </c>
      <c r="P377" s="8">
        <f t="shared" ca="1" si="108"/>
        <v>-18.596588545278049</v>
      </c>
      <c r="Q377" s="12">
        <f t="shared" si="109"/>
        <v>11427042390.200001</v>
      </c>
      <c r="R377" s="13">
        <f t="shared" ca="1" si="110"/>
        <v>9302002334</v>
      </c>
      <c r="S377" s="63"/>
      <c r="T377" s="8">
        <v>531509</v>
      </c>
      <c r="U377" s="8" t="s">
        <v>1571</v>
      </c>
      <c r="V377" s="12">
        <v>3729094</v>
      </c>
      <c r="W377" s="8">
        <v>41.01</v>
      </c>
      <c r="X377" s="11">
        <f ca="1">IFERROR(__xludf.DUMMYFUNCTION("GOOGLEFINANCE(""BOM:"" &amp; T377,""price"")"),42.84)</f>
        <v>42.84</v>
      </c>
      <c r="Y377" s="8">
        <f t="shared" ca="1" si="119"/>
        <v>4.462326261887358</v>
      </c>
      <c r="Z377" s="12">
        <f t="shared" si="94"/>
        <v>152930144.94</v>
      </c>
      <c r="AA377" s="13">
        <f t="shared" ca="1" si="95"/>
        <v>159754386.96000001</v>
      </c>
      <c r="AB377" s="63"/>
      <c r="AC377" s="8">
        <v>500333</v>
      </c>
      <c r="AD377" s="8" t="s">
        <v>1572</v>
      </c>
      <c r="AE377" s="12">
        <v>13111163</v>
      </c>
      <c r="AF377" s="8">
        <v>1379.9</v>
      </c>
      <c r="AG377" s="8">
        <f ca="1">IFERROR(__xludf.DUMMYFUNCTION("GOOGLEFINANCE(""BOM:"" &amp; AC377,""price"")"),1339.95)</f>
        <v>1339.95</v>
      </c>
      <c r="AH377" s="8">
        <f t="shared" ca="1" si="118"/>
        <v>-2.8951373287919444</v>
      </c>
      <c r="AI377" s="12">
        <f t="shared" si="113"/>
        <v>18092093823.700001</v>
      </c>
      <c r="AJ377" s="13">
        <f t="shared" ca="1" si="114"/>
        <v>17568302861.850002</v>
      </c>
    </row>
    <row r="378" spans="1:36" x14ac:dyDescent="0.25">
      <c r="A378" s="63"/>
      <c r="B378" s="8">
        <v>500402</v>
      </c>
      <c r="C378" s="8" t="s">
        <v>1573</v>
      </c>
      <c r="D378" s="12">
        <v>42523925</v>
      </c>
      <c r="E378" s="8">
        <v>108.75</v>
      </c>
      <c r="F378" s="8">
        <f ca="1">IFERROR(__xludf.DUMMYFUNCTION("GOOGLEFINANCE(""BOM:"" &amp; B378,""price"")"),129.8)</f>
        <v>129.80000000000001</v>
      </c>
      <c r="G378" s="8">
        <f t="shared" ca="1" si="115"/>
        <v>19.356321839080472</v>
      </c>
      <c r="H378" s="12">
        <f t="shared" si="116"/>
        <v>4624476843.75</v>
      </c>
      <c r="I378" s="13">
        <f t="shared" ca="1" si="117"/>
        <v>5519605465.000001</v>
      </c>
      <c r="J378" s="63"/>
      <c r="K378" s="8">
        <v>505890</v>
      </c>
      <c r="L378" s="8" t="s">
        <v>1574</v>
      </c>
      <c r="M378" s="12">
        <v>21813386</v>
      </c>
      <c r="N378" s="10">
        <v>2300.4499999999998</v>
      </c>
      <c r="O378" s="10">
        <f ca="1">IFERROR(__xludf.DUMMYFUNCTION("GOOGLEFINANCE(""BOM:"" &amp; K378,""price"")"),2379.15)</f>
        <v>2379.15</v>
      </c>
      <c r="P378" s="8">
        <f t="shared" ca="1" si="108"/>
        <v>3.4210697906931378</v>
      </c>
      <c r="Q378" s="12">
        <f t="shared" si="109"/>
        <v>50180603823.699997</v>
      </c>
      <c r="R378" s="13">
        <f t="shared" ca="1" si="110"/>
        <v>51897317301.900002</v>
      </c>
      <c r="S378" s="63"/>
      <c r="T378" s="8">
        <v>512215</v>
      </c>
      <c r="U378" s="8" t="s">
        <v>1575</v>
      </c>
      <c r="V378" s="12">
        <v>6352530</v>
      </c>
      <c r="W378" s="8">
        <v>41</v>
      </c>
      <c r="X378" s="11">
        <f ca="1">IFERROR(__xludf.DUMMYFUNCTION("GOOGLEFINANCE(""BOM:"" &amp; T378,""price"")"),44.5)</f>
        <v>44.5</v>
      </c>
      <c r="Y378" s="8">
        <f t="shared" ca="1" si="119"/>
        <v>8.536585365853659</v>
      </c>
      <c r="Z378" s="12">
        <f t="shared" si="94"/>
        <v>260453730</v>
      </c>
      <c r="AA378" s="13">
        <f t="shared" ca="1" si="95"/>
        <v>282687585</v>
      </c>
      <c r="AB378" s="63"/>
      <c r="AC378" s="8">
        <v>526492</v>
      </c>
      <c r="AD378" s="8" t="s">
        <v>1576</v>
      </c>
      <c r="AE378" s="12">
        <v>8926668</v>
      </c>
      <c r="AF378" s="8">
        <v>192.45</v>
      </c>
      <c r="AG378" s="8">
        <f ca="1">IFERROR(__xludf.DUMMYFUNCTION("GOOGLEFINANCE(""BOM:"" &amp; AC378,""price"")"),177.7)</f>
        <v>177.7</v>
      </c>
      <c r="AH378" s="8">
        <f t="shared" ca="1" si="118"/>
        <v>-7.6643283969862308</v>
      </c>
      <c r="AI378" s="12">
        <f t="shared" si="113"/>
        <v>1717937256.5999999</v>
      </c>
      <c r="AJ378" s="13">
        <f t="shared" ca="1" si="114"/>
        <v>1586268903.5999999</v>
      </c>
    </row>
    <row r="379" spans="1:36" x14ac:dyDescent="0.25">
      <c r="A379" s="63"/>
      <c r="B379" s="8">
        <v>532738</v>
      </c>
      <c r="C379" s="8" t="s">
        <v>1577</v>
      </c>
      <c r="D379" s="12">
        <v>18810407</v>
      </c>
      <c r="E379" s="8" t="s">
        <v>44</v>
      </c>
      <c r="F379" s="8" t="s">
        <v>44</v>
      </c>
      <c r="G379" s="8"/>
      <c r="H379" s="12"/>
      <c r="I379" s="13"/>
      <c r="J379" s="63"/>
      <c r="K379" s="8">
        <v>539992</v>
      </c>
      <c r="L379" s="8" t="s">
        <v>1578</v>
      </c>
      <c r="M379" s="12">
        <v>980467824</v>
      </c>
      <c r="N379" s="10">
        <v>58.2</v>
      </c>
      <c r="O379" s="10">
        <f ca="1">IFERROR(__xludf.DUMMYFUNCTION("GOOGLEFINANCE(""BOM:"" &amp; K379,""price"")"),48.99)</f>
        <v>48.99</v>
      </c>
      <c r="P379" s="8">
        <f t="shared" ca="1" si="108"/>
        <v>-15.82474226804124</v>
      </c>
      <c r="Q379" s="12">
        <f t="shared" si="109"/>
        <v>57063227356.800003</v>
      </c>
      <c r="R379" s="13">
        <f t="shared" ca="1" si="110"/>
        <v>48033118697.760002</v>
      </c>
      <c r="S379" s="63"/>
      <c r="T379" s="8">
        <v>530419</v>
      </c>
      <c r="U379" s="8" t="s">
        <v>1579</v>
      </c>
      <c r="V379" s="12">
        <v>7873929</v>
      </c>
      <c r="W379" s="8">
        <v>53.86</v>
      </c>
      <c r="X379" s="11">
        <f ca="1">IFERROR(__xludf.DUMMYFUNCTION("GOOGLEFINANCE(""BOM:"" &amp; T379,""price"")"),46)</f>
        <v>46</v>
      </c>
      <c r="Y379" s="8">
        <f t="shared" ca="1" si="119"/>
        <v>-14.593390271073151</v>
      </c>
      <c r="Z379" s="12">
        <f t="shared" si="94"/>
        <v>424089815.94</v>
      </c>
      <c r="AA379" s="13">
        <f t="shared" ca="1" si="95"/>
        <v>362200734</v>
      </c>
      <c r="AB379" s="64"/>
      <c r="AC379" s="14">
        <v>534598</v>
      </c>
      <c r="AD379" s="14" t="s">
        <v>1580</v>
      </c>
      <c r="AE379" s="15">
        <v>40588994</v>
      </c>
      <c r="AF379" s="14">
        <v>21.95</v>
      </c>
      <c r="AG379" s="14">
        <f ca="1">IFERROR(__xludf.DUMMYFUNCTION("GOOGLEFINANCE(""BOM:"" &amp; AC379,""price"")"),22.01)</f>
        <v>22.01</v>
      </c>
      <c r="AH379" s="14">
        <f t="shared" ca="1" si="118"/>
        <v>0.27334851936219717</v>
      </c>
      <c r="AI379" s="15">
        <f t="shared" si="113"/>
        <v>890928418.29999995</v>
      </c>
      <c r="AJ379" s="16">
        <f t="shared" ca="1" si="114"/>
        <v>893363757.94000006</v>
      </c>
    </row>
    <row r="380" spans="1:36" x14ac:dyDescent="0.25">
      <c r="A380" s="63"/>
      <c r="B380" s="8">
        <v>532869</v>
      </c>
      <c r="C380" s="8" t="s">
        <v>1581</v>
      </c>
      <c r="D380" s="12">
        <v>15799791</v>
      </c>
      <c r="E380" s="8">
        <v>135.35</v>
      </c>
      <c r="F380" s="8">
        <f ca="1">IFERROR(__xludf.DUMMYFUNCTION("GOOGLEFINANCE(""BOM:"" &amp; B380,""price"")"),90.85)</f>
        <v>90.85</v>
      </c>
      <c r="G380" s="8">
        <f t="shared" ref="G380:G386" ca="1" si="120">((F380-E380)/E380)*100</f>
        <v>-32.877724418175106</v>
      </c>
      <c r="H380" s="12">
        <f t="shared" ref="H380:H386" si="121">D380*E380</f>
        <v>2138501711.8499999</v>
      </c>
      <c r="I380" s="13">
        <f t="shared" ref="I380:I386" ca="1" si="122">D380*F380</f>
        <v>1435411012.3499999</v>
      </c>
      <c r="J380" s="63"/>
      <c r="K380" s="8">
        <v>532740</v>
      </c>
      <c r="L380" s="8" t="s">
        <v>1582</v>
      </c>
      <c r="M380" s="12">
        <v>17893760</v>
      </c>
      <c r="N380" s="10">
        <v>330.7</v>
      </c>
      <c r="O380" s="10">
        <f ca="1">IFERROR(__xludf.DUMMYFUNCTION("GOOGLEFINANCE(""BOM:"" &amp; K380,""price"")"),371.35)</f>
        <v>371.35</v>
      </c>
      <c r="P380" s="8">
        <f t="shared" ca="1" si="108"/>
        <v>12.292107650438474</v>
      </c>
      <c r="Q380" s="12">
        <f t="shared" si="109"/>
        <v>5917466432</v>
      </c>
      <c r="R380" s="13">
        <f t="shared" ca="1" si="110"/>
        <v>6644847776</v>
      </c>
      <c r="S380" s="63"/>
      <c r="T380" s="8">
        <v>501110</v>
      </c>
      <c r="U380" s="8" t="s">
        <v>1583</v>
      </c>
      <c r="V380" s="12">
        <v>475100</v>
      </c>
      <c r="W380" s="8">
        <v>7.15</v>
      </c>
      <c r="X380" s="11">
        <f ca="1">IFERROR(__xludf.DUMMYFUNCTION("GOOGLEFINANCE(""BOM:"" &amp; T380,""price"")"),7.15)</f>
        <v>7.15</v>
      </c>
      <c r="Y380" s="8">
        <f t="shared" ca="1" si="119"/>
        <v>0</v>
      </c>
      <c r="Z380" s="12">
        <f t="shared" si="94"/>
        <v>3396965</v>
      </c>
      <c r="AA380" s="13">
        <f t="shared" ca="1" si="95"/>
        <v>3396965</v>
      </c>
      <c r="AB380" s="65" t="s">
        <v>1584</v>
      </c>
      <c r="AC380" s="6">
        <v>540678</v>
      </c>
      <c r="AD380" s="6" t="s">
        <v>1585</v>
      </c>
      <c r="AE380" s="7">
        <v>263080778</v>
      </c>
      <c r="AF380" s="8">
        <v>873.8</v>
      </c>
      <c r="AG380" s="8">
        <f ca="1">IFERROR(__xludf.DUMMYFUNCTION("GOOGLEFINANCE(""BOM:"" &amp; AC380,""price"")"),871.75)</f>
        <v>871.75</v>
      </c>
      <c r="AH380" s="8">
        <f t="shared" ca="1" si="118"/>
        <v>-0.23460746166170227</v>
      </c>
      <c r="AI380" s="7">
        <f t="shared" si="113"/>
        <v>229879983816.39999</v>
      </c>
      <c r="AJ380" s="9">
        <f t="shared" ca="1" si="114"/>
        <v>229340668221.5</v>
      </c>
    </row>
    <row r="381" spans="1:36" x14ac:dyDescent="0.25">
      <c r="A381" s="63"/>
      <c r="B381" s="8">
        <v>541735</v>
      </c>
      <c r="C381" s="8" t="s">
        <v>1586</v>
      </c>
      <c r="D381" s="12">
        <v>121567125</v>
      </c>
      <c r="E381" s="8">
        <v>4.22</v>
      </c>
      <c r="F381" s="8">
        <f ca="1">IFERROR(__xludf.DUMMYFUNCTION("GOOGLEFINANCE(""BOM:"" &amp; B381,""price"")"),3.55)</f>
        <v>3.55</v>
      </c>
      <c r="G381" s="8">
        <f t="shared" ca="1" si="120"/>
        <v>-15.876777251184834</v>
      </c>
      <c r="H381" s="12">
        <f t="shared" si="121"/>
        <v>513013267.49999994</v>
      </c>
      <c r="I381" s="13">
        <f t="shared" ca="1" si="122"/>
        <v>431563293.75</v>
      </c>
      <c r="J381" s="63"/>
      <c r="K381" s="8">
        <v>539227</v>
      </c>
      <c r="L381" s="8" t="s">
        <v>1587</v>
      </c>
      <c r="M381" s="12">
        <v>10200000</v>
      </c>
      <c r="N381" s="10">
        <v>144.44999999999999</v>
      </c>
      <c r="O381" s="10">
        <f ca="1">IFERROR(__xludf.DUMMYFUNCTION("GOOGLEFINANCE(""BOM:"" &amp; K381,""price"")"),156.65)</f>
        <v>156.65</v>
      </c>
      <c r="P381" s="8">
        <f t="shared" ca="1" si="108"/>
        <v>8.4458290065766821</v>
      </c>
      <c r="Q381" s="12">
        <f t="shared" si="109"/>
        <v>1473390000</v>
      </c>
      <c r="R381" s="13">
        <f t="shared" ca="1" si="110"/>
        <v>1597830000</v>
      </c>
      <c r="S381" s="63"/>
      <c r="T381" s="8">
        <v>511539</v>
      </c>
      <c r="U381" s="8" t="s">
        <v>1588</v>
      </c>
      <c r="V381" s="12">
        <v>217833</v>
      </c>
      <c r="W381" s="8">
        <v>38.94</v>
      </c>
      <c r="X381" s="11">
        <f ca="1">IFERROR(__xludf.DUMMYFUNCTION("GOOGLEFINANCE(""BOM:"" &amp; T381,""price"")"),40.88)</f>
        <v>40.880000000000003</v>
      </c>
      <c r="Y381" s="8">
        <f t="shared" ca="1" si="119"/>
        <v>4.9820236260914355</v>
      </c>
      <c r="Z381" s="12">
        <f t="shared" si="94"/>
        <v>8482417.0199999996</v>
      </c>
      <c r="AA381" s="13">
        <f t="shared" ca="1" si="95"/>
        <v>8905013.040000001</v>
      </c>
      <c r="AB381" s="63"/>
      <c r="AC381" s="8">
        <v>526931</v>
      </c>
      <c r="AD381" s="8" t="s">
        <v>1589</v>
      </c>
      <c r="AE381" s="12">
        <v>6124467</v>
      </c>
      <c r="AF381" s="8">
        <v>109.25</v>
      </c>
      <c r="AG381" s="8">
        <f ca="1">IFERROR(__xludf.DUMMYFUNCTION("GOOGLEFINANCE(""BOM:"" &amp; AC381,""price"")"),85.2)</f>
        <v>85.2</v>
      </c>
      <c r="AH381" s="8">
        <f t="shared" ca="1" si="118"/>
        <v>-22.013729977116704</v>
      </c>
      <c r="AI381" s="12">
        <f t="shared" si="113"/>
        <v>669098019.75</v>
      </c>
      <c r="AJ381" s="13">
        <f t="shared" ca="1" si="114"/>
        <v>521804588.40000004</v>
      </c>
    </row>
    <row r="382" spans="1:36" x14ac:dyDescent="0.25">
      <c r="A382" s="63"/>
      <c r="B382" s="8">
        <v>519331</v>
      </c>
      <c r="C382" s="8" t="s">
        <v>1590</v>
      </c>
      <c r="D382" s="12">
        <v>4565197</v>
      </c>
      <c r="E382" s="8">
        <v>62.58</v>
      </c>
      <c r="F382" s="8">
        <f ca="1">IFERROR(__xludf.DUMMYFUNCTION("GOOGLEFINANCE(""BOM:"" &amp; B382,""price"")"),60.5)</f>
        <v>60.5</v>
      </c>
      <c r="G382" s="8">
        <f t="shared" ca="1" si="120"/>
        <v>-3.3237456056247976</v>
      </c>
      <c r="H382" s="12">
        <f t="shared" si="121"/>
        <v>285690028.25999999</v>
      </c>
      <c r="I382" s="13">
        <f t="shared" ca="1" si="122"/>
        <v>276194418.5</v>
      </c>
      <c r="J382" s="63"/>
      <c r="K382" s="8">
        <v>523754</v>
      </c>
      <c r="L382" s="8" t="s">
        <v>1591</v>
      </c>
      <c r="M382" s="12">
        <v>27290866</v>
      </c>
      <c r="N382" s="10">
        <v>131</v>
      </c>
      <c r="O382" s="10">
        <f ca="1">IFERROR(__xludf.DUMMYFUNCTION("GOOGLEFINANCE(""BOM:"" &amp; K382,""price"")"),118.6)</f>
        <v>118.6</v>
      </c>
      <c r="P382" s="8">
        <f t="shared" ca="1" si="108"/>
        <v>-9.4656488549618363</v>
      </c>
      <c r="Q382" s="12">
        <f t="shared" si="109"/>
        <v>3575103446</v>
      </c>
      <c r="R382" s="13">
        <f t="shared" ca="1" si="110"/>
        <v>3236696707.5999999</v>
      </c>
      <c r="S382" s="63"/>
      <c r="T382" s="8">
        <v>539278</v>
      </c>
      <c r="U382" s="8" t="s">
        <v>1592</v>
      </c>
      <c r="V382" s="12">
        <v>30805828</v>
      </c>
      <c r="W382" s="8">
        <v>3.03</v>
      </c>
      <c r="X382" s="11">
        <f ca="1">IFERROR(__xludf.DUMMYFUNCTION("GOOGLEFINANCE(""BOM:"" &amp; T382,""price"")"),2.72)</f>
        <v>2.72</v>
      </c>
      <c r="Y382" s="8">
        <f t="shared" ca="1" si="119"/>
        <v>-10.231023102310219</v>
      </c>
      <c r="Z382" s="12">
        <f t="shared" si="94"/>
        <v>93341658.839999989</v>
      </c>
      <c r="AA382" s="13">
        <f t="shared" ca="1" si="95"/>
        <v>83791852.160000011</v>
      </c>
      <c r="AB382" s="63"/>
      <c r="AC382" s="8">
        <v>537669</v>
      </c>
      <c r="AD382" s="8" t="s">
        <v>1593</v>
      </c>
      <c r="AE382" s="12">
        <v>5752000</v>
      </c>
      <c r="AF382" s="8">
        <v>63.18</v>
      </c>
      <c r="AG382" s="8">
        <f ca="1">IFERROR(__xludf.DUMMYFUNCTION("GOOGLEFINANCE(""BOM:"" &amp; AC382,""price"")"),63.18)</f>
        <v>63.18</v>
      </c>
      <c r="AH382" s="8">
        <f t="shared" ca="1" si="118"/>
        <v>0</v>
      </c>
      <c r="AI382" s="12">
        <f t="shared" si="113"/>
        <v>363411360</v>
      </c>
      <c r="AJ382" s="13">
        <f t="shared" ca="1" si="114"/>
        <v>363411360</v>
      </c>
    </row>
    <row r="383" spans="1:36" x14ac:dyDescent="0.25">
      <c r="A383" s="64"/>
      <c r="B383" s="14">
        <v>536846</v>
      </c>
      <c r="C383" s="14" t="s">
        <v>1594</v>
      </c>
      <c r="D383" s="15">
        <v>2621100</v>
      </c>
      <c r="E383" s="8">
        <v>79.989999999999995</v>
      </c>
      <c r="F383" s="14">
        <f ca="1">IFERROR(__xludf.DUMMYFUNCTION("GOOGLEFINANCE(""BOM:"" &amp; B383,""price"")"),74.73)</f>
        <v>74.73</v>
      </c>
      <c r="G383" s="14">
        <f t="shared" ca="1" si="120"/>
        <v>-6.575821977747208</v>
      </c>
      <c r="H383" s="15">
        <f t="shared" si="121"/>
        <v>209661789</v>
      </c>
      <c r="I383" s="16">
        <f t="shared" ca="1" si="122"/>
        <v>195874803</v>
      </c>
      <c r="J383" s="63"/>
      <c r="K383" s="8">
        <v>505324</v>
      </c>
      <c r="L383" s="8" t="s">
        <v>1595</v>
      </c>
      <c r="M383" s="12">
        <v>29918330</v>
      </c>
      <c r="N383" s="10">
        <v>25.25</v>
      </c>
      <c r="O383" s="10">
        <f ca="1">IFERROR(__xludf.DUMMYFUNCTION("GOOGLEFINANCE(""BOM:"" &amp; K383,""price"")"),21.4)</f>
        <v>21.4</v>
      </c>
      <c r="P383" s="8">
        <f t="shared" ca="1" si="108"/>
        <v>-15.247524752475252</v>
      </c>
      <c r="Q383" s="12">
        <f t="shared" si="109"/>
        <v>755437832.5</v>
      </c>
      <c r="R383" s="13">
        <f t="shared" ca="1" si="110"/>
        <v>640252262</v>
      </c>
      <c r="S383" s="63"/>
      <c r="T383" s="8">
        <v>506162</v>
      </c>
      <c r="U383" s="8" t="s">
        <v>1596</v>
      </c>
      <c r="V383" s="12">
        <v>107550</v>
      </c>
      <c r="W383" s="8">
        <v>0</v>
      </c>
      <c r="X383" s="11">
        <f ca="1">IFERROR(__xludf.DUMMYFUNCTION("GOOGLEFINANCE(""BOM:"" &amp; T383,""price"")"),0)</f>
        <v>0</v>
      </c>
      <c r="Y383" s="8">
        <v>0</v>
      </c>
      <c r="Z383" s="12">
        <f t="shared" si="94"/>
        <v>0</v>
      </c>
      <c r="AA383" s="13">
        <f t="shared" ca="1" si="95"/>
        <v>0</v>
      </c>
      <c r="AB383" s="63"/>
      <c r="AC383" s="8">
        <v>543237</v>
      </c>
      <c r="AD383" s="8" t="s">
        <v>1597</v>
      </c>
      <c r="AE383" s="12">
        <v>201690000</v>
      </c>
      <c r="AF383" s="8">
        <v>2098.8000000000002</v>
      </c>
      <c r="AG383" s="8">
        <f ca="1">IFERROR(__xludf.DUMMYFUNCTION("GOOGLEFINANCE(""BOM:"" &amp; AC383,""price"")"),1860.9)</f>
        <v>1860.9</v>
      </c>
      <c r="AH383" s="8">
        <f t="shared" ca="1" si="118"/>
        <v>-11.335048599199546</v>
      </c>
      <c r="AI383" s="12">
        <f t="shared" si="113"/>
        <v>423306972000.00006</v>
      </c>
      <c r="AJ383" s="13">
        <f t="shared" ca="1" si="114"/>
        <v>375324921000</v>
      </c>
    </row>
    <row r="384" spans="1:36" x14ac:dyDescent="0.25">
      <c r="A384" s="62" t="s">
        <v>1598</v>
      </c>
      <c r="B384" s="6">
        <v>542437</v>
      </c>
      <c r="C384" s="6" t="s">
        <v>1599</v>
      </c>
      <c r="D384" s="7">
        <v>56914150</v>
      </c>
      <c r="E384" s="6">
        <v>55.15</v>
      </c>
      <c r="F384" s="8">
        <f ca="1">IFERROR(__xludf.DUMMYFUNCTION("GOOGLEFINANCE(""BOM:"" &amp; B384,""price"")"),41.98)</f>
        <v>41.98</v>
      </c>
      <c r="G384" s="8">
        <f t="shared" ca="1" si="120"/>
        <v>-23.88032638259293</v>
      </c>
      <c r="H384" s="7">
        <f t="shared" si="121"/>
        <v>3138815372.5</v>
      </c>
      <c r="I384" s="9">
        <f t="shared" ca="1" si="122"/>
        <v>2389256017</v>
      </c>
      <c r="J384" s="63"/>
      <c r="K384" s="8">
        <v>523792</v>
      </c>
      <c r="L384" s="8" t="s">
        <v>1600</v>
      </c>
      <c r="M384" s="12">
        <v>3684690</v>
      </c>
      <c r="N384" s="10">
        <v>1421.9</v>
      </c>
      <c r="O384" s="10">
        <f ca="1">IFERROR(__xludf.DUMMYFUNCTION("GOOGLEFINANCE(""BOM:"" &amp; K384,""price"")"),1270.85)</f>
        <v>1270.8499999999999</v>
      </c>
      <c r="P384" s="8">
        <f t="shared" ca="1" si="108"/>
        <v>-10.623109923342019</v>
      </c>
      <c r="Q384" s="12">
        <f t="shared" si="109"/>
        <v>5239260711</v>
      </c>
      <c r="R384" s="13">
        <f t="shared" ca="1" si="110"/>
        <v>4682688286.5</v>
      </c>
      <c r="S384" s="63"/>
      <c r="T384" s="8">
        <v>509945</v>
      </c>
      <c r="U384" s="8" t="s">
        <v>1601</v>
      </c>
      <c r="V384" s="12">
        <v>1059916</v>
      </c>
      <c r="W384" s="8">
        <v>710</v>
      </c>
      <c r="X384" s="11">
        <f ca="1">IFERROR(__xludf.DUMMYFUNCTION("GOOGLEFINANCE(""BOM:"" &amp; T384,""price"")"),699.95)</f>
        <v>699.95</v>
      </c>
      <c r="Y384" s="8">
        <f t="shared" ref="Y384:Y389" ca="1" si="123">((X384-W384)/W384)*100</f>
        <v>-1.4154929577464725</v>
      </c>
      <c r="Z384" s="12">
        <f t="shared" si="94"/>
        <v>752540360</v>
      </c>
      <c r="AA384" s="13">
        <f t="shared" ca="1" si="95"/>
        <v>741888204.20000005</v>
      </c>
      <c r="AB384" s="64"/>
      <c r="AC384" s="14">
        <v>533107</v>
      </c>
      <c r="AD384" s="14" t="s">
        <v>1602</v>
      </c>
      <c r="AE384" s="15">
        <v>737565098</v>
      </c>
      <c r="AF384" s="14" t="s">
        <v>44</v>
      </c>
      <c r="AG384" s="14" t="s">
        <v>44</v>
      </c>
      <c r="AH384" s="14"/>
      <c r="AI384" s="15"/>
      <c r="AJ384" s="16"/>
    </row>
    <row r="385" spans="1:36" x14ac:dyDescent="0.25">
      <c r="A385" s="63"/>
      <c r="B385" s="8">
        <v>533278</v>
      </c>
      <c r="C385" s="8" t="s">
        <v>1603</v>
      </c>
      <c r="D385" s="12">
        <v>6162724265</v>
      </c>
      <c r="E385" s="8">
        <v>446.35</v>
      </c>
      <c r="F385" s="8">
        <f ca="1">IFERROR(__xludf.DUMMYFUNCTION("GOOGLEFINANCE(""BOM:"" &amp; B385,""price"")"),433.75)</f>
        <v>433.75</v>
      </c>
      <c r="G385" s="8">
        <f t="shared" ca="1" si="120"/>
        <v>-2.8228968298420574</v>
      </c>
      <c r="H385" s="12">
        <f t="shared" si="121"/>
        <v>2750731975682.75</v>
      </c>
      <c r="I385" s="13">
        <f t="shared" ca="1" si="122"/>
        <v>2673081649943.75</v>
      </c>
      <c r="J385" s="63"/>
      <c r="K385" s="8">
        <v>522036</v>
      </c>
      <c r="L385" s="8" t="s">
        <v>1604</v>
      </c>
      <c r="M385" s="12">
        <v>2676501</v>
      </c>
      <c r="N385" s="10">
        <v>97.3</v>
      </c>
      <c r="O385" s="10">
        <f ca="1">IFERROR(__xludf.DUMMYFUNCTION("GOOGLEFINANCE(""BOM:"" &amp; K385,""price"")"),93.23)</f>
        <v>93.23</v>
      </c>
      <c r="P385" s="8">
        <f t="shared" ca="1" si="108"/>
        <v>-4.1829393627954712</v>
      </c>
      <c r="Q385" s="12">
        <f t="shared" si="109"/>
        <v>260423547.29999998</v>
      </c>
      <c r="R385" s="13">
        <f t="shared" ca="1" si="110"/>
        <v>249530188.23000002</v>
      </c>
      <c r="S385" s="63"/>
      <c r="T385" s="8">
        <v>530023</v>
      </c>
      <c r="U385" s="8" t="s">
        <v>1605</v>
      </c>
      <c r="V385" s="12">
        <v>51364527</v>
      </c>
      <c r="W385" s="8">
        <v>139</v>
      </c>
      <c r="X385" s="11">
        <f ca="1">IFERROR(__xludf.DUMMYFUNCTION("GOOGLEFINANCE(""BOM:"" &amp; T385,""price"")"),135)</f>
        <v>135</v>
      </c>
      <c r="Y385" s="8">
        <f t="shared" ca="1" si="123"/>
        <v>-2.877697841726619</v>
      </c>
      <c r="Z385" s="12">
        <f t="shared" si="94"/>
        <v>7139669253</v>
      </c>
      <c r="AA385" s="13">
        <f t="shared" ca="1" si="95"/>
        <v>6934211145</v>
      </c>
      <c r="AB385" s="65" t="s">
        <v>1606</v>
      </c>
      <c r="AC385" s="6">
        <v>501833</v>
      </c>
      <c r="AD385" s="6" t="s">
        <v>1607</v>
      </c>
      <c r="AE385" s="7">
        <v>32315069</v>
      </c>
      <c r="AF385" s="8">
        <v>19.989999999999998</v>
      </c>
      <c r="AG385" s="8">
        <f ca="1">IFERROR(__xludf.DUMMYFUNCTION("GOOGLEFINANCE(""BOM:"" &amp; AC385,""price"")"),18.5)</f>
        <v>18.5</v>
      </c>
      <c r="AH385" s="8">
        <f t="shared" ref="AH385:AH405" ca="1" si="124">((AG385-AF385)/AF385)*100</f>
        <v>-7.4537268634317089</v>
      </c>
      <c r="AI385" s="7">
        <f t="shared" ref="AI385:AI405" si="125">AE385*AF385</f>
        <v>645978229.30999994</v>
      </c>
      <c r="AJ385" s="9">
        <f t="shared" ref="AJ385:AJ405" ca="1" si="126">AE385*AG385</f>
        <v>597828776.5</v>
      </c>
    </row>
    <row r="386" spans="1:36" x14ac:dyDescent="0.25">
      <c r="A386" s="63"/>
      <c r="B386" s="8">
        <v>539393</v>
      </c>
      <c r="C386" s="8" t="s">
        <v>1608</v>
      </c>
      <c r="D386" s="12">
        <v>2273025</v>
      </c>
      <c r="E386" s="8">
        <v>25.77</v>
      </c>
      <c r="F386" s="8">
        <f ca="1">IFERROR(__xludf.DUMMYFUNCTION("GOOGLEFINANCE(""BOM:"" &amp; B386,""price"")"),25.77)</f>
        <v>25.77</v>
      </c>
      <c r="G386" s="8">
        <f t="shared" ca="1" si="120"/>
        <v>0</v>
      </c>
      <c r="H386" s="12">
        <f t="shared" si="121"/>
        <v>58575854.25</v>
      </c>
      <c r="I386" s="13">
        <f t="shared" ca="1" si="122"/>
        <v>58575854.25</v>
      </c>
      <c r="J386" s="63"/>
      <c r="K386" s="8">
        <v>517397</v>
      </c>
      <c r="L386" s="8" t="s">
        <v>1609</v>
      </c>
      <c r="M386" s="12">
        <v>3505000</v>
      </c>
      <c r="N386" s="10">
        <v>44.47</v>
      </c>
      <c r="O386" s="10">
        <f ca="1">IFERROR(__xludf.DUMMYFUNCTION("GOOGLEFINANCE(""BOM:"" &amp; K386,""price"")"),37)</f>
        <v>37</v>
      </c>
      <c r="P386" s="8">
        <f t="shared" ca="1" si="108"/>
        <v>-16.797841241286257</v>
      </c>
      <c r="Q386" s="12">
        <f t="shared" si="109"/>
        <v>155867350</v>
      </c>
      <c r="R386" s="13">
        <f t="shared" ca="1" si="110"/>
        <v>129685000</v>
      </c>
      <c r="S386" s="63"/>
      <c r="T386" s="8">
        <v>538607</v>
      </c>
      <c r="U386" s="8" t="s">
        <v>1610</v>
      </c>
      <c r="V386" s="12">
        <v>211029000</v>
      </c>
      <c r="W386" s="8">
        <v>6.39</v>
      </c>
      <c r="X386" s="11">
        <f ca="1">IFERROR(__xludf.DUMMYFUNCTION("GOOGLEFINANCE(""BOM:"" &amp; T386,""price"")"),3.35)</f>
        <v>3.35</v>
      </c>
      <c r="Y386" s="8">
        <f t="shared" ca="1" si="123"/>
        <v>-47.574334898278558</v>
      </c>
      <c r="Z386" s="12">
        <f t="shared" si="94"/>
        <v>1348475310</v>
      </c>
      <c r="AA386" s="13">
        <f t="shared" ca="1" si="95"/>
        <v>706947150</v>
      </c>
      <c r="AB386" s="63"/>
      <c r="AC386" s="8">
        <v>519413</v>
      </c>
      <c r="AD386" s="8" t="s">
        <v>1611</v>
      </c>
      <c r="AE386" s="12">
        <v>4051100</v>
      </c>
      <c r="AF386" s="8">
        <v>9.48</v>
      </c>
      <c r="AG386" s="8">
        <f ca="1">IFERROR(__xludf.DUMMYFUNCTION("GOOGLEFINANCE(""BOM:"" &amp; AC386,""price"")"),9.48)</f>
        <v>9.48</v>
      </c>
      <c r="AH386" s="8">
        <f t="shared" ca="1" si="124"/>
        <v>0</v>
      </c>
      <c r="AI386" s="12">
        <f t="shared" si="125"/>
        <v>38404428</v>
      </c>
      <c r="AJ386" s="13">
        <f t="shared" ca="1" si="126"/>
        <v>38404428</v>
      </c>
    </row>
    <row r="387" spans="1:36" x14ac:dyDescent="0.25">
      <c r="A387" s="64"/>
      <c r="B387" s="14">
        <v>526235</v>
      </c>
      <c r="C387" s="14" t="s">
        <v>1612</v>
      </c>
      <c r="D387" s="15">
        <v>301192377</v>
      </c>
      <c r="E387" s="8" t="s">
        <v>44</v>
      </c>
      <c r="F387" s="14" t="s">
        <v>44</v>
      </c>
      <c r="G387" s="14"/>
      <c r="H387" s="12"/>
      <c r="I387" s="13"/>
      <c r="J387" s="63"/>
      <c r="K387" s="8">
        <v>517417</v>
      </c>
      <c r="L387" s="8" t="s">
        <v>1613</v>
      </c>
      <c r="M387" s="12">
        <v>4985472</v>
      </c>
      <c r="N387" s="10">
        <v>451.1</v>
      </c>
      <c r="O387" s="10">
        <f ca="1">IFERROR(__xludf.DUMMYFUNCTION("GOOGLEFINANCE(""BOM:"" &amp; K387,""price"")"),380.15)</f>
        <v>380.15</v>
      </c>
      <c r="P387" s="8">
        <f t="shared" ca="1" si="108"/>
        <v>-15.728219906894267</v>
      </c>
      <c r="Q387" s="12">
        <f t="shared" si="109"/>
        <v>2248946419.2000003</v>
      </c>
      <c r="R387" s="13">
        <f t="shared" ca="1" si="110"/>
        <v>1895227180.8</v>
      </c>
      <c r="S387" s="63"/>
      <c r="T387" s="8">
        <v>532410</v>
      </c>
      <c r="U387" s="8" t="s">
        <v>1614</v>
      </c>
      <c r="V387" s="12">
        <v>31704044</v>
      </c>
      <c r="W387" s="8">
        <v>41.1</v>
      </c>
      <c r="X387" s="11">
        <f ca="1">IFERROR(__xludf.DUMMYFUNCTION("GOOGLEFINANCE(""BOM:"" &amp; T387,""price"")"),36.5)</f>
        <v>36.5</v>
      </c>
      <c r="Y387" s="8">
        <f t="shared" ca="1" si="123"/>
        <v>-11.192214111922144</v>
      </c>
      <c r="Z387" s="12">
        <f t="shared" si="94"/>
        <v>1303036208.4000001</v>
      </c>
      <c r="AA387" s="13">
        <f t="shared" ca="1" si="95"/>
        <v>1157197606</v>
      </c>
      <c r="AB387" s="63"/>
      <c r="AC387" s="8">
        <v>533704</v>
      </c>
      <c r="AD387" s="8" t="s">
        <v>1615</v>
      </c>
      <c r="AE387" s="12">
        <v>204798031</v>
      </c>
      <c r="AF387" s="8">
        <v>26.81</v>
      </c>
      <c r="AG387" s="8">
        <f ca="1">IFERROR(__xludf.DUMMYFUNCTION("GOOGLEFINANCE(""BOM:"" &amp; AC387,""price"")"),20.51)</f>
        <v>20.51</v>
      </c>
      <c r="AH387" s="8">
        <f t="shared" ca="1" si="124"/>
        <v>-23.49869451697127</v>
      </c>
      <c r="AI387" s="12">
        <f t="shared" si="125"/>
        <v>5490635211.1099997</v>
      </c>
      <c r="AJ387" s="13">
        <f t="shared" ca="1" si="126"/>
        <v>4200407615.8100004</v>
      </c>
    </row>
    <row r="388" spans="1:36" x14ac:dyDescent="0.25">
      <c r="A388" s="62" t="s">
        <v>1616</v>
      </c>
      <c r="B388" s="6">
        <v>500477</v>
      </c>
      <c r="C388" s="6" t="s">
        <v>1617</v>
      </c>
      <c r="D388" s="7">
        <v>2923914960</v>
      </c>
      <c r="E388" s="6">
        <v>171.95</v>
      </c>
      <c r="F388" s="8">
        <f ca="1">IFERROR(__xludf.DUMMYFUNCTION("GOOGLEFINANCE(""BOM:"" &amp; B388,""price"")"),171.15)</f>
        <v>171.15</v>
      </c>
      <c r="G388" s="8">
        <f t="shared" ref="G388:G397" ca="1" si="127">((F388-E388)/E388)*100</f>
        <v>-0.46525152660656177</v>
      </c>
      <c r="H388" s="7">
        <f t="shared" ref="H388:H397" si="128">D388*E388</f>
        <v>502767177371.99994</v>
      </c>
      <c r="I388" s="9">
        <f t="shared" ref="I388:I397" ca="1" si="129">D388*F388</f>
        <v>500428045404</v>
      </c>
      <c r="J388" s="63"/>
      <c r="K388" s="8">
        <v>513519</v>
      </c>
      <c r="L388" s="8" t="s">
        <v>1618</v>
      </c>
      <c r="M388" s="12">
        <v>31833813</v>
      </c>
      <c r="N388" s="10">
        <v>797.8</v>
      </c>
      <c r="O388" s="10">
        <f ca="1">IFERROR(__xludf.DUMMYFUNCTION("GOOGLEFINANCE(""BOM:"" &amp; K388,""price"")"),763.8)</f>
        <v>763.8</v>
      </c>
      <c r="P388" s="8">
        <f t="shared" ca="1" si="108"/>
        <v>-4.2617197292554527</v>
      </c>
      <c r="Q388" s="12">
        <f t="shared" si="109"/>
        <v>25397016011.399998</v>
      </c>
      <c r="R388" s="13">
        <f t="shared" ca="1" si="110"/>
        <v>24314666369.399998</v>
      </c>
      <c r="S388" s="63"/>
      <c r="T388" s="8">
        <v>531846</v>
      </c>
      <c r="U388" s="8" t="s">
        <v>1619</v>
      </c>
      <c r="V388" s="12">
        <v>3321500</v>
      </c>
      <c r="W388" s="8">
        <v>17.100000000000001</v>
      </c>
      <c r="X388" s="11">
        <f ca="1">IFERROR(__xludf.DUMMYFUNCTION("GOOGLEFINANCE(""BOM:"" &amp; T388,""price"")"),19.4)</f>
        <v>19.399999999999999</v>
      </c>
      <c r="Y388" s="8">
        <f t="shared" ca="1" si="123"/>
        <v>13.450292397660801</v>
      </c>
      <c r="Z388" s="12">
        <f t="shared" si="94"/>
        <v>56797650.000000007</v>
      </c>
      <c r="AA388" s="13">
        <f t="shared" ca="1" si="95"/>
        <v>64437099.999999993</v>
      </c>
      <c r="AB388" s="63"/>
      <c r="AC388" s="8">
        <v>500620</v>
      </c>
      <c r="AD388" s="8" t="s">
        <v>1620</v>
      </c>
      <c r="AE388" s="12">
        <v>140705227</v>
      </c>
      <c r="AF388" s="8">
        <v>999.25</v>
      </c>
      <c r="AG388" s="8">
        <f ca="1">IFERROR(__xludf.DUMMYFUNCTION("GOOGLEFINANCE(""BOM:"" &amp; AC388,""price"")"),1000.15)</f>
        <v>1000.15</v>
      </c>
      <c r="AH388" s="8">
        <f t="shared" ca="1" si="124"/>
        <v>9.0067550662994975E-2</v>
      </c>
      <c r="AI388" s="12">
        <f t="shared" si="125"/>
        <v>140599698079.75</v>
      </c>
      <c r="AJ388" s="13">
        <f t="shared" ca="1" si="126"/>
        <v>140726332784.04999</v>
      </c>
    </row>
    <row r="389" spans="1:36" x14ac:dyDescent="0.25">
      <c r="A389" s="63"/>
      <c r="B389" s="8">
        <v>531795</v>
      </c>
      <c r="C389" s="8" t="s">
        <v>1621</v>
      </c>
      <c r="D389" s="12">
        <v>21748818</v>
      </c>
      <c r="E389" s="8">
        <v>548.35</v>
      </c>
      <c r="F389" s="8">
        <f ca="1">IFERROR(__xludf.DUMMYFUNCTION("GOOGLEFINANCE(""BOM:"" &amp; B389,""price"")"),480)</f>
        <v>480</v>
      </c>
      <c r="G389" s="8">
        <f t="shared" ca="1" si="127"/>
        <v>-12.464666727455096</v>
      </c>
      <c r="H389" s="12">
        <f t="shared" si="128"/>
        <v>11925964350.300001</v>
      </c>
      <c r="I389" s="13">
        <f t="shared" ca="1" si="129"/>
        <v>10439432640</v>
      </c>
      <c r="J389" s="63"/>
      <c r="K389" s="8">
        <v>517258</v>
      </c>
      <c r="L389" s="8" t="s">
        <v>1622</v>
      </c>
      <c r="M389" s="12">
        <v>10213204</v>
      </c>
      <c r="N389" s="10">
        <v>137.44999999999999</v>
      </c>
      <c r="O389" s="10">
        <f ca="1">IFERROR(__xludf.DUMMYFUNCTION("GOOGLEFINANCE(""BOM:"" &amp; K389,""price"")"),124.15)</f>
        <v>124.15</v>
      </c>
      <c r="P389" s="8">
        <f t="shared" ca="1" si="108"/>
        <v>-9.6762459076027518</v>
      </c>
      <c r="Q389" s="12">
        <f t="shared" si="109"/>
        <v>1403804889.8</v>
      </c>
      <c r="R389" s="13">
        <f t="shared" ca="1" si="110"/>
        <v>1267969276.6000001</v>
      </c>
      <c r="S389" s="63"/>
      <c r="T389" s="8">
        <v>534755</v>
      </c>
      <c r="U389" s="8" t="s">
        <v>1623</v>
      </c>
      <c r="V389" s="12">
        <v>67161195</v>
      </c>
      <c r="W389" s="8">
        <v>1.05</v>
      </c>
      <c r="X389" s="11">
        <f ca="1">IFERROR(__xludf.DUMMYFUNCTION("GOOGLEFINANCE(""BOM:"" &amp; T389,""price"")"),0.87)</f>
        <v>0.87</v>
      </c>
      <c r="Y389" s="8">
        <f t="shared" ca="1" si="123"/>
        <v>-17.142857142857146</v>
      </c>
      <c r="Z389" s="12">
        <f t="shared" si="94"/>
        <v>70519254.75</v>
      </c>
      <c r="AA389" s="13">
        <f t="shared" ca="1" si="95"/>
        <v>58430239.649999999</v>
      </c>
      <c r="AB389" s="63"/>
      <c r="AC389" s="8">
        <v>501848</v>
      </c>
      <c r="AD389" s="8" t="s">
        <v>1624</v>
      </c>
      <c r="AE389" s="12">
        <v>24076570</v>
      </c>
      <c r="AF389" s="8">
        <v>48.5</v>
      </c>
      <c r="AG389" s="8">
        <f ca="1">IFERROR(__xludf.DUMMYFUNCTION("GOOGLEFINANCE(""BOM:"" &amp; AC389,""price"")"),44.99)</f>
        <v>44.99</v>
      </c>
      <c r="AH389" s="8">
        <f t="shared" ca="1" si="124"/>
        <v>-7.2371134020618513</v>
      </c>
      <c r="AI389" s="12">
        <f t="shared" si="125"/>
        <v>1167713645</v>
      </c>
      <c r="AJ389" s="13">
        <f t="shared" ca="1" si="126"/>
        <v>1083204884.3</v>
      </c>
    </row>
    <row r="390" spans="1:36" x14ac:dyDescent="0.25">
      <c r="A390" s="63"/>
      <c r="B390" s="8">
        <v>533272</v>
      </c>
      <c r="C390" s="8" t="s">
        <v>1625</v>
      </c>
      <c r="D390" s="12">
        <v>387447016</v>
      </c>
      <c r="E390" s="8">
        <v>367.4</v>
      </c>
      <c r="F390" s="8">
        <f ca="1">IFERROR(__xludf.DUMMYFUNCTION("GOOGLEFINANCE(""BOM:"" &amp; B390,""price"")"),373.4)</f>
        <v>373.4</v>
      </c>
      <c r="G390" s="8">
        <f t="shared" ca="1" si="127"/>
        <v>1.6330974414806749</v>
      </c>
      <c r="H390" s="12">
        <f t="shared" si="128"/>
        <v>142348033678.39999</v>
      </c>
      <c r="I390" s="13">
        <f t="shared" ca="1" si="129"/>
        <v>144672715774.39999</v>
      </c>
      <c r="J390" s="63"/>
      <c r="K390" s="8">
        <v>531233</v>
      </c>
      <c r="L390" s="8" t="s">
        <v>1626</v>
      </c>
      <c r="M390" s="12">
        <v>30614005</v>
      </c>
      <c r="N390" s="10">
        <v>24.35</v>
      </c>
      <c r="O390" s="10">
        <f ca="1">IFERROR(__xludf.DUMMYFUNCTION("GOOGLEFINANCE(""BOM:"" &amp; K390,""price"")"),21.9)</f>
        <v>21.9</v>
      </c>
      <c r="P390" s="8">
        <f t="shared" ca="1" si="108"/>
        <v>-10.061601642710484</v>
      </c>
      <c r="Q390" s="12">
        <f t="shared" si="109"/>
        <v>745451021.75</v>
      </c>
      <c r="R390" s="13">
        <f t="shared" ca="1" si="110"/>
        <v>670446709.5</v>
      </c>
      <c r="S390" s="63"/>
      <c r="T390" s="8">
        <v>503671</v>
      </c>
      <c r="U390" s="8" t="s">
        <v>1627</v>
      </c>
      <c r="V390" s="12">
        <v>198913</v>
      </c>
      <c r="W390" s="8">
        <v>4.55</v>
      </c>
      <c r="X390" s="11">
        <f ca="1">IFERROR(__xludf.DUMMYFUNCTION("GOOGLEFINANCE(""BOM:"" &amp; T390,""price"")"),4.55)</f>
        <v>4.55</v>
      </c>
      <c r="Y390" s="8">
        <v>0</v>
      </c>
      <c r="Z390" s="12">
        <f t="shared" si="94"/>
        <v>905054.14999999991</v>
      </c>
      <c r="AA390" s="13">
        <f t="shared" ca="1" si="95"/>
        <v>905054.14999999991</v>
      </c>
      <c r="AB390" s="63"/>
      <c r="AC390" s="8">
        <v>543273</v>
      </c>
      <c r="AD390" s="8" t="s">
        <v>1628</v>
      </c>
      <c r="AE390" s="12">
        <v>10236000</v>
      </c>
      <c r="AF390" s="8">
        <v>1531</v>
      </c>
      <c r="AG390" s="8">
        <f ca="1">IFERROR(__xludf.DUMMYFUNCTION("GOOGLEFINANCE(""BOM:"" &amp; AC390,""price"")"),1401)</f>
        <v>1401</v>
      </c>
      <c r="AH390" s="8">
        <f t="shared" ca="1" si="124"/>
        <v>-8.4911822338340954</v>
      </c>
      <c r="AI390" s="12">
        <f t="shared" si="125"/>
        <v>15671316000</v>
      </c>
      <c r="AJ390" s="13">
        <f t="shared" ca="1" si="126"/>
        <v>14340636000</v>
      </c>
    </row>
    <row r="391" spans="1:36" x14ac:dyDescent="0.25">
      <c r="A391" s="64"/>
      <c r="B391" s="14">
        <v>505192</v>
      </c>
      <c r="C391" s="14" t="s">
        <v>1629</v>
      </c>
      <c r="D391" s="15">
        <v>14261967</v>
      </c>
      <c r="E391" s="8">
        <v>2202.9</v>
      </c>
      <c r="F391" s="14">
        <f ca="1">IFERROR(__xludf.DUMMYFUNCTION("GOOGLEFINANCE(""BOM:"" &amp; B391,""price"")"),1912.2)</f>
        <v>1912.2</v>
      </c>
      <c r="G391" s="14">
        <f t="shared" ca="1" si="127"/>
        <v>-13.196241318262292</v>
      </c>
      <c r="H391" s="15">
        <f t="shared" si="128"/>
        <v>31417687104.300003</v>
      </c>
      <c r="I391" s="16">
        <f t="shared" ca="1" si="129"/>
        <v>27271733297.400002</v>
      </c>
      <c r="J391" s="63"/>
      <c r="K391" s="8">
        <v>505368</v>
      </c>
      <c r="L391" s="8" t="s">
        <v>1630</v>
      </c>
      <c r="M391" s="12">
        <v>3026168</v>
      </c>
      <c r="N391" s="10">
        <v>2910.45</v>
      </c>
      <c r="O391" s="10">
        <f ca="1">IFERROR(__xludf.DUMMYFUNCTION("GOOGLEFINANCE(""BOM:"" &amp; K391,""price"")"),3031)</f>
        <v>3031</v>
      </c>
      <c r="P391" s="8">
        <f t="shared" ca="1" si="108"/>
        <v>4.1419711728426938</v>
      </c>
      <c r="Q391" s="12">
        <f t="shared" si="109"/>
        <v>8807510655.6000004</v>
      </c>
      <c r="R391" s="13">
        <f t="shared" ca="1" si="110"/>
        <v>9172315208</v>
      </c>
      <c r="S391" s="63"/>
      <c r="T391" s="8">
        <v>511110</v>
      </c>
      <c r="U391" s="8" t="s">
        <v>1631</v>
      </c>
      <c r="V391" s="12">
        <v>4144851</v>
      </c>
      <c r="W391" s="8">
        <v>17.899999999999999</v>
      </c>
      <c r="X391" s="11">
        <f ca="1">IFERROR(__xludf.DUMMYFUNCTION("GOOGLEFINANCE(""BOM:"" &amp; T391,""price"")"),16.6)</f>
        <v>16.600000000000001</v>
      </c>
      <c r="Y391" s="8">
        <f t="shared" ref="Y391:Y399" ca="1" si="130">((X391-W391)/W391)*100</f>
        <v>-7.2625698324022183</v>
      </c>
      <c r="Z391" s="12">
        <f t="shared" si="94"/>
        <v>74192832.899999991</v>
      </c>
      <c r="AA391" s="13">
        <f t="shared" ca="1" si="95"/>
        <v>68804526.600000009</v>
      </c>
      <c r="AB391" s="63"/>
      <c r="AC391" s="8">
        <v>523598</v>
      </c>
      <c r="AD391" s="8" t="s">
        <v>1632</v>
      </c>
      <c r="AE391" s="12">
        <v>465335686</v>
      </c>
      <c r="AF391" s="8">
        <v>233.45</v>
      </c>
      <c r="AG391" s="8">
        <f ca="1">IFERROR(__xludf.DUMMYFUNCTION("GOOGLEFINANCE(""BOM:"" &amp; AC391,""price"")"),208.75)</f>
        <v>208.75</v>
      </c>
      <c r="AH391" s="8">
        <f t="shared" ca="1" si="124"/>
        <v>-10.580424073677444</v>
      </c>
      <c r="AI391" s="12">
        <f t="shared" si="125"/>
        <v>108632615896.7</v>
      </c>
      <c r="AJ391" s="13">
        <f t="shared" ca="1" si="126"/>
        <v>97138824452.5</v>
      </c>
    </row>
    <row r="392" spans="1:36" x14ac:dyDescent="0.25">
      <c r="A392" s="62" t="s">
        <v>1633</v>
      </c>
      <c r="B392" s="6">
        <v>506947</v>
      </c>
      <c r="C392" s="6" t="s">
        <v>1634</v>
      </c>
      <c r="D392" s="7">
        <v>66700</v>
      </c>
      <c r="E392" s="6">
        <v>166</v>
      </c>
      <c r="F392" s="8">
        <f ca="1">IFERROR(__xludf.DUMMYFUNCTION("GOOGLEFINANCE(""BOM:"" &amp; B392,""price"")"),185.2)</f>
        <v>185.2</v>
      </c>
      <c r="G392" s="8">
        <f t="shared" ca="1" si="127"/>
        <v>11.566265060240957</v>
      </c>
      <c r="H392" s="7">
        <f t="shared" si="128"/>
        <v>11072200</v>
      </c>
      <c r="I392" s="9">
        <f t="shared" ca="1" si="129"/>
        <v>12352840</v>
      </c>
      <c r="J392" s="63"/>
      <c r="K392" s="8">
        <v>531888</v>
      </c>
      <c r="L392" s="8" t="s">
        <v>1635</v>
      </c>
      <c r="M392" s="12">
        <v>10581880</v>
      </c>
      <c r="N392" s="10">
        <v>115.95</v>
      </c>
      <c r="O392" s="10">
        <f ca="1">IFERROR(__xludf.DUMMYFUNCTION("GOOGLEFINANCE(""BOM:"" &amp; K392,""price"")"),104.95)</f>
        <v>104.95</v>
      </c>
      <c r="P392" s="8">
        <f t="shared" ca="1" si="108"/>
        <v>-9.4868477792151786</v>
      </c>
      <c r="Q392" s="12">
        <f t="shared" si="109"/>
        <v>1226968986</v>
      </c>
      <c r="R392" s="13">
        <f t="shared" ca="1" si="110"/>
        <v>1110568306</v>
      </c>
      <c r="S392" s="63"/>
      <c r="T392" s="8">
        <v>531950</v>
      </c>
      <c r="U392" s="8" t="s">
        <v>1636</v>
      </c>
      <c r="V392" s="12">
        <v>73920364</v>
      </c>
      <c r="W392" s="8">
        <v>4.01</v>
      </c>
      <c r="X392" s="11">
        <f ca="1">IFERROR(__xludf.DUMMYFUNCTION("GOOGLEFINANCE(""BOM:"" &amp; T392,""price"")"),3.09)</f>
        <v>3.09</v>
      </c>
      <c r="Y392" s="8">
        <f t="shared" ca="1" si="130"/>
        <v>-22.942643391521198</v>
      </c>
      <c r="Z392" s="12">
        <f t="shared" si="94"/>
        <v>296420659.63999999</v>
      </c>
      <c r="AA392" s="13">
        <f t="shared" ca="1" si="95"/>
        <v>228413924.75999999</v>
      </c>
      <c r="AB392" s="63"/>
      <c r="AC392" s="8">
        <v>526807</v>
      </c>
      <c r="AD392" s="8" t="s">
        <v>1637</v>
      </c>
      <c r="AE392" s="12">
        <v>25088989</v>
      </c>
      <c r="AF392" s="8">
        <v>1100</v>
      </c>
      <c r="AG392" s="8">
        <f ca="1">IFERROR(__xludf.DUMMYFUNCTION("GOOGLEFINANCE(""BOM:"" &amp; AC392,""price"")"),1070.05)</f>
        <v>1070.05</v>
      </c>
      <c r="AH392" s="8">
        <f t="shared" ca="1" si="124"/>
        <v>-2.7227272727272771</v>
      </c>
      <c r="AI392" s="12">
        <f t="shared" si="125"/>
        <v>27597887900</v>
      </c>
      <c r="AJ392" s="13">
        <f t="shared" ca="1" si="126"/>
        <v>26846472679.450001</v>
      </c>
    </row>
    <row r="393" spans="1:36" x14ac:dyDescent="0.25">
      <c r="A393" s="63"/>
      <c r="B393" s="8">
        <v>524634</v>
      </c>
      <c r="C393" s="8" t="s">
        <v>1638</v>
      </c>
      <c r="D393" s="12">
        <v>7257808</v>
      </c>
      <c r="E393" s="8">
        <v>464</v>
      </c>
      <c r="F393" s="8">
        <f ca="1">IFERROR(__xludf.DUMMYFUNCTION("GOOGLEFINANCE(""BOM:"" &amp; B393,""price"")"),465)</f>
        <v>465</v>
      </c>
      <c r="G393" s="8">
        <f t="shared" ca="1" si="127"/>
        <v>0.21551724137931033</v>
      </c>
      <c r="H393" s="12">
        <f t="shared" si="128"/>
        <v>3367622912</v>
      </c>
      <c r="I393" s="13">
        <f t="shared" ca="1" si="129"/>
        <v>3374880720</v>
      </c>
      <c r="J393" s="63"/>
      <c r="K393" s="8">
        <v>522034</v>
      </c>
      <c r="L393" s="8" t="s">
        <v>1639</v>
      </c>
      <c r="M393" s="12">
        <v>75944970</v>
      </c>
      <c r="N393" s="10">
        <v>527.6</v>
      </c>
      <c r="O393" s="10">
        <f ca="1">IFERROR(__xludf.DUMMYFUNCTION("GOOGLEFINANCE(""BOM:"" &amp; K393,""price"")"),556.45)</f>
        <v>556.45000000000005</v>
      </c>
      <c r="P393" s="8">
        <f t="shared" ca="1" si="108"/>
        <v>5.4681576952236588</v>
      </c>
      <c r="Q393" s="12">
        <f t="shared" si="109"/>
        <v>40068566172</v>
      </c>
      <c r="R393" s="13">
        <f t="shared" ca="1" si="110"/>
        <v>42259578556.5</v>
      </c>
      <c r="S393" s="63"/>
      <c r="T393" s="8">
        <v>531025</v>
      </c>
      <c r="U393" s="8" t="s">
        <v>1640</v>
      </c>
      <c r="V393" s="12">
        <v>96669000</v>
      </c>
      <c r="W393" s="8">
        <v>0.9</v>
      </c>
      <c r="X393" s="11">
        <f ca="1">IFERROR(__xludf.DUMMYFUNCTION("GOOGLEFINANCE(""BOM:"" &amp; T393,""price"")"),0.78)</f>
        <v>0.78</v>
      </c>
      <c r="Y393" s="8">
        <f t="shared" ca="1" si="130"/>
        <v>-13.333333333333334</v>
      </c>
      <c r="Z393" s="12">
        <f t="shared" si="94"/>
        <v>87002100</v>
      </c>
      <c r="AA393" s="13">
        <f t="shared" ca="1" si="95"/>
        <v>75401820</v>
      </c>
      <c r="AB393" s="64"/>
      <c r="AC393" s="14">
        <v>520151</v>
      </c>
      <c r="AD393" s="14" t="s">
        <v>1641</v>
      </c>
      <c r="AE393" s="15">
        <v>21689807</v>
      </c>
      <c r="AF393" s="14">
        <v>265.8</v>
      </c>
      <c r="AG393" s="14">
        <f ca="1">IFERROR(__xludf.DUMMYFUNCTION("GOOGLEFINANCE(""BOM:"" &amp; AC393,""price"")"),252.05)</f>
        <v>252.05</v>
      </c>
      <c r="AH393" s="14">
        <f t="shared" ca="1" si="124"/>
        <v>-5.1730624529721592</v>
      </c>
      <c r="AI393" s="15">
        <f t="shared" si="125"/>
        <v>5765150700.6000004</v>
      </c>
      <c r="AJ393" s="16">
        <f t="shared" ca="1" si="126"/>
        <v>5466915854.3500004</v>
      </c>
    </row>
    <row r="394" spans="1:36" x14ac:dyDescent="0.25">
      <c r="A394" s="63"/>
      <c r="B394" s="8">
        <v>506248</v>
      </c>
      <c r="C394" s="8" t="s">
        <v>1642</v>
      </c>
      <c r="D394" s="12">
        <v>53376320</v>
      </c>
      <c r="E394" s="8">
        <v>177</v>
      </c>
      <c r="F394" s="8">
        <f ca="1">IFERROR(__xludf.DUMMYFUNCTION("GOOGLEFINANCE(""BOM:"" &amp; B394,""price"")"),166.3)</f>
        <v>166.3</v>
      </c>
      <c r="G394" s="8">
        <f t="shared" ca="1" si="127"/>
        <v>-6.0451977401129877</v>
      </c>
      <c r="H394" s="12">
        <f t="shared" si="128"/>
        <v>9447608640</v>
      </c>
      <c r="I394" s="13">
        <f t="shared" ca="1" si="129"/>
        <v>8876482016</v>
      </c>
      <c r="J394" s="63"/>
      <c r="K394" s="8">
        <v>543065</v>
      </c>
      <c r="L394" s="8" t="s">
        <v>1643</v>
      </c>
      <c r="M394" s="12">
        <v>14287832</v>
      </c>
      <c r="N394" s="10">
        <v>59</v>
      </c>
      <c r="O394" s="10">
        <f ca="1">IFERROR(__xludf.DUMMYFUNCTION("GOOGLEFINANCE(""BOM:"" &amp; K394,""price"")"),48.7)</f>
        <v>48.7</v>
      </c>
      <c r="P394" s="8">
        <f t="shared" ca="1" si="108"/>
        <v>-17.457627118644062</v>
      </c>
      <c r="Q394" s="12">
        <f t="shared" si="109"/>
        <v>842982088</v>
      </c>
      <c r="R394" s="13">
        <f t="shared" ca="1" si="110"/>
        <v>695817418.4000001</v>
      </c>
      <c r="S394" s="63"/>
      <c r="T394" s="8">
        <v>540097</v>
      </c>
      <c r="U394" s="8" t="s">
        <v>1644</v>
      </c>
      <c r="V394" s="12">
        <v>4476465</v>
      </c>
      <c r="W394" s="8">
        <v>280.89999999999998</v>
      </c>
      <c r="X394" s="11">
        <f ca="1">IFERROR(__xludf.DUMMYFUNCTION("GOOGLEFINANCE(""BOM:"" &amp; T394,""price"")"),239.85)</f>
        <v>239.85</v>
      </c>
      <c r="Y394" s="8">
        <f t="shared" ca="1" si="130"/>
        <v>-14.613741545033815</v>
      </c>
      <c r="Z394" s="12">
        <f t="shared" si="94"/>
        <v>1257439018.5</v>
      </c>
      <c r="AA394" s="13">
        <f t="shared" ca="1" si="95"/>
        <v>1073680130.25</v>
      </c>
      <c r="AB394" s="65" t="s">
        <v>1645</v>
      </c>
      <c r="AC394" s="6">
        <v>532403</v>
      </c>
      <c r="AD394" s="6" t="s">
        <v>1646</v>
      </c>
      <c r="AE394" s="7">
        <v>2617433</v>
      </c>
      <c r="AF394" s="8">
        <v>5.22</v>
      </c>
      <c r="AG394" s="8">
        <f ca="1">IFERROR(__xludf.DUMMYFUNCTION("GOOGLEFINANCE(""BOM:"" &amp; AC394,""price"")"),5.48)</f>
        <v>5.48</v>
      </c>
      <c r="AH394" s="8">
        <f t="shared" ca="1" si="124"/>
        <v>4.9808429118774074</v>
      </c>
      <c r="AI394" s="7">
        <f t="shared" si="125"/>
        <v>13663000.26</v>
      </c>
      <c r="AJ394" s="9">
        <f t="shared" ca="1" si="126"/>
        <v>14343532.840000002</v>
      </c>
    </row>
    <row r="395" spans="1:36" x14ac:dyDescent="0.25">
      <c r="A395" s="63"/>
      <c r="B395" s="8">
        <v>500012</v>
      </c>
      <c r="C395" s="8" t="s">
        <v>1647</v>
      </c>
      <c r="D395" s="12">
        <v>81019957</v>
      </c>
      <c r="E395" s="8">
        <v>87.37</v>
      </c>
      <c r="F395" s="8">
        <f ca="1">IFERROR(__xludf.DUMMYFUNCTION("GOOGLEFINANCE(""BOM:"" &amp; B395,""price"")"),84.81)</f>
        <v>84.81</v>
      </c>
      <c r="G395" s="8">
        <f t="shared" ca="1" si="127"/>
        <v>-2.9300675289000826</v>
      </c>
      <c r="H395" s="12">
        <f t="shared" si="128"/>
        <v>7078713643.0900002</v>
      </c>
      <c r="I395" s="13">
        <f t="shared" ca="1" si="129"/>
        <v>6871302553.1700001</v>
      </c>
      <c r="J395" s="63"/>
      <c r="K395" s="8">
        <v>533001</v>
      </c>
      <c r="L395" s="8" t="s">
        <v>1648</v>
      </c>
      <c r="M395" s="12">
        <v>10957646</v>
      </c>
      <c r="N395" s="10">
        <v>103.85</v>
      </c>
      <c r="O395" s="10">
        <f ca="1">IFERROR(__xludf.DUMMYFUNCTION("GOOGLEFINANCE(""BOM:"" &amp; K395,""price"")"),132.75)</f>
        <v>132.75</v>
      </c>
      <c r="P395" s="8">
        <f t="shared" ca="1" si="108"/>
        <v>27.82859894077998</v>
      </c>
      <c r="Q395" s="12">
        <f t="shared" si="109"/>
        <v>1137951537.0999999</v>
      </c>
      <c r="R395" s="13">
        <f t="shared" ca="1" si="110"/>
        <v>1454627506.5</v>
      </c>
      <c r="S395" s="63"/>
      <c r="T395" s="8">
        <v>531211</v>
      </c>
      <c r="U395" s="8" t="s">
        <v>1649</v>
      </c>
      <c r="V395" s="12">
        <v>2513700</v>
      </c>
      <c r="W395" s="8">
        <v>7</v>
      </c>
      <c r="X395" s="11" t="str">
        <f ca="1">IFERROR(__xludf.DUMMYFUNCTION("GOOGLEFINANCE(""BOM:"" &amp; T395,""price"")"),"#N/A")</f>
        <v>#N/A</v>
      </c>
      <c r="Y395" s="8" t="e">
        <f t="shared" ca="1" si="130"/>
        <v>#VALUE!</v>
      </c>
      <c r="Z395" s="12">
        <f t="shared" si="94"/>
        <v>17595900</v>
      </c>
      <c r="AA395" s="13" t="e">
        <f t="shared" ca="1" si="95"/>
        <v>#VALUE!</v>
      </c>
      <c r="AB395" s="63"/>
      <c r="AC395" s="8">
        <v>531161</v>
      </c>
      <c r="AD395" s="8" t="s">
        <v>1650</v>
      </c>
      <c r="AE395" s="12">
        <v>17846896</v>
      </c>
      <c r="AF395" s="8">
        <v>107</v>
      </c>
      <c r="AG395" s="8">
        <f ca="1">IFERROR(__xludf.DUMMYFUNCTION("GOOGLEFINANCE(""BOM:"" &amp; AC395,""price"")"),99.5)</f>
        <v>99.5</v>
      </c>
      <c r="AH395" s="8">
        <f t="shared" ca="1" si="124"/>
        <v>-7.009345794392523</v>
      </c>
      <c r="AI395" s="12">
        <f t="shared" si="125"/>
        <v>1909617872</v>
      </c>
      <c r="AJ395" s="13">
        <f t="shared" ca="1" si="126"/>
        <v>1775766152</v>
      </c>
    </row>
    <row r="396" spans="1:36" x14ac:dyDescent="0.25">
      <c r="A396" s="63"/>
      <c r="B396" s="8">
        <v>590062</v>
      </c>
      <c r="C396" s="8" t="s">
        <v>1651</v>
      </c>
      <c r="D396" s="12">
        <v>135535390</v>
      </c>
      <c r="E396" s="8">
        <v>110.25</v>
      </c>
      <c r="F396" s="8">
        <f ca="1">IFERROR(__xludf.DUMMYFUNCTION("GOOGLEFINANCE(""BOM:"" &amp; B396,""price"")"),92.1)</f>
        <v>92.1</v>
      </c>
      <c r="G396" s="8">
        <f t="shared" ca="1" si="127"/>
        <v>-16.46258503401361</v>
      </c>
      <c r="H396" s="12">
        <f t="shared" si="128"/>
        <v>14942776747.5</v>
      </c>
      <c r="I396" s="13">
        <f t="shared" ca="1" si="129"/>
        <v>12482809419</v>
      </c>
      <c r="J396" s="63"/>
      <c r="K396" s="8">
        <v>543413</v>
      </c>
      <c r="L396" s="8" t="s">
        <v>1652</v>
      </c>
      <c r="M396" s="12">
        <v>66166373</v>
      </c>
      <c r="N396" s="10">
        <v>1175.5</v>
      </c>
      <c r="O396" s="10">
        <f ca="1">IFERROR(__xludf.DUMMYFUNCTION("GOOGLEFINANCE(""BOM:"" &amp; K396,""price"")"),1238.15)</f>
        <v>1238.1500000000001</v>
      </c>
      <c r="P396" s="8">
        <f t="shared" ca="1" si="108"/>
        <v>5.3296469587409687</v>
      </c>
      <c r="Q396" s="12">
        <f t="shared" si="109"/>
        <v>77778571461.5</v>
      </c>
      <c r="R396" s="13">
        <f t="shared" ca="1" si="110"/>
        <v>81923894729.950012</v>
      </c>
      <c r="S396" s="63"/>
      <c r="T396" s="8">
        <v>538382</v>
      </c>
      <c r="U396" s="8" t="s">
        <v>1653</v>
      </c>
      <c r="V396" s="12">
        <v>3053337</v>
      </c>
      <c r="W396" s="8">
        <v>182.5</v>
      </c>
      <c r="X396" s="11">
        <f ca="1">IFERROR(__xludf.DUMMYFUNCTION("GOOGLEFINANCE(""BOM:"" &amp; T396,""price"")"),172)</f>
        <v>172</v>
      </c>
      <c r="Y396" s="8">
        <f t="shared" ca="1" si="130"/>
        <v>-5.7534246575342465</v>
      </c>
      <c r="Z396" s="12">
        <f t="shared" si="94"/>
        <v>557234002.5</v>
      </c>
      <c r="AA396" s="13">
        <f t="shared" ca="1" si="95"/>
        <v>525173964</v>
      </c>
      <c r="AB396" s="63"/>
      <c r="AC396" s="8">
        <v>531525</v>
      </c>
      <c r="AD396" s="8" t="s">
        <v>1654</v>
      </c>
      <c r="AE396" s="12">
        <v>4313393</v>
      </c>
      <c r="AF396" s="8">
        <v>101.04</v>
      </c>
      <c r="AG396" s="8">
        <f ca="1">IFERROR(__xludf.DUMMYFUNCTION("GOOGLEFINANCE(""BOM:"" &amp; AC396,""price"")"),91.22)</f>
        <v>91.22</v>
      </c>
      <c r="AH396" s="8">
        <f t="shared" ca="1" si="124"/>
        <v>-9.7189231987331812</v>
      </c>
      <c r="AI396" s="12">
        <f t="shared" si="125"/>
        <v>435825228.72000003</v>
      </c>
      <c r="AJ396" s="13">
        <f t="shared" ca="1" si="126"/>
        <v>393467709.45999998</v>
      </c>
    </row>
    <row r="397" spans="1:36" x14ac:dyDescent="0.25">
      <c r="A397" s="63"/>
      <c r="B397" s="8">
        <v>524640</v>
      </c>
      <c r="C397" s="8" t="s">
        <v>1655</v>
      </c>
      <c r="D397" s="12">
        <v>19484323</v>
      </c>
      <c r="E397" s="8">
        <v>47.08</v>
      </c>
      <c r="F397" s="8">
        <f ca="1">IFERROR(__xludf.DUMMYFUNCTION("GOOGLEFINANCE(""BOM:"" &amp; B397,""price"")"),43.26)</f>
        <v>43.26</v>
      </c>
      <c r="G397" s="8">
        <f t="shared" ca="1" si="127"/>
        <v>-8.1138487680543765</v>
      </c>
      <c r="H397" s="12">
        <f t="shared" si="128"/>
        <v>917321926.83999991</v>
      </c>
      <c r="I397" s="13">
        <f t="shared" ca="1" si="129"/>
        <v>842891812.98000002</v>
      </c>
      <c r="J397" s="63"/>
      <c r="K397" s="8">
        <v>533326</v>
      </c>
      <c r="L397" s="8" t="s">
        <v>1656</v>
      </c>
      <c r="M397" s="12">
        <v>321069595</v>
      </c>
      <c r="N397" s="10">
        <v>187.85</v>
      </c>
      <c r="O397" s="10">
        <f ca="1">IFERROR(__xludf.DUMMYFUNCTION("GOOGLEFINANCE(""BOM:"" &amp; K397,""price"")"),164.8)</f>
        <v>164.8</v>
      </c>
      <c r="P397" s="8">
        <f t="shared" ca="1" si="108"/>
        <v>-12.270428533404303</v>
      </c>
      <c r="Q397" s="12">
        <f t="shared" si="109"/>
        <v>60312923420.75</v>
      </c>
      <c r="R397" s="13">
        <f t="shared" ca="1" si="110"/>
        <v>52912269256</v>
      </c>
      <c r="S397" s="63"/>
      <c r="T397" s="8">
        <v>512022</v>
      </c>
      <c r="U397" s="8" t="s">
        <v>1657</v>
      </c>
      <c r="V397" s="12">
        <v>882930</v>
      </c>
      <c r="W397" s="8">
        <v>244.45</v>
      </c>
      <c r="X397" s="11">
        <f ca="1">IFERROR(__xludf.DUMMYFUNCTION("GOOGLEFINANCE(""BOM:"" &amp; T397,""price"")"),244.45)</f>
        <v>244.45</v>
      </c>
      <c r="Y397" s="8">
        <f t="shared" ca="1" si="130"/>
        <v>0</v>
      </c>
      <c r="Z397" s="12">
        <f t="shared" si="94"/>
        <v>215832238.5</v>
      </c>
      <c r="AA397" s="13">
        <f t="shared" ca="1" si="95"/>
        <v>215832238.5</v>
      </c>
      <c r="AB397" s="63"/>
      <c r="AC397" s="8">
        <v>538713</v>
      </c>
      <c r="AD397" s="8" t="s">
        <v>1658</v>
      </c>
      <c r="AE397" s="12">
        <v>10981332</v>
      </c>
      <c r="AF397" s="8">
        <v>73.900000000000006</v>
      </c>
      <c r="AG397" s="8">
        <f ca="1">IFERROR(__xludf.DUMMYFUNCTION("GOOGLEFINANCE(""BOM:"" &amp; AC397,""price"")"),72.85)</f>
        <v>72.849999999999994</v>
      </c>
      <c r="AH397" s="8">
        <f t="shared" ca="1" si="124"/>
        <v>-1.4208389715832359</v>
      </c>
      <c r="AI397" s="12">
        <f t="shared" si="125"/>
        <v>811520434.80000007</v>
      </c>
      <c r="AJ397" s="13">
        <f t="shared" ca="1" si="126"/>
        <v>799990036.19999993</v>
      </c>
    </row>
    <row r="398" spans="1:36" x14ac:dyDescent="0.25">
      <c r="A398" s="63"/>
      <c r="B398" s="8">
        <v>524434</v>
      </c>
      <c r="C398" s="8" t="s">
        <v>1659</v>
      </c>
      <c r="D398" s="12">
        <v>3909000</v>
      </c>
      <c r="E398" s="8" t="s">
        <v>44</v>
      </c>
      <c r="F398" s="8" t="s">
        <v>44</v>
      </c>
      <c r="G398" s="8"/>
      <c r="H398" s="12"/>
      <c r="I398" s="13"/>
      <c r="J398" s="63"/>
      <c r="K398" s="8">
        <v>505285</v>
      </c>
      <c r="L398" s="8" t="s">
        <v>1660</v>
      </c>
      <c r="M398" s="12">
        <v>2077667</v>
      </c>
      <c r="N398" s="10">
        <v>355.3</v>
      </c>
      <c r="O398" s="10">
        <f ca="1">IFERROR(__xludf.DUMMYFUNCTION("GOOGLEFINANCE(""BOM:"" &amp; K398,""price"")"),496.15)</f>
        <v>496.15</v>
      </c>
      <c r="P398" s="8">
        <f t="shared" ca="1" si="108"/>
        <v>39.642555586828024</v>
      </c>
      <c r="Q398" s="12">
        <f t="shared" si="109"/>
        <v>738195085.10000002</v>
      </c>
      <c r="R398" s="13">
        <f t="shared" ca="1" si="110"/>
        <v>1030834482.05</v>
      </c>
      <c r="S398" s="63"/>
      <c r="T398" s="8">
        <v>512345</v>
      </c>
      <c r="U398" s="8" t="s">
        <v>1661</v>
      </c>
      <c r="V398" s="12">
        <v>238470</v>
      </c>
      <c r="W398" s="8">
        <v>19.399999999999999</v>
      </c>
      <c r="X398" s="11">
        <f ca="1">IFERROR(__xludf.DUMMYFUNCTION("GOOGLEFINANCE(""BOM:"" &amp; T398,""price"")"),19.4)</f>
        <v>19.399999999999999</v>
      </c>
      <c r="Y398" s="8">
        <f t="shared" ca="1" si="130"/>
        <v>0</v>
      </c>
      <c r="Z398" s="12">
        <f t="shared" si="94"/>
        <v>4626318</v>
      </c>
      <c r="AA398" s="13">
        <f t="shared" ca="1" si="95"/>
        <v>4626318</v>
      </c>
      <c r="AB398" s="63"/>
      <c r="AC398" s="8">
        <v>531268</v>
      </c>
      <c r="AD398" s="8" t="s">
        <v>1662</v>
      </c>
      <c r="AE398" s="12">
        <v>7849629</v>
      </c>
      <c r="AF398" s="8">
        <v>33.97</v>
      </c>
      <c r="AG398" s="8">
        <f ca="1">IFERROR(__xludf.DUMMYFUNCTION("GOOGLEFINANCE(""BOM:"" &amp; AC398,""price"")"),26.5)</f>
        <v>26.5</v>
      </c>
      <c r="AH398" s="8">
        <f t="shared" ca="1" si="124"/>
        <v>-21.989991168678245</v>
      </c>
      <c r="AI398" s="12">
        <f t="shared" si="125"/>
        <v>266651897.13</v>
      </c>
      <c r="AJ398" s="13">
        <f t="shared" ca="1" si="126"/>
        <v>208015168.5</v>
      </c>
    </row>
    <row r="399" spans="1:36" x14ac:dyDescent="0.25">
      <c r="A399" s="63"/>
      <c r="B399" s="8">
        <v>509449</v>
      </c>
      <c r="C399" s="8" t="s">
        <v>1663</v>
      </c>
      <c r="D399" s="12">
        <v>1138353</v>
      </c>
      <c r="E399" s="8">
        <v>47.87</v>
      </c>
      <c r="F399" s="8">
        <f ca="1">IFERROR(__xludf.DUMMYFUNCTION("GOOGLEFINANCE(""BOM:"" &amp; B399,""price"")"),44.76)</f>
        <v>44.76</v>
      </c>
      <c r="G399" s="8">
        <f t="shared" ref="G399:G441" ca="1" si="131">((F399-E399)/E399)*100</f>
        <v>-6.4967620639231241</v>
      </c>
      <c r="H399" s="12">
        <f t="shared" ref="H399:H441" si="132">D399*E399</f>
        <v>54492958.109999999</v>
      </c>
      <c r="I399" s="13">
        <f t="shared" ref="I399:I441" ca="1" si="133">D399*F399</f>
        <v>50952680.280000001</v>
      </c>
      <c r="J399" s="63"/>
      <c r="K399" s="8">
        <v>522014</v>
      </c>
      <c r="L399" s="8" t="s">
        <v>1664</v>
      </c>
      <c r="M399" s="12">
        <v>19326161</v>
      </c>
      <c r="N399" s="10">
        <v>283.8</v>
      </c>
      <c r="O399" s="10">
        <f ca="1">IFERROR(__xludf.DUMMYFUNCTION("GOOGLEFINANCE(""BOM:"" &amp; K399,""price"")"),224.55)</f>
        <v>224.55</v>
      </c>
      <c r="P399" s="8">
        <f t="shared" ca="1" si="108"/>
        <v>-20.877378435517972</v>
      </c>
      <c r="Q399" s="12">
        <f t="shared" si="109"/>
        <v>5484764491.8000002</v>
      </c>
      <c r="R399" s="13">
        <f t="shared" ca="1" si="110"/>
        <v>4339689452.5500002</v>
      </c>
      <c r="S399" s="63"/>
      <c r="T399" s="8">
        <v>522209</v>
      </c>
      <c r="U399" s="8" t="s">
        <v>1665</v>
      </c>
      <c r="V399" s="12">
        <v>14944394</v>
      </c>
      <c r="W399" s="8">
        <v>5.19</v>
      </c>
      <c r="X399" s="11">
        <f ca="1">IFERROR(__xludf.DUMMYFUNCTION("GOOGLEFINANCE(""BOM:"" &amp; T399,""price"")"),4.2)</f>
        <v>4.2</v>
      </c>
      <c r="Y399" s="8">
        <f t="shared" ca="1" si="130"/>
        <v>-19.075144508670522</v>
      </c>
      <c r="Z399" s="12">
        <f t="shared" si="94"/>
        <v>77561404.859999999</v>
      </c>
      <c r="AA399" s="13">
        <f t="shared" ca="1" si="95"/>
        <v>62766454.800000004</v>
      </c>
      <c r="AB399" s="63"/>
      <c r="AC399" s="8">
        <v>531175</v>
      </c>
      <c r="AD399" s="8" t="s">
        <v>1666</v>
      </c>
      <c r="AE399" s="12">
        <v>435690271</v>
      </c>
      <c r="AF399" s="8">
        <v>5.07</v>
      </c>
      <c r="AG399" s="8">
        <f ca="1">IFERROR(__xludf.DUMMYFUNCTION("GOOGLEFINANCE(""BOM:"" &amp; AC399,""price"")"),3.28)</f>
        <v>3.28</v>
      </c>
      <c r="AH399" s="8">
        <f t="shared" ca="1" si="124"/>
        <v>-35.305719921104547</v>
      </c>
      <c r="AI399" s="12">
        <f t="shared" si="125"/>
        <v>2208949673.9700003</v>
      </c>
      <c r="AJ399" s="13">
        <f t="shared" ca="1" si="126"/>
        <v>1429064088.8799999</v>
      </c>
    </row>
    <row r="400" spans="1:36" x14ac:dyDescent="0.25">
      <c r="A400" s="63"/>
      <c r="B400" s="8">
        <v>524440</v>
      </c>
      <c r="C400" s="8" t="s">
        <v>1667</v>
      </c>
      <c r="D400" s="12">
        <v>9914390</v>
      </c>
      <c r="E400" s="8">
        <v>41.3</v>
      </c>
      <c r="F400" s="8">
        <f ca="1">IFERROR(__xludf.DUMMYFUNCTION("GOOGLEFINANCE(""BOM:"" &amp; B400,""price"")"),39.65)</f>
        <v>39.65</v>
      </c>
      <c r="G400" s="8">
        <f t="shared" ca="1" si="131"/>
        <v>-3.9951573849878899</v>
      </c>
      <c r="H400" s="12">
        <f t="shared" si="132"/>
        <v>409464307</v>
      </c>
      <c r="I400" s="13">
        <f t="shared" ca="1" si="133"/>
        <v>393105563.5</v>
      </c>
      <c r="J400" s="64"/>
      <c r="K400" s="14">
        <v>507410</v>
      </c>
      <c r="L400" s="14" t="s">
        <v>1668</v>
      </c>
      <c r="M400" s="15">
        <v>37583655</v>
      </c>
      <c r="N400" s="17">
        <v>244.1</v>
      </c>
      <c r="O400" s="17">
        <f ca="1">IFERROR(__xludf.DUMMYFUNCTION("GOOGLEFINANCE(""BOM:"" &amp; K400,""price"")"),202.55)</f>
        <v>202.55</v>
      </c>
      <c r="P400" s="14">
        <f t="shared" ca="1" si="108"/>
        <v>-17.021712412945508</v>
      </c>
      <c r="Q400" s="15">
        <f t="shared" si="109"/>
        <v>9174170185.5</v>
      </c>
      <c r="R400" s="16">
        <f t="shared" ca="1" si="110"/>
        <v>7612569320.25</v>
      </c>
      <c r="S400" s="63"/>
      <c r="T400" s="8">
        <v>503893</v>
      </c>
      <c r="U400" s="8" t="s">
        <v>1669</v>
      </c>
      <c r="V400" s="12">
        <v>223250</v>
      </c>
      <c r="W400" s="8">
        <v>0</v>
      </c>
      <c r="X400" s="11">
        <f ca="1">IFERROR(__xludf.DUMMYFUNCTION("GOOGLEFINANCE(""BOM:"" &amp; T400,""price"")"),0)</f>
        <v>0</v>
      </c>
      <c r="Y400" s="8">
        <v>0</v>
      </c>
      <c r="Z400" s="12">
        <f t="shared" si="94"/>
        <v>0</v>
      </c>
      <c r="AA400" s="13">
        <f t="shared" ca="1" si="95"/>
        <v>0</v>
      </c>
      <c r="AB400" s="63"/>
      <c r="AC400" s="8">
        <v>539607</v>
      </c>
      <c r="AD400" s="8" t="s">
        <v>1670</v>
      </c>
      <c r="AE400" s="12">
        <v>52715200</v>
      </c>
      <c r="AF400" s="8">
        <v>59.44</v>
      </c>
      <c r="AG400" s="8">
        <f ca="1">IFERROR(__xludf.DUMMYFUNCTION("GOOGLEFINANCE(""BOM:"" &amp; AC400,""price"")"),52.3)</f>
        <v>52.3</v>
      </c>
      <c r="AH400" s="8">
        <f t="shared" ca="1" si="124"/>
        <v>-12.012113055181697</v>
      </c>
      <c r="AI400" s="12">
        <f t="shared" si="125"/>
        <v>3133391488</v>
      </c>
      <c r="AJ400" s="13">
        <f t="shared" ca="1" si="126"/>
        <v>2757004960</v>
      </c>
    </row>
    <row r="401" spans="1:36" x14ac:dyDescent="0.25">
      <c r="A401" s="63"/>
      <c r="B401" s="8">
        <v>507486</v>
      </c>
      <c r="C401" s="8" t="s">
        <v>1671</v>
      </c>
      <c r="D401" s="12">
        <v>2790300</v>
      </c>
      <c r="E401" s="8">
        <v>54.5</v>
      </c>
      <c r="F401" s="8">
        <f ca="1">IFERROR(__xludf.DUMMYFUNCTION("GOOGLEFINANCE(""BOM:"" &amp; B401,""price"")"),51.5)</f>
        <v>51.5</v>
      </c>
      <c r="G401" s="8">
        <f t="shared" ca="1" si="131"/>
        <v>-5.5045871559633035</v>
      </c>
      <c r="H401" s="12">
        <f t="shared" si="132"/>
        <v>152071350</v>
      </c>
      <c r="I401" s="13">
        <f t="shared" ca="1" si="133"/>
        <v>143700450</v>
      </c>
      <c r="J401" s="62" t="s">
        <v>1672</v>
      </c>
      <c r="K401" s="6">
        <v>523457</v>
      </c>
      <c r="L401" s="6" t="s">
        <v>1673</v>
      </c>
      <c r="M401" s="7">
        <v>84723491</v>
      </c>
      <c r="N401" s="10">
        <v>5543.25</v>
      </c>
      <c r="O401" s="10">
        <f ca="1">IFERROR(__xludf.DUMMYFUNCTION("GOOGLEFINANCE(""BOM:"" &amp; K401,""price"")"),6409.35)</f>
        <v>6409.35</v>
      </c>
      <c r="P401" s="8">
        <f t="shared" ca="1" si="108"/>
        <v>15.624408063861459</v>
      </c>
      <c r="Q401" s="7">
        <f t="shared" si="109"/>
        <v>469643491485.75</v>
      </c>
      <c r="R401" s="9">
        <f t="shared" ca="1" si="110"/>
        <v>543022507040.85004</v>
      </c>
      <c r="S401" s="63"/>
      <c r="T401" s="8">
        <v>512367</v>
      </c>
      <c r="U401" s="8" t="s">
        <v>1674</v>
      </c>
      <c r="V401" s="12">
        <v>889700</v>
      </c>
      <c r="W401" s="8">
        <v>11.52</v>
      </c>
      <c r="X401" s="11">
        <f ca="1">IFERROR(__xludf.DUMMYFUNCTION("GOOGLEFINANCE(""BOM:"" &amp; T401,""price"")"),11.52)</f>
        <v>11.52</v>
      </c>
      <c r="Y401" s="8">
        <f t="shared" ref="Y401:Y449" ca="1" si="134">((X401-W401)/W401)*100</f>
        <v>0</v>
      </c>
      <c r="Z401" s="12">
        <f t="shared" si="94"/>
        <v>10249344</v>
      </c>
      <c r="AA401" s="13">
        <f t="shared" ca="1" si="95"/>
        <v>10249344</v>
      </c>
      <c r="AB401" s="63"/>
      <c r="AC401" s="8">
        <v>530839</v>
      </c>
      <c r="AD401" s="8" t="s">
        <v>1675</v>
      </c>
      <c r="AE401" s="12">
        <v>9911444</v>
      </c>
      <c r="AF401" s="8">
        <v>5.8</v>
      </c>
      <c r="AG401" s="8">
        <f ca="1">IFERROR(__xludf.DUMMYFUNCTION("GOOGLEFINANCE(""BOM:"" &amp; AC401,""price"")"),5.14)</f>
        <v>5.14</v>
      </c>
      <c r="AH401" s="8">
        <f t="shared" ca="1" si="124"/>
        <v>-11.379310344827589</v>
      </c>
      <c r="AI401" s="12">
        <f t="shared" si="125"/>
        <v>57486375.199999996</v>
      </c>
      <c r="AJ401" s="13">
        <f t="shared" ca="1" si="126"/>
        <v>50944822.159999996</v>
      </c>
    </row>
    <row r="402" spans="1:36" x14ac:dyDescent="0.25">
      <c r="A402" s="63"/>
      <c r="B402" s="8">
        <v>541269</v>
      </c>
      <c r="C402" s="8" t="s">
        <v>1676</v>
      </c>
      <c r="D402" s="12">
        <v>13785555</v>
      </c>
      <c r="E402" s="8">
        <v>568.1</v>
      </c>
      <c r="F402" s="8">
        <f ca="1">IFERROR(__xludf.DUMMYFUNCTION("GOOGLEFINANCE(""BOM:"" &amp; B402,""price"")"),646.4)</f>
        <v>646.4</v>
      </c>
      <c r="G402" s="8">
        <f t="shared" ca="1" si="131"/>
        <v>13.782784720999816</v>
      </c>
      <c r="H402" s="12">
        <f t="shared" si="132"/>
        <v>7831573795.5</v>
      </c>
      <c r="I402" s="13">
        <f t="shared" ca="1" si="133"/>
        <v>8910982752</v>
      </c>
      <c r="J402" s="63"/>
      <c r="K402" s="8">
        <v>507813</v>
      </c>
      <c r="L402" s="8" t="s">
        <v>1677</v>
      </c>
      <c r="M402" s="12">
        <v>4540636</v>
      </c>
      <c r="N402" s="10">
        <v>117.75</v>
      </c>
      <c r="O402" s="10">
        <f ca="1">IFERROR(__xludf.DUMMYFUNCTION("GOOGLEFINANCE(""BOM:"" &amp; K402,""price"")"),108.65)</f>
        <v>108.65</v>
      </c>
      <c r="P402" s="8">
        <f t="shared" ca="1" si="108"/>
        <v>-7.7282377919320551</v>
      </c>
      <c r="Q402" s="12">
        <f t="shared" si="109"/>
        <v>534659889</v>
      </c>
      <c r="R402" s="13">
        <f t="shared" ca="1" si="110"/>
        <v>493340101.40000004</v>
      </c>
      <c r="S402" s="63"/>
      <c r="T402" s="8">
        <v>512291</v>
      </c>
      <c r="U402" s="8" t="s">
        <v>1678</v>
      </c>
      <c r="V402" s="12">
        <v>728450</v>
      </c>
      <c r="W402" s="8">
        <v>9.5</v>
      </c>
      <c r="X402" s="11">
        <f ca="1">IFERROR(__xludf.DUMMYFUNCTION("GOOGLEFINANCE(""BOM:"" &amp; T402,""price"")"),9.5)</f>
        <v>9.5</v>
      </c>
      <c r="Y402" s="8">
        <f t="shared" ca="1" si="134"/>
        <v>0</v>
      </c>
      <c r="Z402" s="12">
        <f t="shared" si="94"/>
        <v>6920275</v>
      </c>
      <c r="AA402" s="13">
        <f t="shared" ca="1" si="95"/>
        <v>6920275</v>
      </c>
      <c r="AB402" s="63"/>
      <c r="AC402" s="8">
        <v>506935</v>
      </c>
      <c r="AD402" s="8" t="s">
        <v>1679</v>
      </c>
      <c r="AE402" s="12">
        <v>1466910</v>
      </c>
      <c r="AF402" s="8">
        <v>78.98</v>
      </c>
      <c r="AG402" s="8">
        <f ca="1">IFERROR(__xludf.DUMMYFUNCTION("GOOGLEFINANCE(""BOM:"" &amp; AC402,""price"")"),74.99)</f>
        <v>74.989999999999995</v>
      </c>
      <c r="AH402" s="8">
        <f t="shared" ca="1" si="124"/>
        <v>-5.0519118764244224</v>
      </c>
      <c r="AI402" s="12">
        <f t="shared" si="125"/>
        <v>115856551.80000001</v>
      </c>
      <c r="AJ402" s="13">
        <f t="shared" ca="1" si="126"/>
        <v>110003580.89999999</v>
      </c>
    </row>
    <row r="403" spans="1:36" x14ac:dyDescent="0.25">
      <c r="A403" s="63"/>
      <c r="B403" s="8">
        <v>543336</v>
      </c>
      <c r="C403" s="8" t="s">
        <v>1680</v>
      </c>
      <c r="D403" s="12">
        <v>158109574</v>
      </c>
      <c r="E403" s="8">
        <v>490.95</v>
      </c>
      <c r="F403" s="8">
        <f ca="1">IFERROR(__xludf.DUMMYFUNCTION("GOOGLEFINANCE(""BOM:"" &amp; B403,""price"")"),444.5)</f>
        <v>444.5</v>
      </c>
      <c r="G403" s="8">
        <f t="shared" ca="1" si="131"/>
        <v>-9.4612485996537306</v>
      </c>
      <c r="H403" s="12">
        <f t="shared" si="132"/>
        <v>77623895355.300003</v>
      </c>
      <c r="I403" s="13">
        <f t="shared" ca="1" si="133"/>
        <v>70279705643</v>
      </c>
      <c r="J403" s="64"/>
      <c r="K403" s="14">
        <v>532884</v>
      </c>
      <c r="L403" s="14" t="s">
        <v>1681</v>
      </c>
      <c r="M403" s="15">
        <v>21000757</v>
      </c>
      <c r="N403" s="17">
        <v>655.4</v>
      </c>
      <c r="O403" s="17">
        <f ca="1">IFERROR(__xludf.DUMMYFUNCTION("GOOGLEFINANCE(""BOM:"" &amp; K403,""price"")"),133.8)</f>
        <v>133.80000000000001</v>
      </c>
      <c r="P403" s="14">
        <f t="shared" ca="1" si="108"/>
        <v>-79.584986267927974</v>
      </c>
      <c r="Q403" s="15">
        <f t="shared" si="109"/>
        <v>13763896137.799999</v>
      </c>
      <c r="R403" s="16">
        <f t="shared" ca="1" si="110"/>
        <v>2809901286.6000004</v>
      </c>
      <c r="S403" s="63"/>
      <c r="T403" s="8">
        <v>503624</v>
      </c>
      <c r="U403" s="8" t="s">
        <v>1682</v>
      </c>
      <c r="V403" s="12">
        <v>14749100</v>
      </c>
      <c r="W403" s="8">
        <v>15.23</v>
      </c>
      <c r="X403" s="11">
        <f ca="1">IFERROR(__xludf.DUMMYFUNCTION("GOOGLEFINANCE(""BOM:"" &amp; T403,""price"")"),12.36)</f>
        <v>12.36</v>
      </c>
      <c r="Y403" s="8">
        <f t="shared" ca="1" si="134"/>
        <v>-18.84438608010506</v>
      </c>
      <c r="Z403" s="12">
        <f t="shared" si="94"/>
        <v>224628793</v>
      </c>
      <c r="AA403" s="13">
        <f t="shared" ca="1" si="95"/>
        <v>182298876</v>
      </c>
      <c r="AB403" s="63"/>
      <c r="AC403" s="8">
        <v>538922</v>
      </c>
      <c r="AD403" s="8" t="s">
        <v>1683</v>
      </c>
      <c r="AE403" s="12">
        <v>7283659</v>
      </c>
      <c r="AF403" s="8">
        <v>39</v>
      </c>
      <c r="AG403" s="8">
        <f ca="1">IFERROR(__xludf.DUMMYFUNCTION("GOOGLEFINANCE(""BOM:"" &amp; AC403,""price"")"),34.75)</f>
        <v>34.75</v>
      </c>
      <c r="AH403" s="8">
        <f t="shared" ca="1" si="124"/>
        <v>-10.897435897435898</v>
      </c>
      <c r="AI403" s="12">
        <f t="shared" si="125"/>
        <v>284062701</v>
      </c>
      <c r="AJ403" s="13">
        <f t="shared" ca="1" si="126"/>
        <v>253107150.25</v>
      </c>
    </row>
    <row r="404" spans="1:36" x14ac:dyDescent="0.25">
      <c r="A404" s="63"/>
      <c r="B404" s="8">
        <v>543318</v>
      </c>
      <c r="C404" s="8" t="s">
        <v>1684</v>
      </c>
      <c r="D404" s="12">
        <v>106218960</v>
      </c>
      <c r="E404" s="8">
        <v>1401.05</v>
      </c>
      <c r="F404" s="8">
        <f ca="1">IFERROR(__xludf.DUMMYFUNCTION("GOOGLEFINANCE(""BOM:"" &amp; B404,""price"")"),1335)</f>
        <v>1335</v>
      </c>
      <c r="G404" s="8">
        <f t="shared" ca="1" si="131"/>
        <v>-4.714321401805786</v>
      </c>
      <c r="H404" s="12">
        <f t="shared" si="132"/>
        <v>148818073908</v>
      </c>
      <c r="I404" s="13">
        <f t="shared" ca="1" si="133"/>
        <v>141802311600</v>
      </c>
      <c r="J404" s="62" t="s">
        <v>1685</v>
      </c>
      <c r="K404" s="6">
        <v>522134</v>
      </c>
      <c r="L404" s="6" t="s">
        <v>1686</v>
      </c>
      <c r="M404" s="7">
        <v>35535574</v>
      </c>
      <c r="N404" s="10">
        <v>172</v>
      </c>
      <c r="O404" s="10">
        <f ca="1">IFERROR(__xludf.DUMMYFUNCTION("GOOGLEFINANCE(""BOM:"" &amp; K404,""price"")"),140.15)</f>
        <v>140.15</v>
      </c>
      <c r="P404" s="8">
        <f t="shared" ca="1" si="108"/>
        <v>-18.517441860465116</v>
      </c>
      <c r="Q404" s="7">
        <f t="shared" si="109"/>
        <v>6112118728</v>
      </c>
      <c r="R404" s="9">
        <f t="shared" ca="1" si="110"/>
        <v>4980310696.1000004</v>
      </c>
      <c r="S404" s="63"/>
      <c r="T404" s="8">
        <v>503622</v>
      </c>
      <c r="U404" s="8" t="s">
        <v>1687</v>
      </c>
      <c r="V404" s="12">
        <v>17075500</v>
      </c>
      <c r="W404" s="8">
        <v>7.35</v>
      </c>
      <c r="X404" s="11">
        <f ca="1">IFERROR(__xludf.DUMMYFUNCTION("GOOGLEFINANCE(""BOM:"" &amp; T404,""price"")"),7.35)</f>
        <v>7.35</v>
      </c>
      <c r="Y404" s="8">
        <f t="shared" ca="1" si="134"/>
        <v>0</v>
      </c>
      <c r="Z404" s="12">
        <f t="shared" si="94"/>
        <v>125504925</v>
      </c>
      <c r="AA404" s="13">
        <f t="shared" ca="1" si="95"/>
        <v>125504925</v>
      </c>
      <c r="AB404" s="63"/>
      <c r="AC404" s="8">
        <v>512093</v>
      </c>
      <c r="AD404" s="8" t="s">
        <v>1688</v>
      </c>
      <c r="AE404" s="12">
        <v>117364673</v>
      </c>
      <c r="AF404" s="8">
        <v>4.1500000000000004</v>
      </c>
      <c r="AG404" s="8">
        <f ca="1">IFERROR(__xludf.DUMMYFUNCTION("GOOGLEFINANCE(""BOM:"" &amp; AC404,""price"")"),3.22)</f>
        <v>3.22</v>
      </c>
      <c r="AH404" s="8">
        <f t="shared" ca="1" si="124"/>
        <v>-22.409638554216869</v>
      </c>
      <c r="AI404" s="12">
        <f t="shared" si="125"/>
        <v>487063392.95000005</v>
      </c>
      <c r="AJ404" s="13">
        <f t="shared" ca="1" si="126"/>
        <v>377914247.06</v>
      </c>
    </row>
    <row r="405" spans="1:36" x14ac:dyDescent="0.25">
      <c r="A405" s="63"/>
      <c r="B405" s="8">
        <v>531227</v>
      </c>
      <c r="C405" s="8" t="s">
        <v>1689</v>
      </c>
      <c r="D405" s="12">
        <v>3617500</v>
      </c>
      <c r="E405" s="8">
        <v>74.739999999999995</v>
      </c>
      <c r="F405" s="8">
        <f ca="1">IFERROR(__xludf.DUMMYFUNCTION("GOOGLEFINANCE(""BOM:"" &amp; B405,""price"")"),63.5)</f>
        <v>63.5</v>
      </c>
      <c r="G405" s="8">
        <f t="shared" ca="1" si="131"/>
        <v>-15.038801177415035</v>
      </c>
      <c r="H405" s="12">
        <f t="shared" si="132"/>
        <v>270371950</v>
      </c>
      <c r="I405" s="13">
        <f t="shared" ca="1" si="133"/>
        <v>229711250</v>
      </c>
      <c r="J405" s="63"/>
      <c r="K405" s="8">
        <v>543236</v>
      </c>
      <c r="L405" s="8" t="s">
        <v>1690</v>
      </c>
      <c r="M405" s="12">
        <v>4125000</v>
      </c>
      <c r="N405" s="10">
        <v>173.6</v>
      </c>
      <c r="O405" s="10">
        <f ca="1">IFERROR(__xludf.DUMMYFUNCTION("GOOGLEFINANCE(""BOM:"" &amp; K405,""price"")"),167.65)</f>
        <v>167.65</v>
      </c>
      <c r="P405" s="8">
        <f t="shared" ca="1" si="108"/>
        <v>-3.4274193548387033</v>
      </c>
      <c r="Q405" s="12">
        <f t="shared" si="109"/>
        <v>716100000</v>
      </c>
      <c r="R405" s="13">
        <f t="shared" ca="1" si="110"/>
        <v>691556250</v>
      </c>
      <c r="S405" s="64"/>
      <c r="T405" s="14">
        <v>501386</v>
      </c>
      <c r="U405" s="14" t="s">
        <v>1691</v>
      </c>
      <c r="V405" s="15">
        <v>222240</v>
      </c>
      <c r="W405" s="14">
        <v>11.73</v>
      </c>
      <c r="X405" s="26">
        <f ca="1">IFERROR(__xludf.DUMMYFUNCTION("GOOGLEFINANCE(""BOM:"" &amp; T405,""price"")"),11.73)</f>
        <v>11.73</v>
      </c>
      <c r="Y405" s="14">
        <f t="shared" ca="1" si="134"/>
        <v>0</v>
      </c>
      <c r="Z405" s="15">
        <f t="shared" si="94"/>
        <v>2606875.2000000002</v>
      </c>
      <c r="AA405" s="16">
        <f t="shared" ca="1" si="95"/>
        <v>2606875.2000000002</v>
      </c>
      <c r="AB405" s="63"/>
      <c r="AC405" s="8">
        <v>532379</v>
      </c>
      <c r="AD405" s="8" t="s">
        <v>1692</v>
      </c>
      <c r="AE405" s="12">
        <v>10384080</v>
      </c>
      <c r="AF405" s="8">
        <v>8.3800000000000008</v>
      </c>
      <c r="AG405" s="8">
        <f ca="1">IFERROR(__xludf.DUMMYFUNCTION("GOOGLEFINANCE(""BOM:"" &amp; AC405,""price"")"),5.72)</f>
        <v>5.72</v>
      </c>
      <c r="AH405" s="8">
        <f t="shared" ca="1" si="124"/>
        <v>-31.742243436754187</v>
      </c>
      <c r="AI405" s="12">
        <f t="shared" si="125"/>
        <v>87018590.400000006</v>
      </c>
      <c r="AJ405" s="13">
        <f t="shared" ca="1" si="126"/>
        <v>59396937.599999994</v>
      </c>
    </row>
    <row r="406" spans="1:36" x14ac:dyDescent="0.25">
      <c r="A406" s="63"/>
      <c r="B406" s="8">
        <v>500645</v>
      </c>
      <c r="C406" s="8" t="s">
        <v>1693</v>
      </c>
      <c r="D406" s="12">
        <v>116473207</v>
      </c>
      <c r="E406" s="8">
        <v>508.95</v>
      </c>
      <c r="F406" s="8">
        <f ca="1">IFERROR(__xludf.DUMMYFUNCTION("GOOGLEFINANCE(""BOM:"" &amp; B406,""price"")"),504.65)</f>
        <v>504.65</v>
      </c>
      <c r="G406" s="8">
        <f t="shared" ca="1" si="131"/>
        <v>-0.84487670694567474</v>
      </c>
      <c r="H406" s="12">
        <f t="shared" si="132"/>
        <v>59279038702.650002</v>
      </c>
      <c r="I406" s="13">
        <f t="shared" ca="1" si="133"/>
        <v>58778203912.549995</v>
      </c>
      <c r="J406" s="63"/>
      <c r="K406" s="8">
        <v>522005</v>
      </c>
      <c r="L406" s="8" t="s">
        <v>1694</v>
      </c>
      <c r="M406" s="12">
        <v>3300599</v>
      </c>
      <c r="N406" s="10">
        <v>214</v>
      </c>
      <c r="O406" s="10">
        <f ca="1">IFERROR(__xludf.DUMMYFUNCTION("GOOGLEFINANCE(""BOM:"" &amp; K406,""price"")"),184)</f>
        <v>184</v>
      </c>
      <c r="P406" s="8">
        <f t="shared" ca="1" si="108"/>
        <v>-14.018691588785046</v>
      </c>
      <c r="Q406" s="12">
        <f t="shared" si="109"/>
        <v>706328186</v>
      </c>
      <c r="R406" s="13">
        <f t="shared" ca="1" si="110"/>
        <v>607310216</v>
      </c>
      <c r="S406" s="62" t="s">
        <v>1695</v>
      </c>
      <c r="T406" s="6">
        <v>530609</v>
      </c>
      <c r="U406" s="6" t="s">
        <v>1696</v>
      </c>
      <c r="V406" s="7">
        <v>3317101</v>
      </c>
      <c r="W406" s="8">
        <v>7.55</v>
      </c>
      <c r="X406" s="11">
        <f ca="1">IFERROR(__xludf.DUMMYFUNCTION("GOOGLEFINANCE(""BOM:"" &amp; T406,""price"")"),7.55)</f>
        <v>7.55</v>
      </c>
      <c r="Y406" s="8">
        <f t="shared" ca="1" si="134"/>
        <v>0</v>
      </c>
      <c r="Z406" s="7">
        <f t="shared" si="94"/>
        <v>25044112.550000001</v>
      </c>
      <c r="AA406" s="9">
        <f t="shared" ca="1" si="95"/>
        <v>25044112.550000001</v>
      </c>
      <c r="AB406" s="63"/>
      <c r="AC406" s="8">
        <v>532041</v>
      </c>
      <c r="AD406" s="8" t="s">
        <v>1697</v>
      </c>
      <c r="AE406" s="12">
        <v>10242494</v>
      </c>
      <c r="AF406" s="8">
        <v>9.1999999999999993</v>
      </c>
      <c r="AG406" s="8">
        <f ca="1">IFERROR(__xludf.DUMMYFUNCTION("GOOGLEFINANCE(""BOM:"" &amp; AC406,""price"")"),7.25)</f>
        <v>7.25</v>
      </c>
      <c r="AH406" s="8">
        <v>0</v>
      </c>
      <c r="AI406" s="12">
        <v>0</v>
      </c>
      <c r="AJ406" s="13">
        <v>0</v>
      </c>
    </row>
    <row r="407" spans="1:36" x14ac:dyDescent="0.25">
      <c r="A407" s="63"/>
      <c r="B407" s="8">
        <v>524768</v>
      </c>
      <c r="C407" s="8" t="s">
        <v>1698</v>
      </c>
      <c r="D407" s="12">
        <v>4301680</v>
      </c>
      <c r="E407" s="8">
        <v>37.01</v>
      </c>
      <c r="F407" s="8">
        <f ca="1">IFERROR(__xludf.DUMMYFUNCTION("GOOGLEFINANCE(""BOM:"" &amp; B407,""price"")"),29.85)</f>
        <v>29.85</v>
      </c>
      <c r="G407" s="8">
        <f t="shared" ca="1" si="131"/>
        <v>-19.346122669548762</v>
      </c>
      <c r="H407" s="12">
        <f t="shared" si="132"/>
        <v>159205176.79999998</v>
      </c>
      <c r="I407" s="13">
        <f t="shared" ca="1" si="133"/>
        <v>128405148</v>
      </c>
      <c r="J407" s="63"/>
      <c r="K407" s="8">
        <v>523850</v>
      </c>
      <c r="L407" s="8" t="s">
        <v>1699</v>
      </c>
      <c r="M407" s="12">
        <v>14104195</v>
      </c>
      <c r="N407" s="10">
        <v>620.25</v>
      </c>
      <c r="O407" s="10">
        <f ca="1">IFERROR(__xludf.DUMMYFUNCTION("GOOGLEFINANCE(""BOM:"" &amp; K407,""price"")"),631.05)</f>
        <v>631.04999999999995</v>
      </c>
      <c r="P407" s="8">
        <f t="shared" ca="1" si="108"/>
        <v>1.7412333736396539</v>
      </c>
      <c r="Q407" s="12">
        <f t="shared" si="109"/>
        <v>8748126948.75</v>
      </c>
      <c r="R407" s="13">
        <f t="shared" ca="1" si="110"/>
        <v>8900452254.75</v>
      </c>
      <c r="S407" s="63"/>
      <c r="T407" s="8">
        <v>504286</v>
      </c>
      <c r="U407" s="8" t="s">
        <v>1700</v>
      </c>
      <c r="V407" s="12">
        <v>10544223</v>
      </c>
      <c r="W407" s="8">
        <v>104.86</v>
      </c>
      <c r="X407" s="11">
        <f ca="1">IFERROR(__xludf.DUMMYFUNCTION("GOOGLEFINANCE(""BOM:"" &amp; T407,""price"")"),94.19)</f>
        <v>94.19</v>
      </c>
      <c r="Y407" s="8">
        <f t="shared" ca="1" si="134"/>
        <v>-10.175472057982073</v>
      </c>
      <c r="Z407" s="12">
        <f t="shared" si="94"/>
        <v>1105667223.78</v>
      </c>
      <c r="AA407" s="13">
        <f t="shared" ca="1" si="95"/>
        <v>993160364.37</v>
      </c>
      <c r="AB407" s="63"/>
      <c r="AC407" s="8">
        <v>532100</v>
      </c>
      <c r="AD407" s="8" t="s">
        <v>1701</v>
      </c>
      <c r="AE407" s="12">
        <v>10274875</v>
      </c>
      <c r="AF407" s="8">
        <v>11.07</v>
      </c>
      <c r="AG407" s="8">
        <f ca="1">IFERROR(__xludf.DUMMYFUNCTION("GOOGLEFINANCE(""BOM:"" &amp; AC407,""price"")"),10.4)</f>
        <v>10.4</v>
      </c>
      <c r="AH407" s="8">
        <f t="shared" ref="AH407:AH420" ca="1" si="135">((AG407-AF407)/AF407)*100</f>
        <v>-6.0523938572719054</v>
      </c>
      <c r="AI407" s="12">
        <f t="shared" ref="AI407:AI420" si="136">AE407*AF407</f>
        <v>113742866.25</v>
      </c>
      <c r="AJ407" s="13">
        <f t="shared" ref="AJ407:AJ420" ca="1" si="137">AE407*AG407</f>
        <v>106858700</v>
      </c>
    </row>
    <row r="408" spans="1:36" x14ac:dyDescent="0.25">
      <c r="A408" s="63"/>
      <c r="B408" s="8">
        <v>524743</v>
      </c>
      <c r="C408" s="8" t="s">
        <v>1702</v>
      </c>
      <c r="D408" s="12">
        <v>66782</v>
      </c>
      <c r="E408" s="8">
        <v>447.25</v>
      </c>
      <c r="F408" s="8">
        <f ca="1">IFERROR(__xludf.DUMMYFUNCTION("GOOGLEFINANCE(""BOM:"" &amp; B408,""price"")"),624.65)</f>
        <v>624.65</v>
      </c>
      <c r="G408" s="8">
        <f t="shared" ca="1" si="131"/>
        <v>39.664617104527665</v>
      </c>
      <c r="H408" s="12">
        <f t="shared" si="132"/>
        <v>29868249.5</v>
      </c>
      <c r="I408" s="13">
        <f t="shared" ca="1" si="133"/>
        <v>41715376.299999997</v>
      </c>
      <c r="J408" s="63"/>
      <c r="K408" s="8">
        <v>507944</v>
      </c>
      <c r="L408" s="8" t="s">
        <v>1703</v>
      </c>
      <c r="M408" s="12">
        <v>4914386</v>
      </c>
      <c r="N408" s="10">
        <v>1217.3</v>
      </c>
      <c r="O408" s="10">
        <f ca="1">IFERROR(__xludf.DUMMYFUNCTION("GOOGLEFINANCE(""BOM:"" &amp; K408,""price"")"),1150)</f>
        <v>1150</v>
      </c>
      <c r="P408" s="8">
        <f t="shared" ca="1" si="108"/>
        <v>-5.5286289328842484</v>
      </c>
      <c r="Q408" s="12">
        <f t="shared" si="109"/>
        <v>5982282077.8000002</v>
      </c>
      <c r="R408" s="13">
        <f t="shared" ca="1" si="110"/>
        <v>5651543900</v>
      </c>
      <c r="S408" s="63"/>
      <c r="T408" s="8">
        <v>500133</v>
      </c>
      <c r="U408" s="8" t="s">
        <v>1704</v>
      </c>
      <c r="V408" s="12">
        <v>15253084</v>
      </c>
      <c r="W408" s="8">
        <v>5066.7</v>
      </c>
      <c r="X408" s="11">
        <f ca="1">IFERROR(__xludf.DUMMYFUNCTION("GOOGLEFINANCE(""BOM:"" &amp; T408,""price"")"),5225)</f>
        <v>5225</v>
      </c>
      <c r="Y408" s="8">
        <f t="shared" ca="1" si="134"/>
        <v>3.124321550516119</v>
      </c>
      <c r="Z408" s="12">
        <f t="shared" si="94"/>
        <v>77282800702.800003</v>
      </c>
      <c r="AA408" s="13">
        <f t="shared" ca="1" si="95"/>
        <v>79697363900</v>
      </c>
      <c r="AB408" s="63"/>
      <c r="AC408" s="8">
        <v>532326</v>
      </c>
      <c r="AD408" s="8" t="s">
        <v>1705</v>
      </c>
      <c r="AE408" s="12">
        <v>22323795</v>
      </c>
      <c r="AF408" s="8">
        <v>128.35</v>
      </c>
      <c r="AG408" s="8">
        <f ca="1">IFERROR(__xludf.DUMMYFUNCTION("GOOGLEFINANCE(""BOM:"" &amp; AC408,""price"")"),114.4)</f>
        <v>114.4</v>
      </c>
      <c r="AH408" s="8">
        <f t="shared" ca="1" si="135"/>
        <v>-10.86871834826645</v>
      </c>
      <c r="AI408" s="12">
        <f t="shared" si="136"/>
        <v>2865259088.25</v>
      </c>
      <c r="AJ408" s="13">
        <f t="shared" ca="1" si="137"/>
        <v>2553842148</v>
      </c>
    </row>
    <row r="409" spans="1:36" x14ac:dyDescent="0.25">
      <c r="A409" s="63"/>
      <c r="B409" s="8">
        <v>524564</v>
      </c>
      <c r="C409" s="8" t="s">
        <v>1706</v>
      </c>
      <c r="D409" s="12">
        <v>57686900</v>
      </c>
      <c r="E409" s="8">
        <v>6.37</v>
      </c>
      <c r="F409" s="8">
        <f ca="1">IFERROR(__xludf.DUMMYFUNCTION("GOOGLEFINANCE(""BOM:"" &amp; B409,""price"")"),5.03)</f>
        <v>5.03</v>
      </c>
      <c r="G409" s="8">
        <f t="shared" ca="1" si="131"/>
        <v>-21.036106750392459</v>
      </c>
      <c r="H409" s="12">
        <f t="shared" si="132"/>
        <v>367465553</v>
      </c>
      <c r="I409" s="13">
        <f t="shared" ca="1" si="133"/>
        <v>290165107</v>
      </c>
      <c r="J409" s="63"/>
      <c r="K409" s="8">
        <v>531112</v>
      </c>
      <c r="L409" s="8" t="s">
        <v>1707</v>
      </c>
      <c r="M409" s="12">
        <v>83200872</v>
      </c>
      <c r="N409" s="10">
        <v>216.3</v>
      </c>
      <c r="O409" s="10">
        <f ca="1">IFERROR(__xludf.DUMMYFUNCTION("GOOGLEFINANCE(""BOM:"" &amp; K409,""price"")"),204.7)</f>
        <v>204.7</v>
      </c>
      <c r="P409" s="8">
        <f t="shared" ca="1" si="108"/>
        <v>-5.3629218677762474</v>
      </c>
      <c r="Q409" s="12">
        <f t="shared" si="109"/>
        <v>17996348613.600002</v>
      </c>
      <c r="R409" s="13">
        <f t="shared" ca="1" si="110"/>
        <v>17031218498.4</v>
      </c>
      <c r="S409" s="63"/>
      <c r="T409" s="8">
        <v>526614</v>
      </c>
      <c r="U409" s="8" t="s">
        <v>1708</v>
      </c>
      <c r="V409" s="12">
        <v>18443265</v>
      </c>
      <c r="W409" s="8">
        <v>21.33</v>
      </c>
      <c r="X409" s="11">
        <f ca="1">IFERROR(__xludf.DUMMYFUNCTION("GOOGLEFINANCE(""BOM:"" &amp; T409,""price"")"),23.2)</f>
        <v>23.2</v>
      </c>
      <c r="Y409" s="8">
        <f t="shared" ca="1" si="134"/>
        <v>8.7669948429442162</v>
      </c>
      <c r="Z409" s="12">
        <f t="shared" si="94"/>
        <v>393394842.44999999</v>
      </c>
      <c r="AA409" s="13">
        <f t="shared" ca="1" si="95"/>
        <v>427883748</v>
      </c>
      <c r="AB409" s="63"/>
      <c r="AC409" s="8">
        <v>543425</v>
      </c>
      <c r="AD409" s="8" t="s">
        <v>1709</v>
      </c>
      <c r="AE409" s="12">
        <v>53242967</v>
      </c>
      <c r="AF409" s="8">
        <v>1832.2</v>
      </c>
      <c r="AG409" s="8">
        <f ca="1">IFERROR(__xludf.DUMMYFUNCTION("GOOGLEFINANCE(""BOM:"" &amp; AC409,""price"")"),1871.9)</f>
        <v>1871.9</v>
      </c>
      <c r="AH409" s="8">
        <f t="shared" ca="1" si="135"/>
        <v>2.1667940181202949</v>
      </c>
      <c r="AI409" s="12">
        <f t="shared" si="136"/>
        <v>97551764137.400009</v>
      </c>
      <c r="AJ409" s="13">
        <f t="shared" ca="1" si="137"/>
        <v>99665509927.300003</v>
      </c>
    </row>
    <row r="410" spans="1:36" x14ac:dyDescent="0.25">
      <c r="A410" s="63"/>
      <c r="B410" s="8">
        <v>532425</v>
      </c>
      <c r="C410" s="8" t="s">
        <v>1710</v>
      </c>
      <c r="D410" s="12">
        <v>14583630</v>
      </c>
      <c r="E410" s="8">
        <v>21.3</v>
      </c>
      <c r="F410" s="8">
        <f ca="1">IFERROR(__xludf.DUMMYFUNCTION("GOOGLEFINANCE(""BOM:"" &amp; B410,""price"")"),16.66)</f>
        <v>16.66</v>
      </c>
      <c r="G410" s="8">
        <f t="shared" ca="1" si="131"/>
        <v>-21.784037558685448</v>
      </c>
      <c r="H410" s="12">
        <f t="shared" si="132"/>
        <v>310631319</v>
      </c>
      <c r="I410" s="13">
        <f t="shared" ca="1" si="133"/>
        <v>242963275.80000001</v>
      </c>
      <c r="J410" s="63"/>
      <c r="K410" s="8">
        <v>522105</v>
      </c>
      <c r="L410" s="8" t="s">
        <v>1711</v>
      </c>
      <c r="M410" s="12">
        <v>63989916</v>
      </c>
      <c r="N410" s="10">
        <v>63.17</v>
      </c>
      <c r="O410" s="10">
        <f ca="1">IFERROR(__xludf.DUMMYFUNCTION("GOOGLEFINANCE(""BOM:"" &amp; K410,""price"")"),60)</f>
        <v>60</v>
      </c>
      <c r="P410" s="8">
        <f t="shared" ca="1" si="108"/>
        <v>-5.0182048440715556</v>
      </c>
      <c r="Q410" s="12">
        <f t="shared" si="109"/>
        <v>4042242993.7200003</v>
      </c>
      <c r="R410" s="13">
        <f t="shared" ca="1" si="110"/>
        <v>3839394960</v>
      </c>
      <c r="S410" s="63"/>
      <c r="T410" s="8">
        <v>504746</v>
      </c>
      <c r="U410" s="8" t="s">
        <v>1712</v>
      </c>
      <c r="V410" s="12">
        <v>377940</v>
      </c>
      <c r="W410" s="8">
        <v>187.6</v>
      </c>
      <c r="X410" s="11">
        <f ca="1">IFERROR(__xludf.DUMMYFUNCTION("GOOGLEFINANCE(""BOM:"" &amp; T410,""price"")"),196.95)</f>
        <v>196.95</v>
      </c>
      <c r="Y410" s="8">
        <f t="shared" ca="1" si="134"/>
        <v>4.9840085287846456</v>
      </c>
      <c r="Z410" s="12">
        <f t="shared" si="94"/>
        <v>70901544</v>
      </c>
      <c r="AA410" s="13">
        <f t="shared" ca="1" si="95"/>
        <v>74435283</v>
      </c>
      <c r="AB410" s="63"/>
      <c r="AC410" s="8">
        <v>532407</v>
      </c>
      <c r="AD410" s="8" t="s">
        <v>1713</v>
      </c>
      <c r="AE410" s="12">
        <v>159630559</v>
      </c>
      <c r="AF410" s="8">
        <v>96.07</v>
      </c>
      <c r="AG410" s="8">
        <f ca="1">IFERROR(__xludf.DUMMYFUNCTION("GOOGLEFINANCE(""BOM:"" &amp; AC410,""price"")"),88.56)</f>
        <v>88.56</v>
      </c>
      <c r="AH410" s="8">
        <f t="shared" ca="1" si="135"/>
        <v>-7.817216612886428</v>
      </c>
      <c r="AI410" s="12">
        <f t="shared" si="136"/>
        <v>15335707803.129999</v>
      </c>
      <c r="AJ410" s="13">
        <f t="shared" ca="1" si="137"/>
        <v>14136882305.040001</v>
      </c>
    </row>
    <row r="411" spans="1:36" x14ac:dyDescent="0.25">
      <c r="A411" s="63"/>
      <c r="B411" s="8">
        <v>500171</v>
      </c>
      <c r="C411" s="8" t="s">
        <v>1714</v>
      </c>
      <c r="D411" s="12">
        <v>93442578</v>
      </c>
      <c r="E411" s="8">
        <v>509.3</v>
      </c>
      <c r="F411" s="8">
        <f ca="1">IFERROR(__xludf.DUMMYFUNCTION("GOOGLEFINANCE(""BOM:"" &amp; B411,""price"")"),445.5)</f>
        <v>445.5</v>
      </c>
      <c r="G411" s="8">
        <f t="shared" ca="1" si="131"/>
        <v>-12.526997840172788</v>
      </c>
      <c r="H411" s="12">
        <f t="shared" si="132"/>
        <v>47590304975.400002</v>
      </c>
      <c r="I411" s="13">
        <f t="shared" ca="1" si="133"/>
        <v>41628668499</v>
      </c>
      <c r="J411" s="63"/>
      <c r="K411" s="8">
        <v>522251</v>
      </c>
      <c r="L411" s="8" t="s">
        <v>1715</v>
      </c>
      <c r="M411" s="12">
        <v>4382949</v>
      </c>
      <c r="N411" s="10">
        <v>495</v>
      </c>
      <c r="O411" s="10">
        <f ca="1">IFERROR(__xludf.DUMMYFUNCTION("GOOGLEFINANCE(""BOM:"" &amp; K411,""price"")"),405)</f>
        <v>405</v>
      </c>
      <c r="P411" s="8">
        <f t="shared" ca="1" si="108"/>
        <v>-18.181818181818183</v>
      </c>
      <c r="Q411" s="12">
        <f t="shared" si="109"/>
        <v>2169559755</v>
      </c>
      <c r="R411" s="13">
        <f t="shared" ca="1" si="110"/>
        <v>1775094345</v>
      </c>
      <c r="S411" s="63"/>
      <c r="T411" s="8">
        <v>539400</v>
      </c>
      <c r="U411" s="8" t="s">
        <v>1716</v>
      </c>
      <c r="V411" s="12">
        <v>6225283</v>
      </c>
      <c r="W411" s="8">
        <v>935.7</v>
      </c>
      <c r="X411" s="11">
        <f ca="1">IFERROR(__xludf.DUMMYFUNCTION("GOOGLEFINANCE(""BOM:"" &amp; T411,""price"")"),982)</f>
        <v>982</v>
      </c>
      <c r="Y411" s="8">
        <f t="shared" ca="1" si="134"/>
        <v>4.9481671475900342</v>
      </c>
      <c r="Z411" s="12">
        <f t="shared" si="94"/>
        <v>5824997303.1000004</v>
      </c>
      <c r="AA411" s="13">
        <f t="shared" ca="1" si="95"/>
        <v>6113227906</v>
      </c>
      <c r="AB411" s="63"/>
      <c r="AC411" s="8">
        <v>509040</v>
      </c>
      <c r="AD411" s="8" t="s">
        <v>1717</v>
      </c>
      <c r="AE411" s="12">
        <v>2529225</v>
      </c>
      <c r="AF411" s="8">
        <v>112</v>
      </c>
      <c r="AG411" s="8">
        <f ca="1">IFERROR(__xludf.DUMMYFUNCTION("GOOGLEFINANCE(""BOM:"" &amp; AC411,""price"")"),105)</f>
        <v>105</v>
      </c>
      <c r="AH411" s="8">
        <f t="shared" ca="1" si="135"/>
        <v>-6.25</v>
      </c>
      <c r="AI411" s="12">
        <f t="shared" si="136"/>
        <v>283273200</v>
      </c>
      <c r="AJ411" s="13">
        <f t="shared" ca="1" si="137"/>
        <v>265568625</v>
      </c>
    </row>
    <row r="412" spans="1:36" x14ac:dyDescent="0.25">
      <c r="A412" s="63"/>
      <c r="B412" s="8">
        <v>500670</v>
      </c>
      <c r="C412" s="8" t="s">
        <v>1718</v>
      </c>
      <c r="D412" s="12">
        <v>149515845</v>
      </c>
      <c r="E412" s="8">
        <v>632.15</v>
      </c>
      <c r="F412" s="8">
        <f ca="1">IFERROR(__xludf.DUMMYFUNCTION("GOOGLEFINANCE(""BOM:"" &amp; B412,""price"")"),626.35)</f>
        <v>626.35</v>
      </c>
      <c r="G412" s="8">
        <f t="shared" ca="1" si="131"/>
        <v>-0.91750375701968745</v>
      </c>
      <c r="H412" s="12">
        <f t="shared" si="132"/>
        <v>94516441416.75</v>
      </c>
      <c r="I412" s="13">
        <f t="shared" ca="1" si="133"/>
        <v>93649249515.75</v>
      </c>
      <c r="J412" s="63"/>
      <c r="K412" s="8">
        <v>537326</v>
      </c>
      <c r="L412" s="8" t="s">
        <v>1719</v>
      </c>
      <c r="M412" s="12">
        <v>11487333</v>
      </c>
      <c r="N412" s="10">
        <v>120.6</v>
      </c>
      <c r="O412" s="10">
        <f ca="1">IFERROR(__xludf.DUMMYFUNCTION("GOOGLEFINANCE(""BOM:"" &amp; K412,""price"")"),121.1)</f>
        <v>121.1</v>
      </c>
      <c r="P412" s="8">
        <f t="shared" ca="1" si="108"/>
        <v>0.41459369817578773</v>
      </c>
      <c r="Q412" s="12">
        <f t="shared" si="109"/>
        <v>1385372359.8</v>
      </c>
      <c r="R412" s="13">
        <f t="shared" ca="1" si="110"/>
        <v>1391116026.3</v>
      </c>
      <c r="S412" s="63"/>
      <c r="T412" s="8">
        <v>539219</v>
      </c>
      <c r="U412" s="8" t="s">
        <v>1720</v>
      </c>
      <c r="V412" s="12">
        <v>133064350</v>
      </c>
      <c r="W412" s="8">
        <v>10.8</v>
      </c>
      <c r="X412" s="11">
        <f ca="1">IFERROR(__xludf.DUMMYFUNCTION("GOOGLEFINANCE(""BOM:"" &amp; T412,""price"")"),8.5)</f>
        <v>8.5</v>
      </c>
      <c r="Y412" s="8">
        <f t="shared" ca="1" si="134"/>
        <v>-21.296296296296301</v>
      </c>
      <c r="Z412" s="12">
        <f t="shared" si="94"/>
        <v>1437094980</v>
      </c>
      <c r="AA412" s="13">
        <f t="shared" ca="1" si="95"/>
        <v>1131046975</v>
      </c>
      <c r="AB412" s="63"/>
      <c r="AC412" s="8">
        <v>508867</v>
      </c>
      <c r="AD412" s="8" t="s">
        <v>1721</v>
      </c>
      <c r="AE412" s="12">
        <v>984750</v>
      </c>
      <c r="AF412" s="8">
        <v>9.1</v>
      </c>
      <c r="AG412" s="8">
        <f ca="1">IFERROR(__xludf.DUMMYFUNCTION("GOOGLEFINANCE(""BOM:"" &amp; AC412,""price"")"),9.1)</f>
        <v>9.1</v>
      </c>
      <c r="AH412" s="8">
        <f t="shared" ca="1" si="135"/>
        <v>0</v>
      </c>
      <c r="AI412" s="12">
        <f t="shared" si="136"/>
        <v>8961225</v>
      </c>
      <c r="AJ412" s="13">
        <f t="shared" ca="1" si="137"/>
        <v>8961225</v>
      </c>
    </row>
    <row r="413" spans="1:36" x14ac:dyDescent="0.25">
      <c r="A413" s="63"/>
      <c r="B413" s="8">
        <v>505710</v>
      </c>
      <c r="C413" s="8" t="s">
        <v>1722</v>
      </c>
      <c r="D413" s="12">
        <v>223866590</v>
      </c>
      <c r="E413" s="8">
        <v>187.4</v>
      </c>
      <c r="F413" s="8">
        <f ca="1">IFERROR(__xludf.DUMMYFUNCTION("GOOGLEFINANCE(""BOM:"" &amp; B413,""price"")"),176.55)</f>
        <v>176.55</v>
      </c>
      <c r="G413" s="8">
        <f t="shared" ca="1" si="131"/>
        <v>-5.7897545357523974</v>
      </c>
      <c r="H413" s="12">
        <f t="shared" si="132"/>
        <v>41952598966</v>
      </c>
      <c r="I413" s="13">
        <f t="shared" ca="1" si="133"/>
        <v>39523646464.5</v>
      </c>
      <c r="J413" s="63"/>
      <c r="K413" s="8">
        <v>500147</v>
      </c>
      <c r="L413" s="8" t="s">
        <v>1723</v>
      </c>
      <c r="M413" s="12">
        <v>4903951</v>
      </c>
      <c r="N413" s="10">
        <v>3354.75</v>
      </c>
      <c r="O413" s="10">
        <f ca="1">IFERROR(__xludf.DUMMYFUNCTION("GOOGLEFINANCE(""BOM:"" &amp; K413,""price"")"),3297)</f>
        <v>3297</v>
      </c>
      <c r="P413" s="8">
        <f t="shared" ca="1" si="108"/>
        <v>-1.7214397496087637</v>
      </c>
      <c r="Q413" s="12">
        <f t="shared" si="109"/>
        <v>16451529617.25</v>
      </c>
      <c r="R413" s="13">
        <f t="shared" ca="1" si="110"/>
        <v>16168326447</v>
      </c>
      <c r="S413" s="63"/>
      <c r="T413" s="8">
        <v>531859</v>
      </c>
      <c r="U413" s="8" t="s">
        <v>1724</v>
      </c>
      <c r="V413" s="12">
        <v>51614000</v>
      </c>
      <c r="W413" s="8">
        <v>281.60000000000002</v>
      </c>
      <c r="X413" s="11">
        <f ca="1">IFERROR(__xludf.DUMMYFUNCTION("GOOGLEFINANCE(""BOM:"" &amp; T413,""price"")"),244)</f>
        <v>244</v>
      </c>
      <c r="Y413" s="8">
        <f t="shared" ca="1" si="134"/>
        <v>-13.352272727272736</v>
      </c>
      <c r="Z413" s="12">
        <f t="shared" si="94"/>
        <v>14534502400.000002</v>
      </c>
      <c r="AA413" s="13">
        <f t="shared" ca="1" si="95"/>
        <v>12593816000</v>
      </c>
      <c r="AB413" s="63"/>
      <c r="AC413" s="8">
        <v>531083</v>
      </c>
      <c r="AD413" s="8" t="s">
        <v>1725</v>
      </c>
      <c r="AE413" s="12">
        <v>9178536</v>
      </c>
      <c r="AF413" s="8">
        <v>8.41</v>
      </c>
      <c r="AG413" s="8">
        <f ca="1">IFERROR(__xludf.DUMMYFUNCTION("GOOGLEFINANCE(""BOM:"" &amp; AC413,""price"")"),6.8)</f>
        <v>6.8</v>
      </c>
      <c r="AH413" s="8">
        <f t="shared" ca="1" si="135"/>
        <v>-19.143876337693225</v>
      </c>
      <c r="AI413" s="12">
        <f t="shared" si="136"/>
        <v>77191487.760000005</v>
      </c>
      <c r="AJ413" s="13">
        <f t="shared" ca="1" si="137"/>
        <v>62414044.799999997</v>
      </c>
    </row>
    <row r="414" spans="1:36" x14ac:dyDescent="0.25">
      <c r="A414" s="63"/>
      <c r="B414" s="8">
        <v>530001</v>
      </c>
      <c r="C414" s="8" t="s">
        <v>1726</v>
      </c>
      <c r="D414" s="12">
        <v>72612217</v>
      </c>
      <c r="E414" s="8">
        <v>810.15</v>
      </c>
      <c r="F414" s="8">
        <f ca="1">IFERROR(__xludf.DUMMYFUNCTION("GOOGLEFINANCE(""BOM:"" &amp; B414,""price"")"),673.05)</f>
        <v>673.05</v>
      </c>
      <c r="G414" s="8">
        <f t="shared" ca="1" si="131"/>
        <v>-16.922792075541572</v>
      </c>
      <c r="H414" s="12">
        <f t="shared" si="132"/>
        <v>58826787602.549995</v>
      </c>
      <c r="I414" s="13">
        <f t="shared" ca="1" si="133"/>
        <v>48871652651.849998</v>
      </c>
      <c r="J414" s="63"/>
      <c r="K414" s="8">
        <v>543172</v>
      </c>
      <c r="L414" s="8" t="s">
        <v>1727</v>
      </c>
      <c r="M414" s="12">
        <v>1500000</v>
      </c>
      <c r="N414" s="10">
        <v>249.25</v>
      </c>
      <c r="O414" s="10">
        <f ca="1">IFERROR(__xludf.DUMMYFUNCTION("GOOGLEFINANCE(""BOM:"" &amp; K414,""price"")"),228)</f>
        <v>228</v>
      </c>
      <c r="P414" s="8">
        <f t="shared" ca="1" si="108"/>
        <v>-8.5255767301905721</v>
      </c>
      <c r="Q414" s="12">
        <f t="shared" si="109"/>
        <v>373875000</v>
      </c>
      <c r="R414" s="13">
        <f t="shared" ca="1" si="110"/>
        <v>342000000</v>
      </c>
      <c r="S414" s="63"/>
      <c r="T414" s="8">
        <v>540727</v>
      </c>
      <c r="U414" s="8" t="s">
        <v>1728</v>
      </c>
      <c r="V414" s="12">
        <v>10142000</v>
      </c>
      <c r="W414" s="8">
        <v>50.87</v>
      </c>
      <c r="X414" s="11">
        <f ca="1">IFERROR(__xludf.DUMMYFUNCTION("GOOGLEFINANCE(""BOM:"" &amp; T414,""price"")"),40)</f>
        <v>40</v>
      </c>
      <c r="Y414" s="8">
        <f t="shared" ca="1" si="134"/>
        <v>-21.368193434244148</v>
      </c>
      <c r="Z414" s="12">
        <f t="shared" si="94"/>
        <v>515923540</v>
      </c>
      <c r="AA414" s="13">
        <f t="shared" ca="1" si="95"/>
        <v>405680000</v>
      </c>
      <c r="AB414" s="63"/>
      <c r="AC414" s="8">
        <v>531209</v>
      </c>
      <c r="AD414" s="8" t="s">
        <v>1729</v>
      </c>
      <c r="AE414" s="12">
        <v>26720482</v>
      </c>
      <c r="AF414" s="8">
        <v>1400.1</v>
      </c>
      <c r="AG414" s="8">
        <f ca="1">IFERROR(__xludf.DUMMYFUNCTION("GOOGLEFINANCE(""BOM:"" &amp; AC414,""price"")"),1190)</f>
        <v>1190</v>
      </c>
      <c r="AH414" s="8">
        <f t="shared" ca="1" si="135"/>
        <v>-15.006070994928928</v>
      </c>
      <c r="AI414" s="12">
        <f t="shared" si="136"/>
        <v>37411346848.199997</v>
      </c>
      <c r="AJ414" s="13">
        <f t="shared" ca="1" si="137"/>
        <v>31797373580</v>
      </c>
    </row>
    <row r="415" spans="1:36" x14ac:dyDescent="0.25">
      <c r="A415" s="63"/>
      <c r="B415" s="8">
        <v>506640</v>
      </c>
      <c r="C415" s="8" t="s">
        <v>1730</v>
      </c>
      <c r="D415" s="12">
        <v>111604</v>
      </c>
      <c r="E415" s="8">
        <v>88.9</v>
      </c>
      <c r="F415" s="8">
        <f ca="1">IFERROR(__xludf.DUMMYFUNCTION("GOOGLEFINANCE(""BOM:"" &amp; B415,""price"")"),79.43)</f>
        <v>79.430000000000007</v>
      </c>
      <c r="G415" s="8">
        <f t="shared" ca="1" si="131"/>
        <v>-10.652418447694036</v>
      </c>
      <c r="H415" s="12">
        <f t="shared" si="132"/>
        <v>9921595.6000000015</v>
      </c>
      <c r="I415" s="13">
        <f t="shared" ca="1" si="133"/>
        <v>8864705.7200000007</v>
      </c>
      <c r="J415" s="63"/>
      <c r="K415" s="8">
        <v>505703</v>
      </c>
      <c r="L415" s="8" t="s">
        <v>1731</v>
      </c>
      <c r="M415" s="12">
        <v>255178</v>
      </c>
      <c r="N415" s="10">
        <v>66.12</v>
      </c>
      <c r="O415" s="10">
        <f ca="1">IFERROR(__xludf.DUMMYFUNCTION("GOOGLEFINANCE(""BOM:"" &amp; K415,""price"")"),62.82)</f>
        <v>62.82</v>
      </c>
      <c r="P415" s="8">
        <f t="shared" ca="1" si="108"/>
        <v>-4.9909255898366665</v>
      </c>
      <c r="Q415" s="12">
        <f t="shared" si="109"/>
        <v>16872369.359999999</v>
      </c>
      <c r="R415" s="13">
        <f t="shared" ca="1" si="110"/>
        <v>16030281.960000001</v>
      </c>
      <c r="S415" s="63"/>
      <c r="T415" s="8">
        <v>539006</v>
      </c>
      <c r="U415" s="8" t="s">
        <v>1732</v>
      </c>
      <c r="V415" s="12">
        <v>5055003</v>
      </c>
      <c r="W415" s="8">
        <v>8475</v>
      </c>
      <c r="X415" s="11">
        <f ca="1">IFERROR(__xludf.DUMMYFUNCTION("GOOGLEFINANCE(""BOM:"" &amp; T415,""price"")"),7357)</f>
        <v>7357</v>
      </c>
      <c r="Y415" s="8">
        <f t="shared" ca="1" si="134"/>
        <v>-13.19174041297935</v>
      </c>
      <c r="Z415" s="12">
        <f t="shared" si="94"/>
        <v>42841150425</v>
      </c>
      <c r="AA415" s="13">
        <f t="shared" ca="1" si="95"/>
        <v>37189657071</v>
      </c>
      <c r="AB415" s="63"/>
      <c r="AC415" s="8">
        <v>530175</v>
      </c>
      <c r="AD415" s="8" t="s">
        <v>1733</v>
      </c>
      <c r="AE415" s="12">
        <v>15605795</v>
      </c>
      <c r="AF415" s="8">
        <v>78.400000000000006</v>
      </c>
      <c r="AG415" s="8">
        <f ca="1">IFERROR(__xludf.DUMMYFUNCTION("GOOGLEFINANCE(""BOM:"" &amp; AC415,""price"")"),63.5)</f>
        <v>63.5</v>
      </c>
      <c r="AH415" s="8">
        <f t="shared" ca="1" si="135"/>
        <v>-19.005102040816332</v>
      </c>
      <c r="AI415" s="12">
        <f t="shared" si="136"/>
        <v>1223494328</v>
      </c>
      <c r="AJ415" s="13">
        <f t="shared" ca="1" si="137"/>
        <v>990967982.5</v>
      </c>
    </row>
    <row r="416" spans="1:36" x14ac:dyDescent="0.25">
      <c r="A416" s="63"/>
      <c r="B416" s="8">
        <v>532457</v>
      </c>
      <c r="C416" s="8" t="s">
        <v>1734</v>
      </c>
      <c r="D416" s="12">
        <v>61598878</v>
      </c>
      <c r="E416" s="8">
        <v>196.9</v>
      </c>
      <c r="F416" s="8">
        <f ca="1">IFERROR(__xludf.DUMMYFUNCTION("GOOGLEFINANCE(""BOM:"" &amp; B416,""price"")"),163.6)</f>
        <v>163.6</v>
      </c>
      <c r="G416" s="8">
        <f t="shared" ca="1" si="131"/>
        <v>-16.912138141188425</v>
      </c>
      <c r="H416" s="12">
        <f t="shared" si="132"/>
        <v>12128819078.200001</v>
      </c>
      <c r="I416" s="13">
        <f t="shared" ca="1" si="133"/>
        <v>10077576440.799999</v>
      </c>
      <c r="J416" s="63"/>
      <c r="K416" s="8">
        <v>500068</v>
      </c>
      <c r="L416" s="8" t="s">
        <v>1735</v>
      </c>
      <c r="M416" s="12">
        <v>1433751</v>
      </c>
      <c r="N416" s="10">
        <v>14322</v>
      </c>
      <c r="O416" s="10">
        <f ca="1">IFERROR(__xludf.DUMMYFUNCTION("GOOGLEFINANCE(""BOM:"" &amp; K416,""price"")"),13800)</f>
        <v>13800</v>
      </c>
      <c r="P416" s="8">
        <f t="shared" ca="1" si="108"/>
        <v>-3.6447423544197735</v>
      </c>
      <c r="Q416" s="12">
        <f t="shared" si="109"/>
        <v>20534181822</v>
      </c>
      <c r="R416" s="13">
        <f t="shared" ca="1" si="110"/>
        <v>19785763800</v>
      </c>
      <c r="S416" s="63"/>
      <c r="T416" s="8">
        <v>505807</v>
      </c>
      <c r="U416" s="8" t="s">
        <v>1736</v>
      </c>
      <c r="V416" s="12">
        <v>476317</v>
      </c>
      <c r="W416" s="8">
        <v>733.15</v>
      </c>
      <c r="X416" s="11">
        <f ca="1">IFERROR(__xludf.DUMMYFUNCTION("GOOGLEFINANCE(""BOM:"" &amp; T416,""price"")"),552.8)</f>
        <v>552.79999999999995</v>
      </c>
      <c r="Y416" s="8">
        <f t="shared" ca="1" si="134"/>
        <v>-24.599331651094598</v>
      </c>
      <c r="Z416" s="12">
        <f t="shared" si="94"/>
        <v>349211808.55000001</v>
      </c>
      <c r="AA416" s="13">
        <f t="shared" ca="1" si="95"/>
        <v>263308037.59999996</v>
      </c>
      <c r="AB416" s="63"/>
      <c r="AC416" s="8">
        <v>532466</v>
      </c>
      <c r="AD416" s="8" t="s">
        <v>1737</v>
      </c>
      <c r="AE416" s="12">
        <v>86158231</v>
      </c>
      <c r="AF416" s="8">
        <v>7706.1</v>
      </c>
      <c r="AG416" s="8">
        <f ca="1">IFERROR(__xludf.DUMMYFUNCTION("GOOGLEFINANCE(""BOM:"" &amp; AC416,""price"")"),8783)</f>
        <v>8783</v>
      </c>
      <c r="AH416" s="8">
        <f t="shared" ca="1" si="135"/>
        <v>13.97464346426856</v>
      </c>
      <c r="AI416" s="12">
        <f t="shared" si="136"/>
        <v>663943943909.09998</v>
      </c>
      <c r="AJ416" s="13">
        <f t="shared" ca="1" si="137"/>
        <v>756727742873</v>
      </c>
    </row>
    <row r="417" spans="1:36" x14ac:dyDescent="0.25">
      <c r="A417" s="63"/>
      <c r="B417" s="8">
        <v>524080</v>
      </c>
      <c r="C417" s="8" t="s">
        <v>1738</v>
      </c>
      <c r="D417" s="12">
        <v>3661620</v>
      </c>
      <c r="E417" s="8">
        <v>68.010000000000005</v>
      </c>
      <c r="F417" s="8">
        <f ca="1">IFERROR(__xludf.DUMMYFUNCTION("GOOGLEFINANCE(""BOM:"" &amp; B417,""price"")"),65.37)</f>
        <v>65.37</v>
      </c>
      <c r="G417" s="8">
        <f t="shared" ca="1" si="131"/>
        <v>-3.8817820908689904</v>
      </c>
      <c r="H417" s="12">
        <f t="shared" si="132"/>
        <v>249026776.20000002</v>
      </c>
      <c r="I417" s="13">
        <f t="shared" ca="1" si="133"/>
        <v>239360099.40000001</v>
      </c>
      <c r="J417" s="63"/>
      <c r="K417" s="8">
        <v>534674</v>
      </c>
      <c r="L417" s="8" t="s">
        <v>1739</v>
      </c>
      <c r="M417" s="12">
        <v>259615310</v>
      </c>
      <c r="N417" s="10">
        <v>10.5</v>
      </c>
      <c r="O417" s="10">
        <f ca="1">IFERROR(__xludf.DUMMYFUNCTION("GOOGLEFINANCE(""BOM:"" &amp; K417,""price"")"),7.14)</f>
        <v>7.14</v>
      </c>
      <c r="P417" s="8">
        <f t="shared" ca="1" si="108"/>
        <v>-32</v>
      </c>
      <c r="Q417" s="12">
        <f t="shared" si="109"/>
        <v>2725960755</v>
      </c>
      <c r="R417" s="13">
        <f t="shared" ca="1" si="110"/>
        <v>1853653313.3999999</v>
      </c>
      <c r="S417" s="63"/>
      <c r="T417" s="8">
        <v>539837</v>
      </c>
      <c r="U417" s="8" t="s">
        <v>1740</v>
      </c>
      <c r="V417" s="12">
        <v>22952600</v>
      </c>
      <c r="W417" s="8">
        <v>625.29999999999995</v>
      </c>
      <c r="X417" s="11">
        <f ca="1">IFERROR(__xludf.DUMMYFUNCTION("GOOGLEFINANCE(""BOM:"" &amp; T417,""price"")"),590)</f>
        <v>590</v>
      </c>
      <c r="Y417" s="8">
        <f t="shared" ca="1" si="134"/>
        <v>-5.6452902606748694</v>
      </c>
      <c r="Z417" s="12">
        <f t="shared" si="94"/>
        <v>14352260779.999998</v>
      </c>
      <c r="AA417" s="13">
        <f t="shared" ca="1" si="95"/>
        <v>13542034000</v>
      </c>
      <c r="AB417" s="63"/>
      <c r="AC417" s="8">
        <v>532340</v>
      </c>
      <c r="AD417" s="8" t="s">
        <v>1741</v>
      </c>
      <c r="AE417" s="12">
        <v>9088630</v>
      </c>
      <c r="AF417" s="8">
        <v>4.9000000000000004</v>
      </c>
      <c r="AG417" s="8">
        <f ca="1">IFERROR(__xludf.DUMMYFUNCTION("GOOGLEFINANCE(""BOM:"" &amp; AC417,""price"")"),3.05)</f>
        <v>3.05</v>
      </c>
      <c r="AH417" s="8">
        <f t="shared" ca="1" si="135"/>
        <v>-37.755102040816332</v>
      </c>
      <c r="AI417" s="12">
        <f t="shared" si="136"/>
        <v>44534287</v>
      </c>
      <c r="AJ417" s="13">
        <f t="shared" ca="1" si="137"/>
        <v>27720321.5</v>
      </c>
    </row>
    <row r="418" spans="1:36" x14ac:dyDescent="0.25">
      <c r="A418" s="63"/>
      <c r="B418" s="8">
        <v>524013</v>
      </c>
      <c r="C418" s="8" t="s">
        <v>1742</v>
      </c>
      <c r="D418" s="12">
        <v>17035925</v>
      </c>
      <c r="E418" s="8">
        <v>18.02</v>
      </c>
      <c r="F418" s="8">
        <f ca="1">IFERROR(__xludf.DUMMYFUNCTION("GOOGLEFINANCE(""BOM:"" &amp; B418,""price"")"),16.2)</f>
        <v>16.2</v>
      </c>
      <c r="G418" s="8">
        <f t="shared" ca="1" si="131"/>
        <v>-10.099889012208658</v>
      </c>
      <c r="H418" s="12">
        <f t="shared" si="132"/>
        <v>306987368.5</v>
      </c>
      <c r="I418" s="13">
        <f t="shared" ca="1" si="133"/>
        <v>275981985</v>
      </c>
      <c r="J418" s="63"/>
      <c r="K418" s="8">
        <v>522027</v>
      </c>
      <c r="L418" s="8" t="s">
        <v>1743</v>
      </c>
      <c r="M418" s="12">
        <v>864389</v>
      </c>
      <c r="N418" s="10">
        <v>37.950000000000003</v>
      </c>
      <c r="O418" s="10">
        <f ca="1">IFERROR(__xludf.DUMMYFUNCTION("GOOGLEFINANCE(""BOM:"" &amp; K418,""price"")"),28.82)</f>
        <v>28.82</v>
      </c>
      <c r="P418" s="8">
        <f t="shared" ca="1" si="108"/>
        <v>-24.057971014492757</v>
      </c>
      <c r="Q418" s="12">
        <f t="shared" si="109"/>
        <v>32803562.550000001</v>
      </c>
      <c r="R418" s="13">
        <f t="shared" ca="1" si="110"/>
        <v>24911690.98</v>
      </c>
      <c r="S418" s="63"/>
      <c r="T418" s="8">
        <v>513472</v>
      </c>
      <c r="U418" s="8" t="s">
        <v>1744</v>
      </c>
      <c r="V418" s="12">
        <v>5935794</v>
      </c>
      <c r="W418" s="8">
        <v>117.55</v>
      </c>
      <c r="X418" s="11">
        <f ca="1">IFERROR(__xludf.DUMMYFUNCTION("GOOGLEFINANCE(""BOM:"" &amp; T418,""price"")"),149.75)</f>
        <v>149.75</v>
      </c>
      <c r="Y418" s="8">
        <f t="shared" ca="1" si="134"/>
        <v>27.392598894087627</v>
      </c>
      <c r="Z418" s="12">
        <f t="shared" si="94"/>
        <v>697752584.69999993</v>
      </c>
      <c r="AA418" s="13">
        <f t="shared" ca="1" si="95"/>
        <v>888885151.5</v>
      </c>
      <c r="AB418" s="63"/>
      <c r="AC418" s="8">
        <v>539678</v>
      </c>
      <c r="AD418" s="8" t="s">
        <v>1745</v>
      </c>
      <c r="AE418" s="12">
        <v>58020950</v>
      </c>
      <c r="AF418" s="8">
        <v>558.9</v>
      </c>
      <c r="AG418" s="8">
        <f ca="1">IFERROR(__xludf.DUMMYFUNCTION("GOOGLEFINANCE(""BOM:"" &amp; AC418,""price"")"),468.2)</f>
        <v>468.2</v>
      </c>
      <c r="AH418" s="8">
        <f t="shared" ca="1" si="135"/>
        <v>-16.228305600286276</v>
      </c>
      <c r="AI418" s="12">
        <f t="shared" si="136"/>
        <v>32427908955</v>
      </c>
      <c r="AJ418" s="13">
        <f t="shared" ca="1" si="137"/>
        <v>27165408790</v>
      </c>
    </row>
    <row r="419" spans="1:36" x14ac:dyDescent="0.25">
      <c r="A419" s="63"/>
      <c r="B419" s="8">
        <v>500449</v>
      </c>
      <c r="C419" s="8" t="s">
        <v>1746</v>
      </c>
      <c r="D419" s="12">
        <v>65201066</v>
      </c>
      <c r="E419" s="8">
        <v>49.13</v>
      </c>
      <c r="F419" s="8">
        <f ca="1">IFERROR(__xludf.DUMMYFUNCTION("GOOGLEFINANCE(""BOM:"" &amp; B419,""price"")"),39.26)</f>
        <v>39.26</v>
      </c>
      <c r="G419" s="8">
        <f t="shared" ca="1" si="131"/>
        <v>-20.089558314675358</v>
      </c>
      <c r="H419" s="12">
        <f t="shared" si="132"/>
        <v>3203328372.5800004</v>
      </c>
      <c r="I419" s="13">
        <f t="shared" ca="1" si="133"/>
        <v>2559793851.1599998</v>
      </c>
      <c r="J419" s="63"/>
      <c r="K419" s="8">
        <v>500246</v>
      </c>
      <c r="L419" s="8" t="s">
        <v>1747</v>
      </c>
      <c r="M419" s="12">
        <v>4506159</v>
      </c>
      <c r="N419" s="10">
        <v>204.35</v>
      </c>
      <c r="O419" s="10">
        <f ca="1">IFERROR(__xludf.DUMMYFUNCTION("GOOGLEFINANCE(""BOM:"" &amp; K419,""price"")"),210.6)</f>
        <v>210.6</v>
      </c>
      <c r="P419" s="8">
        <f t="shared" ca="1" si="108"/>
        <v>3.058478101296795</v>
      </c>
      <c r="Q419" s="12">
        <f t="shared" si="109"/>
        <v>920833591.64999998</v>
      </c>
      <c r="R419" s="13">
        <f t="shared" ca="1" si="110"/>
        <v>948997085.39999998</v>
      </c>
      <c r="S419" s="63"/>
      <c r="T419" s="8">
        <v>540079</v>
      </c>
      <c r="U419" s="8" t="s">
        <v>1748</v>
      </c>
      <c r="V419" s="12">
        <v>10567948</v>
      </c>
      <c r="W419" s="8">
        <v>247.5</v>
      </c>
      <c r="X419" s="11">
        <f ca="1">IFERROR(__xludf.DUMMYFUNCTION("GOOGLEFINANCE(""BOM:"" &amp; T419,""price"")"),206.1)</f>
        <v>206.1</v>
      </c>
      <c r="Y419" s="8">
        <f t="shared" ca="1" si="134"/>
        <v>-16.72727272727273</v>
      </c>
      <c r="Z419" s="12">
        <f t="shared" si="94"/>
        <v>2615567130</v>
      </c>
      <c r="AA419" s="13">
        <f t="shared" ca="1" si="95"/>
        <v>2178054082.7999997</v>
      </c>
      <c r="AB419" s="63"/>
      <c r="AC419" s="8">
        <v>532370</v>
      </c>
      <c r="AD419" s="8" t="s">
        <v>1749</v>
      </c>
      <c r="AE419" s="12">
        <v>30706128</v>
      </c>
      <c r="AF419" s="8">
        <v>317.85000000000002</v>
      </c>
      <c r="AG419" s="8">
        <f ca="1">IFERROR(__xludf.DUMMYFUNCTION("GOOGLEFINANCE(""BOM:"" &amp; AC419,""price"")"),264.5)</f>
        <v>264.5</v>
      </c>
      <c r="AH419" s="8">
        <f t="shared" ca="1" si="135"/>
        <v>-16.784646845996544</v>
      </c>
      <c r="AI419" s="12">
        <f t="shared" si="136"/>
        <v>9759942784.8000011</v>
      </c>
      <c r="AJ419" s="13">
        <f t="shared" ca="1" si="137"/>
        <v>8121770856</v>
      </c>
    </row>
    <row r="420" spans="1:36" x14ac:dyDescent="0.25">
      <c r="A420" s="63"/>
      <c r="B420" s="8">
        <v>500199</v>
      </c>
      <c r="C420" s="8" t="s">
        <v>1750</v>
      </c>
      <c r="D420" s="12">
        <v>29824871</v>
      </c>
      <c r="E420" s="8">
        <v>466.2</v>
      </c>
      <c r="F420" s="8">
        <f ca="1">IFERROR(__xludf.DUMMYFUNCTION("GOOGLEFINANCE(""BOM:"" &amp; B420,""price"")"),430.1)</f>
        <v>430.1</v>
      </c>
      <c r="G420" s="8">
        <f t="shared" ca="1" si="131"/>
        <v>-7.7434577434577365</v>
      </c>
      <c r="H420" s="12">
        <f t="shared" si="132"/>
        <v>13904354860.199999</v>
      </c>
      <c r="I420" s="13">
        <f t="shared" ca="1" si="133"/>
        <v>12827677017.1</v>
      </c>
      <c r="J420" s="63"/>
      <c r="K420" s="8">
        <v>531911</v>
      </c>
      <c r="L420" s="8" t="s">
        <v>1751</v>
      </c>
      <c r="M420" s="12">
        <v>2539420</v>
      </c>
      <c r="N420" s="10">
        <v>49.75</v>
      </c>
      <c r="O420" s="10">
        <f ca="1">IFERROR(__xludf.DUMMYFUNCTION("GOOGLEFINANCE(""BOM:"" &amp; K420,""price"")"),49.91)</f>
        <v>49.91</v>
      </c>
      <c r="P420" s="8">
        <f t="shared" ca="1" si="108"/>
        <v>0.3216080402009982</v>
      </c>
      <c r="Q420" s="12">
        <f t="shared" si="109"/>
        <v>126336145</v>
      </c>
      <c r="R420" s="13">
        <f t="shared" ca="1" si="110"/>
        <v>126742452.19999999</v>
      </c>
      <c r="S420" s="63"/>
      <c r="T420" s="8">
        <v>501391</v>
      </c>
      <c r="U420" s="8" t="s">
        <v>1752</v>
      </c>
      <c r="V420" s="12">
        <v>2496094</v>
      </c>
      <c r="W420" s="8">
        <v>543.15</v>
      </c>
      <c r="X420" s="11">
        <f ca="1">IFERROR(__xludf.DUMMYFUNCTION("GOOGLEFINANCE(""BOM:"" &amp; T420,""price"")"),432.55)</f>
        <v>432.55</v>
      </c>
      <c r="Y420" s="8">
        <f t="shared" ca="1" si="134"/>
        <v>-20.362699070238417</v>
      </c>
      <c r="Z420" s="12">
        <f t="shared" si="94"/>
        <v>1355753456.0999999</v>
      </c>
      <c r="AA420" s="13">
        <f t="shared" ca="1" si="95"/>
        <v>1079685459.7</v>
      </c>
      <c r="AB420" s="63"/>
      <c r="AC420" s="8">
        <v>538273</v>
      </c>
      <c r="AD420" s="8" t="s">
        <v>1753</v>
      </c>
      <c r="AE420" s="12">
        <v>7009990</v>
      </c>
      <c r="AF420" s="8">
        <v>82.6</v>
      </c>
      <c r="AG420" s="8">
        <f ca="1">IFERROR(__xludf.DUMMYFUNCTION("GOOGLEFINANCE(""BOM:"" &amp; AC420,""price"")"),81.67)</f>
        <v>81.67</v>
      </c>
      <c r="AH420" s="8">
        <f t="shared" ca="1" si="135"/>
        <v>-1.1259079903147611</v>
      </c>
      <c r="AI420" s="12">
        <f t="shared" si="136"/>
        <v>579025174</v>
      </c>
      <c r="AJ420" s="13">
        <f t="shared" ca="1" si="137"/>
        <v>572505883.30000007</v>
      </c>
    </row>
    <row r="421" spans="1:36" x14ac:dyDescent="0.25">
      <c r="A421" s="63"/>
      <c r="B421" s="8">
        <v>500201</v>
      </c>
      <c r="C421" s="8" t="s">
        <v>1754</v>
      </c>
      <c r="D421" s="12">
        <v>30423038</v>
      </c>
      <c r="E421" s="8">
        <v>848.2</v>
      </c>
      <c r="F421" s="8">
        <f ca="1">IFERROR(__xludf.DUMMYFUNCTION("GOOGLEFINANCE(""BOM:"" &amp; B421,""price"")"),756.75)</f>
        <v>756.75</v>
      </c>
      <c r="G421" s="8">
        <f t="shared" ca="1" si="131"/>
        <v>-10.781655269983499</v>
      </c>
      <c r="H421" s="12">
        <f t="shared" si="132"/>
        <v>25804820831.600002</v>
      </c>
      <c r="I421" s="13">
        <f t="shared" ca="1" si="133"/>
        <v>23022634006.5</v>
      </c>
      <c r="J421" s="63"/>
      <c r="K421" s="8">
        <v>505250</v>
      </c>
      <c r="L421" s="8" t="s">
        <v>1755</v>
      </c>
      <c r="M421" s="12">
        <v>4561511</v>
      </c>
      <c r="N421" s="10">
        <v>118</v>
      </c>
      <c r="O421" s="10">
        <f ca="1">IFERROR(__xludf.DUMMYFUNCTION("GOOGLEFINANCE(""BOM:"" &amp; K421,""price"")"),102.35)</f>
        <v>102.35</v>
      </c>
      <c r="P421" s="8">
        <f t="shared" ca="1" si="108"/>
        <v>-13.262711864406784</v>
      </c>
      <c r="Q421" s="12">
        <f t="shared" si="109"/>
        <v>538258298</v>
      </c>
      <c r="R421" s="13">
        <f t="shared" ca="1" si="110"/>
        <v>466870650.84999996</v>
      </c>
      <c r="S421" s="64"/>
      <c r="T421" s="14">
        <v>504988</v>
      </c>
      <c r="U421" s="14" t="s">
        <v>1756</v>
      </c>
      <c r="V421" s="15">
        <v>617474</v>
      </c>
      <c r="W421" s="14">
        <v>1510</v>
      </c>
      <c r="X421" s="26">
        <f ca="1">IFERROR(__xludf.DUMMYFUNCTION("GOOGLEFINANCE(""BOM:"" &amp; T421,""price"")"),1520.55)</f>
        <v>1520.55</v>
      </c>
      <c r="Y421" s="14">
        <f t="shared" ca="1" si="134"/>
        <v>0.69867549668873874</v>
      </c>
      <c r="Z421" s="15">
        <f t="shared" si="94"/>
        <v>932385740</v>
      </c>
      <c r="AA421" s="16">
        <f t="shared" ca="1" si="95"/>
        <v>938900090.69999993</v>
      </c>
      <c r="AB421" s="63"/>
      <c r="AC421" s="8">
        <v>532972</v>
      </c>
      <c r="AD421" s="8" t="s">
        <v>1757</v>
      </c>
      <c r="AE421" s="12">
        <v>14149861</v>
      </c>
      <c r="AF421" s="8" t="s">
        <v>44</v>
      </c>
      <c r="AG421" s="8" t="s">
        <v>44</v>
      </c>
      <c r="AH421" s="8"/>
      <c r="AI421" s="12"/>
      <c r="AJ421" s="13"/>
    </row>
    <row r="422" spans="1:36" x14ac:dyDescent="0.25">
      <c r="A422" s="63"/>
      <c r="B422" s="8">
        <v>524648</v>
      </c>
      <c r="C422" s="8" t="s">
        <v>1758</v>
      </c>
      <c r="D422" s="12">
        <v>68272100</v>
      </c>
      <c r="E422" s="8">
        <v>136.4</v>
      </c>
      <c r="F422" s="8">
        <f ca="1">IFERROR(__xludf.DUMMYFUNCTION("GOOGLEFINANCE(""BOM:"" &amp; B422,""price"")"),110.55)</f>
        <v>110.55</v>
      </c>
      <c r="G422" s="8">
        <f t="shared" ca="1" si="131"/>
        <v>-18.951612903225811</v>
      </c>
      <c r="H422" s="12">
        <f t="shared" si="132"/>
        <v>9312314440</v>
      </c>
      <c r="I422" s="13">
        <f t="shared" ca="1" si="133"/>
        <v>7547480655</v>
      </c>
      <c r="J422" s="63"/>
      <c r="K422" s="8">
        <v>539479</v>
      </c>
      <c r="L422" s="8" t="s">
        <v>1759</v>
      </c>
      <c r="M422" s="12">
        <v>2758088</v>
      </c>
      <c r="N422" s="10">
        <v>509</v>
      </c>
      <c r="O422" s="10">
        <f ca="1">IFERROR(__xludf.DUMMYFUNCTION("GOOGLEFINANCE(""BOM:"" &amp; K422,""price"")"),458.9)</f>
        <v>458.9</v>
      </c>
      <c r="P422" s="8">
        <f t="shared" ca="1" si="108"/>
        <v>-9.8428290766208288</v>
      </c>
      <c r="Q422" s="12">
        <f t="shared" si="109"/>
        <v>1403866792</v>
      </c>
      <c r="R422" s="13">
        <f t="shared" ca="1" si="110"/>
        <v>1265686583.2</v>
      </c>
      <c r="S422" s="62" t="s">
        <v>1760</v>
      </c>
      <c r="T422" s="6">
        <v>500160</v>
      </c>
      <c r="U422" s="6" t="s">
        <v>1761</v>
      </c>
      <c r="V422" s="7">
        <v>157091785</v>
      </c>
      <c r="W422" s="8">
        <v>12</v>
      </c>
      <c r="X422" s="11">
        <f ca="1">IFERROR(__xludf.DUMMYFUNCTION("GOOGLEFINANCE(""BOM:"" &amp; T422,""price"")"),9.3)</f>
        <v>9.3000000000000007</v>
      </c>
      <c r="Y422" s="8">
        <f t="shared" ca="1" si="134"/>
        <v>-22.499999999999996</v>
      </c>
      <c r="Z422" s="7">
        <f t="shared" si="94"/>
        <v>1885101420</v>
      </c>
      <c r="AA422" s="9">
        <f t="shared" ca="1" si="95"/>
        <v>1460953600.5</v>
      </c>
      <c r="AB422" s="63"/>
      <c r="AC422" s="8">
        <v>530565</v>
      </c>
      <c r="AD422" s="8" t="s">
        <v>1762</v>
      </c>
      <c r="AE422" s="12">
        <v>4364600</v>
      </c>
      <c r="AF422" s="8">
        <v>136.69999999999999</v>
      </c>
      <c r="AG422" s="8">
        <f ca="1">IFERROR(__xludf.DUMMYFUNCTION("GOOGLEFINANCE(""BOM:"" &amp; AC422,""price"")"),97.85)</f>
        <v>97.85</v>
      </c>
      <c r="AH422" s="8">
        <f t="shared" ref="AH422:AH490" ca="1" si="138">((AG422-AF422)/AF422)*100</f>
        <v>-28.419897585954644</v>
      </c>
      <c r="AI422" s="12">
        <f t="shared" ref="AI422:AI541" si="139">AE422*AF422</f>
        <v>596640820</v>
      </c>
      <c r="AJ422" s="13">
        <f t="shared" ref="AJ422:AJ541" ca="1" si="140">AE422*AG422</f>
        <v>427076110</v>
      </c>
    </row>
    <row r="423" spans="1:36" x14ac:dyDescent="0.25">
      <c r="A423" s="63"/>
      <c r="B423" s="8">
        <v>524342</v>
      </c>
      <c r="C423" s="8" t="s">
        <v>1763</v>
      </c>
      <c r="D423" s="12">
        <v>30898000</v>
      </c>
      <c r="E423" s="8">
        <v>178.7</v>
      </c>
      <c r="F423" s="8">
        <f ca="1">IFERROR(__xludf.DUMMYFUNCTION("GOOGLEFINANCE(""BOM:"" &amp; B423,""price"")"),161.9)</f>
        <v>161.9</v>
      </c>
      <c r="G423" s="8">
        <f t="shared" ca="1" si="131"/>
        <v>-9.4012311135982003</v>
      </c>
      <c r="H423" s="12">
        <f t="shared" si="132"/>
        <v>5521472600</v>
      </c>
      <c r="I423" s="13">
        <f t="shared" ca="1" si="133"/>
        <v>5002386200</v>
      </c>
      <c r="J423" s="63"/>
      <c r="K423" s="8">
        <v>542682</v>
      </c>
      <c r="L423" s="8" t="s">
        <v>1764</v>
      </c>
      <c r="M423" s="12">
        <v>3079670</v>
      </c>
      <c r="N423" s="10">
        <v>51</v>
      </c>
      <c r="O423" s="10">
        <f ca="1">IFERROR(__xludf.DUMMYFUNCTION("GOOGLEFINANCE(""BOM:"" &amp; K423,""price"")"),50.9)</f>
        <v>50.9</v>
      </c>
      <c r="P423" s="8">
        <f t="shared" ca="1" si="108"/>
        <v>-0.19607843137255179</v>
      </c>
      <c r="Q423" s="12">
        <f t="shared" si="109"/>
        <v>157063170</v>
      </c>
      <c r="R423" s="13">
        <f t="shared" ca="1" si="110"/>
        <v>156755203</v>
      </c>
      <c r="S423" s="63"/>
      <c r="T423" s="8">
        <v>532408</v>
      </c>
      <c r="U423" s="8" t="s">
        <v>1765</v>
      </c>
      <c r="V423" s="12">
        <v>72262833</v>
      </c>
      <c r="W423" s="8">
        <v>85.5</v>
      </c>
      <c r="X423" s="11">
        <f ca="1">IFERROR(__xludf.DUMMYFUNCTION("GOOGLEFINANCE(""BOM:"" &amp; T423,""price"")"),89.34)</f>
        <v>89.34</v>
      </c>
      <c r="Y423" s="8">
        <f t="shared" ca="1" si="134"/>
        <v>4.4912280701754428</v>
      </c>
      <c r="Z423" s="12">
        <f t="shared" si="94"/>
        <v>6178472221.5</v>
      </c>
      <c r="AA423" s="13">
        <f t="shared" ca="1" si="95"/>
        <v>6455961500.2200003</v>
      </c>
      <c r="AB423" s="63"/>
      <c r="AC423" s="8">
        <v>532348</v>
      </c>
      <c r="AD423" s="8" t="s">
        <v>1766</v>
      </c>
      <c r="AE423" s="12">
        <v>561935869</v>
      </c>
      <c r="AF423" s="8">
        <v>35.840000000000003</v>
      </c>
      <c r="AG423" s="8">
        <f ca="1">IFERROR(__xludf.DUMMYFUNCTION("GOOGLEFINANCE(""BOM:"" &amp; AC423,""price"")"),30.02)</f>
        <v>30.02</v>
      </c>
      <c r="AH423" s="8">
        <f t="shared" ca="1" si="138"/>
        <v>-16.238839285714295</v>
      </c>
      <c r="AI423" s="12">
        <f t="shared" si="139"/>
        <v>20139781544.960003</v>
      </c>
      <c r="AJ423" s="13">
        <f t="shared" ca="1" si="140"/>
        <v>16869314787.379999</v>
      </c>
    </row>
    <row r="424" spans="1:36" x14ac:dyDescent="0.25">
      <c r="A424" s="63"/>
      <c r="B424" s="8">
        <v>507580</v>
      </c>
      <c r="C424" s="8" t="s">
        <v>1767</v>
      </c>
      <c r="D424" s="12">
        <v>10322591</v>
      </c>
      <c r="E424" s="8">
        <v>185</v>
      </c>
      <c r="F424" s="8">
        <f ca="1">IFERROR(__xludf.DUMMYFUNCTION("GOOGLEFINANCE(""BOM:"" &amp; B424,""price"")"),152)</f>
        <v>152</v>
      </c>
      <c r="G424" s="8">
        <f t="shared" ca="1" si="131"/>
        <v>-17.837837837837839</v>
      </c>
      <c r="H424" s="12">
        <f t="shared" si="132"/>
        <v>1909679335</v>
      </c>
      <c r="I424" s="13">
        <f t="shared" ca="1" si="133"/>
        <v>1569033832</v>
      </c>
      <c r="J424" s="63"/>
      <c r="K424" s="8">
        <v>539176</v>
      </c>
      <c r="L424" s="8" t="s">
        <v>1768</v>
      </c>
      <c r="M424" s="12">
        <v>2200850</v>
      </c>
      <c r="N424" s="10">
        <v>157</v>
      </c>
      <c r="O424" s="10">
        <f ca="1">IFERROR(__xludf.DUMMYFUNCTION("GOOGLEFINANCE(""BOM:"" &amp; K424,""price"")"),162.8)</f>
        <v>162.80000000000001</v>
      </c>
      <c r="P424" s="8">
        <f t="shared" ca="1" si="108"/>
        <v>3.6942675159235745</v>
      </c>
      <c r="Q424" s="12">
        <f t="shared" si="109"/>
        <v>345533450</v>
      </c>
      <c r="R424" s="13">
        <f t="shared" ca="1" si="110"/>
        <v>358298380</v>
      </c>
      <c r="S424" s="63"/>
      <c r="T424" s="8">
        <v>511658</v>
      </c>
      <c r="U424" s="8" t="s">
        <v>1769</v>
      </c>
      <c r="V424" s="12">
        <v>23362268</v>
      </c>
      <c r="W424" s="8">
        <v>105</v>
      </c>
      <c r="X424" s="11">
        <f ca="1">IFERROR(__xludf.DUMMYFUNCTION("GOOGLEFINANCE(""BOM:"" &amp; T424,""price"")"),116)</f>
        <v>116</v>
      </c>
      <c r="Y424" s="8">
        <f t="shared" ca="1" si="134"/>
        <v>10.476190476190476</v>
      </c>
      <c r="Z424" s="12">
        <f t="shared" si="94"/>
        <v>2453038140</v>
      </c>
      <c r="AA424" s="13">
        <f t="shared" ca="1" si="95"/>
        <v>2710023088</v>
      </c>
      <c r="AB424" s="63"/>
      <c r="AC424" s="8">
        <v>523722</v>
      </c>
      <c r="AD424" s="8" t="s">
        <v>1770</v>
      </c>
      <c r="AE424" s="12">
        <v>12692119</v>
      </c>
      <c r="AF424" s="8">
        <v>3.29</v>
      </c>
      <c r="AG424" s="8">
        <f ca="1">IFERROR(__xludf.DUMMYFUNCTION("GOOGLEFINANCE(""BOM:"" &amp; AC424,""price"")"),3.05)</f>
        <v>3.05</v>
      </c>
      <c r="AH424" s="8">
        <f t="shared" ca="1" si="138"/>
        <v>-7.2948328267477267</v>
      </c>
      <c r="AI424" s="12">
        <f t="shared" si="139"/>
        <v>41757071.509999998</v>
      </c>
      <c r="AJ424" s="13">
        <f t="shared" ca="1" si="140"/>
        <v>38710962.949999996</v>
      </c>
    </row>
    <row r="425" spans="1:36" x14ac:dyDescent="0.25">
      <c r="A425" s="63"/>
      <c r="B425" s="8">
        <v>506520</v>
      </c>
      <c r="C425" s="8" t="s">
        <v>1771</v>
      </c>
      <c r="D425" s="12">
        <v>29267100</v>
      </c>
      <c r="E425" s="8">
        <v>10.53</v>
      </c>
      <c r="F425" s="8">
        <f ca="1">IFERROR(__xludf.DUMMYFUNCTION("GOOGLEFINANCE(""BOM:"" &amp; B425,""price"")"),9.19)</f>
        <v>9.19</v>
      </c>
      <c r="G425" s="8">
        <f t="shared" ca="1" si="131"/>
        <v>-12.725546058879392</v>
      </c>
      <c r="H425" s="12">
        <f t="shared" si="132"/>
        <v>308182563</v>
      </c>
      <c r="I425" s="13">
        <f t="shared" ca="1" si="133"/>
        <v>268964649</v>
      </c>
      <c r="J425" s="63"/>
      <c r="K425" s="8">
        <v>531661</v>
      </c>
      <c r="L425" s="8" t="s">
        <v>1772</v>
      </c>
      <c r="M425" s="12">
        <v>5281367</v>
      </c>
      <c r="N425" s="10">
        <v>11.5</v>
      </c>
      <c r="O425" s="10">
        <f ca="1">IFERROR(__xludf.DUMMYFUNCTION("GOOGLEFINANCE(""BOM:"" &amp; K425,""price"")"),10.99)</f>
        <v>10.99</v>
      </c>
      <c r="P425" s="8">
        <f t="shared" ca="1" si="108"/>
        <v>-4.4347826086956506</v>
      </c>
      <c r="Q425" s="12">
        <f t="shared" si="109"/>
        <v>60735720.5</v>
      </c>
      <c r="R425" s="13">
        <f t="shared" ca="1" si="110"/>
        <v>58042223.329999998</v>
      </c>
      <c r="S425" s="63"/>
      <c r="T425" s="8">
        <v>532944</v>
      </c>
      <c r="U425" s="8" t="s">
        <v>1773</v>
      </c>
      <c r="V425" s="12">
        <v>105626497</v>
      </c>
      <c r="W425" s="8">
        <v>81.55</v>
      </c>
      <c r="X425" s="11">
        <f ca="1">IFERROR(__xludf.DUMMYFUNCTION("GOOGLEFINANCE(""BOM:"" &amp; T425,""price"")"),60.05)</f>
        <v>60.05</v>
      </c>
      <c r="Y425" s="8">
        <f t="shared" ca="1" si="134"/>
        <v>-26.364193746167995</v>
      </c>
      <c r="Z425" s="12">
        <f t="shared" si="94"/>
        <v>8613840830.3500004</v>
      </c>
      <c r="AA425" s="13">
        <f t="shared" ca="1" si="95"/>
        <v>6342871144.8499994</v>
      </c>
      <c r="AB425" s="63"/>
      <c r="AC425" s="8">
        <v>532790</v>
      </c>
      <c r="AD425" s="8" t="s">
        <v>1774</v>
      </c>
      <c r="AE425" s="12">
        <v>135622210</v>
      </c>
      <c r="AF425" s="8">
        <v>974.7</v>
      </c>
      <c r="AG425" s="8">
        <f ca="1">IFERROR(__xludf.DUMMYFUNCTION("GOOGLEFINANCE(""BOM:"" &amp; AC425,""price"")"),818)</f>
        <v>818</v>
      </c>
      <c r="AH425" s="8">
        <f t="shared" ca="1" si="138"/>
        <v>-16.076741561506108</v>
      </c>
      <c r="AI425" s="12">
        <f t="shared" si="139"/>
        <v>132190968087</v>
      </c>
      <c r="AJ425" s="13">
        <f t="shared" ca="1" si="140"/>
        <v>110938967780</v>
      </c>
    </row>
    <row r="426" spans="1:36" x14ac:dyDescent="0.25">
      <c r="A426" s="63"/>
      <c r="B426" s="8">
        <v>538896</v>
      </c>
      <c r="C426" s="8" t="s">
        <v>1775</v>
      </c>
      <c r="D426" s="12">
        <v>4027586</v>
      </c>
      <c r="E426" s="8">
        <v>403</v>
      </c>
      <c r="F426" s="8">
        <f ca="1">IFERROR(__xludf.DUMMYFUNCTION("GOOGLEFINANCE(""BOM:"" &amp; B426,""price"")"),354.95)</f>
        <v>354.95</v>
      </c>
      <c r="G426" s="8">
        <f t="shared" ca="1" si="131"/>
        <v>-11.923076923076927</v>
      </c>
      <c r="H426" s="12">
        <f t="shared" si="132"/>
        <v>1623117158</v>
      </c>
      <c r="I426" s="13">
        <f t="shared" ca="1" si="133"/>
        <v>1429591650.7</v>
      </c>
      <c r="J426" s="63"/>
      <c r="K426" s="8">
        <v>500191</v>
      </c>
      <c r="L426" s="8" t="s">
        <v>1776</v>
      </c>
      <c r="M426" s="12">
        <v>760225491</v>
      </c>
      <c r="N426" s="10">
        <v>56</v>
      </c>
      <c r="O426" s="10">
        <f ca="1">IFERROR(__xludf.DUMMYFUNCTION("GOOGLEFINANCE(""BOM:"" &amp; K426,""price"")"),43)</f>
        <v>43</v>
      </c>
      <c r="P426" s="8">
        <f t="shared" ca="1" si="108"/>
        <v>-23.214285714285715</v>
      </c>
      <c r="Q426" s="12">
        <f t="shared" si="109"/>
        <v>42572627496</v>
      </c>
      <c r="R426" s="13">
        <f t="shared" ca="1" si="110"/>
        <v>32689696113</v>
      </c>
      <c r="S426" s="63"/>
      <c r="T426" s="8">
        <v>543265</v>
      </c>
      <c r="U426" s="8" t="s">
        <v>1777</v>
      </c>
      <c r="V426" s="12">
        <v>320938407</v>
      </c>
      <c r="W426" s="8">
        <v>446.25</v>
      </c>
      <c r="X426" s="11">
        <f ca="1">IFERROR(__xludf.DUMMYFUNCTION("GOOGLEFINANCE(""BOM:"" &amp; T426,""price"")"),363.7)</f>
        <v>363.7</v>
      </c>
      <c r="Y426" s="8">
        <f t="shared" ca="1" si="134"/>
        <v>-18.498599439775912</v>
      </c>
      <c r="Z426" s="12">
        <f t="shared" si="94"/>
        <v>143218764123.75</v>
      </c>
      <c r="AA426" s="13">
        <f t="shared" ca="1" si="95"/>
        <v>116725298625.89999</v>
      </c>
      <c r="AB426" s="63"/>
      <c r="AC426" s="8">
        <v>501421</v>
      </c>
      <c r="AD426" s="8" t="s">
        <v>1778</v>
      </c>
      <c r="AE426" s="12">
        <v>5892872</v>
      </c>
      <c r="AF426" s="8">
        <v>1129.4000000000001</v>
      </c>
      <c r="AG426" s="8">
        <f ca="1">IFERROR(__xludf.DUMMYFUNCTION("GOOGLEFINANCE(""BOM:"" &amp; AC426,""price"")"),1580.75)</f>
        <v>1580.75</v>
      </c>
      <c r="AH426" s="8">
        <f t="shared" ca="1" si="138"/>
        <v>39.963697538516016</v>
      </c>
      <c r="AI426" s="12">
        <f t="shared" si="139"/>
        <v>6655409636.8000002</v>
      </c>
      <c r="AJ426" s="13">
        <f t="shared" ca="1" si="140"/>
        <v>9315157414</v>
      </c>
    </row>
    <row r="427" spans="1:36" x14ac:dyDescent="0.25">
      <c r="A427" s="63"/>
      <c r="B427" s="8">
        <v>506525</v>
      </c>
      <c r="C427" s="8" t="s">
        <v>1779</v>
      </c>
      <c r="D427" s="12">
        <v>43351486</v>
      </c>
      <c r="E427" s="8">
        <v>124.65</v>
      </c>
      <c r="F427" s="8">
        <f ca="1">IFERROR(__xludf.DUMMYFUNCTION("GOOGLEFINANCE(""BOM:"" &amp; B427,""price"")"),109.6)</f>
        <v>109.6</v>
      </c>
      <c r="G427" s="8">
        <f t="shared" ca="1" si="131"/>
        <v>-12.073806658644212</v>
      </c>
      <c r="H427" s="12">
        <f t="shared" si="132"/>
        <v>5403762729.9000006</v>
      </c>
      <c r="I427" s="13">
        <f t="shared" ca="1" si="133"/>
        <v>4751322865.5999994</v>
      </c>
      <c r="J427" s="63"/>
      <c r="K427" s="8">
        <v>531594</v>
      </c>
      <c r="L427" s="8" t="s">
        <v>1780</v>
      </c>
      <c r="M427" s="12">
        <v>3847127</v>
      </c>
      <c r="N427" s="10">
        <v>15.24</v>
      </c>
      <c r="O427" s="10">
        <f ca="1">IFERROR(__xludf.DUMMYFUNCTION("GOOGLEFINANCE(""BOM:"" &amp; K427,""price"")"),13.82)</f>
        <v>13.82</v>
      </c>
      <c r="P427" s="8">
        <f t="shared" ca="1" si="108"/>
        <v>-9.3175853018372692</v>
      </c>
      <c r="Q427" s="12">
        <f t="shared" si="109"/>
        <v>58630215.480000004</v>
      </c>
      <c r="R427" s="13">
        <f t="shared" ca="1" si="110"/>
        <v>53167295.140000001</v>
      </c>
      <c r="S427" s="63"/>
      <c r="T427" s="8">
        <v>543228</v>
      </c>
      <c r="U427" s="8" t="s">
        <v>1781</v>
      </c>
      <c r="V427" s="12">
        <v>63043268</v>
      </c>
      <c r="W427" s="8">
        <v>1593.95</v>
      </c>
      <c r="X427" s="11">
        <f ca="1">IFERROR(__xludf.DUMMYFUNCTION("GOOGLEFINANCE(""BOM:"" &amp; T427,""price"")"),1600.8)</f>
        <v>1600.8</v>
      </c>
      <c r="Y427" s="8">
        <f t="shared" ca="1" si="134"/>
        <v>0.42974999215784115</v>
      </c>
      <c r="Z427" s="12">
        <f t="shared" si="94"/>
        <v>100487817028.60001</v>
      </c>
      <c r="AA427" s="13">
        <f t="shared" ca="1" si="95"/>
        <v>100919663414.39999</v>
      </c>
      <c r="AB427" s="63"/>
      <c r="AC427" s="8">
        <v>530595</v>
      </c>
      <c r="AD427" s="8" t="s">
        <v>1782</v>
      </c>
      <c r="AE427" s="12">
        <v>9512060</v>
      </c>
      <c r="AF427" s="8">
        <v>6.46</v>
      </c>
      <c r="AG427" s="8">
        <f ca="1">IFERROR(__xludf.DUMMYFUNCTION("GOOGLEFINANCE(""BOM:"" &amp; AC427,""price"")"),4.29)</f>
        <v>4.29</v>
      </c>
      <c r="AH427" s="8">
        <f t="shared" ca="1" si="138"/>
        <v>-33.591331269349844</v>
      </c>
      <c r="AI427" s="12">
        <f t="shared" si="139"/>
        <v>61447907.600000001</v>
      </c>
      <c r="AJ427" s="13">
        <f t="shared" ca="1" si="140"/>
        <v>40806737.399999999</v>
      </c>
    </row>
    <row r="428" spans="1:36" x14ac:dyDescent="0.25">
      <c r="A428" s="63"/>
      <c r="B428" s="8">
        <v>531541</v>
      </c>
      <c r="C428" s="8" t="s">
        <v>1783</v>
      </c>
      <c r="D428" s="12">
        <v>23687284</v>
      </c>
      <c r="E428" s="8">
        <v>5.09</v>
      </c>
      <c r="F428" s="8">
        <f ca="1">IFERROR(__xludf.DUMMYFUNCTION("GOOGLEFINANCE(""BOM:"" &amp; B428,""price"")"),3.8)</f>
        <v>3.8</v>
      </c>
      <c r="G428" s="8">
        <f t="shared" ca="1" si="131"/>
        <v>-25.343811394891947</v>
      </c>
      <c r="H428" s="12">
        <f t="shared" si="132"/>
        <v>120568275.56</v>
      </c>
      <c r="I428" s="13">
        <f t="shared" ca="1" si="133"/>
        <v>90011679.200000003</v>
      </c>
      <c r="J428" s="63"/>
      <c r="K428" s="8">
        <v>505358</v>
      </c>
      <c r="L428" s="8" t="s">
        <v>1784</v>
      </c>
      <c r="M428" s="12">
        <v>32187005</v>
      </c>
      <c r="N428" s="10">
        <v>241.6</v>
      </c>
      <c r="O428" s="10">
        <f ca="1">IFERROR(__xludf.DUMMYFUNCTION("GOOGLEFINANCE(""BOM:"" &amp; K428,""price"")"),228)</f>
        <v>228</v>
      </c>
      <c r="P428" s="8">
        <f t="shared" ca="1" si="108"/>
        <v>-5.6291390728476793</v>
      </c>
      <c r="Q428" s="12">
        <f t="shared" si="109"/>
        <v>7776380408</v>
      </c>
      <c r="R428" s="13">
        <f t="shared" ca="1" si="110"/>
        <v>7338637140</v>
      </c>
      <c r="S428" s="63"/>
      <c r="T428" s="8">
        <v>532374</v>
      </c>
      <c r="U428" s="8" t="s">
        <v>1785</v>
      </c>
      <c r="V428" s="12">
        <v>395370288</v>
      </c>
      <c r="W428" s="8">
        <v>140.30000000000001</v>
      </c>
      <c r="X428" s="11">
        <f ca="1">IFERROR(__xludf.DUMMYFUNCTION("GOOGLEFINANCE(""BOM:"" &amp; T428,""price"")"),110.75)</f>
        <v>110.75</v>
      </c>
      <c r="Y428" s="8">
        <f t="shared" ca="1" si="134"/>
        <v>-21.062009978617255</v>
      </c>
      <c r="Z428" s="12">
        <f t="shared" si="94"/>
        <v>55470451406.400002</v>
      </c>
      <c r="AA428" s="13">
        <f t="shared" ca="1" si="95"/>
        <v>43787259396</v>
      </c>
      <c r="AB428" s="63"/>
      <c r="AC428" s="8">
        <v>532444</v>
      </c>
      <c r="AD428" s="8" t="s">
        <v>1786</v>
      </c>
      <c r="AE428" s="12">
        <v>19999532</v>
      </c>
      <c r="AF428" s="8">
        <v>1.72</v>
      </c>
      <c r="AG428" s="8">
        <f ca="1">IFERROR(__xludf.DUMMYFUNCTION("GOOGLEFINANCE(""BOM:"" &amp; AC428,""price"")"),1.83)</f>
        <v>1.83</v>
      </c>
      <c r="AH428" s="8">
        <f t="shared" ca="1" si="138"/>
        <v>6.3953488372093084</v>
      </c>
      <c r="AI428" s="12">
        <f t="shared" si="139"/>
        <v>34399195.039999999</v>
      </c>
      <c r="AJ428" s="13">
        <f t="shared" ca="1" si="140"/>
        <v>36599143.560000002</v>
      </c>
    </row>
    <row r="429" spans="1:36" x14ac:dyDescent="0.25">
      <c r="A429" s="63"/>
      <c r="B429" s="8">
        <v>530421</v>
      </c>
      <c r="C429" s="8" t="s">
        <v>1787</v>
      </c>
      <c r="D429" s="12">
        <v>8044017</v>
      </c>
      <c r="E429" s="8">
        <v>13.6</v>
      </c>
      <c r="F429" s="8">
        <f ca="1">IFERROR(__xludf.DUMMYFUNCTION("GOOGLEFINANCE(""BOM:"" &amp; B429,""price"")"),12.99)</f>
        <v>12.99</v>
      </c>
      <c r="G429" s="8">
        <f t="shared" ca="1" si="131"/>
        <v>-4.4852941176470544</v>
      </c>
      <c r="H429" s="12">
        <f t="shared" si="132"/>
        <v>109398631.2</v>
      </c>
      <c r="I429" s="13">
        <f t="shared" ca="1" si="133"/>
        <v>104491780.83</v>
      </c>
      <c r="J429" s="63"/>
      <c r="K429" s="8">
        <v>505737</v>
      </c>
      <c r="L429" s="8" t="s">
        <v>1788</v>
      </c>
      <c r="M429" s="12">
        <v>2341611</v>
      </c>
      <c r="N429" s="10">
        <v>1781.5</v>
      </c>
      <c r="O429" s="10">
        <f ca="1">IFERROR(__xludf.DUMMYFUNCTION("GOOGLEFINANCE(""BOM:"" &amp; K429,""price"")"),1748.75)</f>
        <v>1748.75</v>
      </c>
      <c r="P429" s="8">
        <f t="shared" ca="1" si="108"/>
        <v>-1.8383384788099915</v>
      </c>
      <c r="Q429" s="12">
        <f t="shared" si="109"/>
        <v>4171579996.5</v>
      </c>
      <c r="R429" s="13">
        <f t="shared" ca="1" si="110"/>
        <v>4094892236.25</v>
      </c>
      <c r="S429" s="64"/>
      <c r="T429" s="14">
        <v>532411</v>
      </c>
      <c r="U429" s="14" t="s">
        <v>1789</v>
      </c>
      <c r="V429" s="15">
        <v>3765602769</v>
      </c>
      <c r="W429" s="14">
        <v>0.64</v>
      </c>
      <c r="X429" s="26">
        <f ca="1">IFERROR(__xludf.DUMMYFUNCTION("GOOGLEFINANCE(""BOM:"" &amp; T429,""price"")"),0.47)</f>
        <v>0.47</v>
      </c>
      <c r="Y429" s="14">
        <f t="shared" ca="1" si="134"/>
        <v>-26.562500000000007</v>
      </c>
      <c r="Z429" s="15">
        <f t="shared" si="94"/>
        <v>2409985772.1599998</v>
      </c>
      <c r="AA429" s="16">
        <f t="shared" ca="1" si="95"/>
        <v>1769833301.4299998</v>
      </c>
      <c r="AB429" s="63"/>
      <c r="AC429" s="8">
        <v>532372</v>
      </c>
      <c r="AD429" s="8" t="s">
        <v>1790</v>
      </c>
      <c r="AE429" s="12">
        <v>79273510</v>
      </c>
      <c r="AF429" s="8">
        <v>39.159999999999997</v>
      </c>
      <c r="AG429" s="8">
        <f ca="1">IFERROR(__xludf.DUMMYFUNCTION("GOOGLEFINANCE(""BOM:"" &amp; AC429,""price"")"),31.18)</f>
        <v>31.18</v>
      </c>
      <c r="AH429" s="8">
        <f t="shared" ca="1" si="138"/>
        <v>-20.377936670071495</v>
      </c>
      <c r="AI429" s="12">
        <f t="shared" si="139"/>
        <v>3104350651.5999999</v>
      </c>
      <c r="AJ429" s="13">
        <f t="shared" ca="1" si="140"/>
        <v>2471748041.8000002</v>
      </c>
    </row>
    <row r="430" spans="1:36" x14ac:dyDescent="0.25">
      <c r="A430" s="63"/>
      <c r="B430" s="8">
        <v>507759</v>
      </c>
      <c r="C430" s="8" t="s">
        <v>1791</v>
      </c>
      <c r="D430" s="12">
        <v>5973277</v>
      </c>
      <c r="E430" s="8">
        <v>34.89</v>
      </c>
      <c r="F430" s="8">
        <f ca="1">IFERROR(__xludf.DUMMYFUNCTION("GOOGLEFINANCE(""BOM:"" &amp; B430,""price"")"),27.99)</f>
        <v>27.99</v>
      </c>
      <c r="G430" s="8">
        <f t="shared" ca="1" si="131"/>
        <v>-19.776440240756671</v>
      </c>
      <c r="H430" s="12">
        <f t="shared" si="132"/>
        <v>208407634.53</v>
      </c>
      <c r="I430" s="13">
        <f t="shared" ca="1" si="133"/>
        <v>167192023.22999999</v>
      </c>
      <c r="J430" s="63"/>
      <c r="K430" s="8">
        <v>522183</v>
      </c>
      <c r="L430" s="8" t="s">
        <v>1792</v>
      </c>
      <c r="M430" s="12">
        <v>3100075</v>
      </c>
      <c r="N430" s="10">
        <v>351.9</v>
      </c>
      <c r="O430" s="10">
        <f ca="1">IFERROR(__xludf.DUMMYFUNCTION("GOOGLEFINANCE(""BOM:"" &amp; K430,""price"")"),319.95)</f>
        <v>319.95</v>
      </c>
      <c r="P430" s="8">
        <f t="shared" ca="1" si="108"/>
        <v>-9.0792838874680282</v>
      </c>
      <c r="Q430" s="12">
        <f t="shared" si="109"/>
        <v>1090916392.5</v>
      </c>
      <c r="R430" s="13">
        <f t="shared" ca="1" si="110"/>
        <v>991868996.25</v>
      </c>
      <c r="S430" s="62" t="s">
        <v>1793</v>
      </c>
      <c r="T430" s="6">
        <v>539096</v>
      </c>
      <c r="U430" s="6" t="s">
        <v>1794</v>
      </c>
      <c r="V430" s="7">
        <v>3047285</v>
      </c>
      <c r="W430" s="8">
        <v>28.88</v>
      </c>
      <c r="X430" s="11">
        <f ca="1">IFERROR(__xludf.DUMMYFUNCTION("GOOGLEFINANCE(""BOM:"" &amp; T430,""price"")"),24.51)</f>
        <v>24.51</v>
      </c>
      <c r="Y430" s="8">
        <f t="shared" ca="1" si="134"/>
        <v>-15.131578947368412</v>
      </c>
      <c r="Z430" s="7">
        <f t="shared" si="94"/>
        <v>88005590.799999997</v>
      </c>
      <c r="AA430" s="9">
        <f t="shared" ca="1" si="95"/>
        <v>74688955.350000009</v>
      </c>
      <c r="AB430" s="63"/>
      <c r="AC430" s="8">
        <v>531126</v>
      </c>
      <c r="AD430" s="8" t="s">
        <v>1795</v>
      </c>
      <c r="AE430" s="12">
        <v>9773044</v>
      </c>
      <c r="AF430" s="8">
        <v>5.14</v>
      </c>
      <c r="AG430" s="8">
        <f ca="1">IFERROR(__xludf.DUMMYFUNCTION("GOOGLEFINANCE(""BOM:"" &amp; AC430,""price"")"),5.3)</f>
        <v>5.3</v>
      </c>
      <c r="AH430" s="8">
        <f t="shared" ca="1" si="138"/>
        <v>3.1128404669260727</v>
      </c>
      <c r="AI430" s="12">
        <f t="shared" si="139"/>
        <v>50233446.159999996</v>
      </c>
      <c r="AJ430" s="13">
        <f t="shared" ca="1" si="140"/>
        <v>51797133.199999996</v>
      </c>
    </row>
    <row r="431" spans="1:36" x14ac:dyDescent="0.25">
      <c r="A431" s="63"/>
      <c r="B431" s="8">
        <v>524748</v>
      </c>
      <c r="C431" s="8" t="s">
        <v>1796</v>
      </c>
      <c r="D431" s="12">
        <v>3980843</v>
      </c>
      <c r="E431" s="8">
        <v>46.8</v>
      </c>
      <c r="F431" s="8">
        <f ca="1">IFERROR(__xludf.DUMMYFUNCTION("GOOGLEFINANCE(""BOM:"" &amp; B431,""price"")"),42.6)</f>
        <v>42.6</v>
      </c>
      <c r="G431" s="8">
        <f t="shared" ca="1" si="131"/>
        <v>-8.9743589743589656</v>
      </c>
      <c r="H431" s="12">
        <f t="shared" si="132"/>
        <v>186303452.39999998</v>
      </c>
      <c r="I431" s="13">
        <f t="shared" ca="1" si="133"/>
        <v>169583911.80000001</v>
      </c>
      <c r="J431" s="63"/>
      <c r="K431" s="8">
        <v>522101</v>
      </c>
      <c r="L431" s="8" t="s">
        <v>1797</v>
      </c>
      <c r="M431" s="12">
        <v>27964229</v>
      </c>
      <c r="N431" s="10">
        <v>299</v>
      </c>
      <c r="O431" s="10">
        <f ca="1">IFERROR(__xludf.DUMMYFUNCTION("GOOGLEFINANCE(""BOM:"" &amp; K431,""price"")"),336)</f>
        <v>336</v>
      </c>
      <c r="P431" s="8">
        <f t="shared" ca="1" si="108"/>
        <v>12.374581939799331</v>
      </c>
      <c r="Q431" s="12">
        <f t="shared" si="109"/>
        <v>8361304471</v>
      </c>
      <c r="R431" s="13">
        <f t="shared" ca="1" si="110"/>
        <v>9395980944</v>
      </c>
      <c r="S431" s="63"/>
      <c r="T431" s="8">
        <v>514274</v>
      </c>
      <c r="U431" s="8" t="s">
        <v>1798</v>
      </c>
      <c r="V431" s="12">
        <v>23179087</v>
      </c>
      <c r="W431" s="8">
        <v>33.36</v>
      </c>
      <c r="X431" s="11">
        <f ca="1">IFERROR(__xludf.DUMMYFUNCTION("GOOGLEFINANCE(""BOM:"" &amp; T431,""price"")"),23.94)</f>
        <v>23.94</v>
      </c>
      <c r="Y431" s="8">
        <f t="shared" ca="1" si="134"/>
        <v>-28.237410071942442</v>
      </c>
      <c r="Z431" s="12">
        <f t="shared" si="94"/>
        <v>773254342.31999993</v>
      </c>
      <c r="AA431" s="13">
        <f t="shared" ca="1" si="95"/>
        <v>554907342.77999997</v>
      </c>
      <c r="AB431" s="63"/>
      <c r="AC431" s="8">
        <v>531396</v>
      </c>
      <c r="AD431" s="8" t="s">
        <v>1799</v>
      </c>
      <c r="AE431" s="12">
        <v>3979449</v>
      </c>
      <c r="AF431" s="8">
        <v>10.75</v>
      </c>
      <c r="AG431" s="8">
        <f ca="1">IFERROR(__xludf.DUMMYFUNCTION("GOOGLEFINANCE(""BOM:"" &amp; AC431,""price"")"),7.94)</f>
        <v>7.94</v>
      </c>
      <c r="AH431" s="8">
        <f t="shared" ca="1" si="138"/>
        <v>-26.139534883720927</v>
      </c>
      <c r="AI431" s="12">
        <f t="shared" si="139"/>
        <v>42779076.75</v>
      </c>
      <c r="AJ431" s="13">
        <f t="shared" ca="1" si="140"/>
        <v>31596825.060000002</v>
      </c>
    </row>
    <row r="432" spans="1:36" x14ac:dyDescent="0.25">
      <c r="A432" s="63"/>
      <c r="B432" s="8">
        <v>500284</v>
      </c>
      <c r="C432" s="8" t="s">
        <v>1800</v>
      </c>
      <c r="D432" s="12">
        <v>23769762</v>
      </c>
      <c r="E432" s="8">
        <v>131.25</v>
      </c>
      <c r="F432" s="8">
        <f ca="1">IFERROR(__xludf.DUMMYFUNCTION("GOOGLEFINANCE(""BOM:"" &amp; B432,""price"")"),112.45)</f>
        <v>112.45</v>
      </c>
      <c r="G432" s="8">
        <f t="shared" ca="1" si="131"/>
        <v>-14.323809523809523</v>
      </c>
      <c r="H432" s="12">
        <f t="shared" si="132"/>
        <v>3119781262.5</v>
      </c>
      <c r="I432" s="13">
        <f t="shared" ca="1" si="133"/>
        <v>2672909736.9000001</v>
      </c>
      <c r="J432" s="63"/>
      <c r="K432" s="8">
        <v>505299</v>
      </c>
      <c r="L432" s="8" t="s">
        <v>1801</v>
      </c>
      <c r="M432" s="12">
        <v>3155772</v>
      </c>
      <c r="N432" s="10">
        <v>577</v>
      </c>
      <c r="O432" s="10">
        <f ca="1">IFERROR(__xludf.DUMMYFUNCTION("GOOGLEFINANCE(""BOM:"" &amp; K432,""price"")"),655.95)</f>
        <v>655.95</v>
      </c>
      <c r="P432" s="8">
        <f t="shared" ca="1" si="108"/>
        <v>13.682842287694982</v>
      </c>
      <c r="Q432" s="12">
        <f t="shared" si="109"/>
        <v>1820880444</v>
      </c>
      <c r="R432" s="13">
        <f t="shared" ca="1" si="110"/>
        <v>2070028643.4000001</v>
      </c>
      <c r="S432" s="63"/>
      <c r="T432" s="8">
        <v>526488</v>
      </c>
      <c r="U432" s="8" t="s">
        <v>1802</v>
      </c>
      <c r="V432" s="12">
        <v>4174755</v>
      </c>
      <c r="W432" s="8">
        <v>27.17</v>
      </c>
      <c r="X432" s="11">
        <f ca="1">IFERROR(__xludf.DUMMYFUNCTION("GOOGLEFINANCE(""BOM:"" &amp; T432,""price"")"),27.17)</f>
        <v>27.17</v>
      </c>
      <c r="Y432" s="8">
        <f t="shared" ca="1" si="134"/>
        <v>0</v>
      </c>
      <c r="Z432" s="12">
        <f t="shared" si="94"/>
        <v>113428093.35000001</v>
      </c>
      <c r="AA432" s="13">
        <f t="shared" ca="1" si="95"/>
        <v>113428093.35000001</v>
      </c>
      <c r="AB432" s="64"/>
      <c r="AC432" s="14">
        <v>542367</v>
      </c>
      <c r="AD432" s="14" t="s">
        <v>1803</v>
      </c>
      <c r="AE432" s="15">
        <v>14318042</v>
      </c>
      <c r="AF432" s="14">
        <v>124.95</v>
      </c>
      <c r="AG432" s="14">
        <f ca="1">IFERROR(__xludf.DUMMYFUNCTION("GOOGLEFINANCE(""BOM:"" &amp; AC432,""price"")"),116.85)</f>
        <v>116.85</v>
      </c>
      <c r="AH432" s="14">
        <f t="shared" ca="1" si="138"/>
        <v>-6.482593037214893</v>
      </c>
      <c r="AI432" s="15">
        <f t="shared" si="139"/>
        <v>1789039347.9000001</v>
      </c>
      <c r="AJ432" s="16">
        <f t="shared" ca="1" si="140"/>
        <v>1673063207.6999998</v>
      </c>
    </row>
    <row r="433" spans="1:36" x14ac:dyDescent="0.25">
      <c r="A433" s="63"/>
      <c r="B433" s="8">
        <v>514418</v>
      </c>
      <c r="C433" s="8" t="s">
        <v>1804</v>
      </c>
      <c r="D433" s="12">
        <v>8203040</v>
      </c>
      <c r="E433" s="8">
        <v>343</v>
      </c>
      <c r="F433" s="8">
        <f ca="1">IFERROR(__xludf.DUMMYFUNCTION("GOOGLEFINANCE(""BOM:"" &amp; B433,""price"")"),272.7)</f>
        <v>272.7</v>
      </c>
      <c r="G433" s="8">
        <f t="shared" ca="1" si="131"/>
        <v>-20.495626822157437</v>
      </c>
      <c r="H433" s="12">
        <f t="shared" si="132"/>
        <v>2813642720</v>
      </c>
      <c r="I433" s="13">
        <f t="shared" ca="1" si="133"/>
        <v>2236969008</v>
      </c>
      <c r="J433" s="63"/>
      <c r="K433" s="8">
        <v>500252</v>
      </c>
      <c r="L433" s="8" t="s">
        <v>1805</v>
      </c>
      <c r="M433" s="12">
        <v>10636247</v>
      </c>
      <c r="N433" s="10">
        <v>14935</v>
      </c>
      <c r="O433" s="10">
        <f ca="1">IFERROR(__xludf.DUMMYFUNCTION("GOOGLEFINANCE(""BOM:"" &amp; K433,""price"")"),15101)</f>
        <v>15101</v>
      </c>
      <c r="P433" s="8">
        <f t="shared" ca="1" si="108"/>
        <v>1.1114830934047539</v>
      </c>
      <c r="Q433" s="12">
        <f t="shared" si="109"/>
        <v>158852348945</v>
      </c>
      <c r="R433" s="13">
        <f t="shared" ca="1" si="110"/>
        <v>160617965947</v>
      </c>
      <c r="S433" s="63"/>
      <c r="T433" s="8">
        <v>530043</v>
      </c>
      <c r="U433" s="8" t="s">
        <v>1806</v>
      </c>
      <c r="V433" s="12">
        <v>2844477</v>
      </c>
      <c r="W433" s="8">
        <v>263.85000000000002</v>
      </c>
      <c r="X433" s="11">
        <f ca="1">IFERROR(__xludf.DUMMYFUNCTION("GOOGLEFINANCE(""BOM:"" &amp; T433,""price"")"),222)</f>
        <v>222</v>
      </c>
      <c r="Y433" s="8">
        <f t="shared" ca="1" si="134"/>
        <v>-15.861284820920984</v>
      </c>
      <c r="Z433" s="12">
        <f t="shared" si="94"/>
        <v>750515256.45000005</v>
      </c>
      <c r="AA433" s="13">
        <f t="shared" ca="1" si="95"/>
        <v>631473894</v>
      </c>
      <c r="AB433" s="65" t="s">
        <v>1807</v>
      </c>
      <c r="AC433" s="6">
        <v>540615</v>
      </c>
      <c r="AD433" s="6" t="s">
        <v>1808</v>
      </c>
      <c r="AE433" s="7">
        <v>280065136</v>
      </c>
      <c r="AF433" s="8">
        <v>5.8</v>
      </c>
      <c r="AG433" s="8">
        <f ca="1">IFERROR(__xludf.DUMMYFUNCTION("GOOGLEFINANCE(""BOM:"" &amp; AC433,""price"")"),4.99)</f>
        <v>4.99</v>
      </c>
      <c r="AH433" s="8">
        <f t="shared" ca="1" si="138"/>
        <v>-13.965517241379304</v>
      </c>
      <c r="AI433" s="7">
        <f t="shared" si="139"/>
        <v>1624377788.8</v>
      </c>
      <c r="AJ433" s="9">
        <f t="shared" ca="1" si="140"/>
        <v>1397525028.6400001</v>
      </c>
    </row>
    <row r="434" spans="1:36" x14ac:dyDescent="0.25">
      <c r="A434" s="63"/>
      <c r="B434" s="8">
        <v>500298</v>
      </c>
      <c r="C434" s="8" t="s">
        <v>1809</v>
      </c>
      <c r="D434" s="12">
        <v>5692243</v>
      </c>
      <c r="E434" s="8">
        <v>1009</v>
      </c>
      <c r="F434" s="8">
        <f ca="1">IFERROR(__xludf.DUMMYFUNCTION("GOOGLEFINANCE(""BOM:"" &amp; B434,""price"")"),805.65)</f>
        <v>805.65</v>
      </c>
      <c r="G434" s="8">
        <f t="shared" ca="1" si="131"/>
        <v>-20.153617443012887</v>
      </c>
      <c r="H434" s="12">
        <f t="shared" si="132"/>
        <v>5743473187</v>
      </c>
      <c r="I434" s="13">
        <f t="shared" ca="1" si="133"/>
        <v>4585955572.9499998</v>
      </c>
      <c r="J434" s="63"/>
      <c r="K434" s="8">
        <v>526604</v>
      </c>
      <c r="L434" s="8" t="s">
        <v>1810</v>
      </c>
      <c r="M434" s="12">
        <v>6450600</v>
      </c>
      <c r="N434" s="10">
        <v>17.07</v>
      </c>
      <c r="O434" s="10">
        <f ca="1">IFERROR(__xludf.DUMMYFUNCTION("GOOGLEFINANCE(""BOM:"" &amp; K434,""price"")"),15.26)</f>
        <v>15.26</v>
      </c>
      <c r="P434" s="8">
        <f t="shared" ca="1" si="108"/>
        <v>-10.603397773872294</v>
      </c>
      <c r="Q434" s="12">
        <f t="shared" si="109"/>
        <v>110111742</v>
      </c>
      <c r="R434" s="13">
        <f t="shared" ca="1" si="110"/>
        <v>98436156</v>
      </c>
      <c r="S434" s="63"/>
      <c r="T434" s="8">
        <v>514113</v>
      </c>
      <c r="U434" s="8" t="s">
        <v>1811</v>
      </c>
      <c r="V434" s="12">
        <v>4241305</v>
      </c>
      <c r="W434" s="8">
        <v>27.85</v>
      </c>
      <c r="X434" s="11">
        <f ca="1">IFERROR(__xludf.DUMMYFUNCTION("GOOGLEFINANCE(""BOM:"" &amp; T434,""price"")"),27.06)</f>
        <v>27.06</v>
      </c>
      <c r="Y434" s="8">
        <f t="shared" ca="1" si="134"/>
        <v>-2.8366247755834926</v>
      </c>
      <c r="Z434" s="12">
        <f t="shared" si="94"/>
        <v>118120344.25</v>
      </c>
      <c r="AA434" s="13">
        <f t="shared" ca="1" si="95"/>
        <v>114769713.3</v>
      </c>
      <c r="AB434" s="63"/>
      <c r="AC434" s="8">
        <v>535755</v>
      </c>
      <c r="AD434" s="8" t="s">
        <v>1812</v>
      </c>
      <c r="AE434" s="12">
        <v>931954563</v>
      </c>
      <c r="AF434" s="8">
        <v>229.6</v>
      </c>
      <c r="AG434" s="8">
        <f ca="1">IFERROR(__xludf.DUMMYFUNCTION("GOOGLEFINANCE(""BOM:"" &amp; AC434,""price"")"),205.5)</f>
        <v>205.5</v>
      </c>
      <c r="AH434" s="8">
        <f t="shared" ca="1" si="138"/>
        <v>-10.496515679442506</v>
      </c>
      <c r="AI434" s="12">
        <f t="shared" si="139"/>
        <v>213976767664.79999</v>
      </c>
      <c r="AJ434" s="13">
        <f t="shared" ca="1" si="140"/>
        <v>191516662696.5</v>
      </c>
    </row>
    <row r="435" spans="1:36" x14ac:dyDescent="0.25">
      <c r="A435" s="63"/>
      <c r="B435" s="8">
        <v>532504</v>
      </c>
      <c r="C435" s="8" t="s">
        <v>1813</v>
      </c>
      <c r="D435" s="12">
        <v>48658982</v>
      </c>
      <c r="E435" s="8">
        <v>3050.5</v>
      </c>
      <c r="F435" s="8">
        <f ca="1">IFERROR(__xludf.DUMMYFUNCTION("GOOGLEFINANCE(""BOM:"" &amp; B435,""price"")"),3096.95)</f>
        <v>3096.95</v>
      </c>
      <c r="G435" s="8">
        <f t="shared" ca="1" si="131"/>
        <v>1.5227011965251538</v>
      </c>
      <c r="H435" s="12">
        <f t="shared" si="132"/>
        <v>148434224591</v>
      </c>
      <c r="I435" s="13">
        <f t="shared" ca="1" si="133"/>
        <v>150694434304.89999</v>
      </c>
      <c r="J435" s="63"/>
      <c r="K435" s="8">
        <v>505302</v>
      </c>
      <c r="L435" s="8" t="s">
        <v>1814</v>
      </c>
      <c r="M435" s="12">
        <v>502029</v>
      </c>
      <c r="N435" s="10">
        <v>1894.95</v>
      </c>
      <c r="O435" s="10">
        <f ca="1">IFERROR(__xludf.DUMMYFUNCTION("GOOGLEFINANCE(""BOM:"" &amp; K435,""price"")"),1931.6)</f>
        <v>1931.6</v>
      </c>
      <c r="P435" s="8">
        <f t="shared" ca="1" si="108"/>
        <v>1.9340879706588492</v>
      </c>
      <c r="Q435" s="12">
        <f t="shared" si="109"/>
        <v>951319853.55000007</v>
      </c>
      <c r="R435" s="13">
        <f t="shared" ca="1" si="110"/>
        <v>969719216.39999998</v>
      </c>
      <c r="S435" s="63"/>
      <c r="T435" s="8">
        <v>521141</v>
      </c>
      <c r="U435" s="8" t="s">
        <v>1815</v>
      </c>
      <c r="V435" s="12">
        <v>13355345</v>
      </c>
      <c r="W435" s="8">
        <v>24.36</v>
      </c>
      <c r="X435" s="11">
        <f ca="1">IFERROR(__xludf.DUMMYFUNCTION("GOOGLEFINANCE(""BOM:"" &amp; T435,""price"")"),23.1)</f>
        <v>23.1</v>
      </c>
      <c r="Y435" s="8">
        <f t="shared" ca="1" si="134"/>
        <v>-5.1724137931034404</v>
      </c>
      <c r="Z435" s="12">
        <f t="shared" si="94"/>
        <v>325336204.19999999</v>
      </c>
      <c r="AA435" s="13">
        <f t="shared" ca="1" si="95"/>
        <v>308508469.5</v>
      </c>
      <c r="AB435" s="63"/>
      <c r="AC435" s="8">
        <v>542484</v>
      </c>
      <c r="AD435" s="8" t="s">
        <v>1816</v>
      </c>
      <c r="AE435" s="12">
        <v>132036634</v>
      </c>
      <c r="AF435" s="8">
        <v>459.4</v>
      </c>
      <c r="AG435" s="8">
        <f ca="1">IFERROR(__xludf.DUMMYFUNCTION("GOOGLEFINANCE(""BOM:"" &amp; AC435,""price"")"),453.05)</f>
        <v>453.05</v>
      </c>
      <c r="AH435" s="8">
        <f t="shared" ca="1" si="138"/>
        <v>-1.382237701349579</v>
      </c>
      <c r="AI435" s="12">
        <f t="shared" si="139"/>
        <v>60657629659.599998</v>
      </c>
      <c r="AJ435" s="13">
        <f t="shared" ca="1" si="140"/>
        <v>59819197033.700005</v>
      </c>
    </row>
    <row r="436" spans="1:36" x14ac:dyDescent="0.25">
      <c r="A436" s="63"/>
      <c r="B436" s="8">
        <v>532167</v>
      </c>
      <c r="C436" s="8" t="s">
        <v>1817</v>
      </c>
      <c r="D436" s="12">
        <v>5176900</v>
      </c>
      <c r="E436" s="8">
        <v>22.48</v>
      </c>
      <c r="F436" s="8">
        <f ca="1">IFERROR(__xludf.DUMMYFUNCTION("GOOGLEFINANCE(""BOM:"" &amp; B436,""price"")"),22.48)</f>
        <v>22.48</v>
      </c>
      <c r="G436" s="8">
        <f t="shared" ca="1" si="131"/>
        <v>0</v>
      </c>
      <c r="H436" s="12">
        <f t="shared" si="132"/>
        <v>116376712</v>
      </c>
      <c r="I436" s="13">
        <f t="shared" ca="1" si="133"/>
        <v>116376712</v>
      </c>
      <c r="J436" s="63"/>
      <c r="K436" s="8">
        <v>505320</v>
      </c>
      <c r="L436" s="8" t="s">
        <v>1818</v>
      </c>
      <c r="M436" s="12">
        <v>378747</v>
      </c>
      <c r="N436" s="10">
        <v>108.5</v>
      </c>
      <c r="O436" s="10">
        <f ca="1">IFERROR(__xludf.DUMMYFUNCTION("GOOGLEFINANCE(""BOM:"" &amp; K436,""price"")"),108.5)</f>
        <v>108.5</v>
      </c>
      <c r="P436" s="8">
        <f t="shared" ca="1" si="108"/>
        <v>0</v>
      </c>
      <c r="Q436" s="12">
        <f t="shared" si="109"/>
        <v>41094049.5</v>
      </c>
      <c r="R436" s="13">
        <f t="shared" ca="1" si="110"/>
        <v>41094049.5</v>
      </c>
      <c r="S436" s="63"/>
      <c r="T436" s="8">
        <v>521048</v>
      </c>
      <c r="U436" s="8" t="s">
        <v>1819</v>
      </c>
      <c r="V436" s="12">
        <v>5110976</v>
      </c>
      <c r="W436" s="8">
        <v>44</v>
      </c>
      <c r="X436" s="11">
        <f ca="1">IFERROR(__xludf.DUMMYFUNCTION("GOOGLEFINANCE(""BOM:"" &amp; T436,""price"")"),46.99)</f>
        <v>46.99</v>
      </c>
      <c r="Y436" s="8">
        <f t="shared" ca="1" si="134"/>
        <v>6.7954545454545503</v>
      </c>
      <c r="Z436" s="12">
        <f t="shared" si="94"/>
        <v>224882944</v>
      </c>
      <c r="AA436" s="13">
        <f t="shared" ca="1" si="95"/>
        <v>240164762.24000001</v>
      </c>
      <c r="AB436" s="63"/>
      <c r="AC436" s="8">
        <v>540205</v>
      </c>
      <c r="AD436" s="8" t="s">
        <v>1820</v>
      </c>
      <c r="AE436" s="12">
        <v>12028500</v>
      </c>
      <c r="AF436" s="8">
        <v>3568</v>
      </c>
      <c r="AG436" s="8">
        <f ca="1">IFERROR(__xludf.DUMMYFUNCTION("GOOGLEFINANCE(""BOM:"" &amp; AC436,""price"")"),3400.75)</f>
        <v>3400.75</v>
      </c>
      <c r="AH436" s="8">
        <f t="shared" ca="1" si="138"/>
        <v>-4.6875</v>
      </c>
      <c r="AI436" s="12">
        <f t="shared" si="139"/>
        <v>42917688000</v>
      </c>
      <c r="AJ436" s="13">
        <f t="shared" ca="1" si="140"/>
        <v>40905921375</v>
      </c>
    </row>
    <row r="437" spans="1:36" x14ac:dyDescent="0.25">
      <c r="A437" s="63"/>
      <c r="B437" s="8">
        <v>506579</v>
      </c>
      <c r="C437" s="8" t="s">
        <v>1821</v>
      </c>
      <c r="D437" s="12">
        <v>9712408</v>
      </c>
      <c r="E437" s="8">
        <v>751.55</v>
      </c>
      <c r="F437" s="8">
        <f ca="1">IFERROR(__xludf.DUMMYFUNCTION("GOOGLEFINANCE(""BOM:"" &amp; B437,""price"")"),665)</f>
        <v>665</v>
      </c>
      <c r="G437" s="8">
        <f t="shared" ca="1" si="131"/>
        <v>-11.516199853635815</v>
      </c>
      <c r="H437" s="12">
        <f t="shared" si="132"/>
        <v>7299360232.3999996</v>
      </c>
      <c r="I437" s="13">
        <f t="shared" ca="1" si="133"/>
        <v>6458751320</v>
      </c>
      <c r="J437" s="63"/>
      <c r="K437" s="8">
        <v>534563</v>
      </c>
      <c r="L437" s="8" t="s">
        <v>1822</v>
      </c>
      <c r="M437" s="12">
        <v>9199500</v>
      </c>
      <c r="N437" s="10">
        <v>4.13</v>
      </c>
      <c r="O437" s="10">
        <f ca="1">IFERROR(__xludf.DUMMYFUNCTION("GOOGLEFINANCE(""BOM:"" &amp; K437,""price"")"),4.05)</f>
        <v>4.05</v>
      </c>
      <c r="P437" s="8">
        <f t="shared" ca="1" si="108"/>
        <v>-1.9370460048426168</v>
      </c>
      <c r="Q437" s="12">
        <f t="shared" si="109"/>
        <v>37993935</v>
      </c>
      <c r="R437" s="13">
        <f t="shared" ca="1" si="110"/>
        <v>37257975</v>
      </c>
      <c r="S437" s="63"/>
      <c r="T437" s="8">
        <v>540718</v>
      </c>
      <c r="U437" s="8" t="s">
        <v>1823</v>
      </c>
      <c r="V437" s="12">
        <v>3012175</v>
      </c>
      <c r="W437" s="8">
        <v>82.05</v>
      </c>
      <c r="X437" s="11">
        <v>82.05</v>
      </c>
      <c r="Y437" s="8">
        <f t="shared" si="134"/>
        <v>0</v>
      </c>
      <c r="Z437" s="12">
        <f t="shared" si="94"/>
        <v>247148958.75</v>
      </c>
      <c r="AA437" s="13">
        <f t="shared" si="95"/>
        <v>247148958.75</v>
      </c>
      <c r="AB437" s="63"/>
      <c r="AC437" s="8">
        <v>543442</v>
      </c>
      <c r="AD437" s="8" t="s">
        <v>1824</v>
      </c>
      <c r="AE437" s="12">
        <v>10291140</v>
      </c>
      <c r="AF437" s="8">
        <v>740</v>
      </c>
      <c r="AG437" s="8">
        <f ca="1">IFERROR(__xludf.DUMMYFUNCTION("GOOGLEFINANCE(""BOM:"" &amp; AC437,""price"")"),686.4)</f>
        <v>686.4</v>
      </c>
      <c r="AH437" s="8">
        <f t="shared" ca="1" si="138"/>
        <v>-7.2432432432432474</v>
      </c>
      <c r="AI437" s="12">
        <f t="shared" si="139"/>
        <v>7615443600</v>
      </c>
      <c r="AJ437" s="13">
        <f t="shared" ca="1" si="140"/>
        <v>7063838496</v>
      </c>
    </row>
    <row r="438" spans="1:36" x14ac:dyDescent="0.25">
      <c r="A438" s="63"/>
      <c r="B438" s="8">
        <v>506852</v>
      </c>
      <c r="C438" s="8" t="s">
        <v>1825</v>
      </c>
      <c r="D438" s="12">
        <v>233481065</v>
      </c>
      <c r="E438" s="8">
        <v>42.14</v>
      </c>
      <c r="F438" s="8">
        <f ca="1">IFERROR(__xludf.DUMMYFUNCTION("GOOGLEFINANCE(""BOM:"" &amp; B438,""price"")"),34.2)</f>
        <v>34.200000000000003</v>
      </c>
      <c r="G438" s="8">
        <f t="shared" ca="1" si="131"/>
        <v>-18.841955386805878</v>
      </c>
      <c r="H438" s="12">
        <f t="shared" si="132"/>
        <v>9838892079.1000004</v>
      </c>
      <c r="I438" s="13">
        <f t="shared" ca="1" si="133"/>
        <v>7985052423.000001</v>
      </c>
      <c r="J438" s="63"/>
      <c r="K438" s="8">
        <v>540519</v>
      </c>
      <c r="L438" s="8" t="s">
        <v>1826</v>
      </c>
      <c r="M438" s="12">
        <v>10678796</v>
      </c>
      <c r="N438" s="10">
        <v>51.81</v>
      </c>
      <c r="O438" s="10">
        <f ca="1">IFERROR(__xludf.DUMMYFUNCTION("GOOGLEFINANCE(""BOM:"" &amp; K438,""price"")"),43.73)</f>
        <v>43.73</v>
      </c>
      <c r="P438" s="8">
        <f t="shared" ca="1" si="108"/>
        <v>-15.595444894807962</v>
      </c>
      <c r="Q438" s="12">
        <f t="shared" si="109"/>
        <v>553268420.75999999</v>
      </c>
      <c r="R438" s="13">
        <f t="shared" ca="1" si="110"/>
        <v>466983749.07999998</v>
      </c>
      <c r="S438" s="63"/>
      <c r="T438" s="8">
        <v>541303</v>
      </c>
      <c r="U438" s="8" t="s">
        <v>1827</v>
      </c>
      <c r="V438" s="12">
        <v>299988000</v>
      </c>
      <c r="W438" s="8">
        <v>3.47</v>
      </c>
      <c r="X438" s="11">
        <f ca="1">IFERROR(__xludf.DUMMYFUNCTION("GOOGLEFINANCE(""BOM:"" &amp; T438,""price"")"),2.21)</f>
        <v>2.21</v>
      </c>
      <c r="Y438" s="8">
        <f t="shared" ca="1" si="134"/>
        <v>-36.31123919308358</v>
      </c>
      <c r="Z438" s="12">
        <f t="shared" si="94"/>
        <v>1040958360</v>
      </c>
      <c r="AA438" s="13">
        <f t="shared" ca="1" si="95"/>
        <v>662973480</v>
      </c>
      <c r="AB438" s="63"/>
      <c r="AC438" s="8">
        <v>540956</v>
      </c>
      <c r="AD438" s="8" t="s">
        <v>1828</v>
      </c>
      <c r="AE438" s="12">
        <v>125152000</v>
      </c>
      <c r="AF438" s="8">
        <v>31.77</v>
      </c>
      <c r="AG438" s="8">
        <f ca="1">IFERROR(__xludf.DUMMYFUNCTION("GOOGLEFINANCE(""BOM:"" &amp; AC438,""price"")"),20.81)</f>
        <v>20.81</v>
      </c>
      <c r="AH438" s="8">
        <f t="shared" ca="1" si="138"/>
        <v>-34.497954044696257</v>
      </c>
      <c r="AI438" s="12">
        <f t="shared" si="139"/>
        <v>3976079040</v>
      </c>
      <c r="AJ438" s="13">
        <f t="shared" ca="1" si="140"/>
        <v>2604413120</v>
      </c>
    </row>
    <row r="439" spans="1:36" x14ac:dyDescent="0.25">
      <c r="A439" s="63"/>
      <c r="B439" s="8">
        <v>526905</v>
      </c>
      <c r="C439" s="8" t="s">
        <v>1829</v>
      </c>
      <c r="D439" s="12">
        <v>5569820</v>
      </c>
      <c r="E439" s="8">
        <v>4.9000000000000004</v>
      </c>
      <c r="F439" s="8">
        <f ca="1">IFERROR(__xludf.DUMMYFUNCTION("GOOGLEFINANCE(""BOM:"" &amp; B439,""price"")"),4.42)</f>
        <v>4.42</v>
      </c>
      <c r="G439" s="8">
        <f t="shared" ca="1" si="131"/>
        <v>-9.7959183673469461</v>
      </c>
      <c r="H439" s="12">
        <f t="shared" si="132"/>
        <v>27292118.000000004</v>
      </c>
      <c r="I439" s="13">
        <f t="shared" ca="1" si="133"/>
        <v>24618604.399999999</v>
      </c>
      <c r="J439" s="63"/>
      <c r="K439" s="8">
        <v>505336</v>
      </c>
      <c r="L439" s="8" t="s">
        <v>1830</v>
      </c>
      <c r="M439" s="12">
        <v>604249</v>
      </c>
      <c r="N439" s="10">
        <v>5.32</v>
      </c>
      <c r="O439" s="10">
        <f ca="1">IFERROR(__xludf.DUMMYFUNCTION("GOOGLEFINANCE(""BOM:"" &amp; K439,""price"")"),7.58)</f>
        <v>7.58</v>
      </c>
      <c r="P439" s="8">
        <f t="shared" ca="1" si="108"/>
        <v>42.481203007518793</v>
      </c>
      <c r="Q439" s="12">
        <f t="shared" si="109"/>
        <v>3214604.68</v>
      </c>
      <c r="R439" s="13">
        <f t="shared" ca="1" si="110"/>
        <v>4580207.42</v>
      </c>
      <c r="S439" s="63"/>
      <c r="T439" s="8">
        <v>539300</v>
      </c>
      <c r="U439" s="8" t="s">
        <v>1831</v>
      </c>
      <c r="V439" s="12">
        <v>4711900</v>
      </c>
      <c r="W439" s="8">
        <v>147.75</v>
      </c>
      <c r="X439" s="11">
        <f ca="1">IFERROR(__xludf.DUMMYFUNCTION("GOOGLEFINANCE(""BOM:"" &amp; T439,""price"")"),134.35)</f>
        <v>134.35</v>
      </c>
      <c r="Y439" s="8">
        <f t="shared" ca="1" si="134"/>
        <v>-9.0693739424703939</v>
      </c>
      <c r="Z439" s="12">
        <f t="shared" si="94"/>
        <v>696183225</v>
      </c>
      <c r="AA439" s="13">
        <f t="shared" ca="1" si="95"/>
        <v>633043765</v>
      </c>
      <c r="AB439" s="63"/>
      <c r="AC439" s="8">
        <v>542727</v>
      </c>
      <c r="AD439" s="8" t="s">
        <v>1832</v>
      </c>
      <c r="AE439" s="12">
        <v>3308033</v>
      </c>
      <c r="AF439" s="8">
        <v>119</v>
      </c>
      <c r="AG439" s="8">
        <f ca="1">IFERROR(__xludf.DUMMYFUNCTION("GOOGLEFINANCE(""BOM:"" &amp; AC439,""price"")"),131.5)</f>
        <v>131.5</v>
      </c>
      <c r="AH439" s="8">
        <f t="shared" ca="1" si="138"/>
        <v>10.504201680672269</v>
      </c>
      <c r="AI439" s="12">
        <f t="shared" si="139"/>
        <v>393655927</v>
      </c>
      <c r="AJ439" s="13">
        <f t="shared" ca="1" si="140"/>
        <v>435006339.5</v>
      </c>
    </row>
    <row r="440" spans="1:36" x14ac:dyDescent="0.25">
      <c r="A440" s="63"/>
      <c r="B440" s="8">
        <v>539195</v>
      </c>
      <c r="C440" s="8" t="s">
        <v>1833</v>
      </c>
      <c r="D440" s="12">
        <v>5524414</v>
      </c>
      <c r="E440" s="8">
        <v>310</v>
      </c>
      <c r="F440" s="8">
        <f ca="1">IFERROR(__xludf.DUMMYFUNCTION("GOOGLEFINANCE(""BOM:"" &amp; B440,""price"")"),280.1)</f>
        <v>280.10000000000002</v>
      </c>
      <c r="G440" s="8">
        <f t="shared" ca="1" si="131"/>
        <v>-9.645161290322573</v>
      </c>
      <c r="H440" s="12">
        <f t="shared" si="132"/>
        <v>1712568340</v>
      </c>
      <c r="I440" s="13">
        <f t="shared" ca="1" si="133"/>
        <v>1547388361.4000001</v>
      </c>
      <c r="J440" s="63"/>
      <c r="K440" s="8">
        <v>542801</v>
      </c>
      <c r="L440" s="8" t="s">
        <v>1834</v>
      </c>
      <c r="M440" s="12">
        <v>2694000</v>
      </c>
      <c r="N440" s="10">
        <v>60.5</v>
      </c>
      <c r="O440" s="10">
        <f ca="1">IFERROR(__xludf.DUMMYFUNCTION("GOOGLEFINANCE(""BOM:"" &amp; K440,""price"")"),71.9)</f>
        <v>71.900000000000006</v>
      </c>
      <c r="P440" s="8">
        <f t="shared" ca="1" si="108"/>
        <v>18.842975206611577</v>
      </c>
      <c r="Q440" s="12">
        <f t="shared" si="109"/>
        <v>162987000</v>
      </c>
      <c r="R440" s="13">
        <f t="shared" ca="1" si="110"/>
        <v>193698600.00000003</v>
      </c>
      <c r="S440" s="63"/>
      <c r="T440" s="8">
        <v>521070</v>
      </c>
      <c r="U440" s="8" t="s">
        <v>1835</v>
      </c>
      <c r="V440" s="12">
        <v>4963055911</v>
      </c>
      <c r="W440" s="8">
        <v>28.67</v>
      </c>
      <c r="X440" s="11">
        <f ca="1">IFERROR(__xludf.DUMMYFUNCTION("GOOGLEFINANCE(""BOM:"" &amp; T440,""price"")"),25.75)</f>
        <v>25.75</v>
      </c>
      <c r="Y440" s="8">
        <f t="shared" ca="1" si="134"/>
        <v>-10.184862225322643</v>
      </c>
      <c r="Z440" s="12">
        <f t="shared" si="94"/>
        <v>142290812968.37</v>
      </c>
      <c r="AA440" s="13">
        <f t="shared" ca="1" si="95"/>
        <v>127798689708.25</v>
      </c>
      <c r="AB440" s="63"/>
      <c r="AC440" s="8">
        <v>541703</v>
      </c>
      <c r="AD440" s="8" t="s">
        <v>1836</v>
      </c>
      <c r="AE440" s="12">
        <v>3007624</v>
      </c>
      <c r="AF440" s="8">
        <v>24.85</v>
      </c>
      <c r="AG440" s="8">
        <f ca="1">IFERROR(__xludf.DUMMYFUNCTION("GOOGLEFINANCE(""BOM:"" &amp; AC440,""price"")"),23.8)</f>
        <v>23.8</v>
      </c>
      <c r="AH440" s="8">
        <f t="shared" ca="1" si="138"/>
        <v>-4.2253521126760587</v>
      </c>
      <c r="AI440" s="12">
        <f t="shared" si="139"/>
        <v>74739456.400000006</v>
      </c>
      <c r="AJ440" s="13">
        <f t="shared" ca="1" si="140"/>
        <v>71581451.200000003</v>
      </c>
    </row>
    <row r="441" spans="1:36" x14ac:dyDescent="0.25">
      <c r="A441" s="63"/>
      <c r="B441" s="8">
        <v>506605</v>
      </c>
      <c r="C441" s="8" t="s">
        <v>1837</v>
      </c>
      <c r="D441" s="12">
        <v>356248</v>
      </c>
      <c r="E441" s="8">
        <v>2740</v>
      </c>
      <c r="F441" s="8">
        <f ca="1">IFERROR(__xludf.DUMMYFUNCTION("GOOGLEFINANCE(""BOM:"" &amp; B441,""price"")"),2449)</f>
        <v>2449</v>
      </c>
      <c r="G441" s="8">
        <f t="shared" ca="1" si="131"/>
        <v>-10.62043795620438</v>
      </c>
      <c r="H441" s="12">
        <f t="shared" si="132"/>
        <v>976119520</v>
      </c>
      <c r="I441" s="13">
        <f t="shared" ca="1" si="133"/>
        <v>872451352</v>
      </c>
      <c r="J441" s="63"/>
      <c r="K441" s="8">
        <v>526043</v>
      </c>
      <c r="L441" s="8" t="s">
        <v>1838</v>
      </c>
      <c r="M441" s="12">
        <v>4646751</v>
      </c>
      <c r="N441" s="10">
        <v>55.5</v>
      </c>
      <c r="O441" s="10">
        <f ca="1">IFERROR(__xludf.DUMMYFUNCTION("GOOGLEFINANCE(""BOM:"" &amp; K441,""price"")"),44.98)</f>
        <v>44.98</v>
      </c>
      <c r="P441" s="8">
        <f t="shared" ca="1" si="108"/>
        <v>-18.95495495495496</v>
      </c>
      <c r="Q441" s="12">
        <f t="shared" si="109"/>
        <v>257894680.5</v>
      </c>
      <c r="R441" s="13">
        <f t="shared" ca="1" si="110"/>
        <v>209010859.97999999</v>
      </c>
      <c r="S441" s="63"/>
      <c r="T441" s="8">
        <v>530715</v>
      </c>
      <c r="U441" s="8" t="s">
        <v>1839</v>
      </c>
      <c r="V441" s="12">
        <v>39042946</v>
      </c>
      <c r="W441" s="8">
        <v>2.15</v>
      </c>
      <c r="X441" s="11">
        <f ca="1">IFERROR(__xludf.DUMMYFUNCTION("GOOGLEFINANCE(""BOM:"" &amp; T441,""price"")"),1.94)</f>
        <v>1.94</v>
      </c>
      <c r="Y441" s="8">
        <f t="shared" ca="1" si="134"/>
        <v>-9.7674418604651141</v>
      </c>
      <c r="Z441" s="12">
        <f t="shared" si="94"/>
        <v>83942333.899999991</v>
      </c>
      <c r="AA441" s="13">
        <f t="shared" ca="1" si="95"/>
        <v>75743315.239999995</v>
      </c>
      <c r="AB441" s="63"/>
      <c r="AC441" s="8">
        <v>543401</v>
      </c>
      <c r="AD441" s="8" t="s">
        <v>1840</v>
      </c>
      <c r="AE441" s="12">
        <v>54008983</v>
      </c>
      <c r="AF441" s="8">
        <v>1137</v>
      </c>
      <c r="AG441" s="8">
        <f ca="1">IFERROR(__xludf.DUMMYFUNCTION("GOOGLEFINANCE(""BOM:"" &amp; AC441,""price"")"),1227.1)</f>
        <v>1227.0999999999999</v>
      </c>
      <c r="AH441" s="8">
        <f t="shared" ca="1" si="138"/>
        <v>7.9243623570800263</v>
      </c>
      <c r="AI441" s="12">
        <f t="shared" si="139"/>
        <v>61408213671</v>
      </c>
      <c r="AJ441" s="13">
        <f t="shared" ca="1" si="140"/>
        <v>66274423039.299995</v>
      </c>
    </row>
    <row r="442" spans="1:36" x14ac:dyDescent="0.25">
      <c r="A442" s="63"/>
      <c r="B442" s="8">
        <v>530815</v>
      </c>
      <c r="C442" s="8" t="s">
        <v>1841</v>
      </c>
      <c r="D442" s="12">
        <v>2851835</v>
      </c>
      <c r="E442" s="8" t="s">
        <v>44</v>
      </c>
      <c r="F442" s="8" t="s">
        <v>44</v>
      </c>
      <c r="G442" s="8"/>
      <c r="H442" s="12"/>
      <c r="I442" s="13"/>
      <c r="J442" s="63"/>
      <c r="K442" s="8">
        <v>543460</v>
      </c>
      <c r="L442" s="8" t="s">
        <v>1842</v>
      </c>
      <c r="M442" s="12">
        <v>1930000</v>
      </c>
      <c r="N442" s="10">
        <v>76</v>
      </c>
      <c r="O442" s="10">
        <f ca="1">IFERROR(__xludf.DUMMYFUNCTION("GOOGLEFINANCE(""BOM:"" &amp; K442,""price"")"),72)</f>
        <v>72</v>
      </c>
      <c r="P442" s="8">
        <f t="shared" ca="1" si="108"/>
        <v>-5.2631578947368416</v>
      </c>
      <c r="Q442" s="12">
        <f t="shared" si="109"/>
        <v>146680000</v>
      </c>
      <c r="R442" s="13">
        <f t="shared" ca="1" si="110"/>
        <v>138960000</v>
      </c>
      <c r="S442" s="63"/>
      <c r="T442" s="8">
        <v>521097</v>
      </c>
      <c r="U442" s="8" t="s">
        <v>1843</v>
      </c>
      <c r="V442" s="12">
        <v>6497334</v>
      </c>
      <c r="W442" s="8">
        <v>174.3</v>
      </c>
      <c r="X442" s="11">
        <f ca="1">IFERROR(__xludf.DUMMYFUNCTION("GOOGLEFINANCE(""BOM:"" &amp; T442,""price"")"),170.75)</f>
        <v>170.75</v>
      </c>
      <c r="Y442" s="8">
        <f t="shared" ca="1" si="134"/>
        <v>-2.0367183017785493</v>
      </c>
      <c r="Z442" s="12">
        <f t="shared" si="94"/>
        <v>1132485316.2</v>
      </c>
      <c r="AA442" s="13">
        <f t="shared" ca="1" si="95"/>
        <v>1109419780.5</v>
      </c>
      <c r="AB442" s="63"/>
      <c r="AC442" s="8">
        <v>543463</v>
      </c>
      <c r="AD442" s="8" t="s">
        <v>1844</v>
      </c>
      <c r="AE442" s="12">
        <v>242694773</v>
      </c>
      <c r="AF442" s="8">
        <v>1025.95</v>
      </c>
      <c r="AG442" s="8">
        <f ca="1">IFERROR(__xludf.DUMMYFUNCTION("GOOGLEFINANCE(""BOM:"" &amp; AC442,""price"")"),929.9)</f>
        <v>929.9</v>
      </c>
      <c r="AH442" s="8">
        <f t="shared" ca="1" si="138"/>
        <v>-9.3620546810273471</v>
      </c>
      <c r="AI442" s="12">
        <f t="shared" si="139"/>
        <v>248992702359.35001</v>
      </c>
      <c r="AJ442" s="13">
        <f t="shared" ca="1" si="140"/>
        <v>225681869412.69998</v>
      </c>
    </row>
    <row r="443" spans="1:36" x14ac:dyDescent="0.25">
      <c r="A443" s="63"/>
      <c r="B443" s="8">
        <v>519097</v>
      </c>
      <c r="C443" s="8" t="s">
        <v>1845</v>
      </c>
      <c r="D443" s="12">
        <v>6113286</v>
      </c>
      <c r="E443" s="8">
        <v>28.79</v>
      </c>
      <c r="F443" s="8">
        <f ca="1">IFERROR(__xludf.DUMMYFUNCTION("GOOGLEFINANCE(""BOM:"" &amp; B443,""price"")"),24.99)</f>
        <v>24.99</v>
      </c>
      <c r="G443" s="8">
        <f t="shared" ref="G443:G507" ca="1" si="141">((F443-E443)/E443)*100</f>
        <v>-13.199027440083366</v>
      </c>
      <c r="H443" s="12">
        <f t="shared" ref="H443:H507" si="142">D443*E443</f>
        <v>176001503.94</v>
      </c>
      <c r="I443" s="13">
        <f t="shared" ref="I443:I507" ca="1" si="143">D443*F443</f>
        <v>152771017.13999999</v>
      </c>
      <c r="J443" s="63"/>
      <c r="K443" s="8">
        <v>522257</v>
      </c>
      <c r="L443" s="8" t="s">
        <v>1846</v>
      </c>
      <c r="M443" s="12">
        <v>59147580</v>
      </c>
      <c r="N443" s="10">
        <v>198.2</v>
      </c>
      <c r="O443" s="10">
        <f ca="1">IFERROR(__xludf.DUMMYFUNCTION("GOOGLEFINANCE(""BOM:"" &amp; K443,""price"")"),194.9)</f>
        <v>194.9</v>
      </c>
      <c r="P443" s="8">
        <f t="shared" ca="1" si="108"/>
        <v>-1.664984863773957</v>
      </c>
      <c r="Q443" s="12">
        <f t="shared" si="109"/>
        <v>11723050356</v>
      </c>
      <c r="R443" s="13">
        <f t="shared" ca="1" si="110"/>
        <v>11527863342</v>
      </c>
      <c r="S443" s="63"/>
      <c r="T443" s="8">
        <v>531978</v>
      </c>
      <c r="U443" s="8" t="s">
        <v>1847</v>
      </c>
      <c r="V443" s="12">
        <v>5693631</v>
      </c>
      <c r="W443" s="8">
        <v>1659.4</v>
      </c>
      <c r="X443" s="11">
        <f ca="1">IFERROR(__xludf.DUMMYFUNCTION("GOOGLEFINANCE(""BOM:"" &amp; T443,""price"")"),1410)</f>
        <v>1410</v>
      </c>
      <c r="Y443" s="8">
        <f t="shared" ca="1" si="134"/>
        <v>-15.029528745329642</v>
      </c>
      <c r="Z443" s="12">
        <f t="shared" si="94"/>
        <v>9448011281.3999996</v>
      </c>
      <c r="AA443" s="13">
        <f t="shared" ca="1" si="95"/>
        <v>8028019710</v>
      </c>
      <c r="AB443" s="63"/>
      <c r="AC443" s="8">
        <v>540901</v>
      </c>
      <c r="AD443" s="8" t="s">
        <v>1848</v>
      </c>
      <c r="AE443" s="12">
        <v>75282358</v>
      </c>
      <c r="AF443" s="8">
        <v>21.77</v>
      </c>
      <c r="AG443" s="8">
        <f ca="1">IFERROR(__xludf.DUMMYFUNCTION("GOOGLEFINANCE(""BOM:"" &amp; AC443,""price"")"),19.05)</f>
        <v>19.05</v>
      </c>
      <c r="AH443" s="8">
        <f t="shared" ca="1" si="138"/>
        <v>-12.494258153422136</v>
      </c>
      <c r="AI443" s="12">
        <f t="shared" si="139"/>
        <v>1638896933.6600001</v>
      </c>
      <c r="AJ443" s="13">
        <f t="shared" ca="1" si="140"/>
        <v>1434128919.9000001</v>
      </c>
    </row>
    <row r="444" spans="1:36" x14ac:dyDescent="0.25">
      <c r="A444" s="63"/>
      <c r="B444" s="8">
        <v>506642</v>
      </c>
      <c r="C444" s="8" t="s">
        <v>1849</v>
      </c>
      <c r="D444" s="12">
        <v>243686603</v>
      </c>
      <c r="E444" s="8">
        <v>75.150000000000006</v>
      </c>
      <c r="F444" s="8">
        <f ca="1">IFERROR(__xludf.DUMMYFUNCTION("GOOGLEFINANCE(""BOM:"" &amp; B444,""price"")"),62.49)</f>
        <v>62.49</v>
      </c>
      <c r="G444" s="8">
        <f t="shared" ca="1" si="141"/>
        <v>-16.846307385229544</v>
      </c>
      <c r="H444" s="12">
        <f t="shared" si="142"/>
        <v>18313048215.450001</v>
      </c>
      <c r="I444" s="13">
        <f t="shared" ca="1" si="143"/>
        <v>15227975821.470001</v>
      </c>
      <c r="J444" s="63"/>
      <c r="K444" s="8">
        <v>500360</v>
      </c>
      <c r="L444" s="8" t="s">
        <v>1850</v>
      </c>
      <c r="M444" s="12">
        <v>5012739</v>
      </c>
      <c r="N444" s="10">
        <v>120.35</v>
      </c>
      <c r="O444" s="10">
        <f ca="1">IFERROR(__xludf.DUMMYFUNCTION("GOOGLEFINANCE(""BOM:"" &amp; K444,""price"")"),107)</f>
        <v>107</v>
      </c>
      <c r="P444" s="8">
        <f t="shared" ca="1" si="108"/>
        <v>-11.092646447860403</v>
      </c>
      <c r="Q444" s="12">
        <f t="shared" si="109"/>
        <v>603283138.64999998</v>
      </c>
      <c r="R444" s="13">
        <f t="shared" ca="1" si="110"/>
        <v>536363073</v>
      </c>
      <c r="S444" s="63"/>
      <c r="T444" s="8">
        <v>531300</v>
      </c>
      <c r="U444" s="8" t="s">
        <v>1851</v>
      </c>
      <c r="V444" s="12">
        <v>18313973</v>
      </c>
      <c r="W444" s="8">
        <v>4.3</v>
      </c>
      <c r="X444" s="11">
        <f ca="1">IFERROR(__xludf.DUMMYFUNCTION("GOOGLEFINANCE(""BOM:"" &amp; T444,""price"")"),3.8)</f>
        <v>3.8</v>
      </c>
      <c r="Y444" s="8">
        <f t="shared" ca="1" si="134"/>
        <v>-11.627906976744185</v>
      </c>
      <c r="Z444" s="12">
        <f t="shared" si="94"/>
        <v>78750083.899999991</v>
      </c>
      <c r="AA444" s="13">
        <f t="shared" ca="1" si="95"/>
        <v>69593097.399999991</v>
      </c>
      <c r="AB444" s="63"/>
      <c r="AC444" s="8">
        <v>540027</v>
      </c>
      <c r="AD444" s="8" t="s">
        <v>1852</v>
      </c>
      <c r="AE444" s="12">
        <v>10706277</v>
      </c>
      <c r="AF444" s="8">
        <v>100</v>
      </c>
      <c r="AG444" s="8">
        <v>100</v>
      </c>
      <c r="AH444" s="8">
        <f t="shared" si="138"/>
        <v>0</v>
      </c>
      <c r="AI444" s="12">
        <f t="shared" si="139"/>
        <v>1070627700</v>
      </c>
      <c r="AJ444" s="13">
        <f t="shared" si="140"/>
        <v>1070627700</v>
      </c>
    </row>
    <row r="445" spans="1:36" x14ac:dyDescent="0.25">
      <c r="A445" s="63"/>
      <c r="B445" s="8">
        <v>526532</v>
      </c>
      <c r="C445" s="8" t="s">
        <v>1853</v>
      </c>
      <c r="D445" s="12">
        <v>18843848</v>
      </c>
      <c r="E445" s="8">
        <v>8.5</v>
      </c>
      <c r="F445" s="8">
        <f ca="1">IFERROR(__xludf.DUMMYFUNCTION("GOOGLEFINANCE(""BOM:"" &amp; B445,""price"")"),7)</f>
        <v>7</v>
      </c>
      <c r="G445" s="8">
        <f t="shared" ca="1" si="141"/>
        <v>-17.647058823529413</v>
      </c>
      <c r="H445" s="12">
        <f t="shared" si="142"/>
        <v>160172708</v>
      </c>
      <c r="I445" s="13">
        <f t="shared" ca="1" si="143"/>
        <v>131906936</v>
      </c>
      <c r="J445" s="63"/>
      <c r="K445" s="8">
        <v>526861</v>
      </c>
      <c r="L445" s="8" t="s">
        <v>1854</v>
      </c>
      <c r="M445" s="12">
        <v>8964745</v>
      </c>
      <c r="N445" s="10">
        <v>85.38</v>
      </c>
      <c r="O445" s="10">
        <f ca="1">IFERROR(__xludf.DUMMYFUNCTION("GOOGLEFINANCE(""BOM:"" &amp; K445,""price"")"),90.85)</f>
        <v>90.85</v>
      </c>
      <c r="P445" s="8">
        <f t="shared" ca="1" si="108"/>
        <v>6.4066526118528921</v>
      </c>
      <c r="Q445" s="12">
        <f t="shared" si="109"/>
        <v>765409928.0999999</v>
      </c>
      <c r="R445" s="13">
        <f t="shared" ca="1" si="110"/>
        <v>814447083.25</v>
      </c>
      <c r="S445" s="63"/>
      <c r="T445" s="8">
        <v>531991</v>
      </c>
      <c r="U445" s="8" t="s">
        <v>1855</v>
      </c>
      <c r="V445" s="12">
        <v>120069140</v>
      </c>
      <c r="W445" s="8">
        <v>1.0900000000000001</v>
      </c>
      <c r="X445" s="11">
        <f ca="1">IFERROR(__xludf.DUMMYFUNCTION("GOOGLEFINANCE(""BOM:"" &amp; T445,""price"")"),0.94)</f>
        <v>0.94</v>
      </c>
      <c r="Y445" s="8">
        <f t="shared" ca="1" si="134"/>
        <v>-13.761467889908269</v>
      </c>
      <c r="Z445" s="12">
        <f t="shared" si="94"/>
        <v>130875362.60000001</v>
      </c>
      <c r="AA445" s="13">
        <f t="shared" ca="1" si="95"/>
        <v>112864991.59999999</v>
      </c>
      <c r="AB445" s="63"/>
      <c r="AC445" s="8">
        <v>540425</v>
      </c>
      <c r="AD445" s="8" t="s">
        <v>1856</v>
      </c>
      <c r="AE445" s="12">
        <v>22393701</v>
      </c>
      <c r="AF445" s="8">
        <v>744</v>
      </c>
      <c r="AG445" s="8">
        <f ca="1">IFERROR(__xludf.DUMMYFUNCTION("GOOGLEFINANCE(""BOM:"" &amp; AC445,""price"")"),641.15)</f>
        <v>641.15</v>
      </c>
      <c r="AH445" s="8">
        <f t="shared" ca="1" si="138"/>
        <v>-13.8239247311828</v>
      </c>
      <c r="AI445" s="12">
        <f t="shared" si="139"/>
        <v>16660913544</v>
      </c>
      <c r="AJ445" s="13">
        <f t="shared" ca="1" si="140"/>
        <v>14357721396.15</v>
      </c>
    </row>
    <row r="446" spans="1:36" x14ac:dyDescent="0.25">
      <c r="A446" s="63"/>
      <c r="B446" s="8">
        <v>524336</v>
      </c>
      <c r="C446" s="8" t="s">
        <v>1857</v>
      </c>
      <c r="D446" s="12">
        <v>4164585</v>
      </c>
      <c r="E446" s="8">
        <v>89.97</v>
      </c>
      <c r="F446" s="8">
        <f ca="1">IFERROR(__xludf.DUMMYFUNCTION("GOOGLEFINANCE(""BOM:"" &amp; B446,""price"")"),79.02)</f>
        <v>79.02</v>
      </c>
      <c r="G446" s="8">
        <f t="shared" ca="1" si="141"/>
        <v>-12.170723574524844</v>
      </c>
      <c r="H446" s="12">
        <f t="shared" si="142"/>
        <v>374687712.44999999</v>
      </c>
      <c r="I446" s="13">
        <f t="shared" ca="1" si="143"/>
        <v>329085506.69999999</v>
      </c>
      <c r="J446" s="63"/>
      <c r="K446" s="8">
        <v>530267</v>
      </c>
      <c r="L446" s="8" t="s">
        <v>1858</v>
      </c>
      <c r="M446" s="12">
        <v>2997100</v>
      </c>
      <c r="N446" s="10">
        <v>67.2</v>
      </c>
      <c r="O446" s="10">
        <f ca="1">IFERROR(__xludf.DUMMYFUNCTION("GOOGLEFINANCE(""BOM:"" &amp; K446,""price"")"),74.6)</f>
        <v>74.599999999999994</v>
      </c>
      <c r="P446" s="8">
        <f t="shared" ca="1" si="108"/>
        <v>11.011904761904749</v>
      </c>
      <c r="Q446" s="12">
        <f t="shared" si="109"/>
        <v>201405120</v>
      </c>
      <c r="R446" s="13">
        <f t="shared" ca="1" si="110"/>
        <v>223583659.99999997</v>
      </c>
      <c r="S446" s="63"/>
      <c r="T446" s="8">
        <v>541006</v>
      </c>
      <c r="U446" s="8" t="s">
        <v>1859</v>
      </c>
      <c r="V446" s="12">
        <v>25000000</v>
      </c>
      <c r="W446" s="8">
        <v>25.5</v>
      </c>
      <c r="X446" s="11">
        <f ca="1">IFERROR(__xludf.DUMMYFUNCTION("GOOGLEFINANCE(""BOM:"" &amp; T446,""price"")"),23.35)</f>
        <v>23.35</v>
      </c>
      <c r="Y446" s="8">
        <f t="shared" ca="1" si="134"/>
        <v>-8.4313725490196028</v>
      </c>
      <c r="Z446" s="12">
        <f t="shared" si="94"/>
        <v>637500000</v>
      </c>
      <c r="AA446" s="13">
        <f t="shared" ca="1" si="95"/>
        <v>583750000</v>
      </c>
      <c r="AB446" s="63"/>
      <c r="AC446" s="8">
        <v>500251</v>
      </c>
      <c r="AD446" s="8" t="s">
        <v>1860</v>
      </c>
      <c r="AE446" s="12">
        <v>352389977</v>
      </c>
      <c r="AF446" s="8">
        <v>3896</v>
      </c>
      <c r="AG446" s="8">
        <f ca="1">IFERROR(__xludf.DUMMYFUNCTION("GOOGLEFINANCE(""BOM:"" &amp; AC446,""price"")"),3961.8)</f>
        <v>3961.8</v>
      </c>
      <c r="AH446" s="8">
        <f t="shared" ca="1" si="138"/>
        <v>1.6889117043121196</v>
      </c>
      <c r="AI446" s="12">
        <f t="shared" si="139"/>
        <v>1372911350392</v>
      </c>
      <c r="AJ446" s="13">
        <f t="shared" ca="1" si="140"/>
        <v>1396098610878.6001</v>
      </c>
    </row>
    <row r="447" spans="1:36" x14ac:dyDescent="0.25">
      <c r="A447" s="63"/>
      <c r="B447" s="8">
        <v>526335</v>
      </c>
      <c r="C447" s="8" t="s">
        <v>1861</v>
      </c>
      <c r="D447" s="12">
        <v>69328285</v>
      </c>
      <c r="E447" s="8">
        <v>10.1</v>
      </c>
      <c r="F447" s="8">
        <f ca="1">IFERROR(__xludf.DUMMYFUNCTION("GOOGLEFINANCE(""BOM:"" &amp; B447,""price"")"),8.75)</f>
        <v>8.75</v>
      </c>
      <c r="G447" s="8">
        <f t="shared" ca="1" si="141"/>
        <v>-13.366336633663364</v>
      </c>
      <c r="H447" s="12">
        <f t="shared" si="142"/>
        <v>700215678.5</v>
      </c>
      <c r="I447" s="13">
        <f t="shared" ca="1" si="143"/>
        <v>606622493.75</v>
      </c>
      <c r="J447" s="63"/>
      <c r="K447" s="8">
        <v>512297</v>
      </c>
      <c r="L447" s="8" t="s">
        <v>1862</v>
      </c>
      <c r="M447" s="12">
        <v>1495099</v>
      </c>
      <c r="N447" s="10">
        <v>47.9</v>
      </c>
      <c r="O447" s="10">
        <f ca="1">IFERROR(__xludf.DUMMYFUNCTION("GOOGLEFINANCE(""BOM:"" &amp; K447,""price"")"),39.99)</f>
        <v>39.99</v>
      </c>
      <c r="P447" s="8">
        <f t="shared" ca="1" si="108"/>
        <v>-16.513569937369514</v>
      </c>
      <c r="Q447" s="12">
        <f t="shared" si="109"/>
        <v>71615242.099999994</v>
      </c>
      <c r="R447" s="13">
        <f t="shared" ca="1" si="110"/>
        <v>59789009.010000005</v>
      </c>
      <c r="S447" s="63"/>
      <c r="T447" s="8">
        <v>531223</v>
      </c>
      <c r="U447" s="8" t="s">
        <v>1863</v>
      </c>
      <c r="V447" s="12">
        <v>14711375</v>
      </c>
      <c r="W447" s="8">
        <v>42.4</v>
      </c>
      <c r="X447" s="11">
        <f ca="1">IFERROR(__xludf.DUMMYFUNCTION("GOOGLEFINANCE(""BOM:"" &amp; T447,""price"")"),40.5)</f>
        <v>40.5</v>
      </c>
      <c r="Y447" s="8">
        <f t="shared" ca="1" si="134"/>
        <v>-4.4811320754716952</v>
      </c>
      <c r="Z447" s="12">
        <f t="shared" si="94"/>
        <v>623762300</v>
      </c>
      <c r="AA447" s="13">
        <f t="shared" ca="1" si="95"/>
        <v>595810687.5</v>
      </c>
      <c r="AB447" s="64"/>
      <c r="AC447" s="14">
        <v>532867</v>
      </c>
      <c r="AD447" s="14" t="s">
        <v>1864</v>
      </c>
      <c r="AE447" s="15">
        <v>34319251</v>
      </c>
      <c r="AF447" s="14">
        <v>381</v>
      </c>
      <c r="AG447" s="14">
        <f ca="1">IFERROR(__xludf.DUMMYFUNCTION("GOOGLEFINANCE(""BOM:"" &amp; AC447,""price"")"),420.1)</f>
        <v>420.1</v>
      </c>
      <c r="AH447" s="14">
        <f t="shared" ca="1" si="138"/>
        <v>10.262467191601056</v>
      </c>
      <c r="AI447" s="15">
        <f t="shared" si="139"/>
        <v>13075634631</v>
      </c>
      <c r="AJ447" s="16">
        <f t="shared" ca="1" si="140"/>
        <v>14417517345.1</v>
      </c>
    </row>
    <row r="448" spans="1:36" x14ac:dyDescent="0.25">
      <c r="A448" s="63"/>
      <c r="B448" s="8">
        <v>526901</v>
      </c>
      <c r="C448" s="8" t="s">
        <v>1865</v>
      </c>
      <c r="D448" s="12">
        <v>5638900</v>
      </c>
      <c r="E448" s="8">
        <v>85</v>
      </c>
      <c r="F448" s="8">
        <f ca="1">IFERROR(__xludf.DUMMYFUNCTION("GOOGLEFINANCE(""BOM:"" &amp; B448,""price"")"),73.7)</f>
        <v>73.7</v>
      </c>
      <c r="G448" s="8">
        <f t="shared" ca="1" si="141"/>
        <v>-13.294117647058821</v>
      </c>
      <c r="H448" s="12">
        <f t="shared" si="142"/>
        <v>479306500</v>
      </c>
      <c r="I448" s="13">
        <f t="shared" ca="1" si="143"/>
        <v>415586930</v>
      </c>
      <c r="J448" s="63"/>
      <c r="K448" s="8">
        <v>522237</v>
      </c>
      <c r="L448" s="8" t="s">
        <v>1866</v>
      </c>
      <c r="M448" s="12">
        <v>3932100</v>
      </c>
      <c r="N448" s="10">
        <v>32</v>
      </c>
      <c r="O448" s="10">
        <f ca="1">IFERROR(__xludf.DUMMYFUNCTION("GOOGLEFINANCE(""BOM:"" &amp; K448,""price"")"),30.4)</f>
        <v>30.4</v>
      </c>
      <c r="P448" s="8">
        <f t="shared" ca="1" si="108"/>
        <v>-5.0000000000000044</v>
      </c>
      <c r="Q448" s="12">
        <f t="shared" si="109"/>
        <v>125827200</v>
      </c>
      <c r="R448" s="13">
        <f t="shared" ca="1" si="110"/>
        <v>119535840</v>
      </c>
      <c r="S448" s="63"/>
      <c r="T448" s="8">
        <v>523537</v>
      </c>
      <c r="U448" s="8" t="s">
        <v>1867</v>
      </c>
      <c r="V448" s="12">
        <v>20664292</v>
      </c>
      <c r="W448" s="8">
        <v>66.3</v>
      </c>
      <c r="X448" s="11">
        <f ca="1">IFERROR(__xludf.DUMMYFUNCTION("GOOGLEFINANCE(""BOM:"" &amp; T448,""price"")"),53)</f>
        <v>53</v>
      </c>
      <c r="Y448" s="8">
        <f t="shared" ca="1" si="134"/>
        <v>-20.060331825037704</v>
      </c>
      <c r="Z448" s="12">
        <f t="shared" si="94"/>
        <v>1370042559.5999999</v>
      </c>
      <c r="AA448" s="13">
        <f t="shared" ca="1" si="95"/>
        <v>1095207476</v>
      </c>
      <c r="AB448" s="65" t="s">
        <v>1868</v>
      </c>
      <c r="AC448" s="6">
        <v>524208</v>
      </c>
      <c r="AD448" s="6" t="s">
        <v>1869</v>
      </c>
      <c r="AE448" s="7">
        <v>360483172</v>
      </c>
      <c r="AF448" s="8">
        <v>674.1</v>
      </c>
      <c r="AG448" s="8">
        <f ca="1">IFERROR(__xludf.DUMMYFUNCTION("GOOGLEFINANCE(""BOM:"" &amp; AC448,""price"")"),664.9)</f>
        <v>664.9</v>
      </c>
      <c r="AH448" s="8">
        <f t="shared" ca="1" si="138"/>
        <v>-1.3647826731938948</v>
      </c>
      <c r="AI448" s="7">
        <f t="shared" si="139"/>
        <v>243001706245.20001</v>
      </c>
      <c r="AJ448" s="9">
        <f t="shared" ca="1" si="140"/>
        <v>239685261062.79999</v>
      </c>
    </row>
    <row r="449" spans="1:36" x14ac:dyDescent="0.25">
      <c r="A449" s="63"/>
      <c r="B449" s="8">
        <v>514248</v>
      </c>
      <c r="C449" s="8" t="s">
        <v>1870</v>
      </c>
      <c r="D449" s="12">
        <v>2583499</v>
      </c>
      <c r="E449" s="8">
        <v>81.2</v>
      </c>
      <c r="F449" s="8">
        <f ca="1">IFERROR(__xludf.DUMMYFUNCTION("GOOGLEFINANCE(""BOM:"" &amp; B449,""price"")"),70.17)</f>
        <v>70.17</v>
      </c>
      <c r="G449" s="8">
        <f t="shared" ca="1" si="141"/>
        <v>-13.583743842364532</v>
      </c>
      <c r="H449" s="12">
        <f t="shared" si="142"/>
        <v>209780118.80000001</v>
      </c>
      <c r="I449" s="13">
        <f t="shared" ca="1" si="143"/>
        <v>181284124.83000001</v>
      </c>
      <c r="J449" s="63"/>
      <c r="K449" s="8">
        <v>522152</v>
      </c>
      <c r="L449" s="8" t="s">
        <v>1871</v>
      </c>
      <c r="M449" s="12">
        <v>4256756</v>
      </c>
      <c r="N449" s="10">
        <v>79.5</v>
      </c>
      <c r="O449" s="10">
        <f ca="1">IFERROR(__xludf.DUMMYFUNCTION("GOOGLEFINANCE(""BOM:"" &amp; K449,""price"")"),63)</f>
        <v>63</v>
      </c>
      <c r="P449" s="8">
        <f t="shared" ca="1" si="108"/>
        <v>-20.754716981132077</v>
      </c>
      <c r="Q449" s="12">
        <f t="shared" si="109"/>
        <v>338412102</v>
      </c>
      <c r="R449" s="13">
        <f t="shared" ca="1" si="110"/>
        <v>268175628</v>
      </c>
      <c r="S449" s="63"/>
      <c r="T449" s="8">
        <v>526851</v>
      </c>
      <c r="U449" s="8" t="s">
        <v>1872</v>
      </c>
      <c r="V449" s="12">
        <v>3670600</v>
      </c>
      <c r="W449" s="8">
        <v>149.19999999999999</v>
      </c>
      <c r="X449" s="11">
        <f ca="1">IFERROR(__xludf.DUMMYFUNCTION("GOOGLEFINANCE(""BOM:"" &amp; T449,""price"")"),141.45)</f>
        <v>141.44999999999999</v>
      </c>
      <c r="Y449" s="8">
        <f t="shared" ca="1" si="134"/>
        <v>-5.1943699731903497</v>
      </c>
      <c r="Z449" s="12">
        <f t="shared" si="94"/>
        <v>547653520</v>
      </c>
      <c r="AA449" s="13">
        <f t="shared" ca="1" si="95"/>
        <v>519206369.99999994</v>
      </c>
      <c r="AB449" s="63"/>
      <c r="AC449" s="8">
        <v>543210</v>
      </c>
      <c r="AD449" s="8" t="s">
        <v>1873</v>
      </c>
      <c r="AE449" s="12">
        <v>7519383</v>
      </c>
      <c r="AF449" s="8">
        <v>668.45</v>
      </c>
      <c r="AG449" s="8">
        <f ca="1">IFERROR(__xludf.DUMMYFUNCTION("GOOGLEFINANCE(""BOM:"" &amp; AC449,""price"")"),560)</f>
        <v>560</v>
      </c>
      <c r="AH449" s="8">
        <f t="shared" ca="1" si="138"/>
        <v>-16.224100531079369</v>
      </c>
      <c r="AI449" s="12">
        <f t="shared" si="139"/>
        <v>5026331566.3500004</v>
      </c>
      <c r="AJ449" s="13">
        <f t="shared" ca="1" si="140"/>
        <v>4210854480</v>
      </c>
    </row>
    <row r="450" spans="1:36" x14ac:dyDescent="0.25">
      <c r="A450" s="63"/>
      <c r="B450" s="8">
        <v>532842</v>
      </c>
      <c r="C450" s="8" t="s">
        <v>1874</v>
      </c>
      <c r="D450" s="12">
        <v>14654030</v>
      </c>
      <c r="E450" s="8">
        <v>530.9</v>
      </c>
      <c r="F450" s="8">
        <f ca="1">IFERROR(__xludf.DUMMYFUNCTION("GOOGLEFINANCE(""BOM:"" &amp; B450,""price"")"),496.2)</f>
        <v>496.2</v>
      </c>
      <c r="G450" s="8">
        <f t="shared" ca="1" si="141"/>
        <v>-6.5360708231305313</v>
      </c>
      <c r="H450" s="12">
        <f t="shared" si="142"/>
        <v>7779824527</v>
      </c>
      <c r="I450" s="13">
        <f t="shared" ca="1" si="143"/>
        <v>7271329686</v>
      </c>
      <c r="J450" s="63"/>
      <c r="K450" s="8">
        <v>504959</v>
      </c>
      <c r="L450" s="8" t="s">
        <v>1875</v>
      </c>
      <c r="M450" s="12">
        <v>2030659</v>
      </c>
      <c r="N450" s="10">
        <v>2632</v>
      </c>
      <c r="O450" s="10">
        <f ca="1">IFERROR(__xludf.DUMMYFUNCTION("GOOGLEFINANCE(""BOM:"" &amp; K450,""price"")"),2420)</f>
        <v>2420</v>
      </c>
      <c r="P450" s="8">
        <f t="shared" ca="1" si="108"/>
        <v>-8.0547112462006076</v>
      </c>
      <c r="Q450" s="12">
        <f t="shared" si="109"/>
        <v>5344694488</v>
      </c>
      <c r="R450" s="13">
        <f t="shared" ca="1" si="110"/>
        <v>4914194780</v>
      </c>
      <c r="S450" s="63"/>
      <c r="T450" s="8">
        <v>514482</v>
      </c>
      <c r="U450" s="8" t="s">
        <v>1876</v>
      </c>
      <c r="V450" s="12">
        <v>16905110</v>
      </c>
      <c r="W450" s="8" t="s">
        <v>44</v>
      </c>
      <c r="X450" s="8" t="s">
        <v>44</v>
      </c>
      <c r="Y450" s="8"/>
      <c r="Z450" s="12"/>
      <c r="AA450" s="13"/>
      <c r="AB450" s="63"/>
      <c r="AC450" s="8">
        <v>543534</v>
      </c>
      <c r="AD450" s="8" t="s">
        <v>1877</v>
      </c>
      <c r="AE450" s="12">
        <v>124482673</v>
      </c>
      <c r="AF450" s="8">
        <v>868.65</v>
      </c>
      <c r="AG450" s="8">
        <f ca="1">IFERROR(__xludf.DUMMYFUNCTION("GOOGLEFINANCE(""BOM:"" &amp; AC450,""price"")"),782.9)</f>
        <v>782.9</v>
      </c>
      <c r="AH450" s="8">
        <f t="shared" ca="1" si="138"/>
        <v>-9.8716399009957989</v>
      </c>
      <c r="AI450" s="12">
        <f t="shared" si="139"/>
        <v>108131873901.45</v>
      </c>
      <c r="AJ450" s="13">
        <f t="shared" ca="1" si="140"/>
        <v>97457484691.699997</v>
      </c>
    </row>
    <row r="451" spans="1:36" x14ac:dyDescent="0.25">
      <c r="A451" s="63"/>
      <c r="B451" s="8">
        <v>526231</v>
      </c>
      <c r="C451" s="8" t="s">
        <v>1878</v>
      </c>
      <c r="D451" s="12">
        <v>4118100</v>
      </c>
      <c r="E451" s="8">
        <v>69.69</v>
      </c>
      <c r="F451" s="8">
        <f ca="1">IFERROR(__xludf.DUMMYFUNCTION("GOOGLEFINANCE(""BOM:"" &amp; B451,""price"")"),57.46)</f>
        <v>57.46</v>
      </c>
      <c r="G451" s="8">
        <f t="shared" ca="1" si="141"/>
        <v>-17.549146218969717</v>
      </c>
      <c r="H451" s="12">
        <f t="shared" si="142"/>
        <v>286990389</v>
      </c>
      <c r="I451" s="13">
        <f t="shared" ca="1" si="143"/>
        <v>236626026</v>
      </c>
      <c r="J451" s="63"/>
      <c r="K451" s="8">
        <v>522294</v>
      </c>
      <c r="L451" s="8" t="s">
        <v>1879</v>
      </c>
      <c r="M451" s="12">
        <v>5067700</v>
      </c>
      <c r="N451" s="10">
        <v>254</v>
      </c>
      <c r="O451" s="10">
        <f ca="1">IFERROR(__xludf.DUMMYFUNCTION("GOOGLEFINANCE(""BOM:"" &amp; K451,""price"")"),213.95)</f>
        <v>213.95</v>
      </c>
      <c r="P451" s="8">
        <f t="shared" ca="1" si="108"/>
        <v>-15.767716535433077</v>
      </c>
      <c r="Q451" s="12">
        <f t="shared" si="109"/>
        <v>1287195800</v>
      </c>
      <c r="R451" s="13">
        <f t="shared" ca="1" si="110"/>
        <v>1084234415</v>
      </c>
      <c r="S451" s="63"/>
      <c r="T451" s="8">
        <v>514286</v>
      </c>
      <c r="U451" s="8" t="s">
        <v>1880</v>
      </c>
      <c r="V451" s="12">
        <v>190364132</v>
      </c>
      <c r="W451" s="8">
        <v>21.13</v>
      </c>
      <c r="X451" s="11">
        <f ca="1">IFERROR(__xludf.DUMMYFUNCTION("GOOGLEFINANCE(""BOM:"" &amp; T451,""price"")"),18.09)</f>
        <v>18.09</v>
      </c>
      <c r="Y451" s="8">
        <f t="shared" ref="Y451:Y479" ca="1" si="144">((X451-W451)/W451)*100</f>
        <v>-14.387127307146233</v>
      </c>
      <c r="Z451" s="12">
        <f t="shared" ref="Z451:Z479" si="145">V451*W451</f>
        <v>4022394109.1599998</v>
      </c>
      <c r="AA451" s="13">
        <f t="shared" ref="AA451:AA479" ca="1" si="146">V451*X451</f>
        <v>3443687147.8800001</v>
      </c>
      <c r="AB451" s="63"/>
      <c r="AC451" s="8">
        <v>533029</v>
      </c>
      <c r="AD451" s="8" t="s">
        <v>1881</v>
      </c>
      <c r="AE451" s="12">
        <v>10181996</v>
      </c>
      <c r="AF451" s="8">
        <v>118.5</v>
      </c>
      <c r="AG451" s="8">
        <f ca="1">IFERROR(__xludf.DUMMYFUNCTION("GOOGLEFINANCE(""BOM:"" &amp; AC451,""price"")"),103.5)</f>
        <v>103.5</v>
      </c>
      <c r="AH451" s="8">
        <f t="shared" ca="1" si="138"/>
        <v>-12.658227848101266</v>
      </c>
      <c r="AI451" s="12">
        <f t="shared" si="139"/>
        <v>1206566526</v>
      </c>
      <c r="AJ451" s="13">
        <f t="shared" ca="1" si="140"/>
        <v>1053836586</v>
      </c>
    </row>
    <row r="452" spans="1:36" x14ac:dyDescent="0.25">
      <c r="A452" s="63"/>
      <c r="B452" s="8">
        <v>506854</v>
      </c>
      <c r="C452" s="8" t="s">
        <v>1882</v>
      </c>
      <c r="D452" s="12">
        <v>9686751</v>
      </c>
      <c r="E452" s="8">
        <v>1870</v>
      </c>
      <c r="F452" s="8">
        <f ca="1">IFERROR(__xludf.DUMMYFUNCTION("GOOGLEFINANCE(""BOM:"" &amp; B452,""price"")"),1967.35)</f>
        <v>1967.35</v>
      </c>
      <c r="G452" s="8">
        <f t="shared" ca="1" si="141"/>
        <v>5.2058823529411713</v>
      </c>
      <c r="H452" s="12">
        <f t="shared" si="142"/>
        <v>18114224370</v>
      </c>
      <c r="I452" s="13">
        <f t="shared" ca="1" si="143"/>
        <v>19057229579.849998</v>
      </c>
      <c r="J452" s="63"/>
      <c r="K452" s="8">
        <v>522171</v>
      </c>
      <c r="L452" s="8" t="s">
        <v>1883</v>
      </c>
      <c r="M452" s="12">
        <v>2481800</v>
      </c>
      <c r="N452" s="10">
        <v>3.53</v>
      </c>
      <c r="O452" s="10">
        <f ca="1">IFERROR(__xludf.DUMMYFUNCTION("GOOGLEFINANCE(""BOM:"" &amp; K452,""price"")"),3.53)</f>
        <v>3.53</v>
      </c>
      <c r="P452" s="8">
        <f t="shared" ca="1" si="108"/>
        <v>0</v>
      </c>
      <c r="Q452" s="12">
        <f t="shared" si="109"/>
        <v>8760754</v>
      </c>
      <c r="R452" s="13">
        <f t="shared" ca="1" si="110"/>
        <v>8760754</v>
      </c>
      <c r="S452" s="63"/>
      <c r="T452" s="8">
        <v>507872</v>
      </c>
      <c r="U452" s="8" t="s">
        <v>1884</v>
      </c>
      <c r="V452" s="12">
        <v>10681347</v>
      </c>
      <c r="W452" s="8">
        <v>51.51</v>
      </c>
      <c r="X452" s="11">
        <f ca="1">IFERROR(__xludf.DUMMYFUNCTION("GOOGLEFINANCE(""BOM:"" &amp; T452,""price"")"),44.32)</f>
        <v>44.32</v>
      </c>
      <c r="Y452" s="8">
        <f t="shared" ca="1" si="144"/>
        <v>-13.958454668996307</v>
      </c>
      <c r="Z452" s="12">
        <f t="shared" si="145"/>
        <v>550196183.97000003</v>
      </c>
      <c r="AA452" s="13">
        <f t="shared" ca="1" si="146"/>
        <v>473397299.04000002</v>
      </c>
      <c r="AB452" s="63"/>
      <c r="AC452" s="8">
        <v>506767</v>
      </c>
      <c r="AD452" s="8" t="s">
        <v>1885</v>
      </c>
      <c r="AE452" s="12">
        <v>50417779</v>
      </c>
      <c r="AF452" s="8">
        <v>2124.3000000000002</v>
      </c>
      <c r="AG452" s="8">
        <f ca="1">IFERROR(__xludf.DUMMYFUNCTION("GOOGLEFINANCE(""BOM:"" &amp; AC452,""price"")"),1813.15)</f>
        <v>1813.15</v>
      </c>
      <c r="AH452" s="8">
        <f t="shared" ca="1" si="138"/>
        <v>-14.647177893894462</v>
      </c>
      <c r="AI452" s="12">
        <f t="shared" si="139"/>
        <v>107102487929.70001</v>
      </c>
      <c r="AJ452" s="13">
        <f t="shared" ca="1" si="140"/>
        <v>91414995993.850006</v>
      </c>
    </row>
    <row r="453" spans="1:36" x14ac:dyDescent="0.25">
      <c r="A453" s="63"/>
      <c r="B453" s="8">
        <v>500770</v>
      </c>
      <c r="C453" s="8" t="s">
        <v>1886</v>
      </c>
      <c r="D453" s="12">
        <v>250554380</v>
      </c>
      <c r="E453" s="8">
        <v>967.75</v>
      </c>
      <c r="F453" s="8">
        <f ca="1">IFERROR(__xludf.DUMMYFUNCTION("GOOGLEFINANCE(""BOM:"" &amp; B453,""price"")"),1080.6)</f>
        <v>1080.5999999999999</v>
      </c>
      <c r="G453" s="8">
        <f t="shared" ca="1" si="141"/>
        <v>11.661069491087565</v>
      </c>
      <c r="H453" s="12">
        <f t="shared" si="142"/>
        <v>242474001245</v>
      </c>
      <c r="I453" s="13">
        <f t="shared" ca="1" si="143"/>
        <v>270749063027.99997</v>
      </c>
      <c r="J453" s="63"/>
      <c r="K453" s="8">
        <v>541228</v>
      </c>
      <c r="L453" s="8" t="s">
        <v>1887</v>
      </c>
      <c r="M453" s="12">
        <v>9824848</v>
      </c>
      <c r="N453" s="10">
        <v>599</v>
      </c>
      <c r="O453" s="10">
        <f ca="1">IFERROR(__xludf.DUMMYFUNCTION("GOOGLEFINANCE(""BOM:"" &amp; K453,""price"")"),409.75)</f>
        <v>409.75</v>
      </c>
      <c r="P453" s="8">
        <f t="shared" ca="1" si="108"/>
        <v>-31.594323873121873</v>
      </c>
      <c r="Q453" s="12">
        <f t="shared" si="109"/>
        <v>5885083952</v>
      </c>
      <c r="R453" s="13">
        <f t="shared" ca="1" si="110"/>
        <v>4025731468</v>
      </c>
      <c r="S453" s="63"/>
      <c r="T453" s="8">
        <v>530899</v>
      </c>
      <c r="U453" s="8" t="s">
        <v>1888</v>
      </c>
      <c r="V453" s="12">
        <v>2076730</v>
      </c>
      <c r="W453" s="8">
        <v>47.25</v>
      </c>
      <c r="X453" s="11">
        <f ca="1">IFERROR(__xludf.DUMMYFUNCTION("GOOGLEFINANCE(""BOM:"" &amp; T453,""price"")"),49.95)</f>
        <v>49.95</v>
      </c>
      <c r="Y453" s="8">
        <f t="shared" ca="1" si="144"/>
        <v>5.7142857142857206</v>
      </c>
      <c r="Z453" s="12">
        <f t="shared" si="145"/>
        <v>98125492.5</v>
      </c>
      <c r="AA453" s="13">
        <f t="shared" ca="1" si="146"/>
        <v>103732663.5</v>
      </c>
      <c r="AB453" s="63"/>
      <c r="AC453" s="8">
        <v>506597</v>
      </c>
      <c r="AD453" s="8" t="s">
        <v>1889</v>
      </c>
      <c r="AE453" s="12">
        <v>8215812</v>
      </c>
      <c r="AF453" s="8">
        <v>359.5</v>
      </c>
      <c r="AG453" s="8">
        <f ca="1">IFERROR(__xludf.DUMMYFUNCTION("GOOGLEFINANCE(""BOM:"" &amp; AC453,""price"")"),351)</f>
        <v>351</v>
      </c>
      <c r="AH453" s="8">
        <f t="shared" ca="1" si="138"/>
        <v>-2.364394993045897</v>
      </c>
      <c r="AI453" s="12">
        <f t="shared" si="139"/>
        <v>2953584414</v>
      </c>
      <c r="AJ453" s="13">
        <f t="shared" ca="1" si="140"/>
        <v>2883750012</v>
      </c>
    </row>
    <row r="454" spans="1:36" x14ac:dyDescent="0.25">
      <c r="A454" s="63"/>
      <c r="B454" s="8">
        <v>524156</v>
      </c>
      <c r="C454" s="8" t="s">
        <v>1890</v>
      </c>
      <c r="D454" s="12">
        <v>7146907</v>
      </c>
      <c r="E454" s="8">
        <v>60.89</v>
      </c>
      <c r="F454" s="8">
        <f ca="1">IFERROR(__xludf.DUMMYFUNCTION("GOOGLEFINANCE(""BOM:"" &amp; B454,""price"")"),55)</f>
        <v>55</v>
      </c>
      <c r="G454" s="8">
        <f t="shared" ca="1" si="141"/>
        <v>-9.6731811463294477</v>
      </c>
      <c r="H454" s="12">
        <f t="shared" si="142"/>
        <v>435175167.23000002</v>
      </c>
      <c r="I454" s="13">
        <f t="shared" ca="1" si="143"/>
        <v>393079885</v>
      </c>
      <c r="J454" s="63"/>
      <c r="K454" s="8">
        <v>522267</v>
      </c>
      <c r="L454" s="8" t="s">
        <v>1891</v>
      </c>
      <c r="M454" s="12">
        <v>4925946</v>
      </c>
      <c r="N454" s="10">
        <v>49.5</v>
      </c>
      <c r="O454" s="10">
        <f ca="1">IFERROR(__xludf.DUMMYFUNCTION("GOOGLEFINANCE(""BOM:"" &amp; K454,""price"")"),46.7)</f>
        <v>46.7</v>
      </c>
      <c r="P454" s="8">
        <f t="shared" ca="1" si="108"/>
        <v>-5.6565656565656504</v>
      </c>
      <c r="Q454" s="12">
        <f t="shared" si="109"/>
        <v>243834327</v>
      </c>
      <c r="R454" s="13">
        <f t="shared" ca="1" si="110"/>
        <v>230041678.20000002</v>
      </c>
      <c r="S454" s="63"/>
      <c r="T454" s="8">
        <v>542285</v>
      </c>
      <c r="U454" s="8" t="s">
        <v>1892</v>
      </c>
      <c r="V454" s="12">
        <v>260880000</v>
      </c>
      <c r="W454" s="8">
        <v>23.64</v>
      </c>
      <c r="X454" s="11">
        <f ca="1">IFERROR(__xludf.DUMMYFUNCTION("GOOGLEFINANCE(""BOM:"" &amp; T454,""price"")"),20.9)</f>
        <v>20.9</v>
      </c>
      <c r="Y454" s="8">
        <f t="shared" ca="1" si="144"/>
        <v>-11.590524534686979</v>
      </c>
      <c r="Z454" s="12">
        <f t="shared" si="145"/>
        <v>6167203200</v>
      </c>
      <c r="AA454" s="13">
        <f t="shared" ca="1" si="146"/>
        <v>5452392000</v>
      </c>
      <c r="AB454" s="63"/>
      <c r="AC454" s="8">
        <v>540066</v>
      </c>
      <c r="AD454" s="8" t="s">
        <v>1893</v>
      </c>
      <c r="AE454" s="12">
        <v>1821200</v>
      </c>
      <c r="AF454" s="8">
        <v>25.77</v>
      </c>
      <c r="AG454" s="8">
        <f ca="1">IFERROR(__xludf.DUMMYFUNCTION("GOOGLEFINANCE(""BOM:"" &amp; AC454,""price"")"),25.77)</f>
        <v>25.77</v>
      </c>
      <c r="AH454" s="8">
        <f t="shared" ca="1" si="138"/>
        <v>0</v>
      </c>
      <c r="AI454" s="12">
        <f t="shared" si="139"/>
        <v>46932324</v>
      </c>
      <c r="AJ454" s="13">
        <f t="shared" ca="1" si="140"/>
        <v>46932324</v>
      </c>
    </row>
    <row r="455" spans="1:36" x14ac:dyDescent="0.25">
      <c r="A455" s="63"/>
      <c r="B455" s="8">
        <v>507753</v>
      </c>
      <c r="C455" s="8" t="s">
        <v>1894</v>
      </c>
      <c r="D455" s="12">
        <v>105711243</v>
      </c>
      <c r="E455" s="8">
        <v>97.43</v>
      </c>
      <c r="F455" s="8">
        <f ca="1">IFERROR(__xludf.DUMMYFUNCTION("GOOGLEFINANCE(""BOM:"" &amp; B455,""price"")"),81.13)</f>
        <v>81.13</v>
      </c>
      <c r="G455" s="8">
        <f t="shared" ca="1" si="141"/>
        <v>-16.72995997126143</v>
      </c>
      <c r="H455" s="12">
        <f t="shared" si="142"/>
        <v>10299446405.49</v>
      </c>
      <c r="I455" s="13">
        <f t="shared" ca="1" si="143"/>
        <v>8576353144.5899992</v>
      </c>
      <c r="J455" s="63"/>
      <c r="K455" s="8">
        <v>522029</v>
      </c>
      <c r="L455" s="8" t="s">
        <v>1895</v>
      </c>
      <c r="M455" s="12">
        <v>64131467</v>
      </c>
      <c r="N455" s="10">
        <v>87.6</v>
      </c>
      <c r="O455" s="10">
        <f ca="1">IFERROR(__xludf.DUMMYFUNCTION("GOOGLEFINANCE(""BOM:"" &amp; K455,""price"")"),67.65)</f>
        <v>67.650000000000006</v>
      </c>
      <c r="P455" s="8">
        <f t="shared" ca="1" si="108"/>
        <v>-22.773972602739715</v>
      </c>
      <c r="Q455" s="12">
        <f t="shared" si="109"/>
        <v>5617916509.1999998</v>
      </c>
      <c r="R455" s="13">
        <f t="shared" ca="1" si="110"/>
        <v>4338493742.5500002</v>
      </c>
      <c r="S455" s="63"/>
      <c r="T455" s="8">
        <v>508933</v>
      </c>
      <c r="U455" s="8" t="s">
        <v>1896</v>
      </c>
      <c r="V455" s="12">
        <v>50189983</v>
      </c>
      <c r="W455" s="8">
        <v>92.24</v>
      </c>
      <c r="X455" s="11">
        <f ca="1">IFERROR(__xludf.DUMMYFUNCTION("GOOGLEFINANCE(""BOM:"" &amp; T455,""price"")"),85.8)</f>
        <v>85.8</v>
      </c>
      <c r="Y455" s="8">
        <f t="shared" ca="1" si="144"/>
        <v>-6.9817866435385927</v>
      </c>
      <c r="Z455" s="12">
        <f t="shared" si="145"/>
        <v>4629524031.9200001</v>
      </c>
      <c r="AA455" s="13">
        <f t="shared" ca="1" si="146"/>
        <v>4306300541.3999996</v>
      </c>
      <c r="AB455" s="63"/>
      <c r="AC455" s="8">
        <v>543275</v>
      </c>
      <c r="AD455" s="8" t="s">
        <v>1897</v>
      </c>
      <c r="AE455" s="12">
        <v>100274855</v>
      </c>
      <c r="AF455" s="8">
        <v>955.6</v>
      </c>
      <c r="AG455" s="8">
        <f ca="1">IFERROR(__xludf.DUMMYFUNCTION("GOOGLEFINANCE(""BOM:"" &amp; AC455,""price"")"),862.95)</f>
        <v>862.95</v>
      </c>
      <c r="AH455" s="8">
        <f t="shared" ca="1" si="138"/>
        <v>-9.6954792800334832</v>
      </c>
      <c r="AI455" s="12">
        <f t="shared" si="139"/>
        <v>95822651438</v>
      </c>
      <c r="AJ455" s="13">
        <f t="shared" ca="1" si="140"/>
        <v>86532186122.25</v>
      </c>
    </row>
    <row r="456" spans="1:36" x14ac:dyDescent="0.25">
      <c r="A456" s="63"/>
      <c r="B456" s="8">
        <v>500412</v>
      </c>
      <c r="C456" s="8" t="s">
        <v>1898</v>
      </c>
      <c r="D456" s="12">
        <v>100901623</v>
      </c>
      <c r="E456" s="8">
        <v>256.25</v>
      </c>
      <c r="F456" s="8">
        <f ca="1">IFERROR(__xludf.DUMMYFUNCTION("GOOGLEFINANCE(""BOM:"" &amp; B456,""price"")"),234)</f>
        <v>234</v>
      </c>
      <c r="G456" s="8">
        <f t="shared" ca="1" si="141"/>
        <v>-8.6829268292682915</v>
      </c>
      <c r="H456" s="12">
        <f t="shared" si="142"/>
        <v>25856040893.75</v>
      </c>
      <c r="I456" s="13">
        <f t="shared" ca="1" si="143"/>
        <v>23610979782</v>
      </c>
      <c r="J456" s="63"/>
      <c r="K456" s="8">
        <v>505872</v>
      </c>
      <c r="L456" s="8" t="s">
        <v>1899</v>
      </c>
      <c r="M456" s="12">
        <v>9685634</v>
      </c>
      <c r="N456" s="10">
        <v>3240</v>
      </c>
      <c r="O456" s="10">
        <f ca="1">IFERROR(__xludf.DUMMYFUNCTION("GOOGLEFINANCE(""BOM:"" &amp; K456,""price"")"),3390.45)</f>
        <v>3390.45</v>
      </c>
      <c r="P456" s="8">
        <f t="shared" ca="1" si="108"/>
        <v>4.6435185185185128</v>
      </c>
      <c r="Q456" s="12">
        <f t="shared" si="109"/>
        <v>31381454160</v>
      </c>
      <c r="R456" s="13">
        <f t="shared" ca="1" si="110"/>
        <v>32838657795.299999</v>
      </c>
      <c r="S456" s="63"/>
      <c r="T456" s="8">
        <v>503722</v>
      </c>
      <c r="U456" s="8" t="s">
        <v>1900</v>
      </c>
      <c r="V456" s="12">
        <v>33764950</v>
      </c>
      <c r="W456" s="8">
        <v>160</v>
      </c>
      <c r="X456" s="11">
        <f ca="1">IFERROR(__xludf.DUMMYFUNCTION("GOOGLEFINANCE(""BOM:"" &amp; T456,""price"")"),144.6)</f>
        <v>144.6</v>
      </c>
      <c r="Y456" s="8">
        <f t="shared" ca="1" si="144"/>
        <v>-9.6250000000000036</v>
      </c>
      <c r="Z456" s="12">
        <f t="shared" si="145"/>
        <v>5402392000</v>
      </c>
      <c r="AA456" s="13">
        <f t="shared" ca="1" si="146"/>
        <v>4882411770</v>
      </c>
      <c r="AB456" s="63"/>
      <c r="AC456" s="8">
        <v>500027</v>
      </c>
      <c r="AD456" s="8" t="s">
        <v>1901</v>
      </c>
      <c r="AE456" s="12">
        <v>29146191</v>
      </c>
      <c r="AF456" s="8">
        <v>7100</v>
      </c>
      <c r="AG456" s="8">
        <f ca="1">IFERROR(__xludf.DUMMYFUNCTION("GOOGLEFINANCE(""BOM:"" &amp; AC456,""price"")"),7100)</f>
        <v>7100</v>
      </c>
      <c r="AH456" s="8">
        <f t="shared" ca="1" si="138"/>
        <v>0</v>
      </c>
      <c r="AI456" s="12">
        <f t="shared" si="139"/>
        <v>206937956100</v>
      </c>
      <c r="AJ456" s="13">
        <f t="shared" ca="1" si="140"/>
        <v>206937956100</v>
      </c>
    </row>
    <row r="457" spans="1:36" x14ac:dyDescent="0.25">
      <c r="A457" s="63"/>
      <c r="B457" s="8">
        <v>506687</v>
      </c>
      <c r="C457" s="8" t="s">
        <v>1902</v>
      </c>
      <c r="D457" s="12">
        <v>5476740</v>
      </c>
      <c r="E457" s="8">
        <v>1891.3</v>
      </c>
      <c r="F457" s="8">
        <f ca="1">IFERROR(__xludf.DUMMYFUNCTION("GOOGLEFINANCE(""BOM:"" &amp; B457,""price"")"),1775.6)</f>
        <v>1775.6</v>
      </c>
      <c r="G457" s="8">
        <f t="shared" ca="1" si="141"/>
        <v>-6.1174853275524796</v>
      </c>
      <c r="H457" s="12">
        <f t="shared" si="142"/>
        <v>10358158362</v>
      </c>
      <c r="I457" s="13">
        <f t="shared" ca="1" si="143"/>
        <v>9724499544</v>
      </c>
      <c r="J457" s="64"/>
      <c r="K457" s="14">
        <v>513039</v>
      </c>
      <c r="L457" s="14" t="s">
        <v>1903</v>
      </c>
      <c r="M457" s="15">
        <v>4555132</v>
      </c>
      <c r="N457" s="17">
        <v>3.16</v>
      </c>
      <c r="O457" s="17">
        <f ca="1">IFERROR(__xludf.DUMMYFUNCTION("GOOGLEFINANCE(""BOM:"" &amp; K457,""price"")"),3.16)</f>
        <v>3.16</v>
      </c>
      <c r="P457" s="14">
        <f t="shared" ca="1" si="108"/>
        <v>0</v>
      </c>
      <c r="Q457" s="15">
        <f t="shared" si="109"/>
        <v>14394217.120000001</v>
      </c>
      <c r="R457" s="16">
        <f t="shared" ca="1" si="110"/>
        <v>14394217.120000001</v>
      </c>
      <c r="S457" s="63"/>
      <c r="T457" s="8">
        <v>500270</v>
      </c>
      <c r="U457" s="8" t="s">
        <v>1904</v>
      </c>
      <c r="V457" s="12">
        <v>1177991</v>
      </c>
      <c r="W457" s="8">
        <v>193.5</v>
      </c>
      <c r="X457" s="11">
        <f ca="1">IFERROR(__xludf.DUMMYFUNCTION("GOOGLEFINANCE(""BOM:"" &amp; T457,""price"")"),159.8)</f>
        <v>159.80000000000001</v>
      </c>
      <c r="Y457" s="8">
        <f t="shared" ca="1" si="144"/>
        <v>-17.41602067183462</v>
      </c>
      <c r="Z457" s="12">
        <f t="shared" si="145"/>
        <v>227941258.5</v>
      </c>
      <c r="AA457" s="13">
        <f t="shared" ca="1" si="146"/>
        <v>188242961.80000001</v>
      </c>
      <c r="AB457" s="63"/>
      <c r="AC457" s="8">
        <v>539288</v>
      </c>
      <c r="AD457" s="8" t="s">
        <v>1905</v>
      </c>
      <c r="AE457" s="12">
        <v>3928400</v>
      </c>
      <c r="AF457" s="8">
        <v>12.25</v>
      </c>
      <c r="AG457" s="8">
        <f ca="1">IFERROR(__xludf.DUMMYFUNCTION("GOOGLEFINANCE(""BOM:"" &amp; AC457,""price"")"),9.45)</f>
        <v>9.4499999999999993</v>
      </c>
      <c r="AH457" s="8">
        <f t="shared" ca="1" si="138"/>
        <v>-22.857142857142861</v>
      </c>
      <c r="AI457" s="12">
        <f t="shared" si="139"/>
        <v>48122900</v>
      </c>
      <c r="AJ457" s="13">
        <f t="shared" ca="1" si="140"/>
        <v>37123380</v>
      </c>
    </row>
    <row r="458" spans="1:36" x14ac:dyDescent="0.25">
      <c r="A458" s="63"/>
      <c r="B458" s="8">
        <v>524514</v>
      </c>
      <c r="C458" s="8" t="s">
        <v>1906</v>
      </c>
      <c r="D458" s="12">
        <v>3247550</v>
      </c>
      <c r="E458" s="8">
        <v>21.47</v>
      </c>
      <c r="F458" s="8">
        <f ca="1">IFERROR(__xludf.DUMMYFUNCTION("GOOGLEFINANCE(""BOM:"" &amp; B458,""price"")"),20.4)</f>
        <v>20.399999999999999</v>
      </c>
      <c r="G458" s="8">
        <f t="shared" ca="1" si="141"/>
        <v>-4.983698183511879</v>
      </c>
      <c r="H458" s="12">
        <f t="shared" si="142"/>
        <v>69724898.5</v>
      </c>
      <c r="I458" s="13">
        <f t="shared" ca="1" si="143"/>
        <v>66250019.999999993</v>
      </c>
      <c r="J458" s="62" t="s">
        <v>1907</v>
      </c>
      <c r="K458" s="6">
        <v>533022</v>
      </c>
      <c r="L458" s="6" t="s">
        <v>1908</v>
      </c>
      <c r="M458" s="7">
        <v>35157864</v>
      </c>
      <c r="N458" s="10">
        <v>148.15</v>
      </c>
      <c r="O458" s="10">
        <f ca="1">IFERROR(__xludf.DUMMYFUNCTION("GOOGLEFINANCE(""BOM:"" &amp; K458,""price"")"),142)</f>
        <v>142</v>
      </c>
      <c r="P458" s="8">
        <f t="shared" ca="1" si="108"/>
        <v>-4.1511981100236284</v>
      </c>
      <c r="Q458" s="7">
        <f t="shared" si="109"/>
        <v>5208637551.6000004</v>
      </c>
      <c r="R458" s="9">
        <f t="shared" ca="1" si="110"/>
        <v>4992416688</v>
      </c>
      <c r="S458" s="63"/>
      <c r="T458" s="8">
        <v>532674</v>
      </c>
      <c r="U458" s="8" t="s">
        <v>1909</v>
      </c>
      <c r="V458" s="12">
        <v>64841859</v>
      </c>
      <c r="W458" s="8">
        <v>47.4</v>
      </c>
      <c r="X458" s="11">
        <f ca="1">IFERROR(__xludf.DUMMYFUNCTION("GOOGLEFINANCE(""BOM:"" &amp; T458,""price"")"),37.92)</f>
        <v>37.92</v>
      </c>
      <c r="Y458" s="8">
        <f t="shared" ca="1" si="144"/>
        <v>-19.999999999999993</v>
      </c>
      <c r="Z458" s="12">
        <f t="shared" si="145"/>
        <v>3073504116.5999999</v>
      </c>
      <c r="AA458" s="13">
        <f t="shared" ca="1" si="146"/>
        <v>2458803293.2800002</v>
      </c>
      <c r="AB458" s="63"/>
      <c r="AC458" s="8">
        <v>530999</v>
      </c>
      <c r="AD458" s="8" t="s">
        <v>1910</v>
      </c>
      <c r="AE458" s="12">
        <v>32152940</v>
      </c>
      <c r="AF458" s="8">
        <v>2190.6</v>
      </c>
      <c r="AG458" s="8">
        <f ca="1">IFERROR(__xludf.DUMMYFUNCTION("GOOGLEFINANCE(""BOM:"" &amp; AC458,""price"")"),2043.9)</f>
        <v>2043.9</v>
      </c>
      <c r="AH458" s="8">
        <f t="shared" ca="1" si="138"/>
        <v>-6.696795398520945</v>
      </c>
      <c r="AI458" s="12">
        <f t="shared" si="139"/>
        <v>70434230364</v>
      </c>
      <c r="AJ458" s="13">
        <f t="shared" ca="1" si="140"/>
        <v>65717394066</v>
      </c>
    </row>
    <row r="459" spans="1:36" x14ac:dyDescent="0.25">
      <c r="A459" s="63"/>
      <c r="B459" s="8">
        <v>506808</v>
      </c>
      <c r="C459" s="8" t="s">
        <v>1911</v>
      </c>
      <c r="D459" s="12">
        <v>120362456</v>
      </c>
      <c r="E459" s="8">
        <v>94.4</v>
      </c>
      <c r="F459" s="8">
        <f ca="1">IFERROR(__xludf.DUMMYFUNCTION("GOOGLEFINANCE(""BOM:"" &amp; B459,""price"")"),80.02)</f>
        <v>80.02</v>
      </c>
      <c r="G459" s="8">
        <f t="shared" ca="1" si="141"/>
        <v>-15.233050847457635</v>
      </c>
      <c r="H459" s="12">
        <f t="shared" si="142"/>
        <v>11362215846.400002</v>
      </c>
      <c r="I459" s="13">
        <f t="shared" ca="1" si="143"/>
        <v>9631403729.1199989</v>
      </c>
      <c r="J459" s="63"/>
      <c r="K459" s="8">
        <v>527001</v>
      </c>
      <c r="L459" s="8" t="s">
        <v>1912</v>
      </c>
      <c r="M459" s="12">
        <v>91271055</v>
      </c>
      <c r="N459" s="10">
        <v>399.8</v>
      </c>
      <c r="O459" s="10">
        <f ca="1">IFERROR(__xludf.DUMMYFUNCTION("GOOGLEFINANCE(""BOM:"" &amp; K459,""price"")"),374.4)</f>
        <v>374.4</v>
      </c>
      <c r="P459" s="8">
        <f t="shared" ca="1" si="108"/>
        <v>-6.353176588294156</v>
      </c>
      <c r="Q459" s="12">
        <f t="shared" si="109"/>
        <v>36490167789</v>
      </c>
      <c r="R459" s="13">
        <f t="shared" ca="1" si="110"/>
        <v>34171882991.999996</v>
      </c>
      <c r="S459" s="63"/>
      <c r="T459" s="8">
        <v>512477</v>
      </c>
      <c r="U459" s="8" t="s">
        <v>1913</v>
      </c>
      <c r="V459" s="12">
        <v>1171700</v>
      </c>
      <c r="W459" s="8">
        <v>270</v>
      </c>
      <c r="X459" s="11">
        <f ca="1">IFERROR(__xludf.DUMMYFUNCTION("GOOGLEFINANCE(""BOM:"" &amp; T459,""price"")"),267.7)</f>
        <v>267.7</v>
      </c>
      <c r="Y459" s="8">
        <f t="shared" ca="1" si="144"/>
        <v>-0.85185185185185608</v>
      </c>
      <c r="Z459" s="12">
        <f t="shared" si="145"/>
        <v>316359000</v>
      </c>
      <c r="AA459" s="13">
        <f t="shared" ca="1" si="146"/>
        <v>313664090</v>
      </c>
      <c r="AB459" s="63"/>
      <c r="AC459" s="8">
        <v>500042</v>
      </c>
      <c r="AD459" s="8" t="s">
        <v>1914</v>
      </c>
      <c r="AE459" s="12">
        <v>42922650</v>
      </c>
      <c r="AF459" s="8">
        <v>3305.5</v>
      </c>
      <c r="AG459" s="8">
        <f ca="1">IFERROR(__xludf.DUMMYFUNCTION("GOOGLEFINANCE(""BOM:"" &amp; AC459,""price"")"),3345.5)</f>
        <v>3345.5</v>
      </c>
      <c r="AH459" s="8">
        <f t="shared" ca="1" si="138"/>
        <v>1.2101043715020421</v>
      </c>
      <c r="AI459" s="12">
        <f t="shared" si="139"/>
        <v>141880819575</v>
      </c>
      <c r="AJ459" s="13">
        <f t="shared" ca="1" si="140"/>
        <v>143597725575</v>
      </c>
    </row>
    <row r="460" spans="1:36" x14ac:dyDescent="0.25">
      <c r="A460" s="63"/>
      <c r="B460" s="8">
        <v>524038</v>
      </c>
      <c r="C460" s="8" t="s">
        <v>1915</v>
      </c>
      <c r="D460" s="12">
        <v>50796460</v>
      </c>
      <c r="E460" s="8">
        <v>5.71</v>
      </c>
      <c r="F460" s="8">
        <f ca="1">IFERROR(__xludf.DUMMYFUNCTION("GOOGLEFINANCE(""BOM:"" &amp; B460,""price"")"),5.7)</f>
        <v>5.7</v>
      </c>
      <c r="G460" s="8">
        <f t="shared" ca="1" si="141"/>
        <v>-0.17513134851137982</v>
      </c>
      <c r="H460" s="12">
        <f t="shared" si="142"/>
        <v>290047786.60000002</v>
      </c>
      <c r="I460" s="13">
        <f t="shared" ca="1" si="143"/>
        <v>289539822</v>
      </c>
      <c r="J460" s="63"/>
      <c r="K460" s="8">
        <v>502015</v>
      </c>
      <c r="L460" s="8" t="s">
        <v>1916</v>
      </c>
      <c r="M460" s="12">
        <v>87540484</v>
      </c>
      <c r="N460" s="10">
        <v>30.1</v>
      </c>
      <c r="O460" s="10">
        <f ca="1">IFERROR(__xludf.DUMMYFUNCTION("GOOGLEFINANCE(""BOM:"" &amp; K460,""price"")"),23.2)</f>
        <v>23.2</v>
      </c>
      <c r="P460" s="8">
        <f t="shared" ca="1" si="108"/>
        <v>-22.923588039867116</v>
      </c>
      <c r="Q460" s="12">
        <f t="shared" si="109"/>
        <v>2634968568.4000001</v>
      </c>
      <c r="R460" s="13">
        <f t="shared" ca="1" si="110"/>
        <v>2030939228.8</v>
      </c>
      <c r="S460" s="63"/>
      <c r="T460" s="8">
        <v>512608</v>
      </c>
      <c r="U460" s="8" t="s">
        <v>1917</v>
      </c>
      <c r="V460" s="12">
        <v>142540550</v>
      </c>
      <c r="W460" s="8">
        <v>10</v>
      </c>
      <c r="X460" s="11">
        <f ca="1">IFERROR(__xludf.DUMMYFUNCTION("GOOGLEFINANCE(""BOM:"" &amp; T460,""price"")"),7.65)</f>
        <v>7.65</v>
      </c>
      <c r="Y460" s="8">
        <f t="shared" ca="1" si="144"/>
        <v>-23.499999999999996</v>
      </c>
      <c r="Z460" s="12">
        <f t="shared" si="145"/>
        <v>1425405500</v>
      </c>
      <c r="AA460" s="13">
        <f t="shared" ca="1" si="146"/>
        <v>1090435207.5</v>
      </c>
      <c r="AB460" s="63"/>
      <c r="AC460" s="8">
        <v>543497</v>
      </c>
      <c r="AD460" s="8" t="s">
        <v>1918</v>
      </c>
      <c r="AE460" s="12">
        <v>12233750</v>
      </c>
      <c r="AF460" s="8">
        <v>57.5</v>
      </c>
      <c r="AG460" s="8">
        <f ca="1">IFERROR(__xludf.DUMMYFUNCTION("GOOGLEFINANCE(""BOM:"" &amp; AC460,""price"")"),50)</f>
        <v>50</v>
      </c>
      <c r="AH460" s="8">
        <f t="shared" ca="1" si="138"/>
        <v>-13.043478260869565</v>
      </c>
      <c r="AI460" s="12">
        <f t="shared" si="139"/>
        <v>703440625</v>
      </c>
      <c r="AJ460" s="13">
        <f t="shared" ca="1" si="140"/>
        <v>611687500</v>
      </c>
    </row>
    <row r="461" spans="1:36" x14ac:dyDescent="0.25">
      <c r="A461" s="63"/>
      <c r="B461" s="8">
        <v>530477</v>
      </c>
      <c r="C461" s="8" t="s">
        <v>1919</v>
      </c>
      <c r="D461" s="12">
        <v>30674325</v>
      </c>
      <c r="E461" s="8">
        <v>144.4</v>
      </c>
      <c r="F461" s="8">
        <f ca="1">IFERROR(__xludf.DUMMYFUNCTION("GOOGLEFINANCE(""BOM:"" &amp; B461,""price"")"),152.9)</f>
        <v>152.9</v>
      </c>
      <c r="G461" s="8">
        <f t="shared" ca="1" si="141"/>
        <v>5.8864265927977844</v>
      </c>
      <c r="H461" s="12">
        <f t="shared" si="142"/>
        <v>4429372530</v>
      </c>
      <c r="I461" s="13">
        <f t="shared" ca="1" si="143"/>
        <v>4690104292.5</v>
      </c>
      <c r="J461" s="63"/>
      <c r="K461" s="8">
        <v>532181</v>
      </c>
      <c r="L461" s="8" t="s">
        <v>1920</v>
      </c>
      <c r="M461" s="12">
        <v>317567695</v>
      </c>
      <c r="N461" s="10">
        <v>398</v>
      </c>
      <c r="O461" s="10">
        <f ca="1">IFERROR(__xludf.DUMMYFUNCTION("GOOGLEFINANCE(""BOM:"" &amp; K461,""price"")"),343.9)</f>
        <v>343.9</v>
      </c>
      <c r="P461" s="8">
        <f t="shared" ca="1" si="108"/>
        <v>-13.59296482412061</v>
      </c>
      <c r="Q461" s="12">
        <f t="shared" si="109"/>
        <v>126391942610</v>
      </c>
      <c r="R461" s="13">
        <f t="shared" ca="1" si="110"/>
        <v>109211530310.5</v>
      </c>
      <c r="S461" s="63"/>
      <c r="T461" s="8">
        <v>514272</v>
      </c>
      <c r="U461" s="8" t="s">
        <v>1921</v>
      </c>
      <c r="V461" s="12">
        <v>5903430</v>
      </c>
      <c r="W461" s="8">
        <v>146.44999999999999</v>
      </c>
      <c r="X461" s="11">
        <f ca="1">IFERROR(__xludf.DUMMYFUNCTION("GOOGLEFINANCE(""BOM:"" &amp; T461,""price"")"),123)</f>
        <v>123</v>
      </c>
      <c r="Y461" s="8">
        <f t="shared" ca="1" si="144"/>
        <v>-16.012290884260832</v>
      </c>
      <c r="Z461" s="12">
        <f t="shared" si="145"/>
        <v>864557323.49999988</v>
      </c>
      <c r="AA461" s="13">
        <f t="shared" ca="1" si="146"/>
        <v>726121890</v>
      </c>
      <c r="AB461" s="63"/>
      <c r="AC461" s="8">
        <v>500052</v>
      </c>
      <c r="AD461" s="8" t="s">
        <v>1922</v>
      </c>
      <c r="AE461" s="12">
        <v>244793895</v>
      </c>
      <c r="AF461" s="8">
        <v>96.56</v>
      </c>
      <c r="AG461" s="8">
        <f ca="1">IFERROR(__xludf.DUMMYFUNCTION("GOOGLEFINANCE(""BOM:"" &amp; AC461,""price"")"),89.3)</f>
        <v>89.3</v>
      </c>
      <c r="AH461" s="8">
        <f t="shared" ca="1" si="138"/>
        <v>-7.5186412593206349</v>
      </c>
      <c r="AI461" s="12">
        <f t="shared" si="139"/>
        <v>23637298501.200001</v>
      </c>
      <c r="AJ461" s="13">
        <f t="shared" ca="1" si="140"/>
        <v>21860094823.5</v>
      </c>
    </row>
    <row r="462" spans="1:36" x14ac:dyDescent="0.25">
      <c r="A462" s="63"/>
      <c r="B462" s="8">
        <v>530401</v>
      </c>
      <c r="C462" s="8" t="s">
        <v>1923</v>
      </c>
      <c r="D462" s="12">
        <v>3272100</v>
      </c>
      <c r="E462" s="8">
        <v>126.8</v>
      </c>
      <c r="F462" s="8">
        <f ca="1">IFERROR(__xludf.DUMMYFUNCTION("GOOGLEFINANCE(""BOM:"" &amp; B462,""price"")"),100)</f>
        <v>100</v>
      </c>
      <c r="G462" s="8">
        <f t="shared" ca="1" si="141"/>
        <v>-21.135646687697161</v>
      </c>
      <c r="H462" s="12">
        <f t="shared" si="142"/>
        <v>414902280</v>
      </c>
      <c r="I462" s="13">
        <f t="shared" ca="1" si="143"/>
        <v>327210000</v>
      </c>
      <c r="J462" s="63"/>
      <c r="K462" s="8">
        <v>509567</v>
      </c>
      <c r="L462" s="8" t="s">
        <v>1924</v>
      </c>
      <c r="M462" s="12">
        <v>8956364</v>
      </c>
      <c r="N462" s="10">
        <v>818.35</v>
      </c>
      <c r="O462" s="10">
        <f ca="1">IFERROR(__xludf.DUMMYFUNCTION("GOOGLEFINANCE(""BOM:"" &amp; K462,""price"")"),740.95)</f>
        <v>740.95</v>
      </c>
      <c r="P462" s="8">
        <f t="shared" ca="1" si="108"/>
        <v>-9.4580558440764921</v>
      </c>
      <c r="Q462" s="12">
        <f t="shared" si="109"/>
        <v>7329440479.4000006</v>
      </c>
      <c r="R462" s="13">
        <f t="shared" ca="1" si="110"/>
        <v>6636217905.8000002</v>
      </c>
      <c r="S462" s="63"/>
      <c r="T462" s="8">
        <v>506981</v>
      </c>
      <c r="U462" s="8" t="s">
        <v>1925</v>
      </c>
      <c r="V462" s="12">
        <v>1794829</v>
      </c>
      <c r="W462" s="8">
        <v>190.35</v>
      </c>
      <c r="X462" s="11">
        <f ca="1">IFERROR(__xludf.DUMMYFUNCTION("GOOGLEFINANCE(""BOM:"" &amp; T462,""price"")"),175.5)</f>
        <v>175.5</v>
      </c>
      <c r="Y462" s="8">
        <f t="shared" ca="1" si="144"/>
        <v>-7.8014184397163095</v>
      </c>
      <c r="Z462" s="12">
        <f t="shared" si="145"/>
        <v>341645700.14999998</v>
      </c>
      <c r="AA462" s="13">
        <f t="shared" ca="1" si="146"/>
        <v>314992489.5</v>
      </c>
      <c r="AB462" s="63"/>
      <c r="AC462" s="8">
        <v>514183</v>
      </c>
      <c r="AD462" s="8" t="s">
        <v>1926</v>
      </c>
      <c r="AE462" s="12">
        <v>49296430</v>
      </c>
      <c r="AF462" s="8">
        <v>140.6</v>
      </c>
      <c r="AG462" s="8">
        <f ca="1">IFERROR(__xludf.DUMMYFUNCTION("GOOGLEFINANCE(""BOM:"" &amp; AC462,""price"")"),122.3)</f>
        <v>122.3</v>
      </c>
      <c r="AH462" s="8">
        <f t="shared" ca="1" si="138"/>
        <v>-13.01564722617354</v>
      </c>
      <c r="AI462" s="12">
        <f t="shared" si="139"/>
        <v>6931078058</v>
      </c>
      <c r="AJ462" s="13">
        <f t="shared" ca="1" si="140"/>
        <v>6028953389</v>
      </c>
    </row>
    <row r="463" spans="1:36" x14ac:dyDescent="0.25">
      <c r="A463" s="63"/>
      <c r="B463" s="8">
        <v>524576</v>
      </c>
      <c r="C463" s="8" t="s">
        <v>1927</v>
      </c>
      <c r="D463" s="12">
        <v>8187830</v>
      </c>
      <c r="E463" s="8">
        <v>20.56</v>
      </c>
      <c r="F463" s="8">
        <f ca="1">IFERROR(__xludf.DUMMYFUNCTION("GOOGLEFINANCE(""BOM:"" &amp; B463,""price"")"),16.11)</f>
        <v>16.11</v>
      </c>
      <c r="G463" s="8">
        <f t="shared" ca="1" si="141"/>
        <v>-21.64396887159533</v>
      </c>
      <c r="H463" s="12">
        <f t="shared" si="142"/>
        <v>168341784.79999998</v>
      </c>
      <c r="I463" s="13">
        <f t="shared" ca="1" si="143"/>
        <v>131905941.3</v>
      </c>
      <c r="J463" s="63"/>
      <c r="K463" s="8">
        <v>533282</v>
      </c>
      <c r="L463" s="8" t="s">
        <v>1928</v>
      </c>
      <c r="M463" s="12">
        <v>69032283</v>
      </c>
      <c r="N463" s="10">
        <v>942.9</v>
      </c>
      <c r="O463" s="10">
        <f ca="1">IFERROR(__xludf.DUMMYFUNCTION("GOOGLEFINANCE(""BOM:"" &amp; K463,""price"")"),1000)</f>
        <v>1000</v>
      </c>
      <c r="P463" s="8">
        <f t="shared" ca="1" si="108"/>
        <v>6.0557853430904682</v>
      </c>
      <c r="Q463" s="12">
        <f t="shared" si="109"/>
        <v>65090539640.699997</v>
      </c>
      <c r="R463" s="13">
        <f t="shared" ca="1" si="110"/>
        <v>69032283000</v>
      </c>
      <c r="S463" s="63"/>
      <c r="T463" s="8">
        <v>500020</v>
      </c>
      <c r="U463" s="8" t="s">
        <v>1929</v>
      </c>
      <c r="V463" s="12">
        <v>204314907</v>
      </c>
      <c r="W463" s="8">
        <v>184.9</v>
      </c>
      <c r="X463" s="11">
        <f ca="1">IFERROR(__xludf.DUMMYFUNCTION("GOOGLEFINANCE(""BOM:"" &amp; T463,""price"")"),159.2)</f>
        <v>159.19999999999999</v>
      </c>
      <c r="Y463" s="8">
        <f t="shared" ca="1" si="144"/>
        <v>-13.899405083829105</v>
      </c>
      <c r="Z463" s="12">
        <f t="shared" si="145"/>
        <v>37777826304.300003</v>
      </c>
      <c r="AA463" s="13">
        <f t="shared" ca="1" si="146"/>
        <v>32526933194.399998</v>
      </c>
      <c r="AB463" s="63"/>
      <c r="AC463" s="8">
        <v>532834</v>
      </c>
      <c r="AD463" s="8" t="s">
        <v>1930</v>
      </c>
      <c r="AE463" s="12">
        <v>155911876</v>
      </c>
      <c r="AF463" s="8">
        <v>117.15</v>
      </c>
      <c r="AG463" s="8">
        <f ca="1">IFERROR(__xludf.DUMMYFUNCTION("GOOGLEFINANCE(""BOM:"" &amp; AC463,""price"")"),89.25)</f>
        <v>89.25</v>
      </c>
      <c r="AH463" s="8">
        <f t="shared" ca="1" si="138"/>
        <v>-23.815620998719595</v>
      </c>
      <c r="AI463" s="12">
        <f t="shared" si="139"/>
        <v>18265076273.400002</v>
      </c>
      <c r="AJ463" s="13">
        <f t="shared" ca="1" si="140"/>
        <v>13915134933</v>
      </c>
    </row>
    <row r="464" spans="1:36" x14ac:dyDescent="0.25">
      <c r="A464" s="64"/>
      <c r="B464" s="14">
        <v>509910</v>
      </c>
      <c r="C464" s="14" t="s">
        <v>1931</v>
      </c>
      <c r="D464" s="15">
        <v>19823</v>
      </c>
      <c r="E464" s="8">
        <v>22.68</v>
      </c>
      <c r="F464" s="14">
        <f ca="1">IFERROR(__xludf.DUMMYFUNCTION("GOOGLEFINANCE(""BOM:"" &amp; B464,""price"")"),22.68)</f>
        <v>22.68</v>
      </c>
      <c r="G464" s="14">
        <f t="shared" ca="1" si="141"/>
        <v>0</v>
      </c>
      <c r="H464" s="15">
        <f t="shared" si="142"/>
        <v>449585.64</v>
      </c>
      <c r="I464" s="16">
        <f t="shared" ca="1" si="143"/>
        <v>449585.64</v>
      </c>
      <c r="J464" s="63"/>
      <c r="K464" s="8">
        <v>500211</v>
      </c>
      <c r="L464" s="8" t="s">
        <v>1932</v>
      </c>
      <c r="M464" s="12">
        <v>60292333</v>
      </c>
      <c r="N464" s="8" t="s">
        <v>44</v>
      </c>
      <c r="O464" s="8" t="s">
        <v>44</v>
      </c>
      <c r="P464" s="8"/>
      <c r="Q464" s="12"/>
      <c r="R464" s="13"/>
      <c r="S464" s="63"/>
      <c r="T464" s="8">
        <v>514045</v>
      </c>
      <c r="U464" s="8" t="s">
        <v>1933</v>
      </c>
      <c r="V464" s="12">
        <v>9895779</v>
      </c>
      <c r="W464" s="8">
        <v>184</v>
      </c>
      <c r="X464" s="11">
        <f ca="1">IFERROR(__xludf.DUMMYFUNCTION("GOOGLEFINANCE(""BOM:"" &amp; T464,""price"")"),160.7)</f>
        <v>160.69999999999999</v>
      </c>
      <c r="Y464" s="8">
        <f t="shared" ca="1" si="144"/>
        <v>-12.663043478260876</v>
      </c>
      <c r="Z464" s="12">
        <f t="shared" si="145"/>
        <v>1820823336</v>
      </c>
      <c r="AA464" s="13">
        <f t="shared" ca="1" si="146"/>
        <v>1590251685.3</v>
      </c>
      <c r="AB464" s="63"/>
      <c r="AC464" s="8">
        <v>530871</v>
      </c>
      <c r="AD464" s="8" t="s">
        <v>1934</v>
      </c>
      <c r="AE464" s="12">
        <v>13287964</v>
      </c>
      <c r="AF464" s="8">
        <v>507.9</v>
      </c>
      <c r="AG464" s="8">
        <f ca="1">IFERROR(__xludf.DUMMYFUNCTION("GOOGLEFINANCE(""BOM:"" &amp; AC464,""price"")"),478)</f>
        <v>478</v>
      </c>
      <c r="AH464" s="8">
        <f t="shared" ca="1" si="138"/>
        <v>-5.886985627091943</v>
      </c>
      <c r="AI464" s="12">
        <f t="shared" si="139"/>
        <v>6748956915.5999994</v>
      </c>
      <c r="AJ464" s="13">
        <f t="shared" ca="1" si="140"/>
        <v>6351646792</v>
      </c>
    </row>
    <row r="465" spans="1:36" x14ac:dyDescent="0.25">
      <c r="A465" s="62" t="s">
        <v>1935</v>
      </c>
      <c r="B465" s="6">
        <v>522074</v>
      </c>
      <c r="C465" s="6" t="s">
        <v>1936</v>
      </c>
      <c r="D465" s="7">
        <v>314017635</v>
      </c>
      <c r="E465" s="6">
        <v>682.25</v>
      </c>
      <c r="F465" s="8">
        <f ca="1">IFERROR(__xludf.DUMMYFUNCTION("GOOGLEFINANCE(""BOM:"" &amp; B465,""price"")"),600.1)</f>
        <v>600.1</v>
      </c>
      <c r="G465" s="8">
        <f t="shared" ca="1" si="141"/>
        <v>-12.041040674239644</v>
      </c>
      <c r="H465" s="7">
        <f t="shared" si="142"/>
        <v>214238531478.75</v>
      </c>
      <c r="I465" s="9">
        <f t="shared" ca="1" si="143"/>
        <v>188441982763.5</v>
      </c>
      <c r="J465" s="63"/>
      <c r="K465" s="8">
        <v>531778</v>
      </c>
      <c r="L465" s="8" t="s">
        <v>1937</v>
      </c>
      <c r="M465" s="12">
        <v>4441000</v>
      </c>
      <c r="N465" s="10">
        <v>37.21</v>
      </c>
      <c r="O465" s="10">
        <f ca="1">IFERROR(__xludf.DUMMYFUNCTION("GOOGLEFINANCE(""BOM:"" &amp; K465,""price"")"),32.8)</f>
        <v>32.799999999999997</v>
      </c>
      <c r="P465" s="8">
        <f t="shared" ref="P465:P493" ca="1" si="147">((O465-N465)/N465)*100</f>
        <v>-11.851652781510357</v>
      </c>
      <c r="Q465" s="12">
        <f t="shared" ref="Q465:Q493" si="148">M465*N465</f>
        <v>165249610</v>
      </c>
      <c r="R465" s="13">
        <f t="shared" ref="R465:R493" ca="1" si="149">M465*O465</f>
        <v>145664800</v>
      </c>
      <c r="S465" s="63"/>
      <c r="T465" s="8">
        <v>500280</v>
      </c>
      <c r="U465" s="8" t="s">
        <v>1938</v>
      </c>
      <c r="V465" s="12">
        <v>20147019</v>
      </c>
      <c r="W465" s="8">
        <v>447.3</v>
      </c>
      <c r="X465" s="11">
        <f ca="1">IFERROR(__xludf.DUMMYFUNCTION("GOOGLEFINANCE(""BOM:"" &amp; T465,""price"")"),402)</f>
        <v>402</v>
      </c>
      <c r="Y465" s="8">
        <f t="shared" ca="1" si="144"/>
        <v>-10.127431254191819</v>
      </c>
      <c r="Z465" s="12">
        <f t="shared" si="145"/>
        <v>9011761598.7000008</v>
      </c>
      <c r="AA465" s="13">
        <f t="shared" ca="1" si="146"/>
        <v>8099101638</v>
      </c>
      <c r="AB465" s="63"/>
      <c r="AC465" s="8">
        <v>543233</v>
      </c>
      <c r="AD465" s="8" t="s">
        <v>1939</v>
      </c>
      <c r="AE465" s="12">
        <v>36630701</v>
      </c>
      <c r="AF465" s="8">
        <v>272.35000000000002</v>
      </c>
      <c r="AG465" s="8">
        <f ca="1">IFERROR(__xludf.DUMMYFUNCTION("GOOGLEFINANCE(""BOM:"" &amp; AC465,""price"")"),231.05)</f>
        <v>231.05</v>
      </c>
      <c r="AH465" s="8">
        <f t="shared" ca="1" si="138"/>
        <v>-15.164310629704428</v>
      </c>
      <c r="AI465" s="12">
        <f t="shared" si="139"/>
        <v>9976371417.3500004</v>
      </c>
      <c r="AJ465" s="13">
        <f t="shared" ca="1" si="140"/>
        <v>8463523466.0500002</v>
      </c>
    </row>
    <row r="466" spans="1:36" x14ac:dyDescent="0.25">
      <c r="A466" s="63"/>
      <c r="B466" s="8">
        <v>500210</v>
      </c>
      <c r="C466" s="8" t="s">
        <v>1940</v>
      </c>
      <c r="D466" s="12">
        <v>31369626</v>
      </c>
      <c r="E466" s="8">
        <v>3786.8</v>
      </c>
      <c r="F466" s="8">
        <f ca="1">IFERROR(__xludf.DUMMYFUNCTION("GOOGLEFINANCE(""BOM:"" &amp; B466,""price"")"),3621.1)</f>
        <v>3621.1</v>
      </c>
      <c r="G466" s="8">
        <f t="shared" ca="1" si="141"/>
        <v>-4.3757262068237104</v>
      </c>
      <c r="H466" s="12">
        <f t="shared" si="142"/>
        <v>118790499736.8</v>
      </c>
      <c r="I466" s="13">
        <f t="shared" ca="1" si="143"/>
        <v>113592552708.59999</v>
      </c>
      <c r="J466" s="63"/>
      <c r="K466" s="8">
        <v>533286</v>
      </c>
      <c r="L466" s="8" t="s">
        <v>1941</v>
      </c>
      <c r="M466" s="12">
        <v>203484568</v>
      </c>
      <c r="N466" s="10">
        <v>273.75</v>
      </c>
      <c r="O466" s="10">
        <f ca="1">IFERROR(__xludf.DUMMYFUNCTION("GOOGLEFINANCE(""BOM:"" &amp; K466,""price"")"),278.45)</f>
        <v>278.45</v>
      </c>
      <c r="P466" s="8">
        <f t="shared" ca="1" si="147"/>
        <v>1.7168949771689455</v>
      </c>
      <c r="Q466" s="12">
        <f t="shared" si="148"/>
        <v>55703900490</v>
      </c>
      <c r="R466" s="13">
        <f t="shared" ca="1" si="149"/>
        <v>56660277959.599998</v>
      </c>
      <c r="S466" s="63"/>
      <c r="T466" s="8">
        <v>540310</v>
      </c>
      <c r="U466" s="8" t="s">
        <v>1942</v>
      </c>
      <c r="V466" s="12">
        <v>4925600</v>
      </c>
      <c r="W466" s="8">
        <v>35.299999999999997</v>
      </c>
      <c r="X466" s="11">
        <f ca="1">IFERROR(__xludf.DUMMYFUNCTION("GOOGLEFINANCE(""BOM:"" &amp; T466,""price"")"),34.3)</f>
        <v>34.299999999999997</v>
      </c>
      <c r="Y466" s="8">
        <f t="shared" ca="1" si="144"/>
        <v>-2.8328611898017</v>
      </c>
      <c r="Z466" s="12">
        <f t="shared" si="145"/>
        <v>173873680</v>
      </c>
      <c r="AA466" s="13">
        <f t="shared" ca="1" si="146"/>
        <v>168948080</v>
      </c>
      <c r="AB466" s="63"/>
      <c r="AC466" s="8">
        <v>540395</v>
      </c>
      <c r="AD466" s="8" t="s">
        <v>1943</v>
      </c>
      <c r="AE466" s="12">
        <v>14808840</v>
      </c>
      <c r="AF466" s="8">
        <v>298</v>
      </c>
      <c r="AG466" s="8">
        <f ca="1">IFERROR(__xludf.DUMMYFUNCTION("GOOGLEFINANCE(""BOM:"" &amp; AC466,""price"")"),258.05)</f>
        <v>258.05</v>
      </c>
      <c r="AH466" s="8">
        <f t="shared" ca="1" si="138"/>
        <v>-13.406040268456371</v>
      </c>
      <c r="AI466" s="12">
        <f t="shared" si="139"/>
        <v>4413034320</v>
      </c>
      <c r="AJ466" s="13">
        <f t="shared" ca="1" si="140"/>
        <v>3821421162</v>
      </c>
    </row>
    <row r="467" spans="1:36" x14ac:dyDescent="0.25">
      <c r="A467" s="63"/>
      <c r="B467" s="8">
        <v>500241</v>
      </c>
      <c r="C467" s="8" t="s">
        <v>1944</v>
      </c>
      <c r="D467" s="12">
        <v>77836455</v>
      </c>
      <c r="E467" s="8">
        <v>927.85</v>
      </c>
      <c r="F467" s="8">
        <f ca="1">IFERROR(__xludf.DUMMYFUNCTION("GOOGLEFINANCE(""BOM:"" &amp; B467,""price"")"),1110.85)</f>
        <v>1110.8499999999999</v>
      </c>
      <c r="G467" s="8">
        <f t="shared" ca="1" si="141"/>
        <v>19.723015573637966</v>
      </c>
      <c r="H467" s="12">
        <f t="shared" si="142"/>
        <v>72220554771.75</v>
      </c>
      <c r="I467" s="13">
        <f t="shared" ca="1" si="143"/>
        <v>86464626036.75</v>
      </c>
      <c r="J467" s="63"/>
      <c r="K467" s="8">
        <v>530129</v>
      </c>
      <c r="L467" s="8" t="s">
        <v>1945</v>
      </c>
      <c r="M467" s="12">
        <v>2933878</v>
      </c>
      <c r="N467" s="10">
        <v>1470.85</v>
      </c>
      <c r="O467" s="10">
        <f ca="1">IFERROR(__xludf.DUMMYFUNCTION("GOOGLEFINANCE(""BOM:"" &amp; K467,""price"")"),1276.2)</f>
        <v>1276.2</v>
      </c>
      <c r="P467" s="8">
        <f t="shared" ca="1" si="147"/>
        <v>-13.233844375701118</v>
      </c>
      <c r="Q467" s="12">
        <f t="shared" si="148"/>
        <v>4315294456.3000002</v>
      </c>
      <c r="R467" s="13">
        <f t="shared" ca="1" si="149"/>
        <v>3744215103.5999999</v>
      </c>
      <c r="S467" s="63"/>
      <c r="T467" s="8">
        <v>533407</v>
      </c>
      <c r="U467" s="8" t="s">
        <v>1946</v>
      </c>
      <c r="V467" s="12">
        <v>26644926</v>
      </c>
      <c r="W467" s="8">
        <v>32.92</v>
      </c>
      <c r="X467" s="11">
        <f ca="1">IFERROR(__xludf.DUMMYFUNCTION("GOOGLEFINANCE(""BOM:"" &amp; T467,""price"")"),31)</f>
        <v>31</v>
      </c>
      <c r="Y467" s="8">
        <f t="shared" ca="1" si="144"/>
        <v>-5.8323207776427752</v>
      </c>
      <c r="Z467" s="12">
        <f t="shared" si="145"/>
        <v>877150963.92000008</v>
      </c>
      <c r="AA467" s="13">
        <f t="shared" ca="1" si="146"/>
        <v>825992706</v>
      </c>
      <c r="AB467" s="63"/>
      <c r="AC467" s="8">
        <v>539230</v>
      </c>
      <c r="AD467" s="8" t="s">
        <v>1947</v>
      </c>
      <c r="AE467" s="12">
        <v>2898980</v>
      </c>
      <c r="AF467" s="8">
        <v>21</v>
      </c>
      <c r="AG467" s="8">
        <f ca="1">IFERROR(__xludf.DUMMYFUNCTION("GOOGLEFINANCE(""BOM:"" &amp; AC467,""price"")"),26.78)</f>
        <v>26.78</v>
      </c>
      <c r="AH467" s="8">
        <f t="shared" ca="1" si="138"/>
        <v>27.523809523809529</v>
      </c>
      <c r="AI467" s="12">
        <f t="shared" si="139"/>
        <v>60878580</v>
      </c>
      <c r="AJ467" s="13">
        <f t="shared" ca="1" si="140"/>
        <v>77634684.400000006</v>
      </c>
    </row>
    <row r="468" spans="1:36" x14ac:dyDescent="0.25">
      <c r="A468" s="63"/>
      <c r="B468" s="8">
        <v>505283</v>
      </c>
      <c r="C468" s="8" t="s">
        <v>1948</v>
      </c>
      <c r="D468" s="12">
        <v>62243735</v>
      </c>
      <c r="E468" s="8">
        <v>709.15</v>
      </c>
      <c r="F468" s="8">
        <v>709.15</v>
      </c>
      <c r="G468" s="8">
        <f t="shared" si="141"/>
        <v>0</v>
      </c>
      <c r="H468" s="12">
        <f t="shared" si="142"/>
        <v>44140144675.25</v>
      </c>
      <c r="I468" s="13">
        <f t="shared" si="143"/>
        <v>44140144675.25</v>
      </c>
      <c r="J468" s="63"/>
      <c r="K468" s="8">
        <v>526371</v>
      </c>
      <c r="L468" s="8" t="s">
        <v>1949</v>
      </c>
      <c r="M468" s="12">
        <v>2930509663</v>
      </c>
      <c r="N468" s="10">
        <v>231.15</v>
      </c>
      <c r="O468" s="10">
        <f ca="1">IFERROR(__xludf.DUMMYFUNCTION("GOOGLEFINANCE(""BOM:"" &amp; K468,""price"")"),201.7)</f>
        <v>201.7</v>
      </c>
      <c r="P468" s="8">
        <f t="shared" ca="1" si="147"/>
        <v>-12.740644603071605</v>
      </c>
      <c r="Q468" s="12">
        <f t="shared" si="148"/>
        <v>677387308602.45007</v>
      </c>
      <c r="R468" s="13">
        <f t="shared" ca="1" si="149"/>
        <v>591083799027.09998</v>
      </c>
      <c r="S468" s="63"/>
      <c r="T468" s="8">
        <v>521220</v>
      </c>
      <c r="U468" s="8" t="s">
        <v>1950</v>
      </c>
      <c r="V468" s="12">
        <v>22924750</v>
      </c>
      <c r="W468" s="8">
        <v>55</v>
      </c>
      <c r="X468" s="11">
        <f ca="1">IFERROR(__xludf.DUMMYFUNCTION("GOOGLEFINANCE(""BOM:"" &amp; T468,""price"")"),41.36)</f>
        <v>41.36</v>
      </c>
      <c r="Y468" s="8">
        <f t="shared" ca="1" si="144"/>
        <v>-24.8</v>
      </c>
      <c r="Z468" s="12">
        <f t="shared" si="145"/>
        <v>1260861250</v>
      </c>
      <c r="AA468" s="13">
        <f t="shared" ca="1" si="146"/>
        <v>948167660</v>
      </c>
      <c r="AB468" s="63"/>
      <c r="AC468" s="8">
        <v>507515</v>
      </c>
      <c r="AD468" s="8" t="s">
        <v>1951</v>
      </c>
      <c r="AE468" s="12">
        <v>4084610</v>
      </c>
      <c r="AF468" s="8">
        <v>21.97</v>
      </c>
      <c r="AG468" s="8">
        <f ca="1">IFERROR(__xludf.DUMMYFUNCTION("GOOGLEFINANCE(""BOM:"" &amp; AC468,""price"")"),18.24)</f>
        <v>18.239999999999998</v>
      </c>
      <c r="AH468" s="8">
        <f t="shared" ca="1" si="138"/>
        <v>-16.977696859353667</v>
      </c>
      <c r="AI468" s="12">
        <f t="shared" si="139"/>
        <v>89738881.699999988</v>
      </c>
      <c r="AJ468" s="13">
        <f t="shared" ca="1" si="140"/>
        <v>74503286.399999991</v>
      </c>
    </row>
    <row r="469" spans="1:36" x14ac:dyDescent="0.25">
      <c r="A469" s="63"/>
      <c r="B469" s="8">
        <v>500249</v>
      </c>
      <c r="C469" s="8" t="s">
        <v>1952</v>
      </c>
      <c r="D469" s="12">
        <v>34555145</v>
      </c>
      <c r="E469" s="8">
        <v>3795</v>
      </c>
      <c r="F469" s="8">
        <f ca="1">IFERROR(__xludf.DUMMYFUNCTION("GOOGLEFINANCE(""BOM:"" &amp; B469,""price"")"),3840)</f>
        <v>3840</v>
      </c>
      <c r="G469" s="8">
        <f t="shared" ca="1" si="141"/>
        <v>1.1857707509881421</v>
      </c>
      <c r="H469" s="12">
        <f t="shared" si="142"/>
        <v>131136775275</v>
      </c>
      <c r="I469" s="13">
        <f t="shared" ca="1" si="143"/>
        <v>132691756800</v>
      </c>
      <c r="J469" s="63"/>
      <c r="K469" s="8">
        <v>590086</v>
      </c>
      <c r="L469" s="8" t="s">
        <v>1953</v>
      </c>
      <c r="M469" s="12">
        <v>5795040</v>
      </c>
      <c r="N469" s="10">
        <v>6705.65</v>
      </c>
      <c r="O469" s="10">
        <f ca="1">IFERROR(__xludf.DUMMYFUNCTION("GOOGLEFINANCE(""BOM:"" &amp; K469,""price"")"),5905)</f>
        <v>5905</v>
      </c>
      <c r="P469" s="8">
        <f t="shared" ca="1" si="147"/>
        <v>-11.939931252003902</v>
      </c>
      <c r="Q469" s="12">
        <f t="shared" si="148"/>
        <v>38859509976</v>
      </c>
      <c r="R469" s="13">
        <f t="shared" ca="1" si="149"/>
        <v>34219711200</v>
      </c>
      <c r="S469" s="63"/>
      <c r="T469" s="8">
        <v>542729</v>
      </c>
      <c r="U469" s="8" t="s">
        <v>1954</v>
      </c>
      <c r="V469" s="12">
        <v>18152105</v>
      </c>
      <c r="W469" s="8">
        <v>182.5</v>
      </c>
      <c r="X469" s="11">
        <f ca="1">IFERROR(__xludf.DUMMYFUNCTION("GOOGLEFINANCE(""BOM:"" &amp; T469,""price"")"),189)</f>
        <v>189</v>
      </c>
      <c r="Y469" s="8">
        <f t="shared" ca="1" si="144"/>
        <v>3.5616438356164384</v>
      </c>
      <c r="Z469" s="12">
        <f t="shared" si="145"/>
        <v>3312759162.5</v>
      </c>
      <c r="AA469" s="13">
        <f t="shared" ca="1" si="146"/>
        <v>3430747845</v>
      </c>
      <c r="AB469" s="63"/>
      <c r="AC469" s="8">
        <v>513353</v>
      </c>
      <c r="AD469" s="8" t="s">
        <v>1955</v>
      </c>
      <c r="AE469" s="12">
        <v>7543453</v>
      </c>
      <c r="AF469" s="8">
        <v>306.39999999999998</v>
      </c>
      <c r="AG469" s="8">
        <f ca="1">IFERROR(__xludf.DUMMYFUNCTION("GOOGLEFINANCE(""BOM:"" &amp; AC469,""price"")"),269.2)</f>
        <v>269.2</v>
      </c>
      <c r="AH469" s="8">
        <f t="shared" ca="1" si="138"/>
        <v>-12.140992167101825</v>
      </c>
      <c r="AI469" s="12">
        <f t="shared" si="139"/>
        <v>2311313999.1999998</v>
      </c>
      <c r="AJ469" s="13">
        <f t="shared" ca="1" si="140"/>
        <v>2030697547.5999999</v>
      </c>
    </row>
    <row r="470" spans="1:36" x14ac:dyDescent="0.25">
      <c r="A470" s="63"/>
      <c r="B470" s="8">
        <v>517500</v>
      </c>
      <c r="C470" s="8" t="s">
        <v>1956</v>
      </c>
      <c r="D470" s="12">
        <v>31034606</v>
      </c>
      <c r="E470" s="8">
        <v>400.8</v>
      </c>
      <c r="F470" s="8">
        <f ca="1">IFERROR(__xludf.DUMMYFUNCTION("GOOGLEFINANCE(""BOM:"" &amp; B470,""price"")"),353.85)</f>
        <v>353.85</v>
      </c>
      <c r="G470" s="8">
        <f t="shared" ca="1" si="141"/>
        <v>-11.714071856287422</v>
      </c>
      <c r="H470" s="12">
        <f t="shared" si="142"/>
        <v>12438670084.800001</v>
      </c>
      <c r="I470" s="13">
        <f t="shared" ca="1" si="143"/>
        <v>10981595333.1</v>
      </c>
      <c r="J470" s="63"/>
      <c r="K470" s="8">
        <v>541634</v>
      </c>
      <c r="L470" s="8" t="s">
        <v>1957</v>
      </c>
      <c r="M470" s="12">
        <v>10058400</v>
      </c>
      <c r="N470" s="10">
        <v>35.799999999999997</v>
      </c>
      <c r="O470" s="10">
        <f ca="1">IFERROR(__xludf.DUMMYFUNCTION("GOOGLEFINANCE(""BOM:"" &amp; K470,""price"")"),30.78)</f>
        <v>30.78</v>
      </c>
      <c r="P470" s="8">
        <f t="shared" ca="1" si="147"/>
        <v>-14.022346368715075</v>
      </c>
      <c r="Q470" s="12">
        <f t="shared" si="148"/>
        <v>360090720</v>
      </c>
      <c r="R470" s="13">
        <f t="shared" ca="1" si="149"/>
        <v>309597552</v>
      </c>
      <c r="S470" s="63"/>
      <c r="T470" s="8">
        <v>514030</v>
      </c>
      <c r="U470" s="8" t="s">
        <v>1958</v>
      </c>
      <c r="V470" s="12">
        <v>6618061</v>
      </c>
      <c r="W470" s="8">
        <v>244.15</v>
      </c>
      <c r="X470" s="11">
        <f ca="1">IFERROR(__xludf.DUMMYFUNCTION("GOOGLEFINANCE(""BOM:"" &amp; T470,""price"")"),222.5)</f>
        <v>222.5</v>
      </c>
      <c r="Y470" s="8">
        <f t="shared" ca="1" si="144"/>
        <v>-8.8674994880196625</v>
      </c>
      <c r="Z470" s="12">
        <f t="shared" si="145"/>
        <v>1615799593.1500001</v>
      </c>
      <c r="AA470" s="13">
        <f t="shared" ca="1" si="146"/>
        <v>1472518572.5</v>
      </c>
      <c r="AB470" s="63"/>
      <c r="AC470" s="8">
        <v>526269</v>
      </c>
      <c r="AD470" s="8" t="s">
        <v>1959</v>
      </c>
      <c r="AE470" s="12">
        <v>744800</v>
      </c>
      <c r="AF470" s="8">
        <v>135.25</v>
      </c>
      <c r="AG470" s="8">
        <f ca="1">IFERROR(__xludf.DUMMYFUNCTION("GOOGLEFINANCE(""BOM:"" &amp; AC470,""price"")"),114.95)</f>
        <v>114.95</v>
      </c>
      <c r="AH470" s="8">
        <f t="shared" ca="1" si="138"/>
        <v>-15.009242144177449</v>
      </c>
      <c r="AI470" s="12">
        <f t="shared" si="139"/>
        <v>100734200</v>
      </c>
      <c r="AJ470" s="13">
        <f t="shared" ca="1" si="140"/>
        <v>85614760</v>
      </c>
    </row>
    <row r="471" spans="1:36" x14ac:dyDescent="0.25">
      <c r="A471" s="63"/>
      <c r="B471" s="8">
        <v>531431</v>
      </c>
      <c r="C471" s="8" t="s">
        <v>1960</v>
      </c>
      <c r="D471" s="12">
        <v>18351248</v>
      </c>
      <c r="E471" s="8">
        <v>1332.55</v>
      </c>
      <c r="F471" s="8">
        <f ca="1">IFERROR(__xludf.DUMMYFUNCTION("GOOGLEFINANCE(""BOM:"" &amp; B471,""price"")"),1343.9)</f>
        <v>1343.9</v>
      </c>
      <c r="G471" s="8">
        <f t="shared" ca="1" si="141"/>
        <v>0.85175040336198538</v>
      </c>
      <c r="H471" s="12">
        <f t="shared" si="142"/>
        <v>24453955522.399998</v>
      </c>
      <c r="I471" s="13">
        <f t="shared" ca="1" si="143"/>
        <v>24662242187.200001</v>
      </c>
      <c r="J471" s="63"/>
      <c r="K471" s="8">
        <v>504918</v>
      </c>
      <c r="L471" s="8" t="s">
        <v>1961</v>
      </c>
      <c r="M471" s="12">
        <v>162006920</v>
      </c>
      <c r="N471" s="10">
        <v>406.35</v>
      </c>
      <c r="O471" s="10">
        <f ca="1">IFERROR(__xludf.DUMMYFUNCTION("GOOGLEFINANCE(""BOM:"" &amp; K471,""price"")"),362.4)</f>
        <v>362.4</v>
      </c>
      <c r="P471" s="8">
        <f t="shared" ca="1" si="147"/>
        <v>-10.815799187892223</v>
      </c>
      <c r="Q471" s="12">
        <f t="shared" si="148"/>
        <v>65831511942</v>
      </c>
      <c r="R471" s="13">
        <f t="shared" ca="1" si="149"/>
        <v>58711307808</v>
      </c>
      <c r="S471" s="63"/>
      <c r="T471" s="8">
        <v>521151</v>
      </c>
      <c r="U471" s="8" t="s">
        <v>1962</v>
      </c>
      <c r="V471" s="12">
        <v>8414740</v>
      </c>
      <c r="W471" s="8">
        <v>57.61</v>
      </c>
      <c r="X471" s="11">
        <f ca="1">IFERROR(__xludf.DUMMYFUNCTION("GOOGLEFINANCE(""BOM:"" &amp; T471,""price"")"),52.5)</f>
        <v>52.5</v>
      </c>
      <c r="Y471" s="8">
        <f t="shared" ca="1" si="144"/>
        <v>-8.8699878493317126</v>
      </c>
      <c r="Z471" s="12">
        <f t="shared" si="145"/>
        <v>484773171.39999998</v>
      </c>
      <c r="AA471" s="13">
        <f t="shared" ca="1" si="146"/>
        <v>441773850</v>
      </c>
      <c r="AB471" s="63"/>
      <c r="AC471" s="8">
        <v>526821</v>
      </c>
      <c r="AD471" s="8" t="s">
        <v>1963</v>
      </c>
      <c r="AE471" s="12">
        <v>7351203</v>
      </c>
      <c r="AF471" s="8">
        <v>548.95000000000005</v>
      </c>
      <c r="AG471" s="8">
        <f ca="1">IFERROR(__xludf.DUMMYFUNCTION("GOOGLEFINANCE(""BOM:"" &amp; AC471,""price"")"),510)</f>
        <v>510</v>
      </c>
      <c r="AH471" s="8">
        <f t="shared" ca="1" si="138"/>
        <v>-7.0953638764914908</v>
      </c>
      <c r="AI471" s="12">
        <f t="shared" si="139"/>
        <v>4035442886.8500004</v>
      </c>
      <c r="AJ471" s="13">
        <f t="shared" ca="1" si="140"/>
        <v>3749113530</v>
      </c>
    </row>
    <row r="472" spans="1:36" x14ac:dyDescent="0.25">
      <c r="A472" s="64"/>
      <c r="B472" s="14">
        <v>522108</v>
      </c>
      <c r="C472" s="14" t="s">
        <v>1964</v>
      </c>
      <c r="D472" s="15">
        <v>11831466</v>
      </c>
      <c r="E472" s="8">
        <v>835</v>
      </c>
      <c r="F472" s="14">
        <f ca="1">IFERROR(__xludf.DUMMYFUNCTION("GOOGLEFINANCE(""BOM:"" &amp; B472,""price"")"),809.45)</f>
        <v>809.45</v>
      </c>
      <c r="G472" s="14">
        <f t="shared" ca="1" si="141"/>
        <v>-3.0598802395209526</v>
      </c>
      <c r="H472" s="15">
        <f t="shared" si="142"/>
        <v>9879274110</v>
      </c>
      <c r="I472" s="16">
        <f t="shared" ca="1" si="143"/>
        <v>9576980153.7000008</v>
      </c>
      <c r="J472" s="64"/>
      <c r="K472" s="14">
        <v>513498</v>
      </c>
      <c r="L472" s="14" t="s">
        <v>1965</v>
      </c>
      <c r="M472" s="15">
        <v>2082002</v>
      </c>
      <c r="N472" s="17">
        <v>248.15</v>
      </c>
      <c r="O472" s="17">
        <f ca="1">IFERROR(__xludf.DUMMYFUNCTION("GOOGLEFINANCE(""BOM:"" &amp; K472,""price"")"),222)</f>
        <v>222</v>
      </c>
      <c r="P472" s="14">
        <f t="shared" ca="1" si="147"/>
        <v>-10.53798105984284</v>
      </c>
      <c r="Q472" s="15">
        <f t="shared" si="148"/>
        <v>516648796.30000001</v>
      </c>
      <c r="R472" s="16">
        <f t="shared" ca="1" si="149"/>
        <v>462204444</v>
      </c>
      <c r="S472" s="63"/>
      <c r="T472" s="8">
        <v>521216</v>
      </c>
      <c r="U472" s="8" t="s">
        <v>1966</v>
      </c>
      <c r="V472" s="12">
        <v>3466720</v>
      </c>
      <c r="W472" s="8">
        <v>192</v>
      </c>
      <c r="X472" s="11">
        <f ca="1">IFERROR(__xludf.DUMMYFUNCTION("GOOGLEFINANCE(""BOM:"" &amp; T472,""price"")"),174.35)</f>
        <v>174.35</v>
      </c>
      <c r="Y472" s="8">
        <f t="shared" ca="1" si="144"/>
        <v>-9.1927083333333375</v>
      </c>
      <c r="Z472" s="12">
        <f t="shared" si="145"/>
        <v>665610240</v>
      </c>
      <c r="AA472" s="13">
        <f t="shared" ca="1" si="146"/>
        <v>604422632</v>
      </c>
      <c r="AB472" s="63"/>
      <c r="AC472" s="8">
        <v>530825</v>
      </c>
      <c r="AD472" s="8" t="s">
        <v>1967</v>
      </c>
      <c r="AE472" s="12">
        <v>5871430</v>
      </c>
      <c r="AF472" s="8">
        <v>103.55</v>
      </c>
      <c r="AG472" s="8">
        <f ca="1">IFERROR(__xludf.DUMMYFUNCTION("GOOGLEFINANCE(""BOM:"" &amp; AC472,""price"")"),99)</f>
        <v>99</v>
      </c>
      <c r="AH472" s="8">
        <f t="shared" ca="1" si="138"/>
        <v>-4.3940125543215807</v>
      </c>
      <c r="AI472" s="12">
        <f t="shared" si="139"/>
        <v>607986576.5</v>
      </c>
      <c r="AJ472" s="13">
        <f t="shared" ca="1" si="140"/>
        <v>581271570</v>
      </c>
    </row>
    <row r="473" spans="1:36" x14ac:dyDescent="0.25">
      <c r="A473" s="62" t="s">
        <v>1968</v>
      </c>
      <c r="B473" s="6">
        <v>532628</v>
      </c>
      <c r="C473" s="6" t="s">
        <v>1969</v>
      </c>
      <c r="D473" s="7">
        <v>167281970</v>
      </c>
      <c r="E473" s="6">
        <v>49.2</v>
      </c>
      <c r="F473" s="8">
        <f ca="1">IFERROR(__xludf.DUMMYFUNCTION("GOOGLEFINANCE(""BOM:"" &amp; B473,""price"")"),39.47)</f>
        <v>39.47</v>
      </c>
      <c r="G473" s="8">
        <f t="shared" ca="1" si="141"/>
        <v>-19.77642276422765</v>
      </c>
      <c r="H473" s="7">
        <f t="shared" si="142"/>
        <v>8230272924</v>
      </c>
      <c r="I473" s="9">
        <f t="shared" ca="1" si="143"/>
        <v>6602619355.8999996</v>
      </c>
      <c r="J473" s="62" t="s">
        <v>1970</v>
      </c>
      <c r="K473" s="6">
        <v>542726</v>
      </c>
      <c r="L473" s="6" t="s">
        <v>1971</v>
      </c>
      <c r="M473" s="7">
        <v>61229148</v>
      </c>
      <c r="N473" s="10">
        <v>2650.2</v>
      </c>
      <c r="O473" s="10">
        <f ca="1">IFERROR(__xludf.DUMMYFUNCTION("GOOGLEFINANCE(""BOM:"" &amp; K473,""price"")"),2642.8)</f>
        <v>2642.8</v>
      </c>
      <c r="P473" s="8">
        <f t="shared" ca="1" si="147"/>
        <v>-0.27922420949360938</v>
      </c>
      <c r="Q473" s="7">
        <f t="shared" si="148"/>
        <v>162269488029.59998</v>
      </c>
      <c r="R473" s="9">
        <f t="shared" ca="1" si="149"/>
        <v>161816392334.40002</v>
      </c>
      <c r="S473" s="63"/>
      <c r="T473" s="8">
        <v>512519</v>
      </c>
      <c r="U473" s="8" t="s">
        <v>1972</v>
      </c>
      <c r="V473" s="12">
        <v>51984424</v>
      </c>
      <c r="W473" s="8">
        <v>104</v>
      </c>
      <c r="X473" s="11">
        <f ca="1">IFERROR(__xludf.DUMMYFUNCTION("GOOGLEFINANCE(""BOM:"" &amp; T473,""price"")"),96.9)</f>
        <v>96.9</v>
      </c>
      <c r="Y473" s="8">
        <f t="shared" ca="1" si="144"/>
        <v>-6.8269230769230722</v>
      </c>
      <c r="Z473" s="12">
        <f t="shared" si="145"/>
        <v>5406380096</v>
      </c>
      <c r="AA473" s="13">
        <f t="shared" ca="1" si="146"/>
        <v>5037290685.6000004</v>
      </c>
      <c r="AB473" s="63"/>
      <c r="AC473" s="8">
        <v>541778</v>
      </c>
      <c r="AD473" s="8" t="s">
        <v>1973</v>
      </c>
      <c r="AE473" s="12">
        <v>23032800</v>
      </c>
      <c r="AF473" s="8">
        <v>100.9</v>
      </c>
      <c r="AG473" s="8">
        <f ca="1">IFERROR(__xludf.DUMMYFUNCTION("GOOGLEFINANCE(""BOM:"" &amp; AC473,""price"")"),85.55)</f>
        <v>85.55</v>
      </c>
      <c r="AH473" s="8">
        <f t="shared" ca="1" si="138"/>
        <v>-15.213082259663041</v>
      </c>
      <c r="AI473" s="12">
        <f t="shared" si="139"/>
        <v>2324009520</v>
      </c>
      <c r="AJ473" s="13">
        <f t="shared" ca="1" si="140"/>
        <v>1970456040</v>
      </c>
    </row>
    <row r="474" spans="1:36" x14ac:dyDescent="0.25">
      <c r="A474" s="63"/>
      <c r="B474" s="8">
        <v>526881</v>
      </c>
      <c r="C474" s="8" t="s">
        <v>1974</v>
      </c>
      <c r="D474" s="12">
        <v>46022114</v>
      </c>
      <c r="E474" s="8">
        <v>477.95</v>
      </c>
      <c r="F474" s="8">
        <f ca="1">IFERROR(__xludf.DUMMYFUNCTION("GOOGLEFINANCE(""BOM:"" &amp; B474,""price"")"),382.15)</f>
        <v>382.15</v>
      </c>
      <c r="G474" s="8">
        <f t="shared" ca="1" si="141"/>
        <v>-20.043937650381842</v>
      </c>
      <c r="H474" s="12">
        <f t="shared" si="142"/>
        <v>21996269386.299999</v>
      </c>
      <c r="I474" s="13">
        <f t="shared" ca="1" si="143"/>
        <v>17587350865.099998</v>
      </c>
      <c r="J474" s="63"/>
      <c r="K474" s="8">
        <v>538765</v>
      </c>
      <c r="L474" s="8" t="s">
        <v>1975</v>
      </c>
      <c r="M474" s="12">
        <v>5980000</v>
      </c>
      <c r="N474" s="10">
        <v>3.79</v>
      </c>
      <c r="O474" s="10">
        <f ca="1">IFERROR(__xludf.DUMMYFUNCTION("GOOGLEFINANCE(""BOM:"" &amp; K474,""price"")"),3.79)</f>
        <v>3.79</v>
      </c>
      <c r="P474" s="8">
        <f t="shared" ca="1" si="147"/>
        <v>0</v>
      </c>
      <c r="Q474" s="12">
        <f t="shared" si="148"/>
        <v>22664200</v>
      </c>
      <c r="R474" s="13">
        <f t="shared" ca="1" si="149"/>
        <v>22664200</v>
      </c>
      <c r="S474" s="63"/>
      <c r="T474" s="8">
        <v>590022</v>
      </c>
      <c r="U474" s="8" t="s">
        <v>1976</v>
      </c>
      <c r="V474" s="12">
        <v>77808566</v>
      </c>
      <c r="W474" s="8">
        <v>2.2400000000000002</v>
      </c>
      <c r="X474" s="11">
        <f ca="1">IFERROR(__xludf.DUMMYFUNCTION("GOOGLEFINANCE(""BOM:"" &amp; T474,""price"")"),2.13)</f>
        <v>2.13</v>
      </c>
      <c r="Y474" s="8">
        <f t="shared" ca="1" si="144"/>
        <v>-4.9107142857142998</v>
      </c>
      <c r="Z474" s="12">
        <f t="shared" si="145"/>
        <v>174291187.84</v>
      </c>
      <c r="AA474" s="13">
        <f t="shared" ca="1" si="146"/>
        <v>165732245.57999998</v>
      </c>
      <c r="AB474" s="63"/>
      <c r="AC474" s="8">
        <v>506401</v>
      </c>
      <c r="AD474" s="8" t="s">
        <v>1977</v>
      </c>
      <c r="AE474" s="12">
        <v>135660654</v>
      </c>
      <c r="AF474" s="8">
        <v>2219.9</v>
      </c>
      <c r="AG474" s="8">
        <f ca="1">IFERROR(__xludf.DUMMYFUNCTION("GOOGLEFINANCE(""BOM:"" &amp; AC474,""price"")"),2123.1)</f>
        <v>2123.1</v>
      </c>
      <c r="AH474" s="8">
        <f t="shared" ca="1" si="138"/>
        <v>-4.3605567818370279</v>
      </c>
      <c r="AI474" s="12">
        <f t="shared" si="139"/>
        <v>301153085814.60004</v>
      </c>
      <c r="AJ474" s="13">
        <f t="shared" ca="1" si="140"/>
        <v>288021134507.39996</v>
      </c>
    </row>
    <row r="475" spans="1:36" x14ac:dyDescent="0.25">
      <c r="A475" s="63"/>
      <c r="B475" s="8">
        <v>517494</v>
      </c>
      <c r="C475" s="8" t="s">
        <v>1978</v>
      </c>
      <c r="D475" s="12">
        <v>56984824</v>
      </c>
      <c r="E475" s="8">
        <v>24.74</v>
      </c>
      <c r="F475" s="8">
        <f ca="1">IFERROR(__xludf.DUMMYFUNCTION("GOOGLEFINANCE(""BOM:"" &amp; B475,""price"")"),19.34)</f>
        <v>19.34</v>
      </c>
      <c r="G475" s="8">
        <f t="shared" ca="1" si="141"/>
        <v>-21.827000808407433</v>
      </c>
      <c r="H475" s="12">
        <f t="shared" si="142"/>
        <v>1409804545.76</v>
      </c>
      <c r="I475" s="13">
        <f t="shared" ca="1" si="143"/>
        <v>1102086496.1600001</v>
      </c>
      <c r="J475" s="63"/>
      <c r="K475" s="8">
        <v>534623</v>
      </c>
      <c r="L475" s="8" t="s">
        <v>1979</v>
      </c>
      <c r="M475" s="12">
        <v>10020000</v>
      </c>
      <c r="N475" s="10">
        <v>43.24</v>
      </c>
      <c r="O475" s="10">
        <f ca="1">IFERROR(__xludf.DUMMYFUNCTION("GOOGLEFINANCE(""BOM:"" &amp; K475,""price"")"),36.2)</f>
        <v>36.200000000000003</v>
      </c>
      <c r="P475" s="8">
        <f t="shared" ca="1" si="147"/>
        <v>-16.281221091581866</v>
      </c>
      <c r="Q475" s="12">
        <f t="shared" si="148"/>
        <v>433264800</v>
      </c>
      <c r="R475" s="13">
        <f t="shared" ca="1" si="149"/>
        <v>362724000</v>
      </c>
      <c r="S475" s="63"/>
      <c r="T475" s="8">
        <v>532820</v>
      </c>
      <c r="U475" s="8" t="s">
        <v>1980</v>
      </c>
      <c r="V475" s="12">
        <v>47917428</v>
      </c>
      <c r="W475" s="8">
        <v>8.69</v>
      </c>
      <c r="X475" s="11">
        <f ca="1">IFERROR(__xludf.DUMMYFUNCTION("GOOGLEFINANCE(""BOM:"" &amp; T475,""price"")"),6.8)</f>
        <v>6.8</v>
      </c>
      <c r="Y475" s="8">
        <f t="shared" ca="1" si="144"/>
        <v>-21.749136939010356</v>
      </c>
      <c r="Z475" s="12">
        <f t="shared" si="145"/>
        <v>416402449.31999999</v>
      </c>
      <c r="AA475" s="13">
        <f t="shared" ca="1" si="146"/>
        <v>325838510.39999998</v>
      </c>
      <c r="AB475" s="63"/>
      <c r="AC475" s="8">
        <v>506405</v>
      </c>
      <c r="AD475" s="8" t="s">
        <v>1981</v>
      </c>
      <c r="AE475" s="12">
        <v>23784129</v>
      </c>
      <c r="AF475" s="8">
        <v>303.39999999999998</v>
      </c>
      <c r="AG475" s="8">
        <f ca="1">IFERROR(__xludf.DUMMYFUNCTION("GOOGLEFINANCE(""BOM:"" &amp; AC475,""price"")"),271)</f>
        <v>271</v>
      </c>
      <c r="AH475" s="8">
        <f t="shared" ca="1" si="138"/>
        <v>-10.678971654581403</v>
      </c>
      <c r="AI475" s="12">
        <f t="shared" si="139"/>
        <v>7216104738.5999994</v>
      </c>
      <c r="AJ475" s="13">
        <f t="shared" ca="1" si="140"/>
        <v>6445498959</v>
      </c>
    </row>
    <row r="476" spans="1:36" x14ac:dyDescent="0.25">
      <c r="A476" s="63"/>
      <c r="B476" s="8">
        <v>532268</v>
      </c>
      <c r="C476" s="8" t="s">
        <v>1982</v>
      </c>
      <c r="D476" s="12">
        <v>14851986</v>
      </c>
      <c r="E476" s="8">
        <v>1839</v>
      </c>
      <c r="F476" s="8">
        <f ca="1">IFERROR(__xludf.DUMMYFUNCTION("GOOGLEFINANCE(""BOM:"" &amp; B476,""price"")"),1701.95)</f>
        <v>1701.95</v>
      </c>
      <c r="G476" s="8">
        <f t="shared" ca="1" si="141"/>
        <v>-7.4524197933659568</v>
      </c>
      <c r="H476" s="12">
        <f t="shared" si="142"/>
        <v>27312802254</v>
      </c>
      <c r="I476" s="13">
        <f t="shared" ca="1" si="143"/>
        <v>25277337572.700001</v>
      </c>
      <c r="J476" s="63"/>
      <c r="K476" s="8">
        <v>535648</v>
      </c>
      <c r="L476" s="8" t="s">
        <v>1983</v>
      </c>
      <c r="M476" s="12">
        <v>84243229</v>
      </c>
      <c r="N476" s="10">
        <v>920.85</v>
      </c>
      <c r="O476" s="10">
        <f ca="1">IFERROR(__xludf.DUMMYFUNCTION("GOOGLEFINANCE(""BOM:"" &amp; K476,""price"")"),794)</f>
        <v>794</v>
      </c>
      <c r="P476" s="8">
        <f t="shared" ca="1" si="147"/>
        <v>-13.775316283868166</v>
      </c>
      <c r="Q476" s="12">
        <f t="shared" si="148"/>
        <v>77575377424.650009</v>
      </c>
      <c r="R476" s="13">
        <f t="shared" ca="1" si="149"/>
        <v>66889123826</v>
      </c>
      <c r="S476" s="63"/>
      <c r="T476" s="8">
        <v>521137</v>
      </c>
      <c r="U476" s="8" t="s">
        <v>1984</v>
      </c>
      <c r="V476" s="12">
        <v>5729500</v>
      </c>
      <c r="W476" s="8">
        <v>4.3099999999999996</v>
      </c>
      <c r="X476" s="11">
        <v>4.3099999999999996</v>
      </c>
      <c r="Y476" s="8">
        <f t="shared" si="144"/>
        <v>0</v>
      </c>
      <c r="Z476" s="12">
        <f t="shared" si="145"/>
        <v>24694144.999999996</v>
      </c>
      <c r="AA476" s="13">
        <f t="shared" si="146"/>
        <v>24694144.999999996</v>
      </c>
      <c r="AB476" s="63"/>
      <c r="AC476" s="8">
        <v>500120</v>
      </c>
      <c r="AD476" s="8" t="s">
        <v>1985</v>
      </c>
      <c r="AE476" s="12">
        <v>9550610</v>
      </c>
      <c r="AF476" s="8">
        <v>613.4</v>
      </c>
      <c r="AG476" s="8">
        <f ca="1">IFERROR(__xludf.DUMMYFUNCTION("GOOGLEFINANCE(""BOM:"" &amp; AC476,""price"")"),514.45)</f>
        <v>514.45000000000005</v>
      </c>
      <c r="AH476" s="8">
        <f t="shared" ca="1" si="138"/>
        <v>-16.131398761004228</v>
      </c>
      <c r="AI476" s="12">
        <f t="shared" si="139"/>
        <v>5858344174</v>
      </c>
      <c r="AJ476" s="13">
        <f t="shared" ca="1" si="140"/>
        <v>4913311314.5</v>
      </c>
    </row>
    <row r="477" spans="1:36" x14ac:dyDescent="0.25">
      <c r="A477" s="63"/>
      <c r="B477" s="8">
        <v>543269</v>
      </c>
      <c r="C477" s="8" t="s">
        <v>1986</v>
      </c>
      <c r="D477" s="12">
        <v>880400</v>
      </c>
      <c r="E477" s="8">
        <v>38</v>
      </c>
      <c r="F477" s="8">
        <f ca="1">IFERROR(__xludf.DUMMYFUNCTION("GOOGLEFINANCE(""BOM:"" &amp; B477,""price"")"),34)</f>
        <v>34</v>
      </c>
      <c r="G477" s="8">
        <f t="shared" ca="1" si="141"/>
        <v>-10.526315789473683</v>
      </c>
      <c r="H477" s="12">
        <f t="shared" si="142"/>
        <v>33455200</v>
      </c>
      <c r="I477" s="13">
        <f t="shared" ca="1" si="143"/>
        <v>29933600</v>
      </c>
      <c r="J477" s="63"/>
      <c r="K477" s="8">
        <v>540704</v>
      </c>
      <c r="L477" s="8" t="s">
        <v>1987</v>
      </c>
      <c r="M477" s="12">
        <v>22896910</v>
      </c>
      <c r="N477" s="10">
        <v>544.20000000000005</v>
      </c>
      <c r="O477" s="10">
        <f ca="1">IFERROR(__xludf.DUMMYFUNCTION("GOOGLEFINANCE(""BOM:"" &amp; K477,""price"")"),524)</f>
        <v>524</v>
      </c>
      <c r="P477" s="8">
        <f t="shared" ca="1" si="147"/>
        <v>-3.7118706357956714</v>
      </c>
      <c r="Q477" s="12">
        <f t="shared" si="148"/>
        <v>12460498422.000002</v>
      </c>
      <c r="R477" s="13">
        <f t="shared" ca="1" si="149"/>
        <v>11997980840</v>
      </c>
      <c r="S477" s="63"/>
      <c r="T477" s="8">
        <v>521014</v>
      </c>
      <c r="U477" s="8" t="s">
        <v>1988</v>
      </c>
      <c r="V477" s="12">
        <v>8557586</v>
      </c>
      <c r="W477" s="8">
        <v>15.56</v>
      </c>
      <c r="X477" s="11">
        <f ca="1">IFERROR(__xludf.DUMMYFUNCTION("GOOGLEFINANCE(""BOM:"" &amp; T477,""price"")"),14)</f>
        <v>14</v>
      </c>
      <c r="Y477" s="8">
        <f t="shared" ca="1" si="144"/>
        <v>-10.02570694087404</v>
      </c>
      <c r="Z477" s="12">
        <f t="shared" si="145"/>
        <v>133156038.16000001</v>
      </c>
      <c r="AA477" s="13">
        <f t="shared" ca="1" si="146"/>
        <v>119806204</v>
      </c>
      <c r="AB477" s="63"/>
      <c r="AC477" s="8">
        <v>524818</v>
      </c>
      <c r="AD477" s="8" t="s">
        <v>1989</v>
      </c>
      <c r="AE477" s="12">
        <v>2923549</v>
      </c>
      <c r="AF477" s="8">
        <v>76.84</v>
      </c>
      <c r="AG477" s="8">
        <f ca="1">IFERROR(__xludf.DUMMYFUNCTION("GOOGLEFINANCE(""BOM:"" &amp; AC477,""price"")"),65.91)</f>
        <v>65.91</v>
      </c>
      <c r="AH477" s="8">
        <f t="shared" ca="1" si="138"/>
        <v>-14.224362311296208</v>
      </c>
      <c r="AI477" s="12">
        <f t="shared" si="139"/>
        <v>224645505.16</v>
      </c>
      <c r="AJ477" s="13">
        <f t="shared" ca="1" si="140"/>
        <v>192691114.59</v>
      </c>
    </row>
    <row r="478" spans="1:36" x14ac:dyDescent="0.25">
      <c r="A478" s="63"/>
      <c r="B478" s="8">
        <v>530713</v>
      </c>
      <c r="C478" s="8" t="s">
        <v>1990</v>
      </c>
      <c r="D478" s="12">
        <v>9784685</v>
      </c>
      <c r="E478" s="8">
        <v>15.92</v>
      </c>
      <c r="F478" s="8">
        <f ca="1">IFERROR(__xludf.DUMMYFUNCTION("GOOGLEFINANCE(""BOM:"" &amp; B478,""price"")"),16.1)</f>
        <v>16.100000000000001</v>
      </c>
      <c r="G478" s="8">
        <f t="shared" ca="1" si="141"/>
        <v>1.1306532663316677</v>
      </c>
      <c r="H478" s="12">
        <f t="shared" si="142"/>
        <v>155772185.19999999</v>
      </c>
      <c r="I478" s="13">
        <f t="shared" ca="1" si="143"/>
        <v>157533428.5</v>
      </c>
      <c r="J478" s="63"/>
      <c r="K478" s="8">
        <v>532777</v>
      </c>
      <c r="L478" s="8" t="s">
        <v>1991</v>
      </c>
      <c r="M478" s="12">
        <v>128978242</v>
      </c>
      <c r="N478" s="10">
        <v>5296</v>
      </c>
      <c r="O478" s="10">
        <f ca="1">IFERROR(__xludf.DUMMYFUNCTION("GOOGLEFINANCE(""BOM:"" &amp; K478,""price"")"),5497.35)</f>
        <v>5497.35</v>
      </c>
      <c r="P478" s="8">
        <f t="shared" ca="1" si="147"/>
        <v>3.8019259818731186</v>
      </c>
      <c r="Q478" s="12">
        <f t="shared" si="148"/>
        <v>683068769632</v>
      </c>
      <c r="R478" s="13">
        <f t="shared" ca="1" si="149"/>
        <v>709038538658.70007</v>
      </c>
      <c r="S478" s="63"/>
      <c r="T478" s="8">
        <v>514358</v>
      </c>
      <c r="U478" s="8" t="s">
        <v>1992</v>
      </c>
      <c r="V478" s="12">
        <v>5431477</v>
      </c>
      <c r="W478" s="8">
        <v>72</v>
      </c>
      <c r="X478" s="11">
        <f ca="1">IFERROR(__xludf.DUMMYFUNCTION("GOOGLEFINANCE(""BOM:"" &amp; T478,""price"")"),73.2)</f>
        <v>73.2</v>
      </c>
      <c r="Y478" s="8">
        <f t="shared" ca="1" si="144"/>
        <v>1.6666666666666705</v>
      </c>
      <c r="Z478" s="12">
        <f t="shared" si="145"/>
        <v>391066344</v>
      </c>
      <c r="AA478" s="13">
        <f t="shared" ca="1" si="146"/>
        <v>397584116.40000004</v>
      </c>
      <c r="AB478" s="63"/>
      <c r="AC478" s="8">
        <v>532707</v>
      </c>
      <c r="AD478" s="8" t="s">
        <v>1993</v>
      </c>
      <c r="AE478" s="12">
        <v>11575303</v>
      </c>
      <c r="AF478" s="8">
        <v>306</v>
      </c>
      <c r="AG478" s="8">
        <f ca="1">IFERROR(__xludf.DUMMYFUNCTION("GOOGLEFINANCE(""BOM:"" &amp; AC478,""price"")"),259.95)</f>
        <v>259.95</v>
      </c>
      <c r="AH478" s="8">
        <f t="shared" ca="1" si="138"/>
        <v>-15.049019607843142</v>
      </c>
      <c r="AI478" s="12">
        <f t="shared" si="139"/>
        <v>3542042718</v>
      </c>
      <c r="AJ478" s="13">
        <f t="shared" ca="1" si="140"/>
        <v>3009000014.8499999</v>
      </c>
    </row>
    <row r="479" spans="1:36" x14ac:dyDescent="0.25">
      <c r="A479" s="63"/>
      <c r="B479" s="8">
        <v>542770</v>
      </c>
      <c r="C479" s="8" t="s">
        <v>1994</v>
      </c>
      <c r="D479" s="12">
        <v>46857022</v>
      </c>
      <c r="E479" s="8">
        <v>87.02</v>
      </c>
      <c r="F479" s="8">
        <f ca="1">IFERROR(__xludf.DUMMYFUNCTION("GOOGLEFINANCE(""BOM:"" &amp; B479,""price"")"),80)</f>
        <v>80</v>
      </c>
      <c r="G479" s="8">
        <f t="shared" ca="1" si="141"/>
        <v>-8.0671110089634528</v>
      </c>
      <c r="H479" s="12">
        <f t="shared" si="142"/>
        <v>4077498054.4399996</v>
      </c>
      <c r="I479" s="13">
        <f t="shared" ca="1" si="143"/>
        <v>3748561760</v>
      </c>
      <c r="J479" s="64"/>
      <c r="K479" s="14">
        <v>521105</v>
      </c>
      <c r="L479" s="14" t="s">
        <v>1995</v>
      </c>
      <c r="M479" s="15">
        <v>5279109</v>
      </c>
      <c r="N479" s="17">
        <v>59.9</v>
      </c>
      <c r="O479" s="17">
        <f ca="1">IFERROR(__xludf.DUMMYFUNCTION("GOOGLEFINANCE(""BOM:"" &amp; K479,""price"")"),44.16)</f>
        <v>44.16</v>
      </c>
      <c r="P479" s="14">
        <f t="shared" ca="1" si="147"/>
        <v>-26.277128547579302</v>
      </c>
      <c r="Q479" s="15">
        <f t="shared" si="148"/>
        <v>316218629.09999996</v>
      </c>
      <c r="R479" s="16">
        <f t="shared" ca="1" si="149"/>
        <v>233125453.43999997</v>
      </c>
      <c r="S479" s="63"/>
      <c r="T479" s="8">
        <v>514060</v>
      </c>
      <c r="U479" s="8" t="s">
        <v>1996</v>
      </c>
      <c r="V479" s="12">
        <v>161400</v>
      </c>
      <c r="W479" s="8">
        <v>126.4</v>
      </c>
      <c r="X479" s="11">
        <f ca="1">IFERROR(__xludf.DUMMYFUNCTION("GOOGLEFINANCE(""BOM:"" &amp; T479,""price"")"),47.45)</f>
        <v>47.45</v>
      </c>
      <c r="Y479" s="8">
        <f t="shared" ca="1" si="144"/>
        <v>-62.460443037974677</v>
      </c>
      <c r="Z479" s="12">
        <f t="shared" si="145"/>
        <v>20400960</v>
      </c>
      <c r="AA479" s="13">
        <f t="shared" ca="1" si="146"/>
        <v>7658430</v>
      </c>
      <c r="AB479" s="63"/>
      <c r="AC479" s="8">
        <v>540204</v>
      </c>
      <c r="AD479" s="8" t="s">
        <v>1997</v>
      </c>
      <c r="AE479" s="12">
        <v>8304167</v>
      </c>
      <c r="AF479" s="8">
        <v>56.77</v>
      </c>
      <c r="AG479" s="8">
        <f ca="1">IFERROR(__xludf.DUMMYFUNCTION("GOOGLEFINANCE(""BOM:"" &amp; AC479,""price"")"),51.7)</f>
        <v>51.7</v>
      </c>
      <c r="AH479" s="8">
        <f t="shared" ca="1" si="138"/>
        <v>-8.9307732957548005</v>
      </c>
      <c r="AI479" s="12">
        <f t="shared" si="139"/>
        <v>471427560.59000003</v>
      </c>
      <c r="AJ479" s="13">
        <f t="shared" ca="1" si="140"/>
        <v>429325433.90000004</v>
      </c>
    </row>
    <row r="480" spans="1:36" x14ac:dyDescent="0.25">
      <c r="A480" s="63"/>
      <c r="B480" s="8">
        <v>531677</v>
      </c>
      <c r="C480" s="8" t="s">
        <v>1998</v>
      </c>
      <c r="D480" s="12">
        <v>221230</v>
      </c>
      <c r="E480" s="8">
        <v>49.69</v>
      </c>
      <c r="F480" s="8">
        <f ca="1">IFERROR(__xludf.DUMMYFUNCTION("GOOGLEFINANCE(""BOM:"" &amp; B480,""price"")"),49.69)</f>
        <v>49.69</v>
      </c>
      <c r="G480" s="8">
        <f t="shared" ca="1" si="141"/>
        <v>0</v>
      </c>
      <c r="H480" s="12">
        <f t="shared" si="142"/>
        <v>10992918.699999999</v>
      </c>
      <c r="I480" s="13">
        <f t="shared" ca="1" si="143"/>
        <v>10992918.699999999</v>
      </c>
      <c r="J480" s="62" t="s">
        <v>1999</v>
      </c>
      <c r="K480" s="6">
        <v>516092</v>
      </c>
      <c r="L480" s="6" t="s">
        <v>2000</v>
      </c>
      <c r="M480" s="7">
        <v>17964660</v>
      </c>
      <c r="N480" s="10">
        <v>33.49</v>
      </c>
      <c r="O480" s="10">
        <f ca="1">IFERROR(__xludf.DUMMYFUNCTION("GOOGLEFINANCE(""BOM:"" &amp; K480,""price"")"),27.48)</f>
        <v>27.48</v>
      </c>
      <c r="P480" s="8">
        <f t="shared" ca="1" si="147"/>
        <v>-17.945655419528219</v>
      </c>
      <c r="Q480" s="7">
        <f t="shared" si="148"/>
        <v>601636463.4000001</v>
      </c>
      <c r="R480" s="9">
        <f t="shared" ca="1" si="149"/>
        <v>493668856.80000001</v>
      </c>
      <c r="S480" s="63"/>
      <c r="T480" s="8">
        <v>532459</v>
      </c>
      <c r="U480" s="8" t="s">
        <v>2001</v>
      </c>
      <c r="V480" s="12">
        <v>10590099</v>
      </c>
      <c r="W480" s="8" t="s">
        <v>60</v>
      </c>
      <c r="X480" s="8" t="s">
        <v>60</v>
      </c>
      <c r="Y480" s="8"/>
      <c r="Z480" s="12"/>
      <c r="AA480" s="13"/>
      <c r="AB480" s="63"/>
      <c r="AC480" s="8">
        <v>500123</v>
      </c>
      <c r="AD480" s="8" t="s">
        <v>2002</v>
      </c>
      <c r="AE480" s="12">
        <v>7861194</v>
      </c>
      <c r="AF480" s="8">
        <v>8704</v>
      </c>
      <c r="AG480" s="8">
        <f ca="1">IFERROR(__xludf.DUMMYFUNCTION("GOOGLEFINANCE(""BOM:"" &amp; AC480,""price"")"),8943.9)</f>
        <v>8943.9</v>
      </c>
      <c r="AH480" s="8">
        <f t="shared" ca="1" si="138"/>
        <v>2.7562040441176427</v>
      </c>
      <c r="AI480" s="12">
        <f t="shared" si="139"/>
        <v>68423832576</v>
      </c>
      <c r="AJ480" s="13">
        <f t="shared" ca="1" si="140"/>
        <v>70309733016.599991</v>
      </c>
    </row>
    <row r="481" spans="1:36" x14ac:dyDescent="0.25">
      <c r="A481" s="63"/>
      <c r="B481" s="8">
        <v>526433</v>
      </c>
      <c r="C481" s="8" t="s">
        <v>2003</v>
      </c>
      <c r="D481" s="12">
        <v>9356873</v>
      </c>
      <c r="E481" s="8">
        <v>1014.1</v>
      </c>
      <c r="F481" s="8">
        <f ca="1">IFERROR(__xludf.DUMMYFUNCTION("GOOGLEFINANCE(""BOM:"" &amp; B481,""price"")"),890.75)</f>
        <v>890.75</v>
      </c>
      <c r="G481" s="8">
        <f t="shared" ca="1" si="141"/>
        <v>-12.163494724386158</v>
      </c>
      <c r="H481" s="12">
        <f t="shared" si="142"/>
        <v>9488804909.3000011</v>
      </c>
      <c r="I481" s="13">
        <f t="shared" ca="1" si="143"/>
        <v>8334634624.75</v>
      </c>
      <c r="J481" s="63"/>
      <c r="K481" s="8">
        <v>532056</v>
      </c>
      <c r="L481" s="8" t="s">
        <v>2004</v>
      </c>
      <c r="M481" s="12">
        <v>3155000</v>
      </c>
      <c r="N481" s="10">
        <v>29.5</v>
      </c>
      <c r="O481" s="10">
        <f ca="1">IFERROR(__xludf.DUMMYFUNCTION("GOOGLEFINANCE(""BOM:"" &amp; K481,""price"")"),25.89)</f>
        <v>25.89</v>
      </c>
      <c r="P481" s="8">
        <f t="shared" ca="1" si="147"/>
        <v>-12.23728813559322</v>
      </c>
      <c r="Q481" s="12">
        <f t="shared" si="148"/>
        <v>93072500</v>
      </c>
      <c r="R481" s="13">
        <f t="shared" ca="1" si="149"/>
        <v>81682950</v>
      </c>
      <c r="S481" s="63"/>
      <c r="T481" s="8">
        <v>530079</v>
      </c>
      <c r="U481" s="8" t="s">
        <v>2005</v>
      </c>
      <c r="V481" s="12">
        <v>23166717</v>
      </c>
      <c r="W481" s="8">
        <v>435.85</v>
      </c>
      <c r="X481" s="11">
        <f ca="1">IFERROR(__xludf.DUMMYFUNCTION("GOOGLEFINANCE(""BOM:"" &amp; T481,""price"")"),361.9)</f>
        <v>361.9</v>
      </c>
      <c r="Y481" s="8">
        <f t="shared" ref="Y481:Y499" ca="1" si="150">((X481-W481)/W481)*100</f>
        <v>-16.966846392107385</v>
      </c>
      <c r="Z481" s="12">
        <f t="shared" ref="Z481:Z500" si="151">V481*W481</f>
        <v>10097213604.450001</v>
      </c>
      <c r="AA481" s="13">
        <f t="shared" ref="AA481:AA500" ca="1" si="152">V481*X481</f>
        <v>8384034882.2999992</v>
      </c>
      <c r="AB481" s="63"/>
      <c r="AC481" s="8">
        <v>500650</v>
      </c>
      <c r="AD481" s="8" t="s">
        <v>2006</v>
      </c>
      <c r="AE481" s="12">
        <v>12424561</v>
      </c>
      <c r="AF481" s="8">
        <v>832.1</v>
      </c>
      <c r="AG481" s="8">
        <f ca="1">IFERROR(__xludf.DUMMYFUNCTION("GOOGLEFINANCE(""BOM:"" &amp; AC481,""price"")"),715.75)</f>
        <v>715.75</v>
      </c>
      <c r="AH481" s="8">
        <f t="shared" ca="1" si="138"/>
        <v>-13.982694387693789</v>
      </c>
      <c r="AI481" s="12">
        <f t="shared" si="139"/>
        <v>10338477208.1</v>
      </c>
      <c r="AJ481" s="13">
        <f t="shared" ca="1" si="140"/>
        <v>8892879535.75</v>
      </c>
    </row>
    <row r="482" spans="1:36" x14ac:dyDescent="0.25">
      <c r="A482" s="63"/>
      <c r="B482" s="8">
        <v>517429</v>
      </c>
      <c r="C482" s="8" t="s">
        <v>2007</v>
      </c>
      <c r="D482" s="12">
        <v>11901789</v>
      </c>
      <c r="E482" s="8">
        <v>98.5</v>
      </c>
      <c r="F482" s="8">
        <f ca="1">IFERROR(__xludf.DUMMYFUNCTION("GOOGLEFINANCE(""BOM:"" &amp; B482,""price"")"),90)</f>
        <v>90</v>
      </c>
      <c r="G482" s="8">
        <f t="shared" ca="1" si="141"/>
        <v>-8.6294416243654819</v>
      </c>
      <c r="H482" s="12">
        <f t="shared" si="142"/>
        <v>1172326216.5</v>
      </c>
      <c r="I482" s="13">
        <f t="shared" ca="1" si="143"/>
        <v>1071161010</v>
      </c>
      <c r="J482" s="63"/>
      <c r="K482" s="8">
        <v>539265</v>
      </c>
      <c r="L482" s="8" t="s">
        <v>2008</v>
      </c>
      <c r="M482" s="12">
        <v>13357000</v>
      </c>
      <c r="N482" s="10">
        <v>12.72</v>
      </c>
      <c r="O482" s="10">
        <f ca="1">IFERROR(__xludf.DUMMYFUNCTION("GOOGLEFINANCE(""BOM:"" &amp; K482,""price"")"),12.72)</f>
        <v>12.72</v>
      </c>
      <c r="P482" s="8">
        <f t="shared" ca="1" si="147"/>
        <v>0</v>
      </c>
      <c r="Q482" s="12">
        <f t="shared" si="148"/>
        <v>169901040</v>
      </c>
      <c r="R482" s="13">
        <f t="shared" ca="1" si="149"/>
        <v>169901040</v>
      </c>
      <c r="S482" s="63"/>
      <c r="T482" s="8">
        <v>507910</v>
      </c>
      <c r="U482" s="8" t="s">
        <v>2009</v>
      </c>
      <c r="V482" s="12">
        <v>27613452</v>
      </c>
      <c r="W482" s="8">
        <v>37.96</v>
      </c>
      <c r="X482" s="11">
        <f ca="1">IFERROR(__xludf.DUMMYFUNCTION("GOOGLEFINANCE(""BOM:"" &amp; T482,""price"")"),30.38)</f>
        <v>30.38</v>
      </c>
      <c r="Y482" s="8">
        <f t="shared" ca="1" si="150"/>
        <v>-19.968387776606956</v>
      </c>
      <c r="Z482" s="12">
        <f t="shared" si="151"/>
        <v>1048206637.9200001</v>
      </c>
      <c r="AA482" s="13">
        <f t="shared" ca="1" si="152"/>
        <v>838896671.75999999</v>
      </c>
      <c r="AB482" s="63"/>
      <c r="AC482" s="8">
        <v>543252</v>
      </c>
      <c r="AD482" s="8" t="s">
        <v>2010</v>
      </c>
      <c r="AE482" s="12">
        <v>13020902</v>
      </c>
      <c r="AF482" s="8">
        <v>1430</v>
      </c>
      <c r="AG482" s="8">
        <f ca="1">IFERROR(__xludf.DUMMYFUNCTION("GOOGLEFINANCE(""BOM:"" &amp; AC482,""price"")"),1191)</f>
        <v>1191</v>
      </c>
      <c r="AH482" s="8">
        <f t="shared" ca="1" si="138"/>
        <v>-16.713286713286713</v>
      </c>
      <c r="AI482" s="12">
        <f t="shared" si="139"/>
        <v>18619889860</v>
      </c>
      <c r="AJ482" s="13">
        <f t="shared" ca="1" si="140"/>
        <v>15507894282</v>
      </c>
    </row>
    <row r="483" spans="1:36" x14ac:dyDescent="0.25">
      <c r="A483" s="63"/>
      <c r="B483" s="8">
        <v>532668</v>
      </c>
      <c r="C483" s="8" t="s">
        <v>2011</v>
      </c>
      <c r="D483" s="12">
        <v>22755204</v>
      </c>
      <c r="E483" s="8">
        <v>2200.0500000000002</v>
      </c>
      <c r="F483" s="8">
        <f ca="1">IFERROR(__xludf.DUMMYFUNCTION("GOOGLEFINANCE(""BOM:"" &amp; B483,""price"")"),2205)</f>
        <v>2205</v>
      </c>
      <c r="G483" s="8">
        <f t="shared" ca="1" si="141"/>
        <v>0.22499488647984445</v>
      </c>
      <c r="H483" s="12">
        <f t="shared" si="142"/>
        <v>50062586560.200005</v>
      </c>
      <c r="I483" s="13">
        <f t="shared" ca="1" si="143"/>
        <v>50175224820</v>
      </c>
      <c r="J483" s="63"/>
      <c r="K483" s="8">
        <v>538556</v>
      </c>
      <c r="L483" s="8" t="s">
        <v>2012</v>
      </c>
      <c r="M483" s="12">
        <v>5083339</v>
      </c>
      <c r="N483" s="10">
        <v>67.95</v>
      </c>
      <c r="O483" s="10">
        <f ca="1">IFERROR(__xludf.DUMMYFUNCTION("GOOGLEFINANCE(""BOM:"" &amp; K483,""price"")"),64.9)</f>
        <v>64.900000000000006</v>
      </c>
      <c r="P483" s="8">
        <f t="shared" ca="1" si="147"/>
        <v>-4.4885945548197155</v>
      </c>
      <c r="Q483" s="12">
        <f t="shared" si="148"/>
        <v>345412885.05000001</v>
      </c>
      <c r="R483" s="13">
        <f t="shared" ca="1" si="149"/>
        <v>329908701.10000002</v>
      </c>
      <c r="S483" s="63"/>
      <c r="T483" s="8">
        <v>526227</v>
      </c>
      <c r="U483" s="8" t="s">
        <v>2013</v>
      </c>
      <c r="V483" s="12">
        <v>221127737</v>
      </c>
      <c r="W483" s="8">
        <v>72.2</v>
      </c>
      <c r="X483" s="11">
        <f ca="1">IFERROR(__xludf.DUMMYFUNCTION("GOOGLEFINANCE(""BOM:"" &amp; T483,""price"")"),58.5)</f>
        <v>58.5</v>
      </c>
      <c r="Y483" s="8">
        <f t="shared" ca="1" si="150"/>
        <v>-18.975069252077564</v>
      </c>
      <c r="Z483" s="12">
        <f t="shared" si="151"/>
        <v>15965422611.400002</v>
      </c>
      <c r="AA483" s="13">
        <f t="shared" ca="1" si="152"/>
        <v>12935972614.5</v>
      </c>
      <c r="AB483" s="63"/>
      <c r="AC483" s="8">
        <v>533333</v>
      </c>
      <c r="AD483" s="8" t="s">
        <v>2014</v>
      </c>
      <c r="AE483" s="12">
        <v>110748240</v>
      </c>
      <c r="AF483" s="8">
        <v>426.65</v>
      </c>
      <c r="AG483" s="8">
        <f ca="1">IFERROR(__xludf.DUMMYFUNCTION("GOOGLEFINANCE(""BOM:"" &amp; AC483,""price"")"),368.45)</f>
        <v>368.45</v>
      </c>
      <c r="AH483" s="8">
        <f t="shared" ca="1" si="138"/>
        <v>-13.641157857728818</v>
      </c>
      <c r="AI483" s="12">
        <f t="shared" si="139"/>
        <v>47250736596</v>
      </c>
      <c r="AJ483" s="13">
        <f t="shared" ca="1" si="140"/>
        <v>40805189028</v>
      </c>
    </row>
    <row r="484" spans="1:36" x14ac:dyDescent="0.25">
      <c r="A484" s="63"/>
      <c r="B484" s="8">
        <v>532400</v>
      </c>
      <c r="C484" s="8" t="s">
        <v>2015</v>
      </c>
      <c r="D484" s="12">
        <v>279197886</v>
      </c>
      <c r="E484" s="8">
        <v>774.85</v>
      </c>
      <c r="F484" s="8">
        <f ca="1">IFERROR(__xludf.DUMMYFUNCTION("GOOGLEFINANCE(""BOM:"" &amp; B484,""price"")"),742.5)</f>
        <v>742.5</v>
      </c>
      <c r="G484" s="8">
        <f t="shared" ca="1" si="141"/>
        <v>-4.1750016132154633</v>
      </c>
      <c r="H484" s="12">
        <f t="shared" si="142"/>
        <v>216336481967.10001</v>
      </c>
      <c r="I484" s="13">
        <f t="shared" ca="1" si="143"/>
        <v>207304430355</v>
      </c>
      <c r="J484" s="63"/>
      <c r="K484" s="8">
        <v>538716</v>
      </c>
      <c r="L484" s="8" t="s">
        <v>2016</v>
      </c>
      <c r="M484" s="12">
        <v>11977126</v>
      </c>
      <c r="N484" s="10">
        <v>82.95</v>
      </c>
      <c r="O484" s="10">
        <f ca="1">IFERROR(__xludf.DUMMYFUNCTION("GOOGLEFINANCE(""BOM:"" &amp; K484,""price"")"),121)</f>
        <v>121</v>
      </c>
      <c r="P484" s="8">
        <f t="shared" ca="1" si="147"/>
        <v>45.871006630500297</v>
      </c>
      <c r="Q484" s="12">
        <f t="shared" si="148"/>
        <v>993502601.70000005</v>
      </c>
      <c r="R484" s="13">
        <f t="shared" ca="1" si="149"/>
        <v>1449232246</v>
      </c>
      <c r="S484" s="63"/>
      <c r="T484" s="8">
        <v>532022</v>
      </c>
      <c r="U484" s="8" t="s">
        <v>2017</v>
      </c>
      <c r="V484" s="12">
        <v>96509764</v>
      </c>
      <c r="W484" s="8">
        <v>16.47</v>
      </c>
      <c r="X484" s="11">
        <f ca="1">IFERROR(__xludf.DUMMYFUNCTION("GOOGLEFINANCE(""BOM:"" &amp; T484,""price"")"),11.28)</f>
        <v>11.28</v>
      </c>
      <c r="Y484" s="8">
        <f t="shared" ca="1" si="150"/>
        <v>-31.51183970856102</v>
      </c>
      <c r="Z484" s="12">
        <f t="shared" si="151"/>
        <v>1589515813.0799999</v>
      </c>
      <c r="AA484" s="13">
        <f t="shared" ca="1" si="152"/>
        <v>1088630137.9199998</v>
      </c>
      <c r="AB484" s="63"/>
      <c r="AC484" s="8">
        <v>541557</v>
      </c>
      <c r="AD484" s="8" t="s">
        <v>2018</v>
      </c>
      <c r="AE484" s="12">
        <v>30659976</v>
      </c>
      <c r="AF484" s="8">
        <v>4312.3500000000004</v>
      </c>
      <c r="AG484" s="8">
        <f ca="1">IFERROR(__xludf.DUMMYFUNCTION("GOOGLEFINANCE(""BOM:"" &amp; AC484,""price"")"),4030.8)</f>
        <v>4030.8</v>
      </c>
      <c r="AH484" s="8">
        <f t="shared" ca="1" si="138"/>
        <v>-6.5289227451389653</v>
      </c>
      <c r="AI484" s="12">
        <f t="shared" si="139"/>
        <v>132216547503.60001</v>
      </c>
      <c r="AJ484" s="13">
        <f t="shared" ca="1" si="140"/>
        <v>123584231260.8</v>
      </c>
    </row>
    <row r="485" spans="1:36" x14ac:dyDescent="0.25">
      <c r="A485" s="63"/>
      <c r="B485" s="8">
        <v>532386</v>
      </c>
      <c r="C485" s="8" t="s">
        <v>2019</v>
      </c>
      <c r="D485" s="12">
        <v>15457106</v>
      </c>
      <c r="E485" s="8">
        <v>18.690000000000001</v>
      </c>
      <c r="F485" s="8">
        <f ca="1">IFERROR(__xludf.DUMMYFUNCTION("GOOGLEFINANCE(""BOM:"" &amp; B485,""price"")"),13.95)</f>
        <v>13.95</v>
      </c>
      <c r="G485" s="8">
        <f t="shared" ca="1" si="141"/>
        <v>-25.361155698234363</v>
      </c>
      <c r="H485" s="12">
        <f t="shared" si="142"/>
        <v>288893311.14000005</v>
      </c>
      <c r="I485" s="13">
        <f t="shared" ca="1" si="143"/>
        <v>215626628.69999999</v>
      </c>
      <c r="J485" s="63"/>
      <c r="K485" s="8">
        <v>509053</v>
      </c>
      <c r="L485" s="8" t="s">
        <v>2020</v>
      </c>
      <c r="M485" s="12">
        <v>24741664</v>
      </c>
      <c r="N485" s="10">
        <v>17.64</v>
      </c>
      <c r="O485" s="10">
        <f ca="1">IFERROR(__xludf.DUMMYFUNCTION("GOOGLEFINANCE(""BOM:"" &amp; K485,""price"")"),13.59)</f>
        <v>13.59</v>
      </c>
      <c r="P485" s="8">
        <f t="shared" ca="1" si="147"/>
        <v>-22.95918367346939</v>
      </c>
      <c r="Q485" s="12">
        <f t="shared" si="148"/>
        <v>436442952.96000004</v>
      </c>
      <c r="R485" s="13">
        <f t="shared" ca="1" si="149"/>
        <v>336239213.75999999</v>
      </c>
      <c r="S485" s="63"/>
      <c r="T485" s="8">
        <v>533638</v>
      </c>
      <c r="U485" s="8" t="s">
        <v>2021</v>
      </c>
      <c r="V485" s="12">
        <v>23757008</v>
      </c>
      <c r="W485" s="8">
        <v>39.79</v>
      </c>
      <c r="X485" s="11">
        <f ca="1">IFERROR(__xludf.DUMMYFUNCTION("GOOGLEFINANCE(""BOM:"" &amp; T485,""price"")"),47.48)</f>
        <v>47.48</v>
      </c>
      <c r="Y485" s="8">
        <f t="shared" ca="1" si="150"/>
        <v>19.326463935662222</v>
      </c>
      <c r="Z485" s="12">
        <f t="shared" si="151"/>
        <v>945291348.31999993</v>
      </c>
      <c r="AA485" s="13">
        <f t="shared" ca="1" si="152"/>
        <v>1127982739.8399999</v>
      </c>
      <c r="AB485" s="63"/>
      <c r="AC485" s="8">
        <v>542812</v>
      </c>
      <c r="AD485" s="8" t="s">
        <v>2022</v>
      </c>
      <c r="AE485" s="12">
        <v>108998900</v>
      </c>
      <c r="AF485" s="8">
        <v>3651.85</v>
      </c>
      <c r="AG485" s="8">
        <f ca="1">IFERROR(__xludf.DUMMYFUNCTION("GOOGLEFINANCE(""BOM:"" &amp; AC485,""price"")"),3097.4)</f>
        <v>3097.4</v>
      </c>
      <c r="AH485" s="8">
        <f t="shared" ca="1" si="138"/>
        <v>-15.18271560989635</v>
      </c>
      <c r="AI485" s="12">
        <f t="shared" si="139"/>
        <v>398047632965</v>
      </c>
      <c r="AJ485" s="13">
        <f t="shared" ca="1" si="140"/>
        <v>337613192860</v>
      </c>
    </row>
    <row r="486" spans="1:36" x14ac:dyDescent="0.25">
      <c r="A486" s="63"/>
      <c r="B486" s="8">
        <v>538734</v>
      </c>
      <c r="C486" s="8" t="s">
        <v>2023</v>
      </c>
      <c r="D486" s="12">
        <v>15431397</v>
      </c>
      <c r="E486" s="8">
        <v>595.65</v>
      </c>
      <c r="F486" s="8">
        <f ca="1">IFERROR(__xludf.DUMMYFUNCTION("GOOGLEFINANCE(""BOM:"" &amp; B486,""price"")"),589.95)</f>
        <v>589.95000000000005</v>
      </c>
      <c r="G486" s="8">
        <f t="shared" ca="1" si="141"/>
        <v>-0.95693779904305076</v>
      </c>
      <c r="H486" s="12">
        <f t="shared" si="142"/>
        <v>9191711623.0499992</v>
      </c>
      <c r="I486" s="13">
        <f t="shared" ca="1" si="143"/>
        <v>9103752660.1500015</v>
      </c>
      <c r="J486" s="63"/>
      <c r="K486" s="8">
        <v>539290</v>
      </c>
      <c r="L486" s="8" t="s">
        <v>2024</v>
      </c>
      <c r="M486" s="12">
        <v>236873567</v>
      </c>
      <c r="N486" s="10">
        <v>36</v>
      </c>
      <c r="O486" s="10">
        <f ca="1">IFERROR(__xludf.DUMMYFUNCTION("GOOGLEFINANCE(""BOM:"" &amp; K486,""price"")"),29.2)</f>
        <v>29.2</v>
      </c>
      <c r="P486" s="8">
        <f t="shared" ca="1" si="147"/>
        <v>-18.888888888888893</v>
      </c>
      <c r="Q486" s="12">
        <f t="shared" si="148"/>
        <v>8527448412</v>
      </c>
      <c r="R486" s="13">
        <f t="shared" ca="1" si="149"/>
        <v>6916708156.3999996</v>
      </c>
      <c r="S486" s="63"/>
      <c r="T486" s="8">
        <v>530705</v>
      </c>
      <c r="U486" s="8" t="s">
        <v>2025</v>
      </c>
      <c r="V486" s="12">
        <v>4389500</v>
      </c>
      <c r="W486" s="8">
        <v>9.8800000000000008</v>
      </c>
      <c r="X486" s="11">
        <f ca="1">IFERROR(__xludf.DUMMYFUNCTION("GOOGLEFINANCE(""BOM:"" &amp; T486,""price"")"),9.39)</f>
        <v>9.39</v>
      </c>
      <c r="Y486" s="8">
        <f t="shared" ca="1" si="150"/>
        <v>-4.9595141700404879</v>
      </c>
      <c r="Z486" s="12">
        <f t="shared" si="151"/>
        <v>43368260</v>
      </c>
      <c r="AA486" s="13">
        <f t="shared" ca="1" si="152"/>
        <v>41217405</v>
      </c>
      <c r="AB486" s="63"/>
      <c r="AC486" s="8">
        <v>500150</v>
      </c>
      <c r="AD486" s="8" t="s">
        <v>2026</v>
      </c>
      <c r="AE486" s="12">
        <v>6342937</v>
      </c>
      <c r="AF486" s="8">
        <v>3507.45</v>
      </c>
      <c r="AG486" s="8">
        <f ca="1">IFERROR(__xludf.DUMMYFUNCTION("GOOGLEFINANCE(""BOM:"" &amp; AC486,""price"")"),2918.8)</f>
        <v>2918.8</v>
      </c>
      <c r="AH486" s="8">
        <f t="shared" ca="1" si="138"/>
        <v>-16.782847937960618</v>
      </c>
      <c r="AI486" s="12">
        <f t="shared" si="139"/>
        <v>22247534380.649998</v>
      </c>
      <c r="AJ486" s="13">
        <f t="shared" ca="1" si="140"/>
        <v>18513764515.600002</v>
      </c>
    </row>
    <row r="487" spans="1:36" x14ac:dyDescent="0.25">
      <c r="A487" s="63"/>
      <c r="B487" s="8">
        <v>531489</v>
      </c>
      <c r="C487" s="8" t="s">
        <v>2027</v>
      </c>
      <c r="D487" s="12">
        <v>4794680</v>
      </c>
      <c r="E487" s="8">
        <v>401</v>
      </c>
      <c r="F487" s="8">
        <f ca="1">IFERROR(__xludf.DUMMYFUNCTION("GOOGLEFINANCE(""BOM:"" &amp; B487,""price"")"),344.85)</f>
        <v>344.85</v>
      </c>
      <c r="G487" s="8">
        <f t="shared" ca="1" si="141"/>
        <v>-14.00249376558603</v>
      </c>
      <c r="H487" s="12">
        <f t="shared" si="142"/>
        <v>1922666680</v>
      </c>
      <c r="I487" s="13">
        <f t="shared" ca="1" si="143"/>
        <v>1653445398</v>
      </c>
      <c r="J487" s="63"/>
      <c r="K487" s="8">
        <v>532290</v>
      </c>
      <c r="L487" s="8" t="s">
        <v>2028</v>
      </c>
      <c r="M487" s="12">
        <v>52803181</v>
      </c>
      <c r="N487" s="10">
        <v>50.67</v>
      </c>
      <c r="O487" s="10">
        <f ca="1">IFERROR(__xludf.DUMMYFUNCTION("GOOGLEFINANCE(""BOM:"" &amp; K487,""price"")"),32.14)</f>
        <v>32.14</v>
      </c>
      <c r="P487" s="8">
        <f t="shared" ca="1" si="147"/>
        <v>-36.569962502466943</v>
      </c>
      <c r="Q487" s="12">
        <f t="shared" si="148"/>
        <v>2675537181.27</v>
      </c>
      <c r="R487" s="13">
        <f t="shared" ca="1" si="149"/>
        <v>1697094237.3399999</v>
      </c>
      <c r="S487" s="63"/>
      <c r="T487" s="8">
        <v>514167</v>
      </c>
      <c r="U487" s="8" t="s">
        <v>2029</v>
      </c>
      <c r="V487" s="12">
        <v>21401484</v>
      </c>
      <c r="W487" s="8">
        <v>1050</v>
      </c>
      <c r="X487" s="11">
        <f ca="1">IFERROR(__xludf.DUMMYFUNCTION("GOOGLEFINANCE(""BOM:"" &amp; T487,""price"")"),986.1)</f>
        <v>986.1</v>
      </c>
      <c r="Y487" s="8">
        <f t="shared" ca="1" si="150"/>
        <v>-6.0857142857142836</v>
      </c>
      <c r="Z487" s="12">
        <f t="shared" si="151"/>
        <v>22471558200</v>
      </c>
      <c r="AA487" s="13">
        <f t="shared" ca="1" si="152"/>
        <v>21104003372.400002</v>
      </c>
      <c r="AB487" s="63"/>
      <c r="AC487" s="8">
        <v>540935</v>
      </c>
      <c r="AD487" s="8" t="s">
        <v>2030</v>
      </c>
      <c r="AE487" s="12">
        <v>34965010</v>
      </c>
      <c r="AF487" s="8">
        <v>2445</v>
      </c>
      <c r="AG487" s="8">
        <f ca="1">IFERROR(__xludf.DUMMYFUNCTION("GOOGLEFINANCE(""BOM:"" &amp; AC487,""price"")"),2270)</f>
        <v>2270</v>
      </c>
      <c r="AH487" s="8">
        <f t="shared" ca="1" si="138"/>
        <v>-7.1574642126789367</v>
      </c>
      <c r="AI487" s="12">
        <f t="shared" si="139"/>
        <v>85489449450</v>
      </c>
      <c r="AJ487" s="13">
        <f t="shared" ca="1" si="140"/>
        <v>79370572700</v>
      </c>
    </row>
    <row r="488" spans="1:36" x14ac:dyDescent="0.25">
      <c r="A488" s="63"/>
      <c r="B488" s="8">
        <v>532541</v>
      </c>
      <c r="C488" s="8" t="s">
        <v>2031</v>
      </c>
      <c r="D488" s="12">
        <v>60780136</v>
      </c>
      <c r="E488" s="8">
        <v>6519</v>
      </c>
      <c r="F488" s="8">
        <f ca="1">IFERROR(__xludf.DUMMYFUNCTION("GOOGLEFINANCE(""BOM:"" &amp; B488,""price"")"),5496.25)</f>
        <v>5496.25</v>
      </c>
      <c r="G488" s="8">
        <f t="shared" ca="1" si="141"/>
        <v>-15.688755944163216</v>
      </c>
      <c r="H488" s="12">
        <f t="shared" si="142"/>
        <v>396225706584</v>
      </c>
      <c r="I488" s="13">
        <f t="shared" ca="1" si="143"/>
        <v>334062822490</v>
      </c>
      <c r="J488" s="63"/>
      <c r="K488" s="8">
        <v>504973</v>
      </c>
      <c r="L488" s="8" t="s">
        <v>2032</v>
      </c>
      <c r="M488" s="12">
        <v>186787491</v>
      </c>
      <c r="N488" s="10">
        <v>1068.55</v>
      </c>
      <c r="O488" s="10">
        <f ca="1">IFERROR(__xludf.DUMMYFUNCTION("GOOGLEFINANCE(""BOM:"" &amp; K488,""price"")"),1112)</f>
        <v>1112</v>
      </c>
      <c r="P488" s="8">
        <f t="shared" ca="1" si="147"/>
        <v>4.0662580131954567</v>
      </c>
      <c r="Q488" s="12">
        <f t="shared" si="148"/>
        <v>199591773508.04999</v>
      </c>
      <c r="R488" s="13">
        <f t="shared" ca="1" si="149"/>
        <v>207707689992</v>
      </c>
      <c r="S488" s="63"/>
      <c r="T488" s="8">
        <v>509557</v>
      </c>
      <c r="U488" s="8" t="s">
        <v>2033</v>
      </c>
      <c r="V488" s="12">
        <v>20337114</v>
      </c>
      <c r="W488" s="8">
        <v>3511.65</v>
      </c>
      <c r="X488" s="11">
        <f ca="1">IFERROR(__xludf.DUMMYFUNCTION("GOOGLEFINANCE(""BOM:"" &amp; T488,""price"")"),3290)</f>
        <v>3290</v>
      </c>
      <c r="Y488" s="8">
        <f t="shared" ca="1" si="150"/>
        <v>-6.3118477069184022</v>
      </c>
      <c r="Z488" s="12">
        <f t="shared" si="151"/>
        <v>71416826378.100006</v>
      </c>
      <c r="AA488" s="13">
        <f t="shared" ca="1" si="152"/>
        <v>66909105060</v>
      </c>
      <c r="AB488" s="63"/>
      <c r="AC488" s="8">
        <v>509597</v>
      </c>
      <c r="AD488" s="8" t="s">
        <v>2034</v>
      </c>
      <c r="AE488" s="12">
        <v>661011</v>
      </c>
      <c r="AF488" s="8">
        <v>637.25</v>
      </c>
      <c r="AG488" s="8">
        <f ca="1">IFERROR(__xludf.DUMMYFUNCTION("GOOGLEFINANCE(""BOM:"" &amp; AC488,""price"")"),620)</f>
        <v>620</v>
      </c>
      <c r="AH488" s="8">
        <f t="shared" ca="1" si="138"/>
        <v>-2.7069438995684583</v>
      </c>
      <c r="AI488" s="12">
        <f t="shared" si="139"/>
        <v>421229259.75</v>
      </c>
      <c r="AJ488" s="13">
        <f t="shared" ca="1" si="140"/>
        <v>409826820</v>
      </c>
    </row>
    <row r="489" spans="1:36" x14ac:dyDescent="0.25">
      <c r="A489" s="63"/>
      <c r="B489" s="8">
        <v>532801</v>
      </c>
      <c r="C489" s="8" t="s">
        <v>2035</v>
      </c>
      <c r="D489" s="12">
        <v>18976221</v>
      </c>
      <c r="E489" s="8">
        <v>108.95</v>
      </c>
      <c r="F489" s="8">
        <f ca="1">IFERROR(__xludf.DUMMYFUNCTION("GOOGLEFINANCE(""BOM:"" &amp; B489,""price"")"),82.6)</f>
        <v>82.6</v>
      </c>
      <c r="G489" s="8">
        <f t="shared" ca="1" si="141"/>
        <v>-24.185406149609921</v>
      </c>
      <c r="H489" s="12">
        <f t="shared" si="142"/>
        <v>2067459277.95</v>
      </c>
      <c r="I489" s="13">
        <f t="shared" ca="1" si="143"/>
        <v>1567435854.5999999</v>
      </c>
      <c r="J489" s="63"/>
      <c r="K489" s="8">
        <v>539091</v>
      </c>
      <c r="L489" s="8" t="s">
        <v>2036</v>
      </c>
      <c r="M489" s="12">
        <v>2973905</v>
      </c>
      <c r="N489" s="10">
        <v>39.619999999999997</v>
      </c>
      <c r="O489" s="10">
        <f ca="1">IFERROR(__xludf.DUMMYFUNCTION("GOOGLEFINANCE(""BOM:"" &amp; K489,""price"")"),39.62)</f>
        <v>39.619999999999997</v>
      </c>
      <c r="P489" s="8">
        <f t="shared" ca="1" si="147"/>
        <v>0</v>
      </c>
      <c r="Q489" s="12">
        <f t="shared" si="148"/>
        <v>117826116.09999999</v>
      </c>
      <c r="R489" s="13">
        <f t="shared" ca="1" si="149"/>
        <v>117826116.09999999</v>
      </c>
      <c r="S489" s="63"/>
      <c r="T489" s="8">
        <v>509563</v>
      </c>
      <c r="U489" s="8" t="s">
        <v>2037</v>
      </c>
      <c r="V489" s="12">
        <v>5315095</v>
      </c>
      <c r="W489" s="8">
        <v>11.88</v>
      </c>
      <c r="X489" s="11">
        <f ca="1">IFERROR(__xludf.DUMMYFUNCTION("GOOGLEFINANCE(""BOM:"" &amp; T489,""price"")"),10.67)</f>
        <v>10.67</v>
      </c>
      <c r="Y489" s="8">
        <f t="shared" ca="1" si="150"/>
        <v>-10.185185185185192</v>
      </c>
      <c r="Z489" s="12">
        <f t="shared" si="151"/>
        <v>63143328.600000001</v>
      </c>
      <c r="AA489" s="13">
        <f t="shared" ca="1" si="152"/>
        <v>56712063.649999999</v>
      </c>
      <c r="AB489" s="63"/>
      <c r="AC489" s="8">
        <v>543433</v>
      </c>
      <c r="AD489" s="8" t="s">
        <v>2038</v>
      </c>
      <c r="AE489" s="12">
        <v>91874735</v>
      </c>
      <c r="AF489" s="8">
        <v>118.75</v>
      </c>
      <c r="AG489" s="8">
        <f ca="1">IFERROR(__xludf.DUMMYFUNCTION("GOOGLEFINANCE(""BOM:"" &amp; AC489,""price"")"),95.8)</f>
        <v>95.8</v>
      </c>
      <c r="AH489" s="8">
        <f t="shared" ca="1" si="138"/>
        <v>-19.326315789473686</v>
      </c>
      <c r="AI489" s="12">
        <f t="shared" si="139"/>
        <v>10910124781.25</v>
      </c>
      <c r="AJ489" s="13">
        <f t="shared" ca="1" si="140"/>
        <v>8801599613</v>
      </c>
    </row>
    <row r="490" spans="1:36" x14ac:dyDescent="0.25">
      <c r="A490" s="63"/>
      <c r="B490" s="8">
        <v>532173</v>
      </c>
      <c r="C490" s="8" t="s">
        <v>2039</v>
      </c>
      <c r="D490" s="12">
        <v>27783195</v>
      </c>
      <c r="E490" s="8">
        <v>162.80000000000001</v>
      </c>
      <c r="F490" s="8">
        <f ca="1">IFERROR(__xludf.DUMMYFUNCTION("GOOGLEFINANCE(""BOM:"" &amp; B490,""price"")"),138.05)</f>
        <v>138.05000000000001</v>
      </c>
      <c r="G490" s="8">
        <f t="shared" ca="1" si="141"/>
        <v>-15.202702702702704</v>
      </c>
      <c r="H490" s="12">
        <f t="shared" si="142"/>
        <v>4523104146</v>
      </c>
      <c r="I490" s="13">
        <f t="shared" ca="1" si="143"/>
        <v>3835470069.7500005</v>
      </c>
      <c r="J490" s="63"/>
      <c r="K490" s="8">
        <v>511611</v>
      </c>
      <c r="L490" s="8" t="s">
        <v>2040</v>
      </c>
      <c r="M490" s="12">
        <v>18440749</v>
      </c>
      <c r="N490" s="10">
        <v>6.36</v>
      </c>
      <c r="O490" s="10">
        <f ca="1">IFERROR(__xludf.DUMMYFUNCTION("GOOGLEFINANCE(""BOM:"" &amp; K490,""price"")"),4.81)</f>
        <v>4.8099999999999996</v>
      </c>
      <c r="P490" s="8">
        <f t="shared" ca="1" si="147"/>
        <v>-24.371069182389949</v>
      </c>
      <c r="Q490" s="12">
        <f t="shared" si="148"/>
        <v>117283163.64</v>
      </c>
      <c r="R490" s="13">
        <f t="shared" ca="1" si="149"/>
        <v>88700002.689999998</v>
      </c>
      <c r="S490" s="63"/>
      <c r="T490" s="8">
        <v>521133</v>
      </c>
      <c r="U490" s="8" t="s">
        <v>2041</v>
      </c>
      <c r="V490" s="12">
        <v>55763790</v>
      </c>
      <c r="W490" s="8">
        <v>4.08</v>
      </c>
      <c r="X490" s="11">
        <f ca="1">IFERROR(__xludf.DUMMYFUNCTION("GOOGLEFINANCE(""BOM:"" &amp; T490,""price"")"),3.66)</f>
        <v>3.66</v>
      </c>
      <c r="Y490" s="8">
        <f t="shared" ca="1" si="150"/>
        <v>-10.294117647058822</v>
      </c>
      <c r="Z490" s="12">
        <f t="shared" si="151"/>
        <v>227516263.20000002</v>
      </c>
      <c r="AA490" s="13">
        <f t="shared" ca="1" si="152"/>
        <v>204095471.40000001</v>
      </c>
      <c r="AB490" s="63"/>
      <c r="AC490" s="8">
        <v>500184</v>
      </c>
      <c r="AD490" s="8" t="s">
        <v>2042</v>
      </c>
      <c r="AE490" s="12">
        <v>416358408</v>
      </c>
      <c r="AF490" s="8">
        <v>363</v>
      </c>
      <c r="AG490" s="8">
        <f ca="1">IFERROR(__xludf.DUMMYFUNCTION("GOOGLEFINANCE(""BOM:"" &amp; AC490,""price"")"),301.65)</f>
        <v>301.64999999999998</v>
      </c>
      <c r="AH490" s="8">
        <f t="shared" ca="1" si="138"/>
        <v>-16.900826446280998</v>
      </c>
      <c r="AI490" s="12">
        <f t="shared" si="139"/>
        <v>151138102104</v>
      </c>
      <c r="AJ490" s="13">
        <f t="shared" ca="1" si="140"/>
        <v>125594513773.2</v>
      </c>
    </row>
    <row r="491" spans="1:36" x14ac:dyDescent="0.25">
      <c r="A491" s="63"/>
      <c r="B491" s="8">
        <v>543268</v>
      </c>
      <c r="C491" s="8" t="s">
        <v>2043</v>
      </c>
      <c r="D491" s="12">
        <v>132465630</v>
      </c>
      <c r="E491" s="8">
        <v>21.86</v>
      </c>
      <c r="F491" s="8">
        <f ca="1">IFERROR(__xludf.DUMMYFUNCTION("GOOGLEFINANCE(""BOM:"" &amp; B491,""price"")"),20.38)</f>
        <v>20.38</v>
      </c>
      <c r="G491" s="8">
        <f t="shared" ca="1" si="141"/>
        <v>-6.7703568161024723</v>
      </c>
      <c r="H491" s="12">
        <f t="shared" si="142"/>
        <v>2895698671.7999997</v>
      </c>
      <c r="I491" s="13">
        <f t="shared" ca="1" si="143"/>
        <v>2699649539.4000001</v>
      </c>
      <c r="J491" s="63"/>
      <c r="K491" s="8">
        <v>533336</v>
      </c>
      <c r="L491" s="8" t="s">
        <v>2044</v>
      </c>
      <c r="M491" s="12">
        <v>5906210</v>
      </c>
      <c r="N491" s="10">
        <v>1212.8499999999999</v>
      </c>
      <c r="O491" s="10">
        <f ca="1">IFERROR(__xludf.DUMMYFUNCTION("GOOGLEFINANCE(""BOM:"" &amp; K491,""price"")"),1135)</f>
        <v>1135</v>
      </c>
      <c r="P491" s="8">
        <f t="shared" ca="1" si="147"/>
        <v>-6.4187657171125787</v>
      </c>
      <c r="Q491" s="12">
        <f t="shared" si="148"/>
        <v>7163346798.499999</v>
      </c>
      <c r="R491" s="13">
        <f t="shared" ca="1" si="149"/>
        <v>6703548350</v>
      </c>
      <c r="S491" s="63"/>
      <c r="T491" s="8">
        <v>532716</v>
      </c>
      <c r="U491" s="8" t="s">
        <v>2045</v>
      </c>
      <c r="V491" s="12">
        <v>21023193</v>
      </c>
      <c r="W491" s="8">
        <v>95.95</v>
      </c>
      <c r="X491" s="11">
        <f ca="1">IFERROR(__xludf.DUMMYFUNCTION("GOOGLEFINANCE(""BOM:"" &amp; T491,""price"")"),71.95)</f>
        <v>71.95</v>
      </c>
      <c r="Y491" s="8">
        <f t="shared" ca="1" si="150"/>
        <v>-25.013027618551327</v>
      </c>
      <c r="Z491" s="12">
        <f t="shared" si="151"/>
        <v>2017175368.3500001</v>
      </c>
      <c r="AA491" s="13">
        <f t="shared" ca="1" si="152"/>
        <v>1512618736.3500001</v>
      </c>
      <c r="AB491" s="63"/>
      <c r="AC491" s="8">
        <v>506945</v>
      </c>
      <c r="AD491" s="8" t="s">
        <v>2046</v>
      </c>
      <c r="AE491" s="12">
        <v>5561174</v>
      </c>
      <c r="AF491" s="8">
        <v>0</v>
      </c>
      <c r="AG491" s="8">
        <f ca="1">IFERROR(__xludf.DUMMYFUNCTION("GOOGLEFINANCE(""BOM:"" &amp; AC491,""price"")"),0)</f>
        <v>0</v>
      </c>
      <c r="AH491" s="8">
        <v>0</v>
      </c>
      <c r="AI491" s="12">
        <f t="shared" si="139"/>
        <v>0</v>
      </c>
      <c r="AJ491" s="13">
        <f t="shared" ca="1" si="140"/>
        <v>0</v>
      </c>
    </row>
    <row r="492" spans="1:36" x14ac:dyDescent="0.25">
      <c r="A492" s="63"/>
      <c r="B492" s="8">
        <v>531533</v>
      </c>
      <c r="C492" s="8" t="s">
        <v>2047</v>
      </c>
      <c r="D492" s="12">
        <v>4287990</v>
      </c>
      <c r="E492" s="8">
        <v>71.400000000000006</v>
      </c>
      <c r="F492" s="8">
        <f ca="1">IFERROR(__xludf.DUMMYFUNCTION("GOOGLEFINANCE(""BOM:"" &amp; B492,""price"")"),96)</f>
        <v>96</v>
      </c>
      <c r="G492" s="8">
        <f t="shared" ca="1" si="141"/>
        <v>34.453781512605033</v>
      </c>
      <c r="H492" s="12">
        <f t="shared" si="142"/>
        <v>306162486</v>
      </c>
      <c r="I492" s="13">
        <f t="shared" ca="1" si="143"/>
        <v>411647040</v>
      </c>
      <c r="J492" s="63"/>
      <c r="K492" s="8">
        <v>501148</v>
      </c>
      <c r="L492" s="8" t="s">
        <v>2048</v>
      </c>
      <c r="M492" s="12">
        <v>313917</v>
      </c>
      <c r="N492" s="10">
        <v>534.04999999999995</v>
      </c>
      <c r="O492" s="10">
        <f ca="1">IFERROR(__xludf.DUMMYFUNCTION("GOOGLEFINANCE(""BOM:"" &amp; K492,""price"")"),475.4)</f>
        <v>475.4</v>
      </c>
      <c r="P492" s="8">
        <f t="shared" ca="1" si="147"/>
        <v>-10.98211777923415</v>
      </c>
      <c r="Q492" s="12">
        <f t="shared" si="148"/>
        <v>167647373.84999999</v>
      </c>
      <c r="R492" s="13">
        <f t="shared" ca="1" si="149"/>
        <v>149236141.79999998</v>
      </c>
      <c r="S492" s="63"/>
      <c r="T492" s="8">
        <v>590025</v>
      </c>
      <c r="U492" s="8" t="s">
        <v>2049</v>
      </c>
      <c r="V492" s="12">
        <v>85129293</v>
      </c>
      <c r="W492" s="8">
        <v>36.700000000000003</v>
      </c>
      <c r="X492" s="11">
        <f ca="1">IFERROR(__xludf.DUMMYFUNCTION("GOOGLEFINANCE(""BOM:"" &amp; T492,""price"")"),30.25)</f>
        <v>30.25</v>
      </c>
      <c r="Y492" s="8">
        <f t="shared" ca="1" si="150"/>
        <v>-17.574931880108998</v>
      </c>
      <c r="Z492" s="12">
        <f t="shared" si="151"/>
        <v>3124245053.1000004</v>
      </c>
      <c r="AA492" s="13">
        <f t="shared" ca="1" si="152"/>
        <v>2575161113.25</v>
      </c>
      <c r="AB492" s="63"/>
      <c r="AC492" s="8">
        <v>531253</v>
      </c>
      <c r="AD492" s="8" t="s">
        <v>2050</v>
      </c>
      <c r="AE492" s="12">
        <v>6856316</v>
      </c>
      <c r="AF492" s="8">
        <v>381.15</v>
      </c>
      <c r="AG492" s="8">
        <f ca="1">IFERROR(__xludf.DUMMYFUNCTION("GOOGLEFINANCE(""BOM:"" &amp; AC492,""price"")"),373.75)</f>
        <v>373.75</v>
      </c>
      <c r="AH492" s="8">
        <f t="shared" ref="AH492:AH541" ca="1" si="153">((AG492-AF492)/AF492)*100</f>
        <v>-1.9414928505837541</v>
      </c>
      <c r="AI492" s="12">
        <f t="shared" si="139"/>
        <v>2613284843.3999996</v>
      </c>
      <c r="AJ492" s="13">
        <f t="shared" ca="1" si="140"/>
        <v>2562548105</v>
      </c>
    </row>
    <row r="493" spans="1:36" x14ac:dyDescent="0.25">
      <c r="A493" s="63"/>
      <c r="B493" s="8">
        <v>543312</v>
      </c>
      <c r="C493" s="8" t="s">
        <v>2051</v>
      </c>
      <c r="D493" s="12">
        <v>3999600</v>
      </c>
      <c r="E493" s="8">
        <v>66.150000000000006</v>
      </c>
      <c r="F493" s="8">
        <f ca="1">IFERROR(__xludf.DUMMYFUNCTION("GOOGLEFINANCE(""BOM:"" &amp; B493,""price"")"),62.85)</f>
        <v>62.85</v>
      </c>
      <c r="G493" s="8">
        <f t="shared" ca="1" si="141"/>
        <v>-4.9886621315192805</v>
      </c>
      <c r="H493" s="12">
        <f t="shared" si="142"/>
        <v>264573540.00000003</v>
      </c>
      <c r="I493" s="13">
        <f t="shared" ca="1" si="143"/>
        <v>251374860</v>
      </c>
      <c r="J493" s="63"/>
      <c r="K493" s="8">
        <v>523736</v>
      </c>
      <c r="L493" s="8" t="s">
        <v>2052</v>
      </c>
      <c r="M493" s="12">
        <v>34847102</v>
      </c>
      <c r="N493" s="10">
        <v>386.65</v>
      </c>
      <c r="O493" s="10">
        <f ca="1">IFERROR(__xludf.DUMMYFUNCTION("GOOGLEFINANCE(""BOM:"" &amp; K493,""price"")"),328)</f>
        <v>328</v>
      </c>
      <c r="P493" s="8">
        <f t="shared" ca="1" si="147"/>
        <v>-15.168757274020429</v>
      </c>
      <c r="Q493" s="12">
        <f t="shared" si="148"/>
        <v>13473631988.299999</v>
      </c>
      <c r="R493" s="13">
        <f t="shared" ca="1" si="149"/>
        <v>11429849456</v>
      </c>
      <c r="S493" s="63"/>
      <c r="T493" s="8">
        <v>532957</v>
      </c>
      <c r="U493" s="8" t="s">
        <v>2053</v>
      </c>
      <c r="V493" s="12">
        <v>6263702</v>
      </c>
      <c r="W493" s="8">
        <v>125.35</v>
      </c>
      <c r="X493" s="11">
        <f ca="1">IFERROR(__xludf.DUMMYFUNCTION("GOOGLEFINANCE(""BOM:"" &amp; T493,""price"")"),117.7)</f>
        <v>117.7</v>
      </c>
      <c r="Y493" s="8">
        <f t="shared" ca="1" si="150"/>
        <v>-6.1029118468288726</v>
      </c>
      <c r="Z493" s="12">
        <f t="shared" si="151"/>
        <v>785155045.69999993</v>
      </c>
      <c r="AA493" s="13">
        <f t="shared" ca="1" si="152"/>
        <v>737237725.39999998</v>
      </c>
      <c r="AB493" s="63"/>
      <c r="AC493" s="8">
        <v>524458</v>
      </c>
      <c r="AD493" s="8" t="s">
        <v>2054</v>
      </c>
      <c r="AE493" s="12">
        <v>6519150</v>
      </c>
      <c r="AF493" s="8">
        <v>13.5</v>
      </c>
      <c r="AG493" s="8">
        <f ca="1">IFERROR(__xludf.DUMMYFUNCTION("GOOGLEFINANCE(""BOM:"" &amp; AC493,""price"")"),13.07)</f>
        <v>13.07</v>
      </c>
      <c r="AH493" s="8">
        <f t="shared" ca="1" si="153"/>
        <v>-3.1851851851851833</v>
      </c>
      <c r="AI493" s="12">
        <f t="shared" si="139"/>
        <v>88008525</v>
      </c>
      <c r="AJ493" s="13">
        <f t="shared" ca="1" si="140"/>
        <v>85205290.5</v>
      </c>
    </row>
    <row r="494" spans="1:36" x14ac:dyDescent="0.25">
      <c r="A494" s="63"/>
      <c r="B494" s="8">
        <v>531439</v>
      </c>
      <c r="C494" s="8" t="s">
        <v>2055</v>
      </c>
      <c r="D494" s="12">
        <v>34427237</v>
      </c>
      <c r="E494" s="8">
        <v>150</v>
      </c>
      <c r="F494" s="8">
        <f ca="1">IFERROR(__xludf.DUMMYFUNCTION("GOOGLEFINANCE(""BOM:"" &amp; B494,""price"")"),128.6)</f>
        <v>128.6</v>
      </c>
      <c r="G494" s="8">
        <f t="shared" ca="1" si="141"/>
        <v>-14.266666666666669</v>
      </c>
      <c r="H494" s="12">
        <f t="shared" si="142"/>
        <v>5164085550</v>
      </c>
      <c r="I494" s="13">
        <f t="shared" ca="1" si="143"/>
        <v>4427342678.1999998</v>
      </c>
      <c r="J494" s="63"/>
      <c r="K494" s="8">
        <v>539844</v>
      </c>
      <c r="L494" s="8" t="s">
        <v>2056</v>
      </c>
      <c r="M494" s="12">
        <v>341692392</v>
      </c>
      <c r="N494" s="10">
        <v>118.35</v>
      </c>
      <c r="O494" s="10">
        <f ca="1">IFERROR(__xludf.DUMMYFUNCTION("GOOGLEFINANCE(""BOM:"" &amp; K494,""price"")"),118.35)</f>
        <v>118.35</v>
      </c>
      <c r="P494" s="8">
        <v>0</v>
      </c>
      <c r="Q494" s="12"/>
      <c r="R494" s="13"/>
      <c r="S494" s="63"/>
      <c r="T494" s="8">
        <v>532015</v>
      </c>
      <c r="U494" s="8" t="s">
        <v>2057</v>
      </c>
      <c r="V494" s="12">
        <v>8812974</v>
      </c>
      <c r="W494" s="8">
        <v>4.6100000000000003</v>
      </c>
      <c r="X494" s="11">
        <f ca="1">IFERROR(__xludf.DUMMYFUNCTION("GOOGLEFINANCE(""BOM:"" &amp; T494,""price"")"),4.12)</f>
        <v>4.12</v>
      </c>
      <c r="Y494" s="8">
        <f t="shared" ca="1" si="150"/>
        <v>-10.629067245119311</v>
      </c>
      <c r="Z494" s="12">
        <f t="shared" si="151"/>
        <v>40627810.140000001</v>
      </c>
      <c r="AA494" s="13">
        <f t="shared" ca="1" si="152"/>
        <v>36309452.880000003</v>
      </c>
      <c r="AB494" s="63"/>
      <c r="AC494" s="8">
        <v>504092</v>
      </c>
      <c r="AD494" s="8" t="s">
        <v>2058</v>
      </c>
      <c r="AE494" s="12">
        <v>21284696</v>
      </c>
      <c r="AF494" s="8">
        <v>104.8</v>
      </c>
      <c r="AG494" s="8">
        <f ca="1">IFERROR(__xludf.DUMMYFUNCTION("GOOGLEFINANCE(""BOM:"" &amp; AC494,""price"")"),98.95)</f>
        <v>98.95</v>
      </c>
      <c r="AH494" s="8">
        <f t="shared" ca="1" si="153"/>
        <v>-5.5820610687022851</v>
      </c>
      <c r="AI494" s="12">
        <f t="shared" si="139"/>
        <v>2230636140.7999997</v>
      </c>
      <c r="AJ494" s="13">
        <f t="shared" ca="1" si="140"/>
        <v>2106120669.2</v>
      </c>
    </row>
    <row r="495" spans="1:36" x14ac:dyDescent="0.25">
      <c r="A495" s="63"/>
      <c r="B495" s="8">
        <v>540654</v>
      </c>
      <c r="C495" s="8" t="s">
        <v>2059</v>
      </c>
      <c r="D495" s="12">
        <v>11288149</v>
      </c>
      <c r="E495" s="8">
        <v>22.35</v>
      </c>
      <c r="F495" s="8">
        <f ca="1">IFERROR(__xludf.DUMMYFUNCTION("GOOGLEFINANCE(""BOM:"" &amp; B495,""price"")"),18.5)</f>
        <v>18.5</v>
      </c>
      <c r="G495" s="8">
        <f t="shared" ca="1" si="141"/>
        <v>-17.225950782997767</v>
      </c>
      <c r="H495" s="12">
        <f t="shared" si="142"/>
        <v>252290130.15000001</v>
      </c>
      <c r="I495" s="13">
        <f t="shared" ca="1" si="143"/>
        <v>208830756.5</v>
      </c>
      <c r="J495" s="63"/>
      <c r="K495" s="8">
        <v>530197</v>
      </c>
      <c r="L495" s="8" t="s">
        <v>2060</v>
      </c>
      <c r="M495" s="12">
        <v>2788700</v>
      </c>
      <c r="N495" s="10">
        <v>80.34</v>
      </c>
      <c r="O495" s="10">
        <f ca="1">IFERROR(__xludf.DUMMYFUNCTION("GOOGLEFINANCE(""BOM:"" &amp; K495,""price"")"),104.19)</f>
        <v>104.19</v>
      </c>
      <c r="P495" s="8">
        <f t="shared" ref="P495:P528" ca="1" si="154">((O495-N495)/N495)*100</f>
        <v>29.686333084391332</v>
      </c>
      <c r="Q495" s="12">
        <f t="shared" ref="Q495:Q559" si="155">M495*N495</f>
        <v>224044158</v>
      </c>
      <c r="R495" s="13">
        <f t="shared" ref="R495:R559" ca="1" si="156">M495*O495</f>
        <v>290554653</v>
      </c>
      <c r="S495" s="63"/>
      <c r="T495" s="8">
        <v>500170</v>
      </c>
      <c r="U495" s="8" t="s">
        <v>2061</v>
      </c>
      <c r="V495" s="12">
        <v>17297591</v>
      </c>
      <c r="W495" s="8">
        <v>37.9</v>
      </c>
      <c r="X495" s="11">
        <f ca="1">IFERROR(__xludf.DUMMYFUNCTION("GOOGLEFINANCE(""BOM:"" &amp; T495,""price"")"),30)</f>
        <v>30</v>
      </c>
      <c r="Y495" s="8">
        <f t="shared" ca="1" si="150"/>
        <v>-20.844327176781</v>
      </c>
      <c r="Z495" s="12">
        <f t="shared" si="151"/>
        <v>655578698.89999998</v>
      </c>
      <c r="AA495" s="13">
        <f t="shared" ca="1" si="152"/>
        <v>518927730</v>
      </c>
      <c r="AB495" s="63"/>
      <c r="AC495" s="8">
        <v>523586</v>
      </c>
      <c r="AD495" s="8" t="s">
        <v>2062</v>
      </c>
      <c r="AE495" s="12">
        <v>10015688</v>
      </c>
      <c r="AF495" s="8">
        <v>296.10000000000002</v>
      </c>
      <c r="AG495" s="8">
        <f ca="1">IFERROR(__xludf.DUMMYFUNCTION("GOOGLEFINANCE(""BOM:"" &amp; AC495,""price"")"),262.05)</f>
        <v>262.05</v>
      </c>
      <c r="AH495" s="8">
        <f t="shared" ca="1" si="153"/>
        <v>-11.499493414387034</v>
      </c>
      <c r="AI495" s="12">
        <f t="shared" si="139"/>
        <v>2965645216.8000002</v>
      </c>
      <c r="AJ495" s="13">
        <f t="shared" ca="1" si="140"/>
        <v>2624611040.4000001</v>
      </c>
    </row>
    <row r="496" spans="1:36" x14ac:dyDescent="0.25">
      <c r="A496" s="63"/>
      <c r="B496" s="8">
        <v>543227</v>
      </c>
      <c r="C496" s="8" t="s">
        <v>2063</v>
      </c>
      <c r="D496" s="12">
        <v>144397356</v>
      </c>
      <c r="E496" s="8">
        <v>851.7</v>
      </c>
      <c r="F496" s="8">
        <f ca="1">IFERROR(__xludf.DUMMYFUNCTION("GOOGLEFINANCE(""BOM:"" &amp; B496,""price"")"),744.1)</f>
        <v>744.1</v>
      </c>
      <c r="G496" s="8">
        <f t="shared" ca="1" si="141"/>
        <v>-12.633556416578609</v>
      </c>
      <c r="H496" s="12">
        <f t="shared" si="142"/>
        <v>122983228105.20001</v>
      </c>
      <c r="I496" s="13">
        <f t="shared" ca="1" si="143"/>
        <v>107446072599.60001</v>
      </c>
      <c r="J496" s="63"/>
      <c r="K496" s="8">
        <v>540647</v>
      </c>
      <c r="L496" s="8" t="s">
        <v>2064</v>
      </c>
      <c r="M496" s="12">
        <v>9938605</v>
      </c>
      <c r="N496" s="10">
        <v>128.1</v>
      </c>
      <c r="O496" s="10">
        <f ca="1">IFERROR(__xludf.DUMMYFUNCTION("GOOGLEFINANCE(""BOM:"" &amp; K496,""price"")"),118)</f>
        <v>118</v>
      </c>
      <c r="P496" s="8">
        <f t="shared" ca="1" si="154"/>
        <v>-7.8844652615144382</v>
      </c>
      <c r="Q496" s="12">
        <f t="shared" si="155"/>
        <v>1273135300.5</v>
      </c>
      <c r="R496" s="13">
        <f t="shared" ca="1" si="156"/>
        <v>1172755390</v>
      </c>
      <c r="S496" s="63"/>
      <c r="T496" s="8">
        <v>532744</v>
      </c>
      <c r="U496" s="8" t="s">
        <v>2065</v>
      </c>
      <c r="V496" s="12">
        <v>11376087</v>
      </c>
      <c r="W496" s="8">
        <v>13</v>
      </c>
      <c r="X496" s="11">
        <f ca="1">IFERROR(__xludf.DUMMYFUNCTION("GOOGLEFINANCE(""BOM:"" &amp; T496,""price"")"),11.88)</f>
        <v>11.88</v>
      </c>
      <c r="Y496" s="8">
        <f t="shared" ca="1" si="150"/>
        <v>-8.6153846153846096</v>
      </c>
      <c r="Z496" s="12">
        <f t="shared" si="151"/>
        <v>147889131</v>
      </c>
      <c r="AA496" s="13">
        <f t="shared" ca="1" si="152"/>
        <v>135147913.56</v>
      </c>
      <c r="AB496" s="63"/>
      <c r="AC496" s="8">
        <v>506222</v>
      </c>
      <c r="AD496" s="8" t="s">
        <v>2066</v>
      </c>
      <c r="AE496" s="12">
        <v>17448324</v>
      </c>
      <c r="AF496" s="8">
        <v>1456.2</v>
      </c>
      <c r="AG496" s="8">
        <f ca="1">IFERROR(__xludf.DUMMYFUNCTION("GOOGLEFINANCE(""BOM:"" &amp; AC496,""price"")"),1434.6)</f>
        <v>1434.6</v>
      </c>
      <c r="AH496" s="8">
        <f t="shared" ca="1" si="153"/>
        <v>-1.4833127317676236</v>
      </c>
      <c r="AI496" s="12">
        <f t="shared" si="139"/>
        <v>25408249408.799999</v>
      </c>
      <c r="AJ496" s="13">
        <f t="shared" ca="1" si="140"/>
        <v>25031365610.399998</v>
      </c>
    </row>
    <row r="497" spans="1:36" x14ac:dyDescent="0.25">
      <c r="A497" s="63"/>
      <c r="B497" s="8">
        <v>532281</v>
      </c>
      <c r="C497" s="8" t="s">
        <v>2067</v>
      </c>
      <c r="D497" s="12">
        <v>2712749542</v>
      </c>
      <c r="E497" s="8">
        <v>1644.45</v>
      </c>
      <c r="F497" s="8">
        <f ca="1">IFERROR(__xludf.DUMMYFUNCTION("GOOGLEFINANCE(""BOM:"" &amp; B497,""price"")"),1543.3)</f>
        <v>1543.3</v>
      </c>
      <c r="G497" s="8">
        <f t="shared" ca="1" si="141"/>
        <v>-6.1509927331326635</v>
      </c>
      <c r="H497" s="12">
        <f t="shared" si="142"/>
        <v>4460980984341.9004</v>
      </c>
      <c r="I497" s="13">
        <f t="shared" ca="1" si="143"/>
        <v>4186586368168.6001</v>
      </c>
      <c r="J497" s="63"/>
      <c r="K497" s="8">
        <v>512493</v>
      </c>
      <c r="L497" s="8" t="s">
        <v>2068</v>
      </c>
      <c r="M497" s="12">
        <v>19622790</v>
      </c>
      <c r="N497" s="10">
        <v>59.95</v>
      </c>
      <c r="O497" s="10">
        <f ca="1">IFERROR(__xludf.DUMMYFUNCTION("GOOGLEFINANCE(""BOM:"" &amp; K497,""price"")"),60)</f>
        <v>60</v>
      </c>
      <c r="P497" s="8">
        <f t="shared" ca="1" si="154"/>
        <v>8.3402835696408939E-2</v>
      </c>
      <c r="Q497" s="12">
        <f t="shared" si="155"/>
        <v>1176386260.5</v>
      </c>
      <c r="R497" s="13">
        <f t="shared" ca="1" si="156"/>
        <v>1177367400</v>
      </c>
      <c r="S497" s="63"/>
      <c r="T497" s="8">
        <v>514386</v>
      </c>
      <c r="U497" s="8" t="s">
        <v>2069</v>
      </c>
      <c r="V497" s="12">
        <v>13959778</v>
      </c>
      <c r="W497" s="8">
        <v>4</v>
      </c>
      <c r="X497" s="11">
        <f ca="1">IFERROR(__xludf.DUMMYFUNCTION("GOOGLEFINANCE(""BOM:"" &amp; T497,""price"")"),3.25)</f>
        <v>3.25</v>
      </c>
      <c r="Y497" s="8">
        <f t="shared" ca="1" si="150"/>
        <v>-18.75</v>
      </c>
      <c r="Z497" s="12">
        <f t="shared" si="151"/>
        <v>55839112</v>
      </c>
      <c r="AA497" s="13">
        <f t="shared" ca="1" si="152"/>
        <v>45369278.5</v>
      </c>
      <c r="AB497" s="63"/>
      <c r="AC497" s="8">
        <v>531109</v>
      </c>
      <c r="AD497" s="8" t="s">
        <v>2070</v>
      </c>
      <c r="AE497" s="12">
        <v>16881062</v>
      </c>
      <c r="AF497" s="8">
        <v>59.74</v>
      </c>
      <c r="AG497" s="8">
        <f ca="1">IFERROR(__xludf.DUMMYFUNCTION("GOOGLEFINANCE(""BOM:"" &amp; AC497,""price"")"),45.55)</f>
        <v>45.55</v>
      </c>
      <c r="AH497" s="8">
        <f t="shared" ca="1" si="153"/>
        <v>-23.752929360562444</v>
      </c>
      <c r="AI497" s="12">
        <f t="shared" si="139"/>
        <v>1008474643.88</v>
      </c>
      <c r="AJ497" s="13">
        <f t="shared" ca="1" si="140"/>
        <v>768932374.0999999</v>
      </c>
    </row>
    <row r="498" spans="1:36" x14ac:dyDescent="0.25">
      <c r="A498" s="63"/>
      <c r="B498" s="8">
        <v>500209</v>
      </c>
      <c r="C498" s="8" t="s">
        <v>2071</v>
      </c>
      <c r="D498" s="12">
        <v>4201608444</v>
      </c>
      <c r="E498" s="8">
        <v>1655.05</v>
      </c>
      <c r="F498" s="8">
        <f ca="1">IFERROR(__xludf.DUMMYFUNCTION("GOOGLEFINANCE(""BOM:"" &amp; B498,""price"")"),1498.8)</f>
        <v>1498.8</v>
      </c>
      <c r="G498" s="8">
        <f t="shared" ca="1" si="141"/>
        <v>-9.4408023926769591</v>
      </c>
      <c r="H498" s="12">
        <f t="shared" si="142"/>
        <v>6953872055242.2002</v>
      </c>
      <c r="I498" s="13">
        <f t="shared" ca="1" si="143"/>
        <v>6297370735867.2002</v>
      </c>
      <c r="J498" s="63"/>
      <c r="K498" s="8">
        <v>538180</v>
      </c>
      <c r="L498" s="8" t="s">
        <v>2072</v>
      </c>
      <c r="M498" s="12">
        <v>413810780</v>
      </c>
      <c r="N498" s="10">
        <v>1.05</v>
      </c>
      <c r="O498" s="10">
        <f ca="1">IFERROR(__xludf.DUMMYFUNCTION("GOOGLEFINANCE(""BOM:"" &amp; K498,""price"")"),0.9)</f>
        <v>0.9</v>
      </c>
      <c r="P498" s="8">
        <f t="shared" ca="1" si="154"/>
        <v>-14.285714285714288</v>
      </c>
      <c r="Q498" s="12">
        <f t="shared" si="155"/>
        <v>434501319</v>
      </c>
      <c r="R498" s="13">
        <f t="shared" ca="1" si="156"/>
        <v>372429702</v>
      </c>
      <c r="S498" s="63"/>
      <c r="T498" s="8">
        <v>540938</v>
      </c>
      <c r="U498" s="8" t="s">
        <v>2073</v>
      </c>
      <c r="V498" s="12">
        <v>15421365</v>
      </c>
      <c r="W498" s="8">
        <v>9.9499999999999993</v>
      </c>
      <c r="X498" s="11">
        <f ca="1">IFERROR(__xludf.DUMMYFUNCTION("GOOGLEFINANCE(""BOM:"" &amp; T498,""price"")"),11.4)</f>
        <v>11.4</v>
      </c>
      <c r="Y498" s="8">
        <f t="shared" ca="1" si="150"/>
        <v>14.572864321608053</v>
      </c>
      <c r="Z498" s="12">
        <f t="shared" si="151"/>
        <v>153442581.75</v>
      </c>
      <c r="AA498" s="13">
        <f t="shared" ca="1" si="152"/>
        <v>175803561</v>
      </c>
      <c r="AB498" s="63"/>
      <c r="AC498" s="8">
        <v>524330</v>
      </c>
      <c r="AD498" s="8" t="s">
        <v>2074</v>
      </c>
      <c r="AE498" s="12">
        <v>28487570</v>
      </c>
      <c r="AF498" s="8">
        <v>230.25</v>
      </c>
      <c r="AG498" s="8">
        <f ca="1">IFERROR(__xludf.DUMMYFUNCTION("GOOGLEFINANCE(""BOM:"" &amp; AC498,""price"")"),210)</f>
        <v>210</v>
      </c>
      <c r="AH498" s="8">
        <f t="shared" ca="1" si="153"/>
        <v>-8.7947882736156355</v>
      </c>
      <c r="AI498" s="12">
        <f t="shared" si="139"/>
        <v>6559262992.5</v>
      </c>
      <c r="AJ498" s="13">
        <f t="shared" ca="1" si="140"/>
        <v>5982389700</v>
      </c>
    </row>
    <row r="499" spans="1:36" x14ac:dyDescent="0.25">
      <c r="A499" s="63"/>
      <c r="B499" s="8">
        <v>538835</v>
      </c>
      <c r="C499" s="8" t="s">
        <v>2075</v>
      </c>
      <c r="D499" s="12">
        <v>134841503</v>
      </c>
      <c r="E499" s="8">
        <v>1113</v>
      </c>
      <c r="F499" s="8">
        <f ca="1">IFERROR(__xludf.DUMMYFUNCTION("GOOGLEFINANCE(""BOM:"" &amp; B499,""price"")"),1095.55)</f>
        <v>1095.55</v>
      </c>
      <c r="G499" s="8">
        <f t="shared" ca="1" si="141"/>
        <v>-1.5678346810422323</v>
      </c>
      <c r="H499" s="12">
        <f t="shared" si="142"/>
        <v>150078592839</v>
      </c>
      <c r="I499" s="13">
        <f t="shared" ca="1" si="143"/>
        <v>147725608611.64999</v>
      </c>
      <c r="J499" s="63"/>
      <c r="K499" s="8">
        <v>539522</v>
      </c>
      <c r="L499" s="8" t="s">
        <v>2076</v>
      </c>
      <c r="M499" s="12">
        <v>2514351</v>
      </c>
      <c r="N499" s="10">
        <v>108.2</v>
      </c>
      <c r="O499" s="10">
        <f ca="1">IFERROR(__xludf.DUMMYFUNCTION("GOOGLEFINANCE(""BOM:"" &amp; K499,""price"")"),116.4)</f>
        <v>116.4</v>
      </c>
      <c r="P499" s="8">
        <f t="shared" ca="1" si="154"/>
        <v>7.5785582255083206</v>
      </c>
      <c r="Q499" s="12">
        <f t="shared" si="155"/>
        <v>272052778.19999999</v>
      </c>
      <c r="R499" s="13">
        <f t="shared" ca="1" si="156"/>
        <v>292670456.40000004</v>
      </c>
      <c r="S499" s="63"/>
      <c r="T499" s="8">
        <v>538081</v>
      </c>
      <c r="U499" s="8" t="s">
        <v>2077</v>
      </c>
      <c r="V499" s="12">
        <v>14985633</v>
      </c>
      <c r="W499" s="8">
        <v>6</v>
      </c>
      <c r="X499" s="11">
        <f ca="1">IFERROR(__xludf.DUMMYFUNCTION("GOOGLEFINANCE(""BOM:"" &amp; T499,""price"")"),5.34)</f>
        <v>5.34</v>
      </c>
      <c r="Y499" s="8">
        <f t="shared" ca="1" si="150"/>
        <v>-11.000000000000004</v>
      </c>
      <c r="Z499" s="12">
        <f t="shared" si="151"/>
        <v>89913798</v>
      </c>
      <c r="AA499" s="13">
        <f t="shared" ca="1" si="152"/>
        <v>80023280.219999999</v>
      </c>
      <c r="AB499" s="63"/>
      <c r="AC499" s="8">
        <v>506910</v>
      </c>
      <c r="AD499" s="8" t="s">
        <v>2078</v>
      </c>
      <c r="AE499" s="12">
        <v>8614532</v>
      </c>
      <c r="AF499" s="8">
        <v>122.05</v>
      </c>
      <c r="AG499" s="8">
        <f ca="1">IFERROR(__xludf.DUMMYFUNCTION("GOOGLEFINANCE(""BOM:"" &amp; AC499,""price"")"),107)</f>
        <v>107</v>
      </c>
      <c r="AH499" s="8">
        <f t="shared" ca="1" si="153"/>
        <v>-12.331011880376892</v>
      </c>
      <c r="AI499" s="12">
        <f t="shared" si="139"/>
        <v>1051403630.6</v>
      </c>
      <c r="AJ499" s="13">
        <f t="shared" ca="1" si="140"/>
        <v>921754924</v>
      </c>
    </row>
    <row r="500" spans="1:36" x14ac:dyDescent="0.25">
      <c r="A500" s="63"/>
      <c r="B500" s="8">
        <v>534659</v>
      </c>
      <c r="C500" s="8" t="s">
        <v>2079</v>
      </c>
      <c r="D500" s="12">
        <v>10015300</v>
      </c>
      <c r="E500" s="8">
        <v>11.75</v>
      </c>
      <c r="F500" s="8">
        <f ca="1">IFERROR(__xludf.DUMMYFUNCTION("GOOGLEFINANCE(""BOM:"" &amp; B500,""price"")"),12.33)</f>
        <v>12.33</v>
      </c>
      <c r="G500" s="8">
        <f t="shared" ca="1" si="141"/>
        <v>4.9361702127659575</v>
      </c>
      <c r="H500" s="12">
        <f t="shared" si="142"/>
        <v>117679775</v>
      </c>
      <c r="I500" s="13">
        <f t="shared" ca="1" si="143"/>
        <v>123488649</v>
      </c>
      <c r="J500" s="63"/>
      <c r="K500" s="8">
        <v>532855</v>
      </c>
      <c r="L500" s="8" t="s">
        <v>2080</v>
      </c>
      <c r="M500" s="12">
        <v>5137465</v>
      </c>
      <c r="N500" s="10">
        <v>186.1</v>
      </c>
      <c r="O500" s="10">
        <f ca="1">IFERROR(__xludf.DUMMYFUNCTION("GOOGLEFINANCE(""BOM:"" &amp; K500,""price"")"),157)</f>
        <v>157</v>
      </c>
      <c r="P500" s="8">
        <f t="shared" ca="1" si="154"/>
        <v>-15.63675443310048</v>
      </c>
      <c r="Q500" s="12">
        <f t="shared" si="155"/>
        <v>956082236.5</v>
      </c>
      <c r="R500" s="13">
        <f t="shared" ca="1" si="156"/>
        <v>806582005</v>
      </c>
      <c r="S500" s="63"/>
      <c r="T500" s="8">
        <v>531971</v>
      </c>
      <c r="U500" s="8" t="s">
        <v>2081</v>
      </c>
      <c r="V500" s="12">
        <v>3867800</v>
      </c>
      <c r="W500" s="8">
        <v>0</v>
      </c>
      <c r="X500" s="11">
        <f ca="1">IFERROR(__xludf.DUMMYFUNCTION("GOOGLEFINANCE(""BOM:"" &amp; T500,""price"")"),0)</f>
        <v>0</v>
      </c>
      <c r="Y500" s="8">
        <v>0</v>
      </c>
      <c r="Z500" s="12">
        <f t="shared" si="151"/>
        <v>0</v>
      </c>
      <c r="AA500" s="13">
        <f t="shared" ca="1" si="152"/>
        <v>0</v>
      </c>
      <c r="AB500" s="63"/>
      <c r="AC500" s="8">
        <v>524592</v>
      </c>
      <c r="AD500" s="8" t="s">
        <v>2082</v>
      </c>
      <c r="AE500" s="12">
        <v>12504430</v>
      </c>
      <c r="AF500" s="8">
        <v>8.51</v>
      </c>
      <c r="AG500" s="8">
        <f ca="1">IFERROR(__xludf.DUMMYFUNCTION("GOOGLEFINANCE(""BOM:"" &amp; AC500,""price"")"),7.51)</f>
        <v>7.51</v>
      </c>
      <c r="AH500" s="8">
        <f t="shared" ca="1" si="153"/>
        <v>-11.750881316098708</v>
      </c>
      <c r="AI500" s="12">
        <f t="shared" si="139"/>
        <v>106412699.3</v>
      </c>
      <c r="AJ500" s="13">
        <f t="shared" ca="1" si="140"/>
        <v>93908269.299999997</v>
      </c>
    </row>
    <row r="501" spans="1:36" x14ac:dyDescent="0.25">
      <c r="A501" s="63"/>
      <c r="B501" s="8">
        <v>519602</v>
      </c>
      <c r="C501" s="8" t="s">
        <v>2083</v>
      </c>
      <c r="D501" s="12">
        <v>95970900</v>
      </c>
      <c r="E501" s="8">
        <v>122.9</v>
      </c>
      <c r="F501" s="8">
        <f ca="1">IFERROR(__xludf.DUMMYFUNCTION("GOOGLEFINANCE(""BOM:"" &amp; B501,""price"")"),97.4)</f>
        <v>97.4</v>
      </c>
      <c r="G501" s="8">
        <f t="shared" ca="1" si="141"/>
        <v>-20.748576078112286</v>
      </c>
      <c r="H501" s="12">
        <f t="shared" si="142"/>
        <v>11794823610</v>
      </c>
      <c r="I501" s="13">
        <f t="shared" ca="1" si="143"/>
        <v>9347565660</v>
      </c>
      <c r="J501" s="63"/>
      <c r="K501" s="8">
        <v>539697</v>
      </c>
      <c r="L501" s="8" t="s">
        <v>2084</v>
      </c>
      <c r="M501" s="12">
        <v>4717420</v>
      </c>
      <c r="N501" s="10">
        <v>31.8</v>
      </c>
      <c r="O501" s="10">
        <f ca="1">IFERROR(__xludf.DUMMYFUNCTION("GOOGLEFINANCE(""BOM:"" &amp; K501,""price"")"),27.05)</f>
        <v>27.05</v>
      </c>
      <c r="P501" s="8">
        <f t="shared" ca="1" si="154"/>
        <v>-14.937106918238992</v>
      </c>
      <c r="Q501" s="12">
        <f t="shared" si="155"/>
        <v>150013956</v>
      </c>
      <c r="R501" s="13">
        <f t="shared" ca="1" si="156"/>
        <v>127606211</v>
      </c>
      <c r="S501" s="63"/>
      <c r="T501" s="8">
        <v>531301</v>
      </c>
      <c r="U501" s="8" t="s">
        <v>2085</v>
      </c>
      <c r="V501" s="12">
        <v>519178</v>
      </c>
      <c r="W501" s="8" t="s">
        <v>44</v>
      </c>
      <c r="X501" s="11" t="s">
        <v>44</v>
      </c>
      <c r="Y501" s="8"/>
      <c r="Z501" s="12"/>
      <c r="AA501" s="13"/>
      <c r="AB501" s="63"/>
      <c r="AC501" s="8">
        <v>533320</v>
      </c>
      <c r="AD501" s="8" t="s">
        <v>2086</v>
      </c>
      <c r="AE501" s="12">
        <v>14997567</v>
      </c>
      <c r="AF501" s="8">
        <v>1353.35</v>
      </c>
      <c r="AG501" s="8">
        <f ca="1">IFERROR(__xludf.DUMMYFUNCTION("GOOGLEFINANCE(""BOM:"" &amp; AC501,""price"")"),1164)</f>
        <v>1164</v>
      </c>
      <c r="AH501" s="8">
        <f t="shared" ca="1" si="153"/>
        <v>-13.991207004839836</v>
      </c>
      <c r="AI501" s="12">
        <f t="shared" si="139"/>
        <v>20296957299.449997</v>
      </c>
      <c r="AJ501" s="13">
        <f t="shared" ca="1" si="140"/>
        <v>17457167988</v>
      </c>
    </row>
    <row r="502" spans="1:36" x14ac:dyDescent="0.25">
      <c r="A502" s="63"/>
      <c r="B502" s="8">
        <v>542651</v>
      </c>
      <c r="C502" s="8" t="s">
        <v>2087</v>
      </c>
      <c r="D502" s="12">
        <v>273299179</v>
      </c>
      <c r="E502" s="8">
        <v>1575.1</v>
      </c>
      <c r="F502" s="8">
        <f ca="1">IFERROR(__xludf.DUMMYFUNCTION("GOOGLEFINANCE(""BOM:"" &amp; B502,""price"")"),1486.25)</f>
        <v>1486.25</v>
      </c>
      <c r="G502" s="8">
        <f t="shared" ca="1" si="141"/>
        <v>-5.6409116881467787</v>
      </c>
      <c r="H502" s="12">
        <f t="shared" si="142"/>
        <v>430473536842.89996</v>
      </c>
      <c r="I502" s="13">
        <f t="shared" ca="1" si="143"/>
        <v>406190904788.75</v>
      </c>
      <c r="J502" s="63"/>
      <c r="K502" s="8">
        <v>514238</v>
      </c>
      <c r="L502" s="8" t="s">
        <v>2088</v>
      </c>
      <c r="M502" s="12">
        <v>3259100</v>
      </c>
      <c r="N502" s="10">
        <v>1866</v>
      </c>
      <c r="O502" s="10">
        <f ca="1">IFERROR(__xludf.DUMMYFUNCTION("GOOGLEFINANCE(""BOM:"" &amp; K502,""price"")"),1591)</f>
        <v>1591</v>
      </c>
      <c r="P502" s="8">
        <f t="shared" ca="1" si="154"/>
        <v>-14.737406216505894</v>
      </c>
      <c r="Q502" s="12">
        <f t="shared" si="155"/>
        <v>6081480600</v>
      </c>
      <c r="R502" s="13">
        <f t="shared" ca="1" si="156"/>
        <v>5185228100</v>
      </c>
      <c r="S502" s="63"/>
      <c r="T502" s="8">
        <v>514043</v>
      </c>
      <c r="U502" s="8" t="s">
        <v>2089</v>
      </c>
      <c r="V502" s="12">
        <v>97944371</v>
      </c>
      <c r="W502" s="8">
        <v>145.9</v>
      </c>
      <c r="X502" s="11">
        <f ca="1">IFERROR(__xludf.DUMMYFUNCTION("GOOGLEFINANCE(""BOM:"" &amp; T502,""price"")"),122.75)</f>
        <v>122.75</v>
      </c>
      <c r="Y502" s="8">
        <f t="shared" ref="Y502:Y511" ca="1" si="157">((X502-W502)/W502)*100</f>
        <v>-15.867032213845103</v>
      </c>
      <c r="Z502" s="12">
        <f t="shared" ref="Z502:Z511" si="158">V502*W502</f>
        <v>14290083728.9</v>
      </c>
      <c r="AA502" s="13">
        <f t="shared" ref="AA502:AA511" ca="1" si="159">V502*X502</f>
        <v>12022671540.25</v>
      </c>
      <c r="AB502" s="63"/>
      <c r="AC502" s="8">
        <v>543271</v>
      </c>
      <c r="AD502" s="8" t="s">
        <v>2090</v>
      </c>
      <c r="AE502" s="12">
        <v>158694637</v>
      </c>
      <c r="AF502" s="8">
        <v>477.4</v>
      </c>
      <c r="AG502" s="8">
        <f ca="1">IFERROR(__xludf.DUMMYFUNCTION("GOOGLEFINANCE(""BOM:"" &amp; AC502,""price"")"),451.7)</f>
        <v>451.7</v>
      </c>
      <c r="AH502" s="8">
        <f t="shared" ca="1" si="153"/>
        <v>-5.3833263510682841</v>
      </c>
      <c r="AI502" s="12">
        <f t="shared" si="139"/>
        <v>75760819703.800003</v>
      </c>
      <c r="AJ502" s="13">
        <f t="shared" ca="1" si="140"/>
        <v>71682367532.899994</v>
      </c>
    </row>
    <row r="503" spans="1:36" x14ac:dyDescent="0.25">
      <c r="A503" s="63"/>
      <c r="B503" s="8">
        <v>543398</v>
      </c>
      <c r="C503" s="8" t="s">
        <v>2091</v>
      </c>
      <c r="D503" s="12">
        <v>200421998</v>
      </c>
      <c r="E503" s="8">
        <v>516.1</v>
      </c>
      <c r="F503" s="8">
        <f ca="1">IFERROR(__xludf.DUMMYFUNCTION("GOOGLEFINANCE(""BOM:"" &amp; B503,""price"")"),508.1)</f>
        <v>508.1</v>
      </c>
      <c r="G503" s="8">
        <f t="shared" ca="1" si="141"/>
        <v>-1.5500871924045727</v>
      </c>
      <c r="H503" s="12">
        <f t="shared" si="142"/>
        <v>103437793167.8</v>
      </c>
      <c r="I503" s="13">
        <f t="shared" ca="1" si="143"/>
        <v>101834417183.8</v>
      </c>
      <c r="J503" s="63"/>
      <c r="K503" s="8">
        <v>509051</v>
      </c>
      <c r="L503" s="8" t="s">
        <v>2092</v>
      </c>
      <c r="M503" s="12">
        <v>990850498</v>
      </c>
      <c r="N503" s="10">
        <v>2.12</v>
      </c>
      <c r="O503" s="10">
        <f ca="1">IFERROR(__xludf.DUMMYFUNCTION("GOOGLEFINANCE(""BOM:"" &amp; K503,""price"")"),1.39)</f>
        <v>1.39</v>
      </c>
      <c r="P503" s="8">
        <f t="shared" ca="1" si="154"/>
        <v>-34.433962264150949</v>
      </c>
      <c r="Q503" s="12">
        <f t="shared" si="155"/>
        <v>2100603055.76</v>
      </c>
      <c r="R503" s="13">
        <f t="shared" ca="1" si="156"/>
        <v>1377282192.2199998</v>
      </c>
      <c r="S503" s="63"/>
      <c r="T503" s="8">
        <v>514010</v>
      </c>
      <c r="U503" s="8" t="s">
        <v>2093</v>
      </c>
      <c r="V503" s="12">
        <v>83007500</v>
      </c>
      <c r="W503" s="8">
        <v>51.67</v>
      </c>
      <c r="X503" s="11">
        <f ca="1">IFERROR(__xludf.DUMMYFUNCTION("GOOGLEFINANCE(""BOM:"" &amp; T503,""price"")"),42.65)</f>
        <v>42.65</v>
      </c>
      <c r="Y503" s="8">
        <f t="shared" ca="1" si="157"/>
        <v>-17.456938262047615</v>
      </c>
      <c r="Z503" s="12">
        <f t="shared" si="158"/>
        <v>4288997525</v>
      </c>
      <c r="AA503" s="13">
        <f t="shared" ca="1" si="159"/>
        <v>3540269875</v>
      </c>
      <c r="AB503" s="63"/>
      <c r="AC503" s="8">
        <v>514448</v>
      </c>
      <c r="AD503" s="8" t="s">
        <v>2094</v>
      </c>
      <c r="AE503" s="12">
        <v>11966757</v>
      </c>
      <c r="AF503" s="8">
        <v>1379.75</v>
      </c>
      <c r="AG503" s="8">
        <f ca="1">IFERROR(__xludf.DUMMYFUNCTION("GOOGLEFINANCE(""BOM:"" &amp; AC503,""price"")"),1418)</f>
        <v>1418</v>
      </c>
      <c r="AH503" s="8">
        <f t="shared" ca="1" si="153"/>
        <v>2.7722413480703025</v>
      </c>
      <c r="AI503" s="12">
        <f t="shared" si="139"/>
        <v>16511132970.75</v>
      </c>
      <c r="AJ503" s="13">
        <f t="shared" ca="1" si="140"/>
        <v>16968861426</v>
      </c>
    </row>
    <row r="504" spans="1:36" x14ac:dyDescent="0.25">
      <c r="A504" s="63"/>
      <c r="B504" s="8">
        <v>540005</v>
      </c>
      <c r="C504" s="8" t="s">
        <v>2095</v>
      </c>
      <c r="D504" s="12">
        <v>295523465</v>
      </c>
      <c r="E504" s="8">
        <v>5270.9</v>
      </c>
      <c r="F504" s="8">
        <f ca="1">IFERROR(__xludf.DUMMYFUNCTION("GOOGLEFINANCE(""BOM:"" &amp; B504,""price"")"),4936.15)</f>
        <v>4936.1499999999996</v>
      </c>
      <c r="G504" s="8">
        <f t="shared" ca="1" si="141"/>
        <v>-6.3509078146047173</v>
      </c>
      <c r="H504" s="12">
        <f t="shared" si="142"/>
        <v>1557674631668.5</v>
      </c>
      <c r="I504" s="13">
        <f t="shared" ca="1" si="143"/>
        <v>1458748151759.75</v>
      </c>
      <c r="J504" s="63"/>
      <c r="K504" s="8">
        <v>501298</v>
      </c>
      <c r="L504" s="8" t="s">
        <v>2096</v>
      </c>
      <c r="M504" s="12">
        <v>1588822</v>
      </c>
      <c r="N504" s="10">
        <v>5350</v>
      </c>
      <c r="O504" s="10">
        <f ca="1">IFERROR(__xludf.DUMMYFUNCTION("GOOGLEFINANCE(""BOM:"" &amp; K504,""price"")"),4852)</f>
        <v>4852</v>
      </c>
      <c r="P504" s="8">
        <f t="shared" ca="1" si="154"/>
        <v>-9.3084112149532707</v>
      </c>
      <c r="Q504" s="12">
        <f t="shared" si="155"/>
        <v>8500197700</v>
      </c>
      <c r="R504" s="13">
        <f t="shared" ca="1" si="156"/>
        <v>7708964344</v>
      </c>
      <c r="S504" s="63"/>
      <c r="T504" s="8">
        <v>509895</v>
      </c>
      <c r="U504" s="8" t="s">
        <v>2097</v>
      </c>
      <c r="V504" s="12">
        <v>1627645</v>
      </c>
      <c r="W504" s="8">
        <v>309.95</v>
      </c>
      <c r="X504" s="11">
        <f ca="1">IFERROR(__xludf.DUMMYFUNCTION("GOOGLEFINANCE(""BOM:"" &amp; T504,""price"")"),240.05)</f>
        <v>240.05</v>
      </c>
      <c r="Y504" s="8">
        <f t="shared" ca="1" si="157"/>
        <v>-22.552024520083876</v>
      </c>
      <c r="Z504" s="12">
        <f t="shared" si="158"/>
        <v>504488567.75</v>
      </c>
      <c r="AA504" s="13">
        <f t="shared" ca="1" si="159"/>
        <v>390716182.25</v>
      </c>
      <c r="AB504" s="63"/>
      <c r="AC504" s="8">
        <v>531163</v>
      </c>
      <c r="AD504" s="8" t="s">
        <v>2098</v>
      </c>
      <c r="AE504" s="12">
        <v>10672944</v>
      </c>
      <c r="AF504" s="8">
        <v>43.75</v>
      </c>
      <c r="AG504" s="8">
        <f ca="1">IFERROR(__xludf.DUMMYFUNCTION("GOOGLEFINANCE(""BOM:"" &amp; AC504,""price"")"),43.32)</f>
        <v>43.32</v>
      </c>
      <c r="AH504" s="8">
        <f t="shared" ca="1" si="153"/>
        <v>-0.98285714285714221</v>
      </c>
      <c r="AI504" s="12">
        <f t="shared" si="139"/>
        <v>466941300</v>
      </c>
      <c r="AJ504" s="13">
        <f t="shared" ca="1" si="140"/>
        <v>462351934.07999998</v>
      </c>
    </row>
    <row r="505" spans="1:36" x14ac:dyDescent="0.25">
      <c r="A505" s="63"/>
      <c r="B505" s="8">
        <v>523704</v>
      </c>
      <c r="C505" s="8" t="s">
        <v>2099</v>
      </c>
      <c r="D505" s="12">
        <v>29907301</v>
      </c>
      <c r="E505" s="8">
        <v>2935</v>
      </c>
      <c r="F505" s="8">
        <f ca="1">IFERROR(__xludf.DUMMYFUNCTION("GOOGLEFINANCE(""BOM:"" &amp; B505,""price"")"),2559.95)</f>
        <v>2559.9499999999998</v>
      </c>
      <c r="G505" s="8">
        <f t="shared" ca="1" si="141"/>
        <v>-12.778534923339018</v>
      </c>
      <c r="H505" s="12">
        <f t="shared" si="142"/>
        <v>87777928435</v>
      </c>
      <c r="I505" s="13">
        <f t="shared" ca="1" si="143"/>
        <v>76561195194.949997</v>
      </c>
      <c r="J505" s="63"/>
      <c r="K505" s="8">
        <v>533315</v>
      </c>
      <c r="L505" s="8" t="s">
        <v>2100</v>
      </c>
      <c r="M505" s="12">
        <v>22187407</v>
      </c>
      <c r="N505" s="10">
        <v>30.46</v>
      </c>
      <c r="O505" s="10">
        <f ca="1">IFERROR(__xludf.DUMMYFUNCTION("GOOGLEFINANCE(""BOM:"" &amp; K505,""price"")"),25.6)</f>
        <v>25.6</v>
      </c>
      <c r="P505" s="8">
        <f t="shared" ca="1" si="154"/>
        <v>-15.955351280367694</v>
      </c>
      <c r="Q505" s="12">
        <f t="shared" si="155"/>
        <v>675828417.22000003</v>
      </c>
      <c r="R505" s="13">
        <f t="shared" ca="1" si="156"/>
        <v>567997619.20000005</v>
      </c>
      <c r="S505" s="63"/>
      <c r="T505" s="8">
        <v>521068</v>
      </c>
      <c r="U505" s="8" t="s">
        <v>2101</v>
      </c>
      <c r="V505" s="12">
        <v>2262770</v>
      </c>
      <c r="W505" s="8">
        <v>57</v>
      </c>
      <c r="X505" s="11">
        <f ca="1">IFERROR(__xludf.DUMMYFUNCTION("GOOGLEFINANCE(""BOM:"" &amp; T505,""price"")"),52)</f>
        <v>52</v>
      </c>
      <c r="Y505" s="8">
        <f t="shared" ca="1" si="157"/>
        <v>-8.7719298245614024</v>
      </c>
      <c r="Z505" s="12">
        <f t="shared" si="158"/>
        <v>128977890</v>
      </c>
      <c r="AA505" s="13">
        <f t="shared" ca="1" si="159"/>
        <v>117664040</v>
      </c>
      <c r="AB505" s="63"/>
      <c r="AC505" s="8">
        <v>526409</v>
      </c>
      <c r="AD505" s="8" t="s">
        <v>2102</v>
      </c>
      <c r="AE505" s="12">
        <v>93383450</v>
      </c>
      <c r="AF505" s="8">
        <v>10</v>
      </c>
      <c r="AG505" s="8">
        <f ca="1">IFERROR(__xludf.DUMMYFUNCTION("GOOGLEFINANCE(""BOM:"" &amp; AC505,""price"")"),9.25)</f>
        <v>9.25</v>
      </c>
      <c r="AH505" s="8">
        <f t="shared" ca="1" si="153"/>
        <v>-7.5</v>
      </c>
      <c r="AI505" s="12">
        <f t="shared" si="139"/>
        <v>933834500</v>
      </c>
      <c r="AJ505" s="13">
        <f t="shared" ca="1" si="140"/>
        <v>863796912.5</v>
      </c>
    </row>
    <row r="506" spans="1:36" x14ac:dyDescent="0.25">
      <c r="A506" s="63"/>
      <c r="B506" s="8">
        <v>538891</v>
      </c>
      <c r="C506" s="8" t="s">
        <v>2103</v>
      </c>
      <c r="D506" s="12">
        <v>116736864</v>
      </c>
      <c r="E506" s="8">
        <v>623.04999999999995</v>
      </c>
      <c r="F506" s="8">
        <f ca="1">IFERROR(__xludf.DUMMYFUNCTION("GOOGLEFINANCE(""BOM:"" &amp; B506,""price"")"),476.45)</f>
        <v>476.45</v>
      </c>
      <c r="G506" s="8">
        <f t="shared" ca="1" si="141"/>
        <v>-23.52941176470588</v>
      </c>
      <c r="H506" s="12">
        <f t="shared" si="142"/>
        <v>72732903115.199997</v>
      </c>
      <c r="I506" s="13">
        <f t="shared" ca="1" si="143"/>
        <v>55619278852.799995</v>
      </c>
      <c r="J506" s="63"/>
      <c r="K506" s="8">
        <v>539947</v>
      </c>
      <c r="L506" s="8" t="s">
        <v>2104</v>
      </c>
      <c r="M506" s="12">
        <v>2134901</v>
      </c>
      <c r="N506" s="10">
        <v>38.75</v>
      </c>
      <c r="O506" s="10">
        <f ca="1">IFERROR(__xludf.DUMMYFUNCTION("GOOGLEFINANCE(""BOM:"" &amp; K506,""price"")"),35.03)</f>
        <v>35.03</v>
      </c>
      <c r="P506" s="8">
        <f t="shared" ca="1" si="154"/>
        <v>-9.5999999999999979</v>
      </c>
      <c r="Q506" s="12">
        <f t="shared" si="155"/>
        <v>82727413.75</v>
      </c>
      <c r="R506" s="13">
        <f t="shared" ca="1" si="156"/>
        <v>74785582.030000001</v>
      </c>
      <c r="S506" s="63"/>
      <c r="T506" s="8">
        <v>502873</v>
      </c>
      <c r="U506" s="8" t="s">
        <v>2105</v>
      </c>
      <c r="V506" s="12">
        <v>3794740</v>
      </c>
      <c r="W506" s="8">
        <v>146.1</v>
      </c>
      <c r="X506" s="11">
        <f ca="1">IFERROR(__xludf.DUMMYFUNCTION("GOOGLEFINANCE(""BOM:"" &amp; T506,""price"")"),130)</f>
        <v>130</v>
      </c>
      <c r="Y506" s="8">
        <f t="shared" ca="1" si="157"/>
        <v>-11.019849418206704</v>
      </c>
      <c r="Z506" s="12">
        <f t="shared" si="158"/>
        <v>554411514</v>
      </c>
      <c r="AA506" s="13">
        <f t="shared" ca="1" si="159"/>
        <v>493316200</v>
      </c>
      <c r="AB506" s="63"/>
      <c r="AC506" s="8">
        <v>543277</v>
      </c>
      <c r="AD506" s="8" t="s">
        <v>2106</v>
      </c>
      <c r="AE506" s="12">
        <v>265095078</v>
      </c>
      <c r="AF506" s="8">
        <v>255.4</v>
      </c>
      <c r="AG506" s="8">
        <f ca="1">IFERROR(__xludf.DUMMYFUNCTION("GOOGLEFINANCE(""BOM:"" &amp; AC506,""price"")"),235.35)</f>
        <v>235.35</v>
      </c>
      <c r="AH506" s="8">
        <f t="shared" ca="1" si="153"/>
        <v>-7.8504306969459714</v>
      </c>
      <c r="AI506" s="12">
        <f t="shared" si="139"/>
        <v>67705282921.200005</v>
      </c>
      <c r="AJ506" s="13">
        <f t="shared" ca="1" si="140"/>
        <v>62390126607.299995</v>
      </c>
    </row>
    <row r="507" spans="1:36" x14ac:dyDescent="0.25">
      <c r="A507" s="63"/>
      <c r="B507" s="8">
        <v>517344</v>
      </c>
      <c r="C507" s="8" t="s">
        <v>2107</v>
      </c>
      <c r="D507" s="12">
        <v>25632075</v>
      </c>
      <c r="E507" s="8">
        <v>224.75</v>
      </c>
      <c r="F507" s="8">
        <f ca="1">IFERROR(__xludf.DUMMYFUNCTION("GOOGLEFINANCE(""BOM:"" &amp; B507,""price"")"),203.25)</f>
        <v>203.25</v>
      </c>
      <c r="G507" s="8">
        <f t="shared" ca="1" si="141"/>
        <v>-9.5661846496106797</v>
      </c>
      <c r="H507" s="12">
        <f t="shared" si="142"/>
        <v>5760808856.25</v>
      </c>
      <c r="I507" s="13">
        <f t="shared" ca="1" si="143"/>
        <v>5209719243.75</v>
      </c>
      <c r="J507" s="63"/>
      <c r="K507" s="8">
        <v>523405</v>
      </c>
      <c r="L507" s="8" t="s">
        <v>2108</v>
      </c>
      <c r="M507" s="12">
        <v>952374893</v>
      </c>
      <c r="N507" s="10">
        <v>99.6</v>
      </c>
      <c r="O507" s="10">
        <f ca="1">IFERROR(__xludf.DUMMYFUNCTION("GOOGLEFINANCE(""BOM:"" &amp; K507,""price"")"),74.56)</f>
        <v>74.56</v>
      </c>
      <c r="P507" s="8">
        <f t="shared" ca="1" si="154"/>
        <v>-25.14056224899598</v>
      </c>
      <c r="Q507" s="12">
        <f t="shared" si="155"/>
        <v>94856539342.799988</v>
      </c>
      <c r="R507" s="13">
        <f t="shared" ca="1" si="156"/>
        <v>71009072022.080002</v>
      </c>
      <c r="S507" s="63"/>
      <c r="T507" s="8">
        <v>521016</v>
      </c>
      <c r="U507" s="8" t="s">
        <v>2109</v>
      </c>
      <c r="V507" s="12">
        <v>194762955</v>
      </c>
      <c r="W507" s="8">
        <v>341.05</v>
      </c>
      <c r="X507" s="11">
        <f ca="1">IFERROR(__xludf.DUMMYFUNCTION("GOOGLEFINANCE(""BOM:"" &amp; T507,""price"")"),353.1)</f>
        <v>353.1</v>
      </c>
      <c r="Y507" s="8">
        <f t="shared" ca="1" si="157"/>
        <v>3.5332062747397774</v>
      </c>
      <c r="Z507" s="12">
        <f t="shared" si="158"/>
        <v>66423905802.75</v>
      </c>
      <c r="AA507" s="13">
        <f t="shared" ca="1" si="159"/>
        <v>68770799410.5</v>
      </c>
      <c r="AB507" s="63"/>
      <c r="AC507" s="8">
        <v>543332</v>
      </c>
      <c r="AD507" s="8" t="s">
        <v>2110</v>
      </c>
      <c r="AE507" s="12">
        <v>41550158</v>
      </c>
      <c r="AF507" s="8">
        <v>1199</v>
      </c>
      <c r="AG507" s="8">
        <f ca="1">IFERROR(__xludf.DUMMYFUNCTION("GOOGLEFINANCE(""BOM:"" &amp; AC507,""price"")"),1100.7)</f>
        <v>1100.7</v>
      </c>
      <c r="AH507" s="8">
        <f t="shared" ca="1" si="153"/>
        <v>-8.1984987489574621</v>
      </c>
      <c r="AI507" s="12">
        <f t="shared" si="139"/>
        <v>49818639442</v>
      </c>
      <c r="AJ507" s="13">
        <f t="shared" ca="1" si="140"/>
        <v>45734258910.599998</v>
      </c>
    </row>
    <row r="508" spans="1:36" ht="15.75" customHeight="1" x14ac:dyDescent="0.3">
      <c r="A508" s="63"/>
      <c r="B508" s="8">
        <v>532819</v>
      </c>
      <c r="C508" s="8" t="s">
        <v>2111</v>
      </c>
      <c r="D508" s="12">
        <v>164689027</v>
      </c>
      <c r="E508" s="22" t="s">
        <v>60</v>
      </c>
      <c r="F508" s="22" t="s">
        <v>60</v>
      </c>
      <c r="G508" s="22"/>
      <c r="H508" s="24"/>
      <c r="I508" s="25"/>
      <c r="J508" s="63"/>
      <c r="K508" s="8">
        <v>536773</v>
      </c>
      <c r="L508" s="8" t="s">
        <v>2112</v>
      </c>
      <c r="M508" s="12">
        <v>10442856</v>
      </c>
      <c r="N508" s="10">
        <v>727.9</v>
      </c>
      <c r="O508" s="10">
        <f ca="1">IFERROR(__xludf.DUMMYFUNCTION("GOOGLEFINANCE(""BOM:"" &amp; K508,""price"")"),620)</f>
        <v>620</v>
      </c>
      <c r="P508" s="8">
        <f t="shared" ca="1" si="154"/>
        <v>-14.823464761643079</v>
      </c>
      <c r="Q508" s="12">
        <f t="shared" si="155"/>
        <v>7601354882.3999996</v>
      </c>
      <c r="R508" s="13">
        <f t="shared" ca="1" si="156"/>
        <v>6474570720</v>
      </c>
      <c r="S508" s="63"/>
      <c r="T508" s="8">
        <v>538838</v>
      </c>
      <c r="U508" s="8" t="s">
        <v>2113</v>
      </c>
      <c r="V508" s="12">
        <v>4120710</v>
      </c>
      <c r="W508" s="8">
        <v>42.71</v>
      </c>
      <c r="X508" s="11">
        <f ca="1">IFERROR(__xludf.DUMMYFUNCTION("GOOGLEFINANCE(""BOM:"" &amp; T508,""price"")"),40.55)</f>
        <v>40.549999999999997</v>
      </c>
      <c r="Y508" s="8">
        <f t="shared" ca="1" si="157"/>
        <v>-5.0573636150784447</v>
      </c>
      <c r="Z508" s="12">
        <f t="shared" si="158"/>
        <v>175995524.09999999</v>
      </c>
      <c r="AA508" s="13">
        <f t="shared" ca="1" si="159"/>
        <v>167094790.5</v>
      </c>
      <c r="AB508" s="63"/>
      <c r="AC508" s="8">
        <v>526169</v>
      </c>
      <c r="AD508" s="8" t="s">
        <v>2114</v>
      </c>
      <c r="AE508" s="12">
        <v>12096062</v>
      </c>
      <c r="AF508" s="8">
        <v>280</v>
      </c>
      <c r="AG508" s="8">
        <f ca="1">IFERROR(__xludf.DUMMYFUNCTION("GOOGLEFINANCE(""BOM:"" &amp; AC508,""price"")"),233.2)</f>
        <v>233.2</v>
      </c>
      <c r="AH508" s="8">
        <f t="shared" ca="1" si="153"/>
        <v>-16.714285714285719</v>
      </c>
      <c r="AI508" s="12">
        <f t="shared" si="139"/>
        <v>3386897360</v>
      </c>
      <c r="AJ508" s="13">
        <f t="shared" ca="1" si="140"/>
        <v>2820801658.4000001</v>
      </c>
    </row>
    <row r="509" spans="1:36" x14ac:dyDescent="0.25">
      <c r="A509" s="63"/>
      <c r="B509" s="8">
        <v>526299</v>
      </c>
      <c r="C509" s="8" t="s">
        <v>2115</v>
      </c>
      <c r="D509" s="12">
        <v>188016540</v>
      </c>
      <c r="E509" s="8">
        <v>2616.75</v>
      </c>
      <c r="F509" s="8">
        <f ca="1">IFERROR(__xludf.DUMMYFUNCTION("GOOGLEFINANCE(""BOM:"" &amp; B509,""price"")"),2391.05)</f>
        <v>2391.0500000000002</v>
      </c>
      <c r="G509" s="8">
        <f t="shared" ref="G509:G510" ca="1" si="160">((F509-E509)/E509)*100</f>
        <v>-8.625203019012126</v>
      </c>
      <c r="H509" s="12">
        <f t="shared" ref="H509:H510" si="161">D509*E509</f>
        <v>491992281045</v>
      </c>
      <c r="I509" s="13">
        <f t="shared" ref="I509:I510" ca="1" si="162">D509*F509</f>
        <v>449556947967.00006</v>
      </c>
      <c r="J509" s="63"/>
      <c r="K509" s="8">
        <v>532642</v>
      </c>
      <c r="L509" s="8" t="s">
        <v>2116</v>
      </c>
      <c r="M509" s="12">
        <v>10907330</v>
      </c>
      <c r="N509" s="10">
        <v>6509.35</v>
      </c>
      <c r="O509" s="10">
        <f ca="1">IFERROR(__xludf.DUMMYFUNCTION("GOOGLEFINANCE(""BOM:"" &amp; K509,""price"")"),7075.05)</f>
        <v>7075.05</v>
      </c>
      <c r="P509" s="8">
        <f t="shared" ca="1" si="154"/>
        <v>8.6905758639495456</v>
      </c>
      <c r="Q509" s="12">
        <f t="shared" si="155"/>
        <v>70999628535.5</v>
      </c>
      <c r="R509" s="13">
        <f t="shared" ca="1" si="156"/>
        <v>77169905116.5</v>
      </c>
      <c r="S509" s="63"/>
      <c r="T509" s="8">
        <v>509692</v>
      </c>
      <c r="U509" s="8" t="s">
        <v>2117</v>
      </c>
      <c r="V509" s="12">
        <v>5847819</v>
      </c>
      <c r="W509" s="8">
        <v>272.2</v>
      </c>
      <c r="X509" s="11">
        <f ca="1">IFERROR(__xludf.DUMMYFUNCTION("GOOGLEFINANCE(""BOM:"" &amp; T509,""price"")"),246.3)</f>
        <v>246.3</v>
      </c>
      <c r="Y509" s="8">
        <f t="shared" ca="1" si="157"/>
        <v>-9.5150624540778761</v>
      </c>
      <c r="Z509" s="12">
        <f t="shared" si="158"/>
        <v>1591776331.8</v>
      </c>
      <c r="AA509" s="13">
        <f t="shared" ca="1" si="159"/>
        <v>1440317819.7</v>
      </c>
      <c r="AB509" s="63"/>
      <c r="AC509" s="8">
        <v>542665</v>
      </c>
      <c r="AD509" s="8" t="s">
        <v>2118</v>
      </c>
      <c r="AE509" s="12">
        <v>24939316</v>
      </c>
      <c r="AF509" s="8">
        <v>1343</v>
      </c>
      <c r="AG509" s="8">
        <f ca="1">IFERROR(__xludf.DUMMYFUNCTION("GOOGLEFINANCE(""BOM:"" &amp; AC509,""price"")"),1185)</f>
        <v>1185</v>
      </c>
      <c r="AH509" s="8">
        <f t="shared" ca="1" si="153"/>
        <v>-11.76470588235294</v>
      </c>
      <c r="AI509" s="12">
        <f t="shared" si="139"/>
        <v>33493501388</v>
      </c>
      <c r="AJ509" s="13">
        <f t="shared" ca="1" si="140"/>
        <v>29553089460</v>
      </c>
    </row>
    <row r="510" spans="1:36" x14ac:dyDescent="0.25">
      <c r="A510" s="63"/>
      <c r="B510" s="8">
        <v>543351</v>
      </c>
      <c r="C510" s="8" t="s">
        <v>2119</v>
      </c>
      <c r="D510" s="12">
        <v>1856600</v>
      </c>
      <c r="E510" s="8">
        <v>207.75</v>
      </c>
      <c r="F510" s="8">
        <f ca="1">IFERROR(__xludf.DUMMYFUNCTION("GOOGLEFINANCE(""BOM:"" &amp; B510,""price"")"),230)</f>
        <v>230</v>
      </c>
      <c r="G510" s="8">
        <f t="shared" ca="1" si="160"/>
        <v>10.709987966305656</v>
      </c>
      <c r="H510" s="12">
        <f t="shared" si="161"/>
        <v>385708650</v>
      </c>
      <c r="I510" s="13">
        <f t="shared" ca="1" si="162"/>
        <v>427018000</v>
      </c>
      <c r="J510" s="63"/>
      <c r="K510" s="8">
        <v>538539</v>
      </c>
      <c r="L510" s="8" t="s">
        <v>2120</v>
      </c>
      <c r="M510" s="12">
        <v>16034529</v>
      </c>
      <c r="N510" s="10">
        <v>30.71</v>
      </c>
      <c r="O510" s="10">
        <f ca="1">IFERROR(__xludf.DUMMYFUNCTION("GOOGLEFINANCE(""BOM:"" &amp; K510,""price"")"),28.9)</f>
        <v>28.9</v>
      </c>
      <c r="P510" s="8">
        <f t="shared" ca="1" si="154"/>
        <v>-5.8938456528818044</v>
      </c>
      <c r="Q510" s="12">
        <f t="shared" si="155"/>
        <v>492420385.59000003</v>
      </c>
      <c r="R510" s="13">
        <f t="shared" ca="1" si="156"/>
        <v>463397888.09999996</v>
      </c>
      <c r="S510" s="63"/>
      <c r="T510" s="8">
        <v>500207</v>
      </c>
      <c r="U510" s="8" t="s">
        <v>2121</v>
      </c>
      <c r="V510" s="12">
        <v>260678863</v>
      </c>
      <c r="W510" s="8">
        <v>52.4</v>
      </c>
      <c r="X510" s="11">
        <f ca="1">IFERROR(__xludf.DUMMYFUNCTION("GOOGLEFINANCE(""BOM:"" &amp; T510,""price"")"),38.64)</f>
        <v>38.64</v>
      </c>
      <c r="Y510" s="8">
        <f t="shared" ca="1" si="157"/>
        <v>-26.25954198473282</v>
      </c>
      <c r="Z510" s="12">
        <f t="shared" si="158"/>
        <v>13659572421.199999</v>
      </c>
      <c r="AA510" s="13">
        <f t="shared" ca="1" si="159"/>
        <v>10072631266.32</v>
      </c>
      <c r="AB510" s="63"/>
      <c r="AC510" s="8">
        <v>526159</v>
      </c>
      <c r="AD510" s="8" t="s">
        <v>2122</v>
      </c>
      <c r="AE510" s="12">
        <v>4536320</v>
      </c>
      <c r="AF510" s="8">
        <v>135.25</v>
      </c>
      <c r="AG510" s="8">
        <f ca="1">IFERROR(__xludf.DUMMYFUNCTION("GOOGLEFINANCE(""BOM:"" &amp; AC510,""price"")"),124.1)</f>
        <v>124.1</v>
      </c>
      <c r="AH510" s="8">
        <f t="shared" ca="1" si="153"/>
        <v>-8.243992606284662</v>
      </c>
      <c r="AI510" s="12">
        <f t="shared" si="139"/>
        <v>613537280</v>
      </c>
      <c r="AJ510" s="13">
        <f t="shared" ca="1" si="140"/>
        <v>562957312</v>
      </c>
    </row>
    <row r="511" spans="1:36" x14ac:dyDescent="0.25">
      <c r="A511" s="63"/>
      <c r="B511" s="8">
        <v>542117</v>
      </c>
      <c r="C511" s="8" t="s">
        <v>2123</v>
      </c>
      <c r="D511" s="12">
        <v>6124800</v>
      </c>
      <c r="E511" s="8" t="s">
        <v>44</v>
      </c>
      <c r="F511" s="8" t="s">
        <v>44</v>
      </c>
      <c r="G511" s="8"/>
      <c r="H511" s="12"/>
      <c r="I511" s="13"/>
      <c r="J511" s="63"/>
      <c r="K511" s="8">
        <v>533302</v>
      </c>
      <c r="L511" s="8" t="s">
        <v>2124</v>
      </c>
      <c r="M511" s="12">
        <v>4296770</v>
      </c>
      <c r="N511" s="10">
        <v>4381.2</v>
      </c>
      <c r="O511" s="10">
        <f ca="1">IFERROR(__xludf.DUMMYFUNCTION("GOOGLEFINANCE(""BOM:"" &amp; K511,""price"")"),3695.25)</f>
        <v>3695.25</v>
      </c>
      <c r="P511" s="8">
        <f t="shared" ca="1" si="154"/>
        <v>-15.656669405642287</v>
      </c>
      <c r="Q511" s="12">
        <f t="shared" si="155"/>
        <v>18825008724</v>
      </c>
      <c r="R511" s="13">
        <f t="shared" ca="1" si="156"/>
        <v>15877639342.5</v>
      </c>
      <c r="S511" s="63"/>
      <c r="T511" s="8">
        <v>514312</v>
      </c>
      <c r="U511" s="8" t="s">
        <v>2125</v>
      </c>
      <c r="V511" s="12">
        <v>4356700</v>
      </c>
      <c r="W511" s="8">
        <v>30.7</v>
      </c>
      <c r="X511" s="11">
        <f ca="1">IFERROR(__xludf.DUMMYFUNCTION("GOOGLEFINANCE(""BOM:"" &amp; T511,""price"")"),33.8)</f>
        <v>33.799999999999997</v>
      </c>
      <c r="Y511" s="8">
        <f t="shared" ca="1" si="157"/>
        <v>10.097719869706834</v>
      </c>
      <c r="Z511" s="12">
        <f t="shared" si="158"/>
        <v>133750690</v>
      </c>
      <c r="AA511" s="13">
        <f t="shared" ca="1" si="159"/>
        <v>147256460</v>
      </c>
      <c r="AB511" s="63"/>
      <c r="AC511" s="8">
        <v>506532</v>
      </c>
      <c r="AD511" s="8" t="s">
        <v>2126</v>
      </c>
      <c r="AE511" s="12">
        <v>8943303</v>
      </c>
      <c r="AF511" s="8">
        <v>923</v>
      </c>
      <c r="AG511" s="8">
        <f ca="1">IFERROR(__xludf.DUMMYFUNCTION("GOOGLEFINANCE(""BOM:"" &amp; AC511,""price"")"),834.4)</f>
        <v>834.4</v>
      </c>
      <c r="AH511" s="8">
        <f t="shared" ca="1" si="153"/>
        <v>-9.599133261105095</v>
      </c>
      <c r="AI511" s="12">
        <f t="shared" si="139"/>
        <v>8254668669</v>
      </c>
      <c r="AJ511" s="13">
        <f t="shared" ca="1" si="140"/>
        <v>7462292023.1999998</v>
      </c>
    </row>
    <row r="512" spans="1:36" x14ac:dyDescent="0.25">
      <c r="A512" s="63"/>
      <c r="B512" s="8">
        <v>543282</v>
      </c>
      <c r="C512" s="8" t="s">
        <v>2127</v>
      </c>
      <c r="D512" s="12">
        <v>363200</v>
      </c>
      <c r="E512" s="8">
        <v>455.85</v>
      </c>
      <c r="F512" s="8">
        <f ca="1">IFERROR(__xludf.DUMMYFUNCTION("GOOGLEFINANCE(""BOM:"" &amp; B512,""price"")"),477.4)</f>
        <v>477.4</v>
      </c>
      <c r="G512" s="8">
        <f t="shared" ref="G512:G573" ca="1" si="163">((F512-E512)/E512)*100</f>
        <v>4.72743226938685</v>
      </c>
      <c r="H512" s="12">
        <f t="shared" ref="H512:H573" si="164">D512*E512</f>
        <v>165564720</v>
      </c>
      <c r="I512" s="13">
        <f t="shared" ref="I512:I573" ca="1" si="165">D512*F512</f>
        <v>173391680</v>
      </c>
      <c r="J512" s="63"/>
      <c r="K512" s="8">
        <v>533519</v>
      </c>
      <c r="L512" s="8" t="s">
        <v>2128</v>
      </c>
      <c r="M512" s="12">
        <v>2474874823</v>
      </c>
      <c r="N512" s="10">
        <v>170.55</v>
      </c>
      <c r="O512" s="10">
        <f ca="1">IFERROR(__xludf.DUMMYFUNCTION("GOOGLEFINANCE(""BOM:"" &amp; K512,""price"")"),158.85)</f>
        <v>158.85</v>
      </c>
      <c r="P512" s="8">
        <f t="shared" ca="1" si="154"/>
        <v>-6.8601583113456561</v>
      </c>
      <c r="Q512" s="12">
        <f t="shared" si="155"/>
        <v>422089901062.65002</v>
      </c>
      <c r="R512" s="13">
        <f t="shared" ca="1" si="156"/>
        <v>393133865633.54999</v>
      </c>
      <c r="S512" s="63"/>
      <c r="T512" s="8">
        <v>500220</v>
      </c>
      <c r="U512" s="8" t="s">
        <v>2129</v>
      </c>
      <c r="V512" s="12">
        <v>10886985</v>
      </c>
      <c r="W512" s="11" t="s">
        <v>44</v>
      </c>
      <c r="X512" s="11" t="s">
        <v>44</v>
      </c>
      <c r="Y512" s="8"/>
      <c r="Z512" s="12"/>
      <c r="AA512" s="13"/>
      <c r="AB512" s="63"/>
      <c r="AC512" s="8">
        <v>500730</v>
      </c>
      <c r="AD512" s="8" t="s">
        <v>2130</v>
      </c>
      <c r="AE512" s="12">
        <v>164484177</v>
      </c>
      <c r="AF512" s="8">
        <v>263.25</v>
      </c>
      <c r="AG512" s="8">
        <f ca="1">IFERROR(__xludf.DUMMYFUNCTION("GOOGLEFINANCE(""BOM:"" &amp; AC512,""price"")"),253)</f>
        <v>253</v>
      </c>
      <c r="AH512" s="8">
        <f t="shared" ca="1" si="153"/>
        <v>-3.8936372269705601</v>
      </c>
      <c r="AI512" s="12">
        <f t="shared" si="139"/>
        <v>43300459595.25</v>
      </c>
      <c r="AJ512" s="13">
        <f t="shared" ca="1" si="140"/>
        <v>41614496781</v>
      </c>
    </row>
    <row r="513" spans="1:36" x14ac:dyDescent="0.25">
      <c r="A513" s="63"/>
      <c r="B513" s="8">
        <v>539843</v>
      </c>
      <c r="C513" s="8" t="s">
        <v>2131</v>
      </c>
      <c r="D513" s="12">
        <v>18576000</v>
      </c>
      <c r="E513" s="8">
        <v>516.6</v>
      </c>
      <c r="F513" s="8">
        <f ca="1">IFERROR(__xludf.DUMMYFUNCTION("GOOGLEFINANCE(""BOM:"" &amp; B513,""price"")"),490.9)</f>
        <v>490.9</v>
      </c>
      <c r="G513" s="8">
        <f t="shared" ca="1" si="163"/>
        <v>-4.9748354626403497</v>
      </c>
      <c r="H513" s="12">
        <f t="shared" si="164"/>
        <v>9596361600</v>
      </c>
      <c r="I513" s="13">
        <f t="shared" ca="1" si="165"/>
        <v>9118958400</v>
      </c>
      <c r="J513" s="63"/>
      <c r="K513" s="8">
        <v>500266</v>
      </c>
      <c r="L513" s="8" t="s">
        <v>2132</v>
      </c>
      <c r="M513" s="12">
        <v>11187155</v>
      </c>
      <c r="N513" s="10">
        <v>7504.1</v>
      </c>
      <c r="O513" s="10">
        <f ca="1">IFERROR(__xludf.DUMMYFUNCTION("GOOGLEFINANCE(""BOM:"" &amp; K513,""price"")"),7157.35)</f>
        <v>7157.35</v>
      </c>
      <c r="P513" s="8">
        <f t="shared" ca="1" si="154"/>
        <v>-4.6208072920136987</v>
      </c>
      <c r="Q513" s="12">
        <f t="shared" si="155"/>
        <v>83949529835.5</v>
      </c>
      <c r="R513" s="13">
        <f t="shared" ca="1" si="156"/>
        <v>80070383839.25</v>
      </c>
      <c r="S513" s="63"/>
      <c r="T513" s="8">
        <v>514318</v>
      </c>
      <c r="U513" s="8" t="s">
        <v>2133</v>
      </c>
      <c r="V513" s="12">
        <v>3780600</v>
      </c>
      <c r="W513" s="8">
        <v>19.399999999999999</v>
      </c>
      <c r="X513" s="11">
        <f ca="1">IFERROR(__xludf.DUMMYFUNCTION("GOOGLEFINANCE(""BOM:"" &amp; T513,""price"")"),21.3)</f>
        <v>21.3</v>
      </c>
      <c r="Y513" s="8">
        <f t="shared" ref="Y513:Y559" ca="1" si="166">((X513-W513)/W513)*100</f>
        <v>9.7938144329897039</v>
      </c>
      <c r="Z513" s="12">
        <f t="shared" ref="Z513:Z559" si="167">V513*W513</f>
        <v>73343640</v>
      </c>
      <c r="AA513" s="13">
        <f t="shared" ref="AA513:AA559" ca="1" si="168">V513*X513</f>
        <v>80526780</v>
      </c>
      <c r="AB513" s="63"/>
      <c r="AC513" s="8">
        <v>500078</v>
      </c>
      <c r="AD513" s="8" t="s">
        <v>2134</v>
      </c>
      <c r="AE513" s="12">
        <v>32615662</v>
      </c>
      <c r="AF513" s="8">
        <v>349</v>
      </c>
      <c r="AG513" s="8">
        <f ca="1">IFERROR(__xludf.DUMMYFUNCTION("GOOGLEFINANCE(""BOM:"" &amp; AC513,""price"")"),299.05)</f>
        <v>299.05</v>
      </c>
      <c r="AH513" s="8">
        <f t="shared" ca="1" si="153"/>
        <v>-14.312320916905442</v>
      </c>
      <c r="AI513" s="12">
        <f t="shared" si="139"/>
        <v>11382866038</v>
      </c>
      <c r="AJ513" s="13">
        <f t="shared" ca="1" si="140"/>
        <v>9753713721.1000004</v>
      </c>
    </row>
    <row r="514" spans="1:36" x14ac:dyDescent="0.25">
      <c r="A514" s="63"/>
      <c r="B514" s="8">
        <v>535657</v>
      </c>
      <c r="C514" s="8" t="s">
        <v>2135</v>
      </c>
      <c r="D514" s="12">
        <v>8727429</v>
      </c>
      <c r="E514" s="8">
        <v>17</v>
      </c>
      <c r="F514" s="8">
        <f ca="1">IFERROR(__xludf.DUMMYFUNCTION("GOOGLEFINANCE(""BOM:"" &amp; B514,""price"")"),16.59)</f>
        <v>16.59</v>
      </c>
      <c r="G514" s="8">
        <f t="shared" ca="1" si="163"/>
        <v>-2.4117647058823537</v>
      </c>
      <c r="H514" s="12">
        <f t="shared" si="164"/>
        <v>148366293</v>
      </c>
      <c r="I514" s="13">
        <f t="shared" ca="1" si="165"/>
        <v>144788047.10999998</v>
      </c>
      <c r="J514" s="63"/>
      <c r="K514" s="8">
        <v>532895</v>
      </c>
      <c r="L514" s="8" t="s">
        <v>2136</v>
      </c>
      <c r="M514" s="12">
        <v>12129671</v>
      </c>
      <c r="N514" s="10">
        <v>22.3</v>
      </c>
      <c r="O514" s="10">
        <f ca="1">IFERROR(__xludf.DUMMYFUNCTION("GOOGLEFINANCE(""BOM:"" &amp; K514,""price"")"),19.5)</f>
        <v>19.5</v>
      </c>
      <c r="P514" s="8">
        <f t="shared" ca="1" si="154"/>
        <v>-12.556053811659195</v>
      </c>
      <c r="Q514" s="12">
        <f t="shared" si="155"/>
        <v>270491663.30000001</v>
      </c>
      <c r="R514" s="13">
        <f t="shared" ca="1" si="156"/>
        <v>236528584.5</v>
      </c>
      <c r="S514" s="63"/>
      <c r="T514" s="8">
        <v>531323</v>
      </c>
      <c r="U514" s="8" t="s">
        <v>2137</v>
      </c>
      <c r="V514" s="12">
        <v>4652441</v>
      </c>
      <c r="W514" s="8">
        <v>14.45</v>
      </c>
      <c r="X514" s="11">
        <f ca="1">IFERROR(__xludf.DUMMYFUNCTION("GOOGLEFINANCE(""BOM:"" &amp; T514,""price"")"),12.74)</f>
        <v>12.74</v>
      </c>
      <c r="Y514" s="8">
        <f t="shared" ca="1" si="166"/>
        <v>-11.83391003460207</v>
      </c>
      <c r="Z514" s="12">
        <f t="shared" si="167"/>
        <v>67227772.450000003</v>
      </c>
      <c r="AA514" s="13">
        <f t="shared" ca="1" si="168"/>
        <v>59272098.340000004</v>
      </c>
      <c r="AB514" s="63"/>
      <c r="AC514" s="8">
        <v>533317</v>
      </c>
      <c r="AD514" s="8" t="s">
        <v>2138</v>
      </c>
      <c r="AE514" s="12">
        <v>20577994</v>
      </c>
      <c r="AF514" s="8">
        <v>8.15</v>
      </c>
      <c r="AG514" s="8">
        <f ca="1">IFERROR(__xludf.DUMMYFUNCTION("GOOGLEFINANCE(""BOM:"" &amp; AC514,""price"")"),5.93)</f>
        <v>5.93</v>
      </c>
      <c r="AH514" s="8">
        <f t="shared" ca="1" si="153"/>
        <v>-27.239263803680991</v>
      </c>
      <c r="AI514" s="12">
        <f t="shared" si="139"/>
        <v>167710651.09999999</v>
      </c>
      <c r="AJ514" s="13">
        <f t="shared" ca="1" si="140"/>
        <v>122027504.41999999</v>
      </c>
    </row>
    <row r="515" spans="1:36" x14ac:dyDescent="0.25">
      <c r="A515" s="63"/>
      <c r="B515" s="8">
        <v>532271</v>
      </c>
      <c r="C515" s="8" t="s">
        <v>2139</v>
      </c>
      <c r="D515" s="12">
        <v>98395832</v>
      </c>
      <c r="E515" s="8">
        <v>4.72</v>
      </c>
      <c r="F515" s="8">
        <f ca="1">IFERROR(__xludf.DUMMYFUNCTION("GOOGLEFINANCE(""BOM:"" &amp; B515,""price"")"),4.16)</f>
        <v>4.16</v>
      </c>
      <c r="G515" s="8">
        <f t="shared" ca="1" si="163"/>
        <v>-11.864406779661008</v>
      </c>
      <c r="H515" s="12">
        <f t="shared" si="164"/>
        <v>464428327.03999996</v>
      </c>
      <c r="I515" s="13">
        <f t="shared" ca="1" si="165"/>
        <v>409326661.12</v>
      </c>
      <c r="J515" s="63"/>
      <c r="K515" s="8">
        <v>532952</v>
      </c>
      <c r="L515" s="8" t="s">
        <v>2140</v>
      </c>
      <c r="M515" s="12">
        <v>16550182</v>
      </c>
      <c r="N515" s="10">
        <v>307</v>
      </c>
      <c r="O515" s="10">
        <f ca="1">IFERROR(__xludf.DUMMYFUNCTION("GOOGLEFINANCE(""BOM:"" &amp; K515,""price"")"),278)</f>
        <v>278</v>
      </c>
      <c r="P515" s="8">
        <f t="shared" ca="1" si="154"/>
        <v>-9.4462540716612384</v>
      </c>
      <c r="Q515" s="12">
        <f t="shared" si="155"/>
        <v>5080905874</v>
      </c>
      <c r="R515" s="13">
        <f t="shared" ca="1" si="156"/>
        <v>4600950596</v>
      </c>
      <c r="S515" s="63"/>
      <c r="T515" s="8">
        <v>500223</v>
      </c>
      <c r="U515" s="8" t="s">
        <v>2141</v>
      </c>
      <c r="V515" s="12">
        <v>860845456</v>
      </c>
      <c r="W515" s="8">
        <v>4.03</v>
      </c>
      <c r="X515" s="11">
        <f ca="1">IFERROR(__xludf.DUMMYFUNCTION("GOOGLEFINANCE(""BOM:"" &amp; T515,""price"")"),2.72)</f>
        <v>2.72</v>
      </c>
      <c r="Y515" s="8">
        <f t="shared" ca="1" si="166"/>
        <v>-32.506203473945412</v>
      </c>
      <c r="Z515" s="12">
        <f t="shared" si="167"/>
        <v>3469207187.6800003</v>
      </c>
      <c r="AA515" s="13">
        <f t="shared" ca="1" si="168"/>
        <v>2341499640.3200002</v>
      </c>
      <c r="AB515" s="63"/>
      <c r="AC515" s="8">
        <v>531157</v>
      </c>
      <c r="AD515" s="8" t="s">
        <v>2142</v>
      </c>
      <c r="AE515" s="12">
        <v>7502770</v>
      </c>
      <c r="AF515" s="8">
        <v>10.6</v>
      </c>
      <c r="AG515" s="8">
        <f ca="1">IFERROR(__xludf.DUMMYFUNCTION("GOOGLEFINANCE(""BOM:"" &amp; AC515,""price"")"),9.5)</f>
        <v>9.5</v>
      </c>
      <c r="AH515" s="8">
        <f t="shared" ca="1" si="153"/>
        <v>-10.377358490566033</v>
      </c>
      <c r="AI515" s="12">
        <f t="shared" si="139"/>
        <v>79529362</v>
      </c>
      <c r="AJ515" s="13">
        <f t="shared" ca="1" si="140"/>
        <v>71276315</v>
      </c>
    </row>
    <row r="516" spans="1:36" x14ac:dyDescent="0.25">
      <c r="A516" s="63"/>
      <c r="B516" s="8">
        <v>533179</v>
      </c>
      <c r="C516" s="8" t="s">
        <v>2143</v>
      </c>
      <c r="D516" s="12">
        <v>76057851</v>
      </c>
      <c r="E516" s="8">
        <v>8610.0499999999993</v>
      </c>
      <c r="F516" s="8">
        <f ca="1">IFERROR(__xludf.DUMMYFUNCTION("GOOGLEFINANCE(""BOM:"" &amp; B516,""price"")"),3989.25)</f>
        <v>3989.25</v>
      </c>
      <c r="G516" s="8">
        <f t="shared" ca="1" si="163"/>
        <v>-53.667516448801109</v>
      </c>
      <c r="H516" s="12">
        <f t="shared" si="164"/>
        <v>654861900002.54993</v>
      </c>
      <c r="I516" s="13">
        <f t="shared" ca="1" si="165"/>
        <v>303413782101.75</v>
      </c>
      <c r="J516" s="63"/>
      <c r="K516" s="8">
        <v>511525</v>
      </c>
      <c r="L516" s="8" t="s">
        <v>2144</v>
      </c>
      <c r="M516" s="12">
        <v>108152379</v>
      </c>
      <c r="N516" s="10">
        <v>2.58</v>
      </c>
      <c r="O516" s="10">
        <f ca="1">IFERROR(__xludf.DUMMYFUNCTION("GOOGLEFINANCE(""BOM:"" &amp; K516,""price"")"),2.24)</f>
        <v>2.2400000000000002</v>
      </c>
      <c r="P516" s="8">
        <f t="shared" ca="1" si="154"/>
        <v>-13.178294573643404</v>
      </c>
      <c r="Q516" s="12">
        <f t="shared" si="155"/>
        <v>279033137.81999999</v>
      </c>
      <c r="R516" s="13">
        <f t="shared" ca="1" si="156"/>
        <v>242261328.96000001</v>
      </c>
      <c r="S516" s="63"/>
      <c r="T516" s="8">
        <v>531543</v>
      </c>
      <c r="U516" s="8" t="s">
        <v>2145</v>
      </c>
      <c r="V516" s="12">
        <v>197789150</v>
      </c>
      <c r="W516" s="8">
        <v>431.4</v>
      </c>
      <c r="X516" s="11">
        <f ca="1">IFERROR(__xludf.DUMMYFUNCTION("GOOGLEFINANCE(""BOM:"" &amp; T516,""price"")"),312)</f>
        <v>312</v>
      </c>
      <c r="Y516" s="8">
        <f t="shared" ca="1" si="166"/>
        <v>-27.677329624478435</v>
      </c>
      <c r="Z516" s="12">
        <f t="shared" si="167"/>
        <v>85326239310</v>
      </c>
      <c r="AA516" s="13">
        <f t="shared" ca="1" si="168"/>
        <v>61710214800</v>
      </c>
      <c r="AB516" s="63"/>
      <c r="AC516" s="8">
        <v>532742</v>
      </c>
      <c r="AD516" s="8" t="s">
        <v>2146</v>
      </c>
      <c r="AE516" s="12">
        <v>2906897</v>
      </c>
      <c r="AF516" s="8">
        <v>5382.2</v>
      </c>
      <c r="AG516" s="8">
        <f ca="1">IFERROR(__xludf.DUMMYFUNCTION("GOOGLEFINANCE(""BOM:"" &amp; AC516,""price"")"),5098.5)</f>
        <v>5098.5</v>
      </c>
      <c r="AH516" s="8">
        <f t="shared" ca="1" si="153"/>
        <v>-5.2710787410352617</v>
      </c>
      <c r="AI516" s="12">
        <f t="shared" si="139"/>
        <v>15645501033.4</v>
      </c>
      <c r="AJ516" s="13">
        <f t="shared" ca="1" si="140"/>
        <v>14820814354.5</v>
      </c>
    </row>
    <row r="517" spans="1:36" x14ac:dyDescent="0.25">
      <c r="A517" s="63"/>
      <c r="B517" s="8">
        <v>535719</v>
      </c>
      <c r="C517" s="8" t="s">
        <v>2147</v>
      </c>
      <c r="D517" s="12">
        <v>8647693</v>
      </c>
      <c r="E517" s="8">
        <v>47.59</v>
      </c>
      <c r="F517" s="8">
        <f ca="1">IFERROR(__xludf.DUMMYFUNCTION("GOOGLEFINANCE(""BOM:"" &amp; B517,""price"")"),36.2)</f>
        <v>36.200000000000003</v>
      </c>
      <c r="G517" s="8">
        <f t="shared" ca="1" si="163"/>
        <v>-23.933599495692373</v>
      </c>
      <c r="H517" s="12">
        <f t="shared" si="164"/>
        <v>411543709.87</v>
      </c>
      <c r="I517" s="13">
        <f t="shared" ca="1" si="165"/>
        <v>313046486.60000002</v>
      </c>
      <c r="J517" s="63"/>
      <c r="K517" s="8">
        <v>500143</v>
      </c>
      <c r="L517" s="8" t="s">
        <v>2148</v>
      </c>
      <c r="M517" s="12">
        <v>2705000</v>
      </c>
      <c r="N517" s="10">
        <v>153.4</v>
      </c>
      <c r="O517" s="10">
        <f ca="1">IFERROR(__xludf.DUMMYFUNCTION("GOOGLEFINANCE(""BOM:"" &amp; K517,""price"")"),162.35)</f>
        <v>162.35</v>
      </c>
      <c r="P517" s="8">
        <f t="shared" ca="1" si="154"/>
        <v>5.8344198174706579</v>
      </c>
      <c r="Q517" s="12">
        <f t="shared" si="155"/>
        <v>414947000</v>
      </c>
      <c r="R517" s="13">
        <f t="shared" ca="1" si="156"/>
        <v>439156750</v>
      </c>
      <c r="S517" s="63"/>
      <c r="T517" s="8">
        <v>521054</v>
      </c>
      <c r="U517" s="8" t="s">
        <v>2149</v>
      </c>
      <c r="V517" s="12">
        <v>4052633</v>
      </c>
      <c r="W517" s="8">
        <v>23.35</v>
      </c>
      <c r="X517" s="11">
        <f ca="1">IFERROR(__xludf.DUMMYFUNCTION("GOOGLEFINANCE(""BOM:"" &amp; T517,""price"")"),21.4)</f>
        <v>21.4</v>
      </c>
      <c r="Y517" s="8">
        <f t="shared" ca="1" si="166"/>
        <v>-8.351177730192731</v>
      </c>
      <c r="Z517" s="12">
        <f t="shared" si="167"/>
        <v>94628980.550000012</v>
      </c>
      <c r="AA517" s="13">
        <f t="shared" ca="1" si="168"/>
        <v>86726346.199999988</v>
      </c>
      <c r="AB517" s="63"/>
      <c r="AC517" s="8">
        <v>500331</v>
      </c>
      <c r="AD517" s="8" t="s">
        <v>2150</v>
      </c>
      <c r="AE517" s="12">
        <v>507137811</v>
      </c>
      <c r="AF517" s="8">
        <v>2755.85</v>
      </c>
      <c r="AG517" s="8">
        <f ca="1">IFERROR(__xludf.DUMMYFUNCTION("GOOGLEFINANCE(""BOM:"" &amp; AC517,""price"")"),3024)</f>
        <v>3024</v>
      </c>
      <c r="AH517" s="8">
        <f t="shared" ca="1" si="153"/>
        <v>9.7302102799499295</v>
      </c>
      <c r="AI517" s="12">
        <f t="shared" si="139"/>
        <v>1397595736444.3499</v>
      </c>
      <c r="AJ517" s="13">
        <f t="shared" ca="1" si="140"/>
        <v>1533584740464</v>
      </c>
    </row>
    <row r="518" spans="1:36" x14ac:dyDescent="0.25">
      <c r="A518" s="63"/>
      <c r="B518" s="8">
        <v>543417</v>
      </c>
      <c r="C518" s="8" t="s">
        <v>2151</v>
      </c>
      <c r="D518" s="12">
        <v>107310250</v>
      </c>
      <c r="E518" s="8">
        <v>805.75</v>
      </c>
      <c r="F518" s="8">
        <f ca="1">IFERROR(__xludf.DUMMYFUNCTION("GOOGLEFINANCE(""BOM:"" &amp; B518,""price"")"),726)</f>
        <v>726</v>
      </c>
      <c r="G518" s="8">
        <f t="shared" ca="1" si="163"/>
        <v>-9.8976109215017072</v>
      </c>
      <c r="H518" s="12">
        <f t="shared" si="164"/>
        <v>86465233937.5</v>
      </c>
      <c r="I518" s="13">
        <f t="shared" ca="1" si="165"/>
        <v>77907241500</v>
      </c>
      <c r="J518" s="63"/>
      <c r="K518" s="8">
        <v>532366</v>
      </c>
      <c r="L518" s="8" t="s">
        <v>2152</v>
      </c>
      <c r="M518" s="12">
        <v>179667230</v>
      </c>
      <c r="N518" s="10">
        <v>110.5</v>
      </c>
      <c r="O518" s="10">
        <f ca="1">IFERROR(__xludf.DUMMYFUNCTION("GOOGLEFINANCE(""BOM:"" &amp; K518,""price"")"),109.5)</f>
        <v>109.5</v>
      </c>
      <c r="P518" s="8">
        <f t="shared" ca="1" si="154"/>
        <v>-0.90497737556561098</v>
      </c>
      <c r="Q518" s="12">
        <f t="shared" si="155"/>
        <v>19853228915</v>
      </c>
      <c r="R518" s="13">
        <f t="shared" ca="1" si="156"/>
        <v>19673561685</v>
      </c>
      <c r="S518" s="63"/>
      <c r="T518" s="8">
        <v>530201</v>
      </c>
      <c r="U518" s="8" t="s">
        <v>2153</v>
      </c>
      <c r="V518" s="12">
        <v>41852784</v>
      </c>
      <c r="W518" s="8">
        <v>7.19</v>
      </c>
      <c r="X518" s="11">
        <f ca="1">IFERROR(__xludf.DUMMYFUNCTION("GOOGLEFINANCE(""BOM:"" &amp; T518,""price"")"),6.12)</f>
        <v>6.12</v>
      </c>
      <c r="Y518" s="8">
        <f t="shared" ca="1" si="166"/>
        <v>-14.88178025034771</v>
      </c>
      <c r="Z518" s="12">
        <f t="shared" si="167"/>
        <v>300921516.96000004</v>
      </c>
      <c r="AA518" s="13">
        <f t="shared" ca="1" si="168"/>
        <v>256139038.08000001</v>
      </c>
      <c r="AB518" s="63"/>
      <c r="AC518" s="8">
        <v>523648</v>
      </c>
      <c r="AD518" s="8" t="s">
        <v>2154</v>
      </c>
      <c r="AE518" s="12">
        <v>24918768</v>
      </c>
      <c r="AF518" s="8">
        <v>263.60000000000002</v>
      </c>
      <c r="AG518" s="8">
        <f ca="1">IFERROR(__xludf.DUMMYFUNCTION("GOOGLEFINANCE(""BOM:"" &amp; AC518,""price"")"),230)</f>
        <v>230</v>
      </c>
      <c r="AH518" s="8">
        <f t="shared" ca="1" si="153"/>
        <v>-12.746585735963588</v>
      </c>
      <c r="AI518" s="12">
        <f t="shared" si="139"/>
        <v>6568587244.8000002</v>
      </c>
      <c r="AJ518" s="13">
        <f t="shared" ca="1" si="140"/>
        <v>5731316640</v>
      </c>
    </row>
    <row r="519" spans="1:36" x14ac:dyDescent="0.25">
      <c r="A519" s="63"/>
      <c r="B519" s="8">
        <v>517447</v>
      </c>
      <c r="C519" s="8" t="s">
        <v>2155</v>
      </c>
      <c r="D519" s="12">
        <v>25436820</v>
      </c>
      <c r="E519" s="8">
        <v>185.8</v>
      </c>
      <c r="F519" s="8">
        <f ca="1">IFERROR(__xludf.DUMMYFUNCTION("GOOGLEFINANCE(""BOM:"" &amp; B519,""price"")"),192.45)</f>
        <v>192.45</v>
      </c>
      <c r="G519" s="8">
        <f t="shared" ca="1" si="163"/>
        <v>3.5791173304628505</v>
      </c>
      <c r="H519" s="12">
        <f t="shared" si="164"/>
        <v>4726161156</v>
      </c>
      <c r="I519" s="13">
        <f t="shared" ca="1" si="165"/>
        <v>4895316009</v>
      </c>
      <c r="J519" s="63"/>
      <c r="K519" s="8">
        <v>500111</v>
      </c>
      <c r="L519" s="8" t="s">
        <v>2156</v>
      </c>
      <c r="M519" s="12">
        <v>250107283</v>
      </c>
      <c r="N519" s="10">
        <v>11.79</v>
      </c>
      <c r="O519" s="10">
        <f ca="1">IFERROR(__xludf.DUMMYFUNCTION("GOOGLEFINANCE(""BOM:"" &amp; K519,""price"")"),11.79)</f>
        <v>11.79</v>
      </c>
      <c r="P519" s="8">
        <f t="shared" ca="1" si="154"/>
        <v>0</v>
      </c>
      <c r="Q519" s="12">
        <f t="shared" si="155"/>
        <v>2948764866.5699997</v>
      </c>
      <c r="R519" s="13">
        <f t="shared" ca="1" si="156"/>
        <v>2948764866.5699997</v>
      </c>
      <c r="S519" s="63"/>
      <c r="T519" s="8">
        <v>514322</v>
      </c>
      <c r="U519" s="8" t="s">
        <v>2157</v>
      </c>
      <c r="V519" s="12">
        <v>5823046</v>
      </c>
      <c r="W519" s="8">
        <v>75.010000000000005</v>
      </c>
      <c r="X519" s="11">
        <f ca="1">IFERROR(__xludf.DUMMYFUNCTION("GOOGLEFINANCE(""BOM:"" &amp; T519,""price"")"),70.25)</f>
        <v>70.25</v>
      </c>
      <c r="Y519" s="8">
        <f t="shared" ca="1" si="166"/>
        <v>-6.3458205572590378</v>
      </c>
      <c r="Z519" s="12">
        <f t="shared" si="167"/>
        <v>436786680.46000004</v>
      </c>
      <c r="AA519" s="13">
        <f t="shared" ca="1" si="168"/>
        <v>409068981.5</v>
      </c>
      <c r="AB519" s="63"/>
      <c r="AC519" s="8">
        <v>507645</v>
      </c>
      <c r="AD519" s="8" t="s">
        <v>2158</v>
      </c>
      <c r="AE519" s="12">
        <v>107989</v>
      </c>
      <c r="AF519" s="8">
        <v>13250</v>
      </c>
      <c r="AG519" s="8">
        <f ca="1">IFERROR(__xludf.DUMMYFUNCTION("GOOGLEFINANCE(""BOM:"" &amp; AC519,""price"")"),13000)</f>
        <v>13000</v>
      </c>
      <c r="AH519" s="8">
        <f t="shared" ca="1" si="153"/>
        <v>-1.8867924528301887</v>
      </c>
      <c r="AI519" s="12">
        <f t="shared" si="139"/>
        <v>1430854250</v>
      </c>
      <c r="AJ519" s="13">
        <f t="shared" ca="1" si="140"/>
        <v>1403857000</v>
      </c>
    </row>
    <row r="520" spans="1:36" x14ac:dyDescent="0.25">
      <c r="A520" s="63"/>
      <c r="B520" s="8">
        <v>540143</v>
      </c>
      <c r="C520" s="8" t="s">
        <v>2159</v>
      </c>
      <c r="D520" s="12">
        <v>6136283</v>
      </c>
      <c r="E520" s="8">
        <v>202</v>
      </c>
      <c r="F520" s="8">
        <f ca="1">IFERROR(__xludf.DUMMYFUNCTION("GOOGLEFINANCE(""BOM:"" &amp; B520,""price"")"),199.4)</f>
        <v>199.4</v>
      </c>
      <c r="G520" s="8">
        <f t="shared" ca="1" si="163"/>
        <v>-1.2871287128712843</v>
      </c>
      <c r="H520" s="12">
        <f t="shared" si="164"/>
        <v>1239529166</v>
      </c>
      <c r="I520" s="13">
        <f t="shared" ca="1" si="165"/>
        <v>1223574830.2</v>
      </c>
      <c r="J520" s="63"/>
      <c r="K520" s="8">
        <v>532915</v>
      </c>
      <c r="L520" s="8" t="s">
        <v>2160</v>
      </c>
      <c r="M520" s="12">
        <v>318799742</v>
      </c>
      <c r="N520" s="10">
        <v>233</v>
      </c>
      <c r="O520" s="10">
        <f ca="1">IFERROR(__xludf.DUMMYFUNCTION("GOOGLEFINANCE(""BOM:"" &amp; K520,""price"")"),209.35)</f>
        <v>209.35</v>
      </c>
      <c r="P520" s="8">
        <f t="shared" ca="1" si="154"/>
        <v>-10.150214592274681</v>
      </c>
      <c r="Q520" s="12">
        <f t="shared" si="155"/>
        <v>74280339886</v>
      </c>
      <c r="R520" s="13">
        <f t="shared" ca="1" si="156"/>
        <v>66740725987.699997</v>
      </c>
      <c r="S520" s="63"/>
      <c r="T520" s="8">
        <v>521242</v>
      </c>
      <c r="U520" s="8" t="s">
        <v>2161</v>
      </c>
      <c r="V520" s="12">
        <v>3678820</v>
      </c>
      <c r="W520" s="8">
        <v>26.75</v>
      </c>
      <c r="X520" s="11">
        <f ca="1">IFERROR(__xludf.DUMMYFUNCTION("GOOGLEFINANCE(""BOM:"" &amp; T520,""price"")"),24.88)</f>
        <v>24.88</v>
      </c>
      <c r="Y520" s="8">
        <f t="shared" ca="1" si="166"/>
        <v>-6.9906542056074796</v>
      </c>
      <c r="Z520" s="12">
        <f t="shared" si="167"/>
        <v>98408435</v>
      </c>
      <c r="AA520" s="13">
        <f t="shared" ca="1" si="168"/>
        <v>91529041.599999994</v>
      </c>
      <c r="AB520" s="63"/>
      <c r="AC520" s="8">
        <v>531257</v>
      </c>
      <c r="AD520" s="8" t="s">
        <v>2162</v>
      </c>
      <c r="AE520" s="12">
        <v>4695880</v>
      </c>
      <c r="AF520" s="8">
        <v>25.8</v>
      </c>
      <c r="AG520" s="8">
        <f ca="1">IFERROR(__xludf.DUMMYFUNCTION("GOOGLEFINANCE(""BOM:"" &amp; AC520,""price"")"),22.86)</f>
        <v>22.86</v>
      </c>
      <c r="AH520" s="8">
        <f t="shared" ca="1" si="153"/>
        <v>-11.395348837209307</v>
      </c>
      <c r="AI520" s="12">
        <f t="shared" si="139"/>
        <v>121153704</v>
      </c>
      <c r="AJ520" s="13">
        <f t="shared" ca="1" si="140"/>
        <v>107347816.8</v>
      </c>
    </row>
    <row r="521" spans="1:36" x14ac:dyDescent="0.25">
      <c r="A521" s="63"/>
      <c r="B521" s="8">
        <v>590051</v>
      </c>
      <c r="C521" s="8" t="s">
        <v>2163</v>
      </c>
      <c r="D521" s="12">
        <v>105571940</v>
      </c>
      <c r="E521" s="8">
        <v>272</v>
      </c>
      <c r="F521" s="8">
        <f ca="1">IFERROR(__xludf.DUMMYFUNCTION("GOOGLEFINANCE(""BOM:"" &amp; B521,""price"")"),254.8)</f>
        <v>254.8</v>
      </c>
      <c r="G521" s="8">
        <f t="shared" ca="1" si="163"/>
        <v>-6.3235294117647012</v>
      </c>
      <c r="H521" s="12">
        <f t="shared" si="164"/>
        <v>28715567680</v>
      </c>
      <c r="I521" s="13">
        <f t="shared" ca="1" si="165"/>
        <v>26899730312</v>
      </c>
      <c r="J521" s="63"/>
      <c r="K521" s="8">
        <v>511066</v>
      </c>
      <c r="L521" s="8" t="s">
        <v>2164</v>
      </c>
      <c r="M521" s="12">
        <v>58242067</v>
      </c>
      <c r="N521" s="10">
        <v>79.31</v>
      </c>
      <c r="O521" s="10">
        <f ca="1">IFERROR(__xludf.DUMMYFUNCTION("GOOGLEFINANCE(""BOM:"" &amp; K521,""price"")"),47.87)</f>
        <v>47.87</v>
      </c>
      <c r="P521" s="8">
        <f t="shared" ca="1" si="154"/>
        <v>-39.641911486571686</v>
      </c>
      <c r="Q521" s="12">
        <f t="shared" si="155"/>
        <v>4619178333.7700005</v>
      </c>
      <c r="R521" s="13">
        <f t="shared" ca="1" si="156"/>
        <v>2788047747.29</v>
      </c>
      <c r="S521" s="63"/>
      <c r="T521" s="8">
        <v>512036</v>
      </c>
      <c r="U521" s="8" t="s">
        <v>2165</v>
      </c>
      <c r="V521" s="12">
        <v>932350</v>
      </c>
      <c r="W521" s="8">
        <v>126.5</v>
      </c>
      <c r="X521" s="11">
        <f ca="1">IFERROR(__xludf.DUMMYFUNCTION("GOOGLEFINANCE(""BOM:"" &amp; T521,""price"")"),130.2)</f>
        <v>130.19999999999999</v>
      </c>
      <c r="Y521" s="8">
        <f t="shared" ca="1" si="166"/>
        <v>2.9249011857707421</v>
      </c>
      <c r="Z521" s="12">
        <f t="shared" si="167"/>
        <v>117942275</v>
      </c>
      <c r="AA521" s="13">
        <f t="shared" ca="1" si="168"/>
        <v>121391969.99999999</v>
      </c>
      <c r="AB521" s="63"/>
      <c r="AC521" s="8">
        <v>530117</v>
      </c>
      <c r="AD521" s="8" t="s">
        <v>2166</v>
      </c>
      <c r="AE521" s="12">
        <v>38939738</v>
      </c>
      <c r="AF521" s="8">
        <v>1196.3</v>
      </c>
      <c r="AG521" s="8">
        <f ca="1">IFERROR(__xludf.DUMMYFUNCTION("GOOGLEFINANCE(""BOM:"" &amp; AC521,""price"")"),990.45)</f>
        <v>990.45</v>
      </c>
      <c r="AH521" s="8">
        <f t="shared" ca="1" si="153"/>
        <v>-17.207222268661702</v>
      </c>
      <c r="AI521" s="12">
        <f t="shared" si="139"/>
        <v>46583608569.400002</v>
      </c>
      <c r="AJ521" s="13">
        <f t="shared" ca="1" si="140"/>
        <v>38567863502.099998</v>
      </c>
    </row>
    <row r="522" spans="1:36" x14ac:dyDescent="0.25">
      <c r="A522" s="63"/>
      <c r="B522" s="8">
        <v>543234</v>
      </c>
      <c r="C522" s="8" t="s">
        <v>2167</v>
      </c>
      <c r="D522" s="12">
        <v>10370500</v>
      </c>
      <c r="E522" s="8">
        <v>101</v>
      </c>
      <c r="F522" s="8">
        <f ca="1">IFERROR(__xludf.DUMMYFUNCTION("GOOGLEFINANCE(""BOM:"" &amp; B522,""price"")"),96.95)</f>
        <v>96.95</v>
      </c>
      <c r="G522" s="8">
        <f t="shared" ca="1" si="163"/>
        <v>-4.0099009900990072</v>
      </c>
      <c r="H522" s="12">
        <f t="shared" si="164"/>
        <v>1047420500</v>
      </c>
      <c r="I522" s="13">
        <f t="shared" ca="1" si="165"/>
        <v>1005419975</v>
      </c>
      <c r="J522" s="63"/>
      <c r="K522" s="8">
        <v>532005</v>
      </c>
      <c r="L522" s="8" t="s">
        <v>2168</v>
      </c>
      <c r="M522" s="12">
        <v>10815335</v>
      </c>
      <c r="N522" s="10">
        <v>83.15</v>
      </c>
      <c r="O522" s="10">
        <f ca="1">IFERROR(__xludf.DUMMYFUNCTION("GOOGLEFINANCE(""BOM:"" &amp; K522,""price"")"),106.02)</f>
        <v>106.02</v>
      </c>
      <c r="P522" s="8">
        <f t="shared" ca="1" si="154"/>
        <v>27.504509921828006</v>
      </c>
      <c r="Q522" s="12">
        <f t="shared" si="155"/>
        <v>899295105.25000012</v>
      </c>
      <c r="R522" s="13">
        <f t="shared" ca="1" si="156"/>
        <v>1146641816.7</v>
      </c>
      <c r="S522" s="63"/>
      <c r="T522" s="8">
        <v>502933</v>
      </c>
      <c r="U522" s="8" t="s">
        <v>2169</v>
      </c>
      <c r="V522" s="12">
        <v>2626817</v>
      </c>
      <c r="W522" s="8">
        <v>233.15</v>
      </c>
      <c r="X522" s="11">
        <f ca="1">IFERROR(__xludf.DUMMYFUNCTION("GOOGLEFINANCE(""BOM:"" &amp; T522,""price"")"),235)</f>
        <v>235</v>
      </c>
      <c r="Y522" s="8">
        <f t="shared" ca="1" si="166"/>
        <v>0.7934805918936283</v>
      </c>
      <c r="Z522" s="12">
        <f t="shared" si="167"/>
        <v>612442383.55000007</v>
      </c>
      <c r="AA522" s="13">
        <f t="shared" ca="1" si="168"/>
        <v>617301995</v>
      </c>
      <c r="AB522" s="63"/>
      <c r="AC522" s="8">
        <v>524218</v>
      </c>
      <c r="AD522" s="8" t="s">
        <v>2170</v>
      </c>
      <c r="AE522" s="12">
        <v>11000151</v>
      </c>
      <c r="AF522" s="8">
        <v>110.2</v>
      </c>
      <c r="AG522" s="8">
        <f ca="1">IFERROR(__xludf.DUMMYFUNCTION("GOOGLEFINANCE(""BOM:"" &amp; AC522,""price"")"),90.2)</f>
        <v>90.2</v>
      </c>
      <c r="AH522" s="8">
        <f t="shared" ca="1" si="153"/>
        <v>-18.148820326678766</v>
      </c>
      <c r="AI522" s="12">
        <f t="shared" si="139"/>
        <v>1212216640.2</v>
      </c>
      <c r="AJ522" s="13">
        <f t="shared" ca="1" si="140"/>
        <v>992213620.20000005</v>
      </c>
    </row>
    <row r="523" spans="1:36" x14ac:dyDescent="0.25">
      <c r="A523" s="63"/>
      <c r="B523" s="8">
        <v>531980</v>
      </c>
      <c r="C523" s="8" t="s">
        <v>2171</v>
      </c>
      <c r="D523" s="12">
        <v>4366590</v>
      </c>
      <c r="E523" s="8">
        <v>16.940000000000001</v>
      </c>
      <c r="F523" s="8">
        <f ca="1">IFERROR(__xludf.DUMMYFUNCTION("GOOGLEFINANCE(""BOM:"" &amp; B523,""price"")"),12.77)</f>
        <v>12.77</v>
      </c>
      <c r="G523" s="8">
        <f t="shared" ca="1" si="163"/>
        <v>-24.61629279811099</v>
      </c>
      <c r="H523" s="12">
        <f t="shared" si="164"/>
        <v>73970034.600000009</v>
      </c>
      <c r="I523" s="13">
        <f t="shared" ca="1" si="165"/>
        <v>55761354.299999997</v>
      </c>
      <c r="J523" s="63"/>
      <c r="K523" s="8">
        <v>511076</v>
      </c>
      <c r="L523" s="8" t="s">
        <v>2172</v>
      </c>
      <c r="M523" s="12">
        <v>113084970</v>
      </c>
      <c r="N523" s="10">
        <v>108.15</v>
      </c>
      <c r="O523" s="10">
        <f ca="1">IFERROR(__xludf.DUMMYFUNCTION("GOOGLEFINANCE(""BOM:"" &amp; K523,""price"")"),88.6)</f>
        <v>88.6</v>
      </c>
      <c r="P523" s="8">
        <f t="shared" ca="1" si="154"/>
        <v>-18.07674526121129</v>
      </c>
      <c r="Q523" s="12">
        <f t="shared" si="155"/>
        <v>12230139505.5</v>
      </c>
      <c r="R523" s="13">
        <f t="shared" ca="1" si="156"/>
        <v>10019328342</v>
      </c>
      <c r="S523" s="63"/>
      <c r="T523" s="8">
        <v>500239</v>
      </c>
      <c r="U523" s="8" t="s">
        <v>2173</v>
      </c>
      <c r="V523" s="12">
        <v>24731961</v>
      </c>
      <c r="W523" s="8">
        <v>27.59</v>
      </c>
      <c r="X523" s="11">
        <f ca="1">IFERROR(__xludf.DUMMYFUNCTION("GOOGLEFINANCE(""BOM:"" &amp; T523,""price"")"),25.15)</f>
        <v>25.15</v>
      </c>
      <c r="Y523" s="8">
        <f t="shared" ca="1" si="166"/>
        <v>-8.8437839797027955</v>
      </c>
      <c r="Z523" s="12">
        <f t="shared" si="167"/>
        <v>682354803.99000001</v>
      </c>
      <c r="AA523" s="13">
        <f t="shared" ca="1" si="168"/>
        <v>622008819.14999998</v>
      </c>
      <c r="AB523" s="63"/>
      <c r="AC523" s="8">
        <v>543213</v>
      </c>
      <c r="AD523" s="8" t="s">
        <v>2174</v>
      </c>
      <c r="AE523" s="12">
        <v>55056386</v>
      </c>
      <c r="AF523" s="8">
        <v>741.7</v>
      </c>
      <c r="AG523" s="8">
        <f ca="1">IFERROR(__xludf.DUMMYFUNCTION("GOOGLEFINANCE(""BOM:"" &amp; AC523,""price"")"),672)</f>
        <v>672</v>
      </c>
      <c r="AH523" s="8">
        <f t="shared" ca="1" si="153"/>
        <v>-9.397330457058116</v>
      </c>
      <c r="AI523" s="12">
        <f t="shared" si="139"/>
        <v>40835321496.200005</v>
      </c>
      <c r="AJ523" s="13">
        <f t="shared" ca="1" si="140"/>
        <v>36997891392</v>
      </c>
    </row>
    <row r="524" spans="1:36" x14ac:dyDescent="0.25">
      <c r="A524" s="63"/>
      <c r="B524" s="8">
        <v>505504</v>
      </c>
      <c r="C524" s="8" t="s">
        <v>2175</v>
      </c>
      <c r="D524" s="12">
        <v>558750</v>
      </c>
      <c r="E524" s="8">
        <v>18.84</v>
      </c>
      <c r="F524" s="8">
        <f ca="1">IFERROR(__xludf.DUMMYFUNCTION("GOOGLEFINANCE(""BOM:"" &amp; B524,""price"")"),18.84)</f>
        <v>18.84</v>
      </c>
      <c r="G524" s="8">
        <f t="shared" ca="1" si="163"/>
        <v>0</v>
      </c>
      <c r="H524" s="12">
        <f t="shared" si="164"/>
        <v>10526850</v>
      </c>
      <c r="I524" s="13">
        <f t="shared" ca="1" si="165"/>
        <v>10526850</v>
      </c>
      <c r="J524" s="63"/>
      <c r="K524" s="8">
        <v>521194</v>
      </c>
      <c r="L524" s="8" t="s">
        <v>2176</v>
      </c>
      <c r="M524" s="12">
        <v>10388865</v>
      </c>
      <c r="N524" s="10">
        <v>458.5</v>
      </c>
      <c r="O524" s="10">
        <f ca="1">IFERROR(__xludf.DUMMYFUNCTION("GOOGLEFINANCE(""BOM:"" &amp; K524,""price"")"),464)</f>
        <v>464</v>
      </c>
      <c r="P524" s="8">
        <f t="shared" ca="1" si="154"/>
        <v>1.1995637949836424</v>
      </c>
      <c r="Q524" s="12">
        <f t="shared" si="155"/>
        <v>4763294602.5</v>
      </c>
      <c r="R524" s="13">
        <f t="shared" ca="1" si="156"/>
        <v>4820433360</v>
      </c>
      <c r="S524" s="63"/>
      <c r="T524" s="8">
        <v>531609</v>
      </c>
      <c r="U524" s="8" t="s">
        <v>2177</v>
      </c>
      <c r="V524" s="12">
        <v>5095550</v>
      </c>
      <c r="W524" s="8">
        <v>205</v>
      </c>
      <c r="X524" s="11">
        <f ca="1">IFERROR(__xludf.DUMMYFUNCTION("GOOGLEFINANCE(""BOM:"" &amp; T524,""price"")"),205)</f>
        <v>205</v>
      </c>
      <c r="Y524" s="8">
        <f t="shared" ca="1" si="166"/>
        <v>0</v>
      </c>
      <c r="Z524" s="12">
        <f t="shared" si="167"/>
        <v>1044587750</v>
      </c>
      <c r="AA524" s="13">
        <f t="shared" ca="1" si="168"/>
        <v>1044587750</v>
      </c>
      <c r="AB524" s="63"/>
      <c r="AC524" s="8">
        <v>524324</v>
      </c>
      <c r="AD524" s="8" t="s">
        <v>2178</v>
      </c>
      <c r="AE524" s="12">
        <v>25123340</v>
      </c>
      <c r="AF524" s="8">
        <v>23.5</v>
      </c>
      <c r="AG524" s="8">
        <f ca="1">IFERROR(__xludf.DUMMYFUNCTION("GOOGLEFINANCE(""BOM:"" &amp; AC524,""price"")"),19.5)</f>
        <v>19.5</v>
      </c>
      <c r="AH524" s="8">
        <f t="shared" ca="1" si="153"/>
        <v>-17.021276595744681</v>
      </c>
      <c r="AI524" s="12">
        <f t="shared" si="139"/>
        <v>590398490</v>
      </c>
      <c r="AJ524" s="13">
        <f t="shared" ca="1" si="140"/>
        <v>489905130</v>
      </c>
    </row>
    <row r="525" spans="1:36" x14ac:dyDescent="0.25">
      <c r="A525" s="63"/>
      <c r="B525" s="8">
        <v>538923</v>
      </c>
      <c r="C525" s="8" t="s">
        <v>2179</v>
      </c>
      <c r="D525" s="12">
        <v>3954600</v>
      </c>
      <c r="E525" s="8">
        <v>53.78</v>
      </c>
      <c r="F525" s="8">
        <f ca="1">IFERROR(__xludf.DUMMYFUNCTION("GOOGLEFINANCE(""BOM:"" &amp; B525,""price"")"),40.14)</f>
        <v>40.14</v>
      </c>
      <c r="G525" s="8">
        <f t="shared" ca="1" si="163"/>
        <v>-25.362588322796579</v>
      </c>
      <c r="H525" s="12">
        <f t="shared" si="164"/>
        <v>212678388</v>
      </c>
      <c r="I525" s="13">
        <f t="shared" ca="1" si="165"/>
        <v>158737644</v>
      </c>
      <c r="J525" s="63"/>
      <c r="K525" s="8">
        <v>539217</v>
      </c>
      <c r="L525" s="8" t="s">
        <v>2180</v>
      </c>
      <c r="M525" s="12">
        <v>75733350</v>
      </c>
      <c r="N525" s="10">
        <v>1.21</v>
      </c>
      <c r="O525" s="10">
        <f ca="1">IFERROR(__xludf.DUMMYFUNCTION("GOOGLEFINANCE(""BOM:"" &amp; K525,""price"")"),1.06)</f>
        <v>1.06</v>
      </c>
      <c r="P525" s="8">
        <f t="shared" ca="1" si="154"/>
        <v>-12.396694214876026</v>
      </c>
      <c r="Q525" s="12">
        <f t="shared" si="155"/>
        <v>91637353.5</v>
      </c>
      <c r="R525" s="13">
        <f t="shared" ca="1" si="156"/>
        <v>80277351</v>
      </c>
      <c r="S525" s="63"/>
      <c r="T525" s="8">
        <v>535730</v>
      </c>
      <c r="U525" s="8" t="s">
        <v>2181</v>
      </c>
      <c r="V525" s="12">
        <v>122042780</v>
      </c>
      <c r="W525" s="8">
        <v>1.44</v>
      </c>
      <c r="X525" s="11">
        <f ca="1">IFERROR(__xludf.DUMMYFUNCTION("GOOGLEFINANCE(""BOM:"" &amp; T525,""price"")"),1.2)</f>
        <v>1.2</v>
      </c>
      <c r="Y525" s="8">
        <f t="shared" ca="1" si="166"/>
        <v>-16.666666666666664</v>
      </c>
      <c r="Z525" s="12">
        <f t="shared" si="167"/>
        <v>175741603.19999999</v>
      </c>
      <c r="AA525" s="13">
        <f t="shared" ca="1" si="168"/>
        <v>146451336</v>
      </c>
      <c r="AB525" s="63"/>
      <c r="AC525" s="8">
        <v>526739</v>
      </c>
      <c r="AD525" s="8" t="s">
        <v>2182</v>
      </c>
      <c r="AE525" s="12">
        <v>6003525</v>
      </c>
      <c r="AF525" s="8">
        <v>385.05</v>
      </c>
      <c r="AG525" s="8">
        <f ca="1">IFERROR(__xludf.DUMMYFUNCTION("GOOGLEFINANCE(""BOM:"" &amp; AC525,""price"")"),327.8)</f>
        <v>327.8</v>
      </c>
      <c r="AH525" s="8">
        <f t="shared" ca="1" si="153"/>
        <v>-14.868198935203219</v>
      </c>
      <c r="AI525" s="12">
        <f t="shared" si="139"/>
        <v>2311657301.25</v>
      </c>
      <c r="AJ525" s="13">
        <f t="shared" ca="1" si="140"/>
        <v>1967955495</v>
      </c>
    </row>
    <row r="526" spans="1:36" x14ac:dyDescent="0.25">
      <c r="A526" s="63"/>
      <c r="B526" s="8">
        <v>504375</v>
      </c>
      <c r="C526" s="8" t="s">
        <v>2183</v>
      </c>
      <c r="D526" s="12">
        <v>147870</v>
      </c>
      <c r="E526" s="8">
        <v>89.5</v>
      </c>
      <c r="F526" s="8">
        <f ca="1">IFERROR(__xludf.DUMMYFUNCTION("GOOGLEFINANCE(""BOM:"" &amp; B526,""price"")"),85.05)</f>
        <v>85.05</v>
      </c>
      <c r="G526" s="8">
        <f t="shared" ca="1" si="163"/>
        <v>-4.9720670391061486</v>
      </c>
      <c r="H526" s="12">
        <f t="shared" si="164"/>
        <v>13234365</v>
      </c>
      <c r="I526" s="13">
        <f t="shared" ca="1" si="165"/>
        <v>12576343.5</v>
      </c>
      <c r="J526" s="63"/>
      <c r="K526" s="8">
        <v>506105</v>
      </c>
      <c r="L526" s="8" t="s">
        <v>2184</v>
      </c>
      <c r="M526" s="12">
        <v>3496438</v>
      </c>
      <c r="N526" s="10">
        <v>84.4</v>
      </c>
      <c r="O526" s="10">
        <f ca="1">IFERROR(__xludf.DUMMYFUNCTION("GOOGLEFINANCE(""BOM:"" &amp; K526,""price"")"),75.61)</f>
        <v>75.61</v>
      </c>
      <c r="P526" s="8">
        <f t="shared" ca="1" si="154"/>
        <v>-10.414691943127968</v>
      </c>
      <c r="Q526" s="12">
        <f t="shared" si="155"/>
        <v>295099367.20000005</v>
      </c>
      <c r="R526" s="13">
        <f t="shared" ca="1" si="156"/>
        <v>264365677.18000001</v>
      </c>
      <c r="S526" s="63"/>
      <c r="T526" s="8">
        <v>530443</v>
      </c>
      <c r="U526" s="8" t="s">
        <v>2185</v>
      </c>
      <c r="V526" s="12">
        <v>3393900</v>
      </c>
      <c r="W526" s="8">
        <v>9.2799999999999994</v>
      </c>
      <c r="X526" s="11">
        <f ca="1">IFERROR(__xludf.DUMMYFUNCTION("GOOGLEFINANCE(""BOM:"" &amp; T526,""price"")"),8.28)</f>
        <v>8.2799999999999994</v>
      </c>
      <c r="Y526" s="8">
        <f t="shared" ca="1" si="166"/>
        <v>-10.775862068965518</v>
      </c>
      <c r="Z526" s="12">
        <f t="shared" si="167"/>
        <v>31495391.999999996</v>
      </c>
      <c r="AA526" s="13">
        <f t="shared" ca="1" si="168"/>
        <v>28101491.999999996</v>
      </c>
      <c r="AB526" s="63"/>
      <c r="AC526" s="8">
        <v>503806</v>
      </c>
      <c r="AD526" s="8" t="s">
        <v>2186</v>
      </c>
      <c r="AE526" s="12">
        <v>293060668</v>
      </c>
      <c r="AF526" s="8">
        <v>2393.65</v>
      </c>
      <c r="AG526" s="8">
        <f ca="1">IFERROR(__xludf.DUMMYFUNCTION("GOOGLEFINANCE(""BOM:"" &amp; AC526,""price"")"),2557.55)</f>
        <v>2557.5500000000002</v>
      </c>
      <c r="AH526" s="8">
        <f t="shared" ca="1" si="153"/>
        <v>6.8472834374281994</v>
      </c>
      <c r="AI526" s="12">
        <f t="shared" si="139"/>
        <v>701484667958.20007</v>
      </c>
      <c r="AJ526" s="13">
        <f t="shared" ca="1" si="140"/>
        <v>749517311443.40002</v>
      </c>
    </row>
    <row r="527" spans="1:36" x14ac:dyDescent="0.25">
      <c r="A527" s="63"/>
      <c r="B527" s="8">
        <v>532344</v>
      </c>
      <c r="C527" s="8" t="s">
        <v>2187</v>
      </c>
      <c r="D527" s="12">
        <v>16769333</v>
      </c>
      <c r="E527" s="8">
        <v>282.39999999999998</v>
      </c>
      <c r="F527" s="8">
        <f ca="1">IFERROR(__xludf.DUMMYFUNCTION("GOOGLEFINANCE(""BOM:"" &amp; B527,""price"")"),268.3)</f>
        <v>268.3</v>
      </c>
      <c r="G527" s="8">
        <f t="shared" ca="1" si="163"/>
        <v>-4.9929178470254838</v>
      </c>
      <c r="H527" s="12">
        <f t="shared" si="164"/>
        <v>4735659639.1999998</v>
      </c>
      <c r="I527" s="13">
        <f t="shared" ca="1" si="165"/>
        <v>4499212043.9000006</v>
      </c>
      <c r="J527" s="63"/>
      <c r="K527" s="8">
        <v>533316</v>
      </c>
      <c r="L527" s="8" t="s">
        <v>2188</v>
      </c>
      <c r="M527" s="12">
        <v>17685649</v>
      </c>
      <c r="N527" s="10">
        <v>344.75</v>
      </c>
      <c r="O527" s="10">
        <f ca="1">IFERROR(__xludf.DUMMYFUNCTION("GOOGLEFINANCE(""BOM:"" &amp; K527,""price"")"),320)</f>
        <v>320</v>
      </c>
      <c r="P527" s="8">
        <f t="shared" ca="1" si="154"/>
        <v>-7.179115300942712</v>
      </c>
      <c r="Q527" s="12">
        <f t="shared" si="155"/>
        <v>6097127492.75</v>
      </c>
      <c r="R527" s="13">
        <f t="shared" ca="1" si="156"/>
        <v>5659407680</v>
      </c>
      <c r="S527" s="63"/>
      <c r="T527" s="8">
        <v>514128</v>
      </c>
      <c r="U527" s="8" t="s">
        <v>2189</v>
      </c>
      <c r="V527" s="12">
        <v>5729550</v>
      </c>
      <c r="W527" s="8">
        <v>23.52</v>
      </c>
      <c r="X527" s="11">
        <f ca="1">IFERROR(__xludf.DUMMYFUNCTION("GOOGLEFINANCE(""BOM:"" &amp; T527,""price"")"),20.85)</f>
        <v>20.85</v>
      </c>
      <c r="Y527" s="8">
        <f t="shared" ca="1" si="166"/>
        <v>-11.352040816326522</v>
      </c>
      <c r="Z527" s="12">
        <f t="shared" si="167"/>
        <v>134759016</v>
      </c>
      <c r="AA527" s="13">
        <f t="shared" ca="1" si="168"/>
        <v>119461117.50000001</v>
      </c>
      <c r="AB527" s="63"/>
      <c r="AC527" s="8">
        <v>523351</v>
      </c>
      <c r="AD527" s="8" t="s">
        <v>2190</v>
      </c>
      <c r="AE527" s="12">
        <v>95998</v>
      </c>
      <c r="AF527" s="8">
        <v>11.15</v>
      </c>
      <c r="AG527" s="8">
        <f ca="1">IFERROR(__xludf.DUMMYFUNCTION("GOOGLEFINANCE(""BOM:"" &amp; AC527,""price"")"),11.7)</f>
        <v>11.7</v>
      </c>
      <c r="AH527" s="8">
        <f t="shared" ca="1" si="153"/>
        <v>4.9327354260089589</v>
      </c>
      <c r="AI527" s="12">
        <f t="shared" si="139"/>
        <v>1070377.7</v>
      </c>
      <c r="AJ527" s="13">
        <f t="shared" ca="1" si="140"/>
        <v>1123176.5999999999</v>
      </c>
    </row>
    <row r="528" spans="1:36" x14ac:dyDescent="0.25">
      <c r="A528" s="63"/>
      <c r="B528" s="8">
        <v>543470</v>
      </c>
      <c r="C528" s="8" t="s">
        <v>2191</v>
      </c>
      <c r="D528" s="12">
        <v>10154754</v>
      </c>
      <c r="E528" s="8">
        <v>333</v>
      </c>
      <c r="F528" s="8">
        <f ca="1">IFERROR(__xludf.DUMMYFUNCTION("GOOGLEFINANCE(""BOM:"" &amp; B528,""price"")"),298.95)</f>
        <v>298.95</v>
      </c>
      <c r="G528" s="8">
        <f t="shared" ca="1" si="163"/>
        <v>-10.225225225225229</v>
      </c>
      <c r="H528" s="12">
        <f t="shared" si="164"/>
        <v>3381533082</v>
      </c>
      <c r="I528" s="13">
        <f t="shared" ca="1" si="165"/>
        <v>3035763708.2999997</v>
      </c>
      <c r="J528" s="63"/>
      <c r="K528" s="8">
        <v>501301</v>
      </c>
      <c r="L528" s="8" t="s">
        <v>2192</v>
      </c>
      <c r="M528" s="12">
        <v>50331178</v>
      </c>
      <c r="N528" s="10">
        <v>7635.1</v>
      </c>
      <c r="O528" s="10">
        <f ca="1">IFERROR(__xludf.DUMMYFUNCTION("GOOGLEFINANCE(""BOM:"" &amp; K528,""price"")"),6242.55)</f>
        <v>6242.55</v>
      </c>
      <c r="P528" s="8">
        <f t="shared" ca="1" si="154"/>
        <v>-18.238791895325537</v>
      </c>
      <c r="Q528" s="12">
        <f t="shared" si="155"/>
        <v>384283577147.80005</v>
      </c>
      <c r="R528" s="13">
        <f t="shared" ca="1" si="156"/>
        <v>314194895223.90002</v>
      </c>
      <c r="S528" s="63"/>
      <c r="T528" s="8">
        <v>514240</v>
      </c>
      <c r="U528" s="8" t="s">
        <v>2193</v>
      </c>
      <c r="V528" s="12">
        <v>12302529</v>
      </c>
      <c r="W528" s="8">
        <v>7.34</v>
      </c>
      <c r="X528" s="11">
        <f ca="1">IFERROR(__xludf.DUMMYFUNCTION("GOOGLEFINANCE(""BOM:"" &amp; T528,""price"")"),6.1)</f>
        <v>6.1</v>
      </c>
      <c r="Y528" s="8">
        <f t="shared" ca="1" si="166"/>
        <v>-16.893732970027251</v>
      </c>
      <c r="Z528" s="12">
        <f t="shared" si="167"/>
        <v>90300562.859999999</v>
      </c>
      <c r="AA528" s="13">
        <f t="shared" ca="1" si="168"/>
        <v>75045426.899999991</v>
      </c>
      <c r="AB528" s="63"/>
      <c r="AC528" s="8">
        <v>530845</v>
      </c>
      <c r="AD528" s="8" t="s">
        <v>2194</v>
      </c>
      <c r="AE528" s="12">
        <v>7231975</v>
      </c>
      <c r="AF528" s="8">
        <v>870</v>
      </c>
      <c r="AG528" s="8">
        <f ca="1">IFERROR(__xludf.DUMMYFUNCTION("GOOGLEFINANCE(""BOM:"" &amp; AC528,""price"")"),815)</f>
        <v>815</v>
      </c>
      <c r="AH528" s="8">
        <f t="shared" ca="1" si="153"/>
        <v>-6.3218390804597711</v>
      </c>
      <c r="AI528" s="12">
        <f t="shared" si="139"/>
        <v>6291818250</v>
      </c>
      <c r="AJ528" s="13">
        <f t="shared" ca="1" si="140"/>
        <v>5894059625</v>
      </c>
    </row>
    <row r="529" spans="1:36" x14ac:dyDescent="0.25">
      <c r="A529" s="63"/>
      <c r="B529" s="8">
        <v>532221</v>
      </c>
      <c r="C529" s="8" t="s">
        <v>2195</v>
      </c>
      <c r="D529" s="12">
        <v>280424816</v>
      </c>
      <c r="E529" s="8">
        <v>823</v>
      </c>
      <c r="F529" s="8">
        <f ca="1">IFERROR(__xludf.DUMMYFUNCTION("GOOGLEFINANCE(""BOM:"" &amp; B529,""price"")"),739)</f>
        <v>739</v>
      </c>
      <c r="G529" s="8">
        <f t="shared" ca="1" si="163"/>
        <v>-10.206561360874849</v>
      </c>
      <c r="H529" s="12">
        <f t="shared" si="164"/>
        <v>230789623568</v>
      </c>
      <c r="I529" s="13">
        <f t="shared" ca="1" si="165"/>
        <v>207233939024</v>
      </c>
      <c r="J529" s="63"/>
      <c r="K529" s="8">
        <v>539488</v>
      </c>
      <c r="L529" s="8" t="s">
        <v>2196</v>
      </c>
      <c r="M529" s="12">
        <v>2270900</v>
      </c>
      <c r="N529" s="10">
        <v>0</v>
      </c>
      <c r="O529" s="10">
        <f ca="1">IFERROR(__xludf.DUMMYFUNCTION("GOOGLEFINANCE(""BOM:"" &amp; K529,""price"")"),0)</f>
        <v>0</v>
      </c>
      <c r="P529" s="8">
        <v>0</v>
      </c>
      <c r="Q529" s="12">
        <f t="shared" si="155"/>
        <v>0</v>
      </c>
      <c r="R529" s="13">
        <f t="shared" ca="1" si="156"/>
        <v>0</v>
      </c>
      <c r="S529" s="63"/>
      <c r="T529" s="8">
        <v>535387</v>
      </c>
      <c r="U529" s="8" t="s">
        <v>2197</v>
      </c>
      <c r="V529" s="12">
        <v>10473988</v>
      </c>
      <c r="W529" s="8">
        <v>41.25</v>
      </c>
      <c r="X529" s="11">
        <f ca="1">IFERROR(__xludf.DUMMYFUNCTION("GOOGLEFINANCE(""BOM:"" &amp; T529,""price"")"),38.5)</f>
        <v>38.5</v>
      </c>
      <c r="Y529" s="8">
        <f t="shared" ca="1" si="166"/>
        <v>-6.666666666666667</v>
      </c>
      <c r="Z529" s="12">
        <f t="shared" si="167"/>
        <v>432052005</v>
      </c>
      <c r="AA529" s="13">
        <f t="shared" ca="1" si="168"/>
        <v>403248538</v>
      </c>
      <c r="AB529" s="63"/>
      <c r="AC529" s="8">
        <v>543321</v>
      </c>
      <c r="AD529" s="8" t="s">
        <v>2198</v>
      </c>
      <c r="AE529" s="12">
        <v>22165062</v>
      </c>
      <c r="AF529" s="8">
        <v>1223.3499999999999</v>
      </c>
      <c r="AG529" s="8">
        <f ca="1">IFERROR(__xludf.DUMMYFUNCTION("GOOGLEFINANCE(""BOM:"" &amp; AC529,""price"")"),1077.05)</f>
        <v>1077.05</v>
      </c>
      <c r="AH529" s="8">
        <f t="shared" ca="1" si="153"/>
        <v>-11.958965136714756</v>
      </c>
      <c r="AI529" s="12">
        <f t="shared" si="139"/>
        <v>27115628597.699997</v>
      </c>
      <c r="AJ529" s="13">
        <f t="shared" ca="1" si="140"/>
        <v>23872880027.099998</v>
      </c>
    </row>
    <row r="530" spans="1:36" x14ac:dyDescent="0.25">
      <c r="A530" s="63"/>
      <c r="B530" s="8">
        <v>540174</v>
      </c>
      <c r="C530" s="8" t="s">
        <v>2199</v>
      </c>
      <c r="D530" s="12">
        <v>4257030</v>
      </c>
      <c r="E530" s="8">
        <v>18.48</v>
      </c>
      <c r="F530" s="8">
        <f ca="1">IFERROR(__xludf.DUMMYFUNCTION("GOOGLEFINANCE(""BOM:"" &amp; B530,""price"")"),17.4)</f>
        <v>17.399999999999999</v>
      </c>
      <c r="G530" s="8">
        <f t="shared" ca="1" si="163"/>
        <v>-5.8441558441558534</v>
      </c>
      <c r="H530" s="12">
        <f t="shared" si="164"/>
        <v>78669914.400000006</v>
      </c>
      <c r="I530" s="13">
        <f t="shared" ca="1" si="165"/>
        <v>74072322</v>
      </c>
      <c r="J530" s="63"/>
      <c r="K530" s="8">
        <v>503663</v>
      </c>
      <c r="L530" s="8" t="s">
        <v>2200</v>
      </c>
      <c r="M530" s="12">
        <v>224640000</v>
      </c>
      <c r="N530" s="10">
        <v>6.91</v>
      </c>
      <c r="O530" s="10">
        <f ca="1">IFERROR(__xludf.DUMMYFUNCTION("GOOGLEFINANCE(""BOM:"" &amp; K530,""price"")"),5.11)</f>
        <v>5.1100000000000003</v>
      </c>
      <c r="P530" s="8">
        <f t="shared" ref="P530:P559" ca="1" si="169">((O530-N530)/N530)*100</f>
        <v>-26.049204052098407</v>
      </c>
      <c r="Q530" s="12">
        <f t="shared" si="155"/>
        <v>1552262400</v>
      </c>
      <c r="R530" s="13">
        <f t="shared" ca="1" si="156"/>
        <v>1147910400</v>
      </c>
      <c r="S530" s="63"/>
      <c r="T530" s="8">
        <v>502958</v>
      </c>
      <c r="U530" s="8" t="s">
        <v>2201</v>
      </c>
      <c r="V530" s="12">
        <v>637586</v>
      </c>
      <c r="W530" s="8">
        <v>3990</v>
      </c>
      <c r="X530" s="11">
        <f ca="1">IFERROR(__xludf.DUMMYFUNCTION("GOOGLEFINANCE(""BOM:"" &amp; T530,""price"")"),3988.9)</f>
        <v>3988.9</v>
      </c>
      <c r="Y530" s="8">
        <f t="shared" ca="1" si="166"/>
        <v>-2.7568922305762134E-2</v>
      </c>
      <c r="Z530" s="12">
        <f t="shared" si="167"/>
        <v>2543968140</v>
      </c>
      <c r="AA530" s="13">
        <f t="shared" ca="1" si="168"/>
        <v>2543266795.4000001</v>
      </c>
      <c r="AB530" s="63"/>
      <c r="AC530" s="8">
        <v>530475</v>
      </c>
      <c r="AD530" s="8" t="s">
        <v>2202</v>
      </c>
      <c r="AE530" s="12">
        <v>16597590</v>
      </c>
      <c r="AF530" s="8">
        <v>745.8</v>
      </c>
      <c r="AG530" s="8">
        <f ca="1">IFERROR(__xludf.DUMMYFUNCTION("GOOGLEFINANCE(""BOM:"" &amp; AC530,""price"")"),698)</f>
        <v>698</v>
      </c>
      <c r="AH530" s="8">
        <f t="shared" ca="1" si="153"/>
        <v>-6.4092249932957843</v>
      </c>
      <c r="AI530" s="12">
        <f t="shared" si="139"/>
        <v>12378482622</v>
      </c>
      <c r="AJ530" s="13">
        <f t="shared" ca="1" si="140"/>
        <v>11585117820</v>
      </c>
    </row>
    <row r="531" spans="1:36" x14ac:dyDescent="0.25">
      <c r="A531" s="63"/>
      <c r="B531" s="8">
        <v>541890</v>
      </c>
      <c r="C531" s="8" t="s">
        <v>2203</v>
      </c>
      <c r="D531" s="12">
        <v>34541441</v>
      </c>
      <c r="E531" s="8">
        <v>2.5</v>
      </c>
      <c r="F531" s="8">
        <f ca="1">IFERROR(__xludf.DUMMYFUNCTION("GOOGLEFINANCE(""BOM:"" &amp; B531,""price"")"),1.85)</f>
        <v>1.85</v>
      </c>
      <c r="G531" s="8">
        <f t="shared" ca="1" si="163"/>
        <v>-25.999999999999996</v>
      </c>
      <c r="H531" s="12">
        <f t="shared" si="164"/>
        <v>86353602.5</v>
      </c>
      <c r="I531" s="13">
        <f t="shared" ca="1" si="165"/>
        <v>63901665.850000001</v>
      </c>
      <c r="J531" s="63"/>
      <c r="K531" s="8">
        <v>539543</v>
      </c>
      <c r="L531" s="8" t="s">
        <v>2204</v>
      </c>
      <c r="M531" s="12">
        <v>887900</v>
      </c>
      <c r="N531" s="10">
        <v>13.12</v>
      </c>
      <c r="O531" s="10">
        <f ca="1">IFERROR(__xludf.DUMMYFUNCTION("GOOGLEFINANCE(""BOM:"" &amp; K531,""price"")"),13.12)</f>
        <v>13.12</v>
      </c>
      <c r="P531" s="8">
        <f t="shared" ca="1" si="169"/>
        <v>0</v>
      </c>
      <c r="Q531" s="12">
        <f t="shared" si="155"/>
        <v>11649248</v>
      </c>
      <c r="R531" s="13">
        <f t="shared" ca="1" si="156"/>
        <v>11649248</v>
      </c>
      <c r="S531" s="63"/>
      <c r="T531" s="8">
        <v>590075</v>
      </c>
      <c r="U531" s="8" t="s">
        <v>2205</v>
      </c>
      <c r="V531" s="12">
        <v>10235400</v>
      </c>
      <c r="W531" s="8">
        <v>168.85</v>
      </c>
      <c r="X531" s="11">
        <f ca="1">IFERROR(__xludf.DUMMYFUNCTION("GOOGLEFINANCE(""BOM:"" &amp; T531,""price"")"),138.5)</f>
        <v>138.5</v>
      </c>
      <c r="Y531" s="8">
        <f t="shared" ca="1" si="166"/>
        <v>-17.974533609712758</v>
      </c>
      <c r="Z531" s="12">
        <f t="shared" si="167"/>
        <v>1728247290</v>
      </c>
      <c r="AA531" s="13">
        <f t="shared" ca="1" si="168"/>
        <v>1417602900</v>
      </c>
      <c r="AB531" s="63"/>
      <c r="AC531" s="8">
        <v>524717</v>
      </c>
      <c r="AD531" s="8" t="s">
        <v>2206</v>
      </c>
      <c r="AE531" s="12">
        <v>7796764</v>
      </c>
      <c r="AF531" s="8">
        <v>556</v>
      </c>
      <c r="AG531" s="8">
        <f ca="1">IFERROR(__xludf.DUMMYFUNCTION("GOOGLEFINANCE(""BOM:"" &amp; AC531,""price"")"),530.9)</f>
        <v>530.9</v>
      </c>
      <c r="AH531" s="8">
        <f t="shared" ca="1" si="153"/>
        <v>-4.5143884892086374</v>
      </c>
      <c r="AI531" s="12">
        <f t="shared" si="139"/>
        <v>4335000784</v>
      </c>
      <c r="AJ531" s="13">
        <f t="shared" ca="1" si="140"/>
        <v>4139302007.5999999</v>
      </c>
    </row>
    <row r="532" spans="1:36" x14ac:dyDescent="0.25">
      <c r="A532" s="63"/>
      <c r="B532" s="8">
        <v>531370</v>
      </c>
      <c r="C532" s="8" t="s">
        <v>2207</v>
      </c>
      <c r="D532" s="12">
        <v>3901100</v>
      </c>
      <c r="E532" s="8">
        <v>22.85</v>
      </c>
      <c r="F532" s="8">
        <f ca="1">IFERROR(__xludf.DUMMYFUNCTION("GOOGLEFINANCE(""BOM:"" &amp; B532,""price"")"),20.2)</f>
        <v>20.2</v>
      </c>
      <c r="G532" s="8">
        <f t="shared" ca="1" si="163"/>
        <v>-11.59737417943108</v>
      </c>
      <c r="H532" s="12">
        <f t="shared" si="164"/>
        <v>89140135</v>
      </c>
      <c r="I532" s="13">
        <f t="shared" ca="1" si="165"/>
        <v>78802220</v>
      </c>
      <c r="J532" s="63"/>
      <c r="K532" s="8">
        <v>539123</v>
      </c>
      <c r="L532" s="8" t="s">
        <v>2208</v>
      </c>
      <c r="M532" s="12">
        <v>11855475</v>
      </c>
      <c r="N532" s="10">
        <v>7.6</v>
      </c>
      <c r="O532" s="10">
        <f ca="1">IFERROR(__xludf.DUMMYFUNCTION("GOOGLEFINANCE(""BOM:"" &amp; K532,""price"")"),5.31)</f>
        <v>5.31</v>
      </c>
      <c r="P532" s="8">
        <f t="shared" ca="1" si="169"/>
        <v>-30.131578947368421</v>
      </c>
      <c r="Q532" s="12">
        <f t="shared" si="155"/>
        <v>90101610</v>
      </c>
      <c r="R532" s="13">
        <f t="shared" ca="1" si="156"/>
        <v>62952572.249999993</v>
      </c>
      <c r="S532" s="63"/>
      <c r="T532" s="8">
        <v>514036</v>
      </c>
      <c r="U532" s="8" t="s">
        <v>2209</v>
      </c>
      <c r="V532" s="12">
        <v>4679685</v>
      </c>
      <c r="W532" s="8">
        <v>615.54999999999995</v>
      </c>
      <c r="X532" s="11">
        <f ca="1">IFERROR(__xludf.DUMMYFUNCTION("GOOGLEFINANCE(""BOM:"" &amp; T532,""price"")"),511.1)</f>
        <v>511.1</v>
      </c>
      <c r="Y532" s="8">
        <f t="shared" ca="1" si="166"/>
        <v>-16.968564698237341</v>
      </c>
      <c r="Z532" s="12">
        <f t="shared" si="167"/>
        <v>2880580101.75</v>
      </c>
      <c r="AA532" s="13">
        <f t="shared" ca="1" si="168"/>
        <v>2391787003.5</v>
      </c>
      <c r="AB532" s="63"/>
      <c r="AC532" s="8">
        <v>531867</v>
      </c>
      <c r="AD532" s="8" t="s">
        <v>2210</v>
      </c>
      <c r="AE532" s="12">
        <v>8748200</v>
      </c>
      <c r="AF532" s="8">
        <v>6.44</v>
      </c>
      <c r="AG532" s="8">
        <f ca="1">IFERROR(__xludf.DUMMYFUNCTION("GOOGLEFINANCE(""BOM:"" &amp; AC532,""price"")"),4.99)</f>
        <v>4.99</v>
      </c>
      <c r="AH532" s="8">
        <f t="shared" ca="1" si="153"/>
        <v>-22.51552795031056</v>
      </c>
      <c r="AI532" s="12">
        <f t="shared" si="139"/>
        <v>56338408</v>
      </c>
      <c r="AJ532" s="13">
        <f t="shared" ca="1" si="140"/>
        <v>43653518</v>
      </c>
    </row>
    <row r="533" spans="1:36" x14ac:dyDescent="0.25">
      <c r="A533" s="63"/>
      <c r="B533" s="8">
        <v>531616</v>
      </c>
      <c r="C533" s="8" t="s">
        <v>2211</v>
      </c>
      <c r="D533" s="12">
        <v>4924880</v>
      </c>
      <c r="E533" s="8">
        <v>71.680000000000007</v>
      </c>
      <c r="F533" s="8">
        <f ca="1">IFERROR(__xludf.DUMMYFUNCTION("GOOGLEFINANCE(""BOM:"" &amp; B533,""price"")"),58.4)</f>
        <v>58.4</v>
      </c>
      <c r="G533" s="8">
        <f t="shared" ca="1" si="163"/>
        <v>-18.526785714285722</v>
      </c>
      <c r="H533" s="12">
        <f t="shared" si="164"/>
        <v>353015398.40000004</v>
      </c>
      <c r="I533" s="13">
        <f t="shared" ca="1" si="165"/>
        <v>287612992</v>
      </c>
      <c r="J533" s="63"/>
      <c r="K533" s="8">
        <v>511333</v>
      </c>
      <c r="L533" s="8" t="s">
        <v>2212</v>
      </c>
      <c r="M533" s="12">
        <v>36021273</v>
      </c>
      <c r="N533" s="10">
        <v>277.95</v>
      </c>
      <c r="O533" s="10">
        <f ca="1">IFERROR(__xludf.DUMMYFUNCTION("GOOGLEFINANCE(""BOM:"" &amp; K533,""price"")"),241.2)</f>
        <v>241.2</v>
      </c>
      <c r="P533" s="8">
        <f t="shared" ca="1" si="169"/>
        <v>-13.221802482460877</v>
      </c>
      <c r="Q533" s="12">
        <f t="shared" si="155"/>
        <v>10012112830.35</v>
      </c>
      <c r="R533" s="13">
        <f t="shared" ca="1" si="156"/>
        <v>8688331047.6000004</v>
      </c>
      <c r="S533" s="63"/>
      <c r="T533" s="8">
        <v>500264</v>
      </c>
      <c r="U533" s="8" t="s">
        <v>2213</v>
      </c>
      <c r="V533" s="12">
        <v>13794663</v>
      </c>
      <c r="W533" s="8">
        <v>140.80000000000001</v>
      </c>
      <c r="X533" s="11">
        <f ca="1">IFERROR(__xludf.DUMMYFUNCTION("GOOGLEFINANCE(""BOM:"" &amp; T533,""price"")"),113.35)</f>
        <v>113.35</v>
      </c>
      <c r="Y533" s="8">
        <f t="shared" ca="1" si="166"/>
        <v>-19.495738636363647</v>
      </c>
      <c r="Z533" s="12">
        <f t="shared" si="167"/>
        <v>1942288550.4000001</v>
      </c>
      <c r="AA533" s="13">
        <f t="shared" ca="1" si="168"/>
        <v>1563625051.05</v>
      </c>
      <c r="AB533" s="63"/>
      <c r="AC533" s="8">
        <v>540145</v>
      </c>
      <c r="AD533" s="8" t="s">
        <v>2214</v>
      </c>
      <c r="AE533" s="12">
        <v>26981094</v>
      </c>
      <c r="AF533" s="8">
        <v>423.4</v>
      </c>
      <c r="AG533" s="8">
        <f ca="1">IFERROR(__xludf.DUMMYFUNCTION("GOOGLEFINANCE(""BOM:"" &amp; AC533,""price"")"),379.8)</f>
        <v>379.8</v>
      </c>
      <c r="AH533" s="8">
        <f t="shared" ca="1" si="153"/>
        <v>-10.297590930562109</v>
      </c>
      <c r="AI533" s="12">
        <f t="shared" si="139"/>
        <v>11423795199.599998</v>
      </c>
      <c r="AJ533" s="13">
        <f t="shared" ca="1" si="140"/>
        <v>10247419501.200001</v>
      </c>
    </row>
    <row r="534" spans="1:36" x14ac:dyDescent="0.25">
      <c r="A534" s="63"/>
      <c r="B534" s="8">
        <v>500408</v>
      </c>
      <c r="C534" s="8" t="s">
        <v>2215</v>
      </c>
      <c r="D534" s="12">
        <v>60703257</v>
      </c>
      <c r="E534" s="8">
        <v>7738.65</v>
      </c>
      <c r="F534" s="8">
        <f ca="1">IFERROR(__xludf.DUMMYFUNCTION("GOOGLEFINANCE(""BOM:"" &amp; B534,""price"")"),7747.85)</f>
        <v>7747.85</v>
      </c>
      <c r="G534" s="8">
        <f t="shared" ca="1" si="163"/>
        <v>0.11888378463944911</v>
      </c>
      <c r="H534" s="12">
        <f t="shared" si="164"/>
        <v>469761259783.04999</v>
      </c>
      <c r="I534" s="13">
        <f t="shared" ca="1" si="165"/>
        <v>470319729747.45001</v>
      </c>
      <c r="J534" s="63"/>
      <c r="K534" s="8">
        <v>533252</v>
      </c>
      <c r="L534" s="8" t="s">
        <v>2216</v>
      </c>
      <c r="M534" s="12">
        <v>3629850</v>
      </c>
      <c r="N534" s="10">
        <v>720</v>
      </c>
      <c r="O534" s="10">
        <f ca="1">IFERROR(__xludf.DUMMYFUNCTION("GOOGLEFINANCE(""BOM:"" &amp; K534,""price"")"),718)</f>
        <v>718</v>
      </c>
      <c r="P534" s="8">
        <f t="shared" ca="1" si="169"/>
        <v>-0.27777777777777779</v>
      </c>
      <c r="Q534" s="12">
        <f t="shared" si="155"/>
        <v>2613492000</v>
      </c>
      <c r="R534" s="13">
        <f t="shared" ca="1" si="156"/>
        <v>2606232300</v>
      </c>
      <c r="S534" s="63"/>
      <c r="T534" s="8">
        <v>540396</v>
      </c>
      <c r="U534" s="8" t="s">
        <v>2217</v>
      </c>
      <c r="V534" s="12">
        <v>14493350</v>
      </c>
      <c r="W534" s="8">
        <v>181.5</v>
      </c>
      <c r="X534" s="11">
        <f ca="1">IFERROR(__xludf.DUMMYFUNCTION("GOOGLEFINANCE(""BOM:"" &amp; T534,""price"")"),171)</f>
        <v>171</v>
      </c>
      <c r="Y534" s="8">
        <f t="shared" ca="1" si="166"/>
        <v>-5.785123966942149</v>
      </c>
      <c r="Z534" s="12">
        <f t="shared" si="167"/>
        <v>2630543025</v>
      </c>
      <c r="AA534" s="13">
        <f t="shared" ca="1" si="168"/>
        <v>2478362850</v>
      </c>
      <c r="AB534" s="63"/>
      <c r="AC534" s="8">
        <v>531717</v>
      </c>
      <c r="AD534" s="8" t="s">
        <v>2218</v>
      </c>
      <c r="AE534" s="12">
        <v>49691890</v>
      </c>
      <c r="AF534" s="8">
        <v>425.3</v>
      </c>
      <c r="AG534" s="8">
        <f ca="1">IFERROR(__xludf.DUMMYFUNCTION("GOOGLEFINANCE(""BOM:"" &amp; AC534,""price"")"),461)</f>
        <v>461</v>
      </c>
      <c r="AH534" s="8">
        <f t="shared" ca="1" si="153"/>
        <v>8.3940747707500556</v>
      </c>
      <c r="AI534" s="12">
        <f t="shared" si="139"/>
        <v>21133960817</v>
      </c>
      <c r="AJ534" s="13">
        <f t="shared" ca="1" si="140"/>
        <v>22907961290</v>
      </c>
    </row>
    <row r="535" spans="1:36" x14ac:dyDescent="0.25">
      <c r="A535" s="63"/>
      <c r="B535" s="8">
        <v>532540</v>
      </c>
      <c r="C535" s="8" t="s">
        <v>2219</v>
      </c>
      <c r="D535" s="12">
        <v>3658122760</v>
      </c>
      <c r="E535" s="8">
        <v>4096.3</v>
      </c>
      <c r="F535" s="8">
        <f ca="1">IFERROR(__xludf.DUMMYFUNCTION("GOOGLEFINANCE(""BOM:"" &amp; B535,""price"")"),3883.55)</f>
        <v>3883.55</v>
      </c>
      <c r="G535" s="8">
        <f t="shared" ca="1" si="163"/>
        <v>-5.1937113980909597</v>
      </c>
      <c r="H535" s="12">
        <f t="shared" si="164"/>
        <v>14984768261788</v>
      </c>
      <c r="I535" s="13">
        <f t="shared" ca="1" si="165"/>
        <v>14206502644598</v>
      </c>
      <c r="J535" s="63"/>
      <c r="K535" s="8">
        <v>538451</v>
      </c>
      <c r="L535" s="8" t="s">
        <v>2220</v>
      </c>
      <c r="M535" s="12">
        <v>6058300</v>
      </c>
      <c r="N535" s="10">
        <v>268</v>
      </c>
      <c r="O535" s="10">
        <f ca="1">IFERROR(__xludf.DUMMYFUNCTION("GOOGLEFINANCE(""BOM:"" &amp; K535,""price"")"),227.5)</f>
        <v>227.5</v>
      </c>
      <c r="P535" s="8">
        <f t="shared" ca="1" si="169"/>
        <v>-15.111940298507461</v>
      </c>
      <c r="Q535" s="12">
        <f t="shared" si="155"/>
        <v>1623624400</v>
      </c>
      <c r="R535" s="13">
        <f t="shared" ca="1" si="156"/>
        <v>1378263250</v>
      </c>
      <c r="S535" s="63"/>
      <c r="T535" s="8">
        <v>521018</v>
      </c>
      <c r="U535" s="8" t="s">
        <v>2221</v>
      </c>
      <c r="V535" s="12">
        <v>40897492</v>
      </c>
      <c r="W535" s="8">
        <v>77</v>
      </c>
      <c r="X535" s="11">
        <f ca="1">IFERROR(__xludf.DUMMYFUNCTION("GOOGLEFINANCE(""BOM:"" &amp; T535,""price"")"),62)</f>
        <v>62</v>
      </c>
      <c r="Y535" s="8">
        <f t="shared" ca="1" si="166"/>
        <v>-19.480519480519483</v>
      </c>
      <c r="Z535" s="12">
        <f t="shared" si="167"/>
        <v>3149106884</v>
      </c>
      <c r="AA535" s="13">
        <f t="shared" ca="1" si="168"/>
        <v>2535644504</v>
      </c>
      <c r="AB535" s="63"/>
      <c r="AC535" s="8">
        <v>530961</v>
      </c>
      <c r="AD535" s="8" t="s">
        <v>2222</v>
      </c>
      <c r="AE535" s="12">
        <v>950336602</v>
      </c>
      <c r="AF535" s="8">
        <v>4.49</v>
      </c>
      <c r="AG535" s="8">
        <f ca="1">IFERROR(__xludf.DUMMYFUNCTION("GOOGLEFINANCE(""BOM:"" &amp; AC535,""price"")"),3.67)</f>
        <v>3.67</v>
      </c>
      <c r="AH535" s="8">
        <f t="shared" ca="1" si="153"/>
        <v>-18.262806236080184</v>
      </c>
      <c r="AI535" s="12">
        <f t="shared" si="139"/>
        <v>4267011342.98</v>
      </c>
      <c r="AJ535" s="13">
        <f t="shared" ca="1" si="140"/>
        <v>3487735329.3400002</v>
      </c>
    </row>
    <row r="536" spans="1:36" x14ac:dyDescent="0.25">
      <c r="A536" s="63"/>
      <c r="B536" s="8">
        <v>532755</v>
      </c>
      <c r="C536" s="8" t="s">
        <v>2223</v>
      </c>
      <c r="D536" s="12">
        <v>970924059</v>
      </c>
      <c r="E536" s="8">
        <v>1271.6500000000001</v>
      </c>
      <c r="F536" s="8">
        <f ca="1">IFERROR(__xludf.DUMMYFUNCTION("GOOGLEFINANCE(""BOM:"" &amp; B536,""price"")"),1250.4)</f>
        <v>1250.4000000000001</v>
      </c>
      <c r="G536" s="8">
        <f t="shared" ca="1" si="163"/>
        <v>-1.6710572877757242</v>
      </c>
      <c r="H536" s="12">
        <f t="shared" si="164"/>
        <v>1234675579627.3501</v>
      </c>
      <c r="I536" s="13">
        <f t="shared" ca="1" si="165"/>
        <v>1214043443373.6001</v>
      </c>
      <c r="J536" s="64"/>
      <c r="K536" s="14">
        <v>511012</v>
      </c>
      <c r="L536" s="14" t="s">
        <v>2224</v>
      </c>
      <c r="M536" s="15">
        <v>494281900</v>
      </c>
      <c r="N536" s="17">
        <v>1</v>
      </c>
      <c r="O536" s="17">
        <f ca="1">IFERROR(__xludf.DUMMYFUNCTION("GOOGLEFINANCE(""BOM:"" &amp; K536,""price"")"),0.83)</f>
        <v>0.83</v>
      </c>
      <c r="P536" s="14">
        <f t="shared" ca="1" si="169"/>
        <v>-17.000000000000004</v>
      </c>
      <c r="Q536" s="15">
        <f t="shared" si="155"/>
        <v>494281900</v>
      </c>
      <c r="R536" s="16">
        <f t="shared" ca="1" si="156"/>
        <v>410253977</v>
      </c>
      <c r="S536" s="63"/>
      <c r="T536" s="8">
        <v>531503</v>
      </c>
      <c r="U536" s="8" t="s">
        <v>2225</v>
      </c>
      <c r="V536" s="12">
        <v>7369815</v>
      </c>
      <c r="W536" s="8">
        <v>42.99</v>
      </c>
      <c r="X536" s="11">
        <f ca="1">IFERROR(__xludf.DUMMYFUNCTION("GOOGLEFINANCE(""BOM:"" &amp; T536,""price"")"),33.5)</f>
        <v>33.5</v>
      </c>
      <c r="Y536" s="8">
        <f t="shared" ca="1" si="166"/>
        <v>-22.074901139799959</v>
      </c>
      <c r="Z536" s="12">
        <f t="shared" si="167"/>
        <v>316828346.85000002</v>
      </c>
      <c r="AA536" s="13">
        <f t="shared" ca="1" si="168"/>
        <v>246888802.5</v>
      </c>
      <c r="AB536" s="63"/>
      <c r="AC536" s="8">
        <v>524200</v>
      </c>
      <c r="AD536" s="8" t="s">
        <v>2226</v>
      </c>
      <c r="AE536" s="12">
        <v>101722940</v>
      </c>
      <c r="AF536" s="8">
        <v>1644</v>
      </c>
      <c r="AG536" s="8">
        <f ca="1">IFERROR(__xludf.DUMMYFUNCTION("GOOGLEFINANCE(""BOM:"" &amp; AC536,""price"")"),1471)</f>
        <v>1471</v>
      </c>
      <c r="AH536" s="8">
        <f t="shared" ca="1" si="153"/>
        <v>-10.523114355231144</v>
      </c>
      <c r="AI536" s="12">
        <f t="shared" si="139"/>
        <v>167232513360</v>
      </c>
      <c r="AJ536" s="13">
        <f t="shared" ca="1" si="140"/>
        <v>149634444740</v>
      </c>
    </row>
    <row r="537" spans="1:36" x14ac:dyDescent="0.25">
      <c r="A537" s="63"/>
      <c r="B537" s="8">
        <v>542923</v>
      </c>
      <c r="C537" s="8" t="s">
        <v>2227</v>
      </c>
      <c r="D537" s="12">
        <v>10598800</v>
      </c>
      <c r="E537" s="8">
        <v>8</v>
      </c>
      <c r="F537" s="8">
        <f ca="1">IFERROR(__xludf.DUMMYFUNCTION("GOOGLEFINANCE(""BOM:"" &amp; B537,""price"")"),6.7)</f>
        <v>6.7</v>
      </c>
      <c r="G537" s="8">
        <f t="shared" ca="1" si="163"/>
        <v>-16.249999999999996</v>
      </c>
      <c r="H537" s="12">
        <f t="shared" si="164"/>
        <v>84790400</v>
      </c>
      <c r="I537" s="13">
        <f t="shared" ca="1" si="165"/>
        <v>71011960</v>
      </c>
      <c r="J537" s="62" t="s">
        <v>2228</v>
      </c>
      <c r="K537" s="6">
        <v>532870</v>
      </c>
      <c r="L537" s="6" t="s">
        <v>2229</v>
      </c>
      <c r="M537" s="7">
        <v>141110359</v>
      </c>
      <c r="N537" s="10">
        <v>4.3</v>
      </c>
      <c r="O537" s="10">
        <f ca="1">IFERROR(__xludf.DUMMYFUNCTION("GOOGLEFINANCE(""BOM:"" &amp; K537,""price"")"),3.59)</f>
        <v>3.59</v>
      </c>
      <c r="P537" s="8">
        <f t="shared" ca="1" si="169"/>
        <v>-16.511627906976745</v>
      </c>
      <c r="Q537" s="7">
        <f t="shared" si="155"/>
        <v>606774543.69999993</v>
      </c>
      <c r="R537" s="9">
        <f t="shared" ca="1" si="156"/>
        <v>506586188.81</v>
      </c>
      <c r="S537" s="63"/>
      <c r="T537" s="8">
        <v>506867</v>
      </c>
      <c r="U537" s="8" t="s">
        <v>2230</v>
      </c>
      <c r="V537" s="12">
        <v>188100</v>
      </c>
      <c r="W537" s="8">
        <v>29.6</v>
      </c>
      <c r="X537" s="11">
        <f ca="1">IFERROR(__xludf.DUMMYFUNCTION("GOOGLEFINANCE(""BOM:"" &amp; T537,""price"")"),29.6)</f>
        <v>29.6</v>
      </c>
      <c r="Y537" s="8">
        <f t="shared" ca="1" si="166"/>
        <v>0</v>
      </c>
      <c r="Z537" s="12">
        <f t="shared" si="167"/>
        <v>5567760</v>
      </c>
      <c r="AA537" s="13">
        <f t="shared" ca="1" si="168"/>
        <v>5567760</v>
      </c>
      <c r="AB537" s="63"/>
      <c r="AC537" s="8">
        <v>530627</v>
      </c>
      <c r="AD537" s="8" t="s">
        <v>2231</v>
      </c>
      <c r="AE537" s="12">
        <v>12639163</v>
      </c>
      <c r="AF537" s="8">
        <v>193.05</v>
      </c>
      <c r="AG537" s="8">
        <f ca="1">IFERROR(__xludf.DUMMYFUNCTION("GOOGLEFINANCE(""BOM:"" &amp; AC537,""price"")"),163.55)</f>
        <v>163.55000000000001</v>
      </c>
      <c r="AH537" s="8">
        <f t="shared" ca="1" si="153"/>
        <v>-15.28101528101528</v>
      </c>
      <c r="AI537" s="12">
        <f t="shared" si="139"/>
        <v>2439990417.1500001</v>
      </c>
      <c r="AJ537" s="13">
        <f t="shared" ca="1" si="140"/>
        <v>2067135108.6500001</v>
      </c>
    </row>
    <row r="538" spans="1:36" x14ac:dyDescent="0.25">
      <c r="A538" s="63"/>
      <c r="B538" s="8">
        <v>542233</v>
      </c>
      <c r="C538" s="8" t="s">
        <v>2232</v>
      </c>
      <c r="D538" s="12">
        <v>11767894</v>
      </c>
      <c r="E538" s="8">
        <v>169.55</v>
      </c>
      <c r="F538" s="8">
        <f ca="1">IFERROR(__xludf.DUMMYFUNCTION("GOOGLEFINANCE(""BOM:"" &amp; B538,""price"")"),150.75)</f>
        <v>150.75</v>
      </c>
      <c r="G538" s="8">
        <f t="shared" ca="1" si="163"/>
        <v>-11.088174579769985</v>
      </c>
      <c r="H538" s="12">
        <f t="shared" si="164"/>
        <v>1995246427.7</v>
      </c>
      <c r="I538" s="13">
        <f t="shared" ca="1" si="165"/>
        <v>1774010020.5</v>
      </c>
      <c r="J538" s="63"/>
      <c r="K538" s="8">
        <v>532286</v>
      </c>
      <c r="L538" s="8" t="s">
        <v>2233</v>
      </c>
      <c r="M538" s="12">
        <v>1011824983</v>
      </c>
      <c r="N538" s="10">
        <v>822.65</v>
      </c>
      <c r="O538" s="10">
        <f ca="1">IFERROR(__xludf.DUMMYFUNCTION("GOOGLEFINANCE(""BOM:"" &amp; K538,""price"")"),849.75)</f>
        <v>849.75</v>
      </c>
      <c r="P538" s="8">
        <f t="shared" ca="1" si="169"/>
        <v>3.2942320549443895</v>
      </c>
      <c r="Q538" s="12">
        <f t="shared" si="155"/>
        <v>832377822264.94995</v>
      </c>
      <c r="R538" s="13">
        <f t="shared" ca="1" si="156"/>
        <v>859798279304.25</v>
      </c>
      <c r="S538" s="63"/>
      <c r="T538" s="8">
        <v>514450</v>
      </c>
      <c r="U538" s="8" t="s">
        <v>2234</v>
      </c>
      <c r="V538" s="12">
        <v>10565905</v>
      </c>
      <c r="W538" s="8">
        <v>297.3</v>
      </c>
      <c r="X538" s="11">
        <f ca="1">IFERROR(__xludf.DUMMYFUNCTION("GOOGLEFINANCE(""BOM:"" &amp; T538,""price"")"),291)</f>
        <v>291</v>
      </c>
      <c r="Y538" s="8">
        <f t="shared" ca="1" si="166"/>
        <v>-2.119071644803233</v>
      </c>
      <c r="Z538" s="12">
        <f t="shared" si="167"/>
        <v>3141243556.5</v>
      </c>
      <c r="AA538" s="13">
        <f t="shared" ca="1" si="168"/>
        <v>3074678355</v>
      </c>
      <c r="AB538" s="63"/>
      <c r="AC538" s="8">
        <v>516072</v>
      </c>
      <c r="AD538" s="8" t="s">
        <v>2235</v>
      </c>
      <c r="AE538" s="12">
        <v>59395675</v>
      </c>
      <c r="AF538" s="8">
        <v>300.45</v>
      </c>
      <c r="AG538" s="8">
        <f ca="1">IFERROR(__xludf.DUMMYFUNCTION("GOOGLEFINANCE(""BOM:"" &amp; AC538,""price"")"),320)</f>
        <v>320</v>
      </c>
      <c r="AH538" s="8">
        <f t="shared" ca="1" si="153"/>
        <v>6.5069063072058615</v>
      </c>
      <c r="AI538" s="12">
        <f t="shared" si="139"/>
        <v>17845430553.75</v>
      </c>
      <c r="AJ538" s="13">
        <f t="shared" ca="1" si="140"/>
        <v>19006616000</v>
      </c>
    </row>
    <row r="539" spans="1:36" x14ac:dyDescent="0.25">
      <c r="A539" s="63"/>
      <c r="B539" s="8">
        <v>517562</v>
      </c>
      <c r="C539" s="8" t="s">
        <v>2236</v>
      </c>
      <c r="D539" s="12">
        <v>30746659</v>
      </c>
      <c r="E539" s="8">
        <v>123</v>
      </c>
      <c r="F539" s="8">
        <f ca="1">IFERROR(__xludf.DUMMYFUNCTION("GOOGLEFINANCE(""BOM:"" &amp; B539,""price"")"),93)</f>
        <v>93</v>
      </c>
      <c r="G539" s="8">
        <f t="shared" ca="1" si="163"/>
        <v>-24.390243902439025</v>
      </c>
      <c r="H539" s="12">
        <f t="shared" si="164"/>
        <v>3781839057</v>
      </c>
      <c r="I539" s="13">
        <f t="shared" ca="1" si="165"/>
        <v>2859439287</v>
      </c>
      <c r="J539" s="63"/>
      <c r="K539" s="8">
        <v>532508</v>
      </c>
      <c r="L539" s="8" t="s">
        <v>2237</v>
      </c>
      <c r="M539" s="12">
        <v>522634881</v>
      </c>
      <c r="N539" s="10">
        <v>653.9</v>
      </c>
      <c r="O539" s="10">
        <f ca="1">IFERROR(__xludf.DUMMYFUNCTION("GOOGLEFINANCE(""BOM:"" &amp; K539,""price"")"),694.9)</f>
        <v>694.9</v>
      </c>
      <c r="P539" s="8">
        <f t="shared" ca="1" si="169"/>
        <v>6.2700718764337058</v>
      </c>
      <c r="Q539" s="12">
        <f t="shared" si="155"/>
        <v>341750948685.89996</v>
      </c>
      <c r="R539" s="13">
        <f t="shared" ca="1" si="156"/>
        <v>363178978806.89996</v>
      </c>
      <c r="S539" s="63"/>
      <c r="T539" s="8">
        <v>500277</v>
      </c>
      <c r="U539" s="8" t="s">
        <v>2238</v>
      </c>
      <c r="V539" s="12">
        <v>10917130</v>
      </c>
      <c r="W539" s="8">
        <v>7.75</v>
      </c>
      <c r="X539" s="11">
        <f ca="1">IFERROR(__xludf.DUMMYFUNCTION("GOOGLEFINANCE(""BOM:"" &amp; T539,""price"")"),6.93)</f>
        <v>6.93</v>
      </c>
      <c r="Y539" s="8">
        <f t="shared" ca="1" si="166"/>
        <v>-10.580645161290327</v>
      </c>
      <c r="Z539" s="12">
        <f t="shared" si="167"/>
        <v>84607757.5</v>
      </c>
      <c r="AA539" s="13">
        <f t="shared" ca="1" si="168"/>
        <v>75655710.899999991</v>
      </c>
      <c r="AB539" s="63"/>
      <c r="AC539" s="8">
        <v>541167</v>
      </c>
      <c r="AD539" s="8" t="s">
        <v>2239</v>
      </c>
      <c r="AE539" s="12">
        <v>11399200</v>
      </c>
      <c r="AF539" s="8">
        <v>2099.6</v>
      </c>
      <c r="AG539" s="8">
        <f ca="1">IFERROR(__xludf.DUMMYFUNCTION("GOOGLEFINANCE(""BOM:"" &amp; AC539,""price"")"),1658)</f>
        <v>1658</v>
      </c>
      <c r="AH539" s="8">
        <f t="shared" ca="1" si="153"/>
        <v>-21.032577633835011</v>
      </c>
      <c r="AI539" s="12">
        <f t="shared" si="139"/>
        <v>23933760320</v>
      </c>
      <c r="AJ539" s="13">
        <f t="shared" ca="1" si="140"/>
        <v>18899873600</v>
      </c>
    </row>
    <row r="540" spans="1:36" x14ac:dyDescent="0.25">
      <c r="A540" s="63"/>
      <c r="B540" s="8">
        <v>507685</v>
      </c>
      <c r="C540" s="8" t="s">
        <v>2240</v>
      </c>
      <c r="D540" s="12">
        <v>5473632865</v>
      </c>
      <c r="E540" s="8">
        <v>519.15</v>
      </c>
      <c r="F540" s="8">
        <f ca="1">IFERROR(__xludf.DUMMYFUNCTION("GOOGLEFINANCE(""BOM:"" &amp; B540,""price"")"),480.05)</f>
        <v>480.05</v>
      </c>
      <c r="G540" s="8">
        <f t="shared" ca="1" si="163"/>
        <v>-7.5315419435615842</v>
      </c>
      <c r="H540" s="12">
        <f t="shared" si="164"/>
        <v>2841636501864.75</v>
      </c>
      <c r="I540" s="13">
        <f t="shared" ca="1" si="165"/>
        <v>2627617456843.25</v>
      </c>
      <c r="J540" s="63"/>
      <c r="K540" s="8">
        <v>500228</v>
      </c>
      <c r="L540" s="8" t="s">
        <v>2241</v>
      </c>
      <c r="M540" s="12">
        <v>2404488334</v>
      </c>
      <c r="N540" s="10">
        <v>835.85</v>
      </c>
      <c r="O540" s="10">
        <f ca="1">IFERROR(__xludf.DUMMYFUNCTION("GOOGLEFINANCE(""BOM:"" &amp; K540,""price"")"),832.45)</f>
        <v>832.45</v>
      </c>
      <c r="P540" s="8">
        <f t="shared" ca="1" si="169"/>
        <v>-0.40677154991924119</v>
      </c>
      <c r="Q540" s="12">
        <f t="shared" si="155"/>
        <v>2009791573973.9001</v>
      </c>
      <c r="R540" s="13">
        <f t="shared" ca="1" si="156"/>
        <v>2001616313638.3</v>
      </c>
      <c r="S540" s="63"/>
      <c r="T540" s="8">
        <v>531456</v>
      </c>
      <c r="U540" s="8" t="s">
        <v>2242</v>
      </c>
      <c r="V540" s="12">
        <v>49100600</v>
      </c>
      <c r="W540" s="8">
        <v>2.9</v>
      </c>
      <c r="X540" s="11">
        <f ca="1">IFERROR(__xludf.DUMMYFUNCTION("GOOGLEFINANCE(""BOM:"" &amp; T540,""price"")"),2.82)</f>
        <v>2.82</v>
      </c>
      <c r="Y540" s="8">
        <f t="shared" ca="1" si="166"/>
        <v>-2.7586206896551748</v>
      </c>
      <c r="Z540" s="12">
        <f t="shared" si="167"/>
        <v>142391740</v>
      </c>
      <c r="AA540" s="13">
        <f t="shared" ca="1" si="168"/>
        <v>138463692</v>
      </c>
      <c r="AB540" s="64"/>
      <c r="AC540" s="14">
        <v>540550</v>
      </c>
      <c r="AD540" s="14" t="s">
        <v>2243</v>
      </c>
      <c r="AE540" s="15">
        <v>7192846</v>
      </c>
      <c r="AF540" s="14">
        <v>59.6</v>
      </c>
      <c r="AG540" s="14">
        <f ca="1">IFERROR(__xludf.DUMMYFUNCTION("GOOGLEFINANCE(""BOM:"" &amp; AC540,""price"")"),45.6)</f>
        <v>45.6</v>
      </c>
      <c r="AH540" s="14">
        <f t="shared" ca="1" si="153"/>
        <v>-23.48993288590604</v>
      </c>
      <c r="AI540" s="15">
        <f t="shared" si="139"/>
        <v>428693621.60000002</v>
      </c>
      <c r="AJ540" s="16">
        <f t="shared" ca="1" si="140"/>
        <v>327993777.60000002</v>
      </c>
    </row>
    <row r="541" spans="1:36" x14ac:dyDescent="0.25">
      <c r="A541" s="63"/>
      <c r="B541" s="8">
        <v>543436</v>
      </c>
      <c r="C541" s="8" t="s">
        <v>2244</v>
      </c>
      <c r="D541" s="12">
        <v>389600</v>
      </c>
      <c r="E541" s="8">
        <v>133.35</v>
      </c>
      <c r="F541" s="8">
        <f ca="1">IFERROR(__xludf.DUMMYFUNCTION("GOOGLEFINANCE(""BOM:"" &amp; B541,""price"")"),123.35)</f>
        <v>123.35</v>
      </c>
      <c r="G541" s="8">
        <f t="shared" ca="1" si="163"/>
        <v>-7.4990626171728536</v>
      </c>
      <c r="H541" s="12">
        <f t="shared" si="164"/>
        <v>51953160</v>
      </c>
      <c r="I541" s="13">
        <f t="shared" ca="1" si="165"/>
        <v>48057160</v>
      </c>
      <c r="J541" s="63"/>
      <c r="K541" s="8">
        <v>513693</v>
      </c>
      <c r="L541" s="8" t="s">
        <v>2245</v>
      </c>
      <c r="M541" s="12">
        <v>35135230</v>
      </c>
      <c r="N541" s="10">
        <v>52.98</v>
      </c>
      <c r="O541" s="10">
        <f ca="1">IFERROR(__xludf.DUMMYFUNCTION("GOOGLEFINANCE(""BOM:"" &amp; K541,""price"")"),42)</f>
        <v>42</v>
      </c>
      <c r="P541" s="8">
        <f t="shared" ca="1" si="169"/>
        <v>-20.724801812004525</v>
      </c>
      <c r="Q541" s="12">
        <f t="shared" si="155"/>
        <v>1861464485.3999999</v>
      </c>
      <c r="R541" s="13">
        <f t="shared" ca="1" si="156"/>
        <v>1475679660</v>
      </c>
      <c r="S541" s="63"/>
      <c r="T541" s="8">
        <v>532140</v>
      </c>
      <c r="U541" s="8" t="s">
        <v>2246</v>
      </c>
      <c r="V541" s="12">
        <v>18185379</v>
      </c>
      <c r="W541" s="8">
        <v>39</v>
      </c>
      <c r="X541" s="11">
        <f ca="1">IFERROR(__xludf.DUMMYFUNCTION("GOOGLEFINANCE(""BOM:"" &amp; T541,""price"")"),36.29)</f>
        <v>36.29</v>
      </c>
      <c r="Y541" s="8">
        <f t="shared" ca="1" si="166"/>
        <v>-6.9487179487179516</v>
      </c>
      <c r="Z541" s="12">
        <f t="shared" si="167"/>
        <v>709229781</v>
      </c>
      <c r="AA541" s="13">
        <f t="shared" ca="1" si="168"/>
        <v>659947403.90999997</v>
      </c>
      <c r="AB541" s="65" t="s">
        <v>2247</v>
      </c>
      <c r="AC541" s="6">
        <v>500058</v>
      </c>
      <c r="AD541" s="6" t="s">
        <v>2248</v>
      </c>
      <c r="AE541" s="7">
        <v>50847574</v>
      </c>
      <c r="AF541" s="8">
        <v>16.899999999999999</v>
      </c>
      <c r="AG541" s="8">
        <f ca="1">IFERROR(__xludf.DUMMYFUNCTION("GOOGLEFINANCE(""BOM:"" &amp; AC541,""price"")"),14.42)</f>
        <v>14.42</v>
      </c>
      <c r="AH541" s="8">
        <f t="shared" ca="1" si="153"/>
        <v>-14.674556213017745</v>
      </c>
      <c r="AI541" s="7">
        <f t="shared" si="139"/>
        <v>859324000.5999999</v>
      </c>
      <c r="AJ541" s="9">
        <f t="shared" ca="1" si="140"/>
        <v>733222017.08000004</v>
      </c>
    </row>
    <row r="542" spans="1:36" x14ac:dyDescent="0.25">
      <c r="A542" s="63"/>
      <c r="B542" s="8">
        <v>532616</v>
      </c>
      <c r="C542" s="8" t="s">
        <v>2249</v>
      </c>
      <c r="D542" s="12">
        <v>111304356</v>
      </c>
      <c r="E542" s="8">
        <v>139.9</v>
      </c>
      <c r="F542" s="8">
        <f ca="1">IFERROR(__xludf.DUMMYFUNCTION("GOOGLEFINANCE(""BOM:"" &amp; B542,""price"")"),114)</f>
        <v>114</v>
      </c>
      <c r="G542" s="8">
        <f t="shared" ca="1" si="163"/>
        <v>-18.5132237312366</v>
      </c>
      <c r="H542" s="12">
        <f t="shared" si="164"/>
        <v>15571479404.400002</v>
      </c>
      <c r="I542" s="13">
        <f t="shared" ca="1" si="165"/>
        <v>12688696584</v>
      </c>
      <c r="J542" s="63"/>
      <c r="K542" s="8">
        <v>500235</v>
      </c>
      <c r="L542" s="8" t="s">
        <v>2250</v>
      </c>
      <c r="M542" s="12">
        <v>43405525</v>
      </c>
      <c r="N542" s="10">
        <v>1038.55</v>
      </c>
      <c r="O542" s="10">
        <f ca="1">IFERROR(__xludf.DUMMYFUNCTION("GOOGLEFINANCE(""BOM:"" &amp; K542,""price"")"),857.9)</f>
        <v>857.9</v>
      </c>
      <c r="P542" s="8">
        <f t="shared" ca="1" si="169"/>
        <v>-17.394444176977515</v>
      </c>
      <c r="Q542" s="12">
        <f t="shared" si="155"/>
        <v>45078807988.75</v>
      </c>
      <c r="R542" s="13">
        <f t="shared" ca="1" si="156"/>
        <v>37237599897.5</v>
      </c>
      <c r="S542" s="63"/>
      <c r="T542" s="8">
        <v>531453</v>
      </c>
      <c r="U542" s="8" t="s">
        <v>2251</v>
      </c>
      <c r="V542" s="12">
        <v>14142015</v>
      </c>
      <c r="W542" s="8">
        <v>22.2</v>
      </c>
      <c r="X542" s="11">
        <f ca="1">IFERROR(__xludf.DUMMYFUNCTION("GOOGLEFINANCE(""BOM:"" &amp; T542,""price"")"),18.87)</f>
        <v>18.87</v>
      </c>
      <c r="Y542" s="8">
        <f t="shared" ca="1" si="166"/>
        <v>-14.999999999999995</v>
      </c>
      <c r="Z542" s="12">
        <f t="shared" si="167"/>
        <v>313952733</v>
      </c>
      <c r="AA542" s="13">
        <f t="shared" ca="1" si="168"/>
        <v>266859823.05000001</v>
      </c>
      <c r="AB542" s="63"/>
      <c r="AC542" s="8">
        <v>513446</v>
      </c>
      <c r="AD542" s="8" t="s">
        <v>2252</v>
      </c>
      <c r="AE542" s="12">
        <v>469493519</v>
      </c>
      <c r="AF542" s="8" t="s">
        <v>44</v>
      </c>
      <c r="AG542" s="8" t="s">
        <v>44</v>
      </c>
      <c r="AH542" s="8"/>
      <c r="AI542" s="12"/>
      <c r="AJ542" s="13"/>
    </row>
    <row r="543" spans="1:36" x14ac:dyDescent="0.25">
      <c r="A543" s="63"/>
      <c r="B543" s="8">
        <v>531225</v>
      </c>
      <c r="C543" s="8" t="s">
        <v>2253</v>
      </c>
      <c r="D543" s="12">
        <v>132316455</v>
      </c>
      <c r="E543" s="8">
        <v>40.1</v>
      </c>
      <c r="F543" s="8">
        <f ca="1">IFERROR(__xludf.DUMMYFUNCTION("GOOGLEFINANCE(""BOM:"" &amp; B543,""price"")"),42.47)</f>
        <v>42.47</v>
      </c>
      <c r="G543" s="8">
        <f t="shared" ca="1" si="163"/>
        <v>5.9102244389027367</v>
      </c>
      <c r="H543" s="12">
        <f t="shared" si="164"/>
        <v>5305889845.5</v>
      </c>
      <c r="I543" s="13">
        <f t="shared" ca="1" si="165"/>
        <v>5619479843.8499994</v>
      </c>
      <c r="J543" s="63"/>
      <c r="K543" s="8">
        <v>512455</v>
      </c>
      <c r="L543" s="8" t="s">
        <v>2254</v>
      </c>
      <c r="M543" s="12">
        <v>440545070</v>
      </c>
      <c r="N543" s="10">
        <v>587.45000000000005</v>
      </c>
      <c r="O543" s="10">
        <f ca="1">IFERROR(__xludf.DUMMYFUNCTION("GOOGLEFINANCE(""BOM:"" &amp; K543,""price"")"),600.6)</f>
        <v>600.6</v>
      </c>
      <c r="P543" s="8">
        <f t="shared" ca="1" si="169"/>
        <v>2.2384883819899524</v>
      </c>
      <c r="Q543" s="12">
        <f t="shared" si="155"/>
        <v>258798201371.50003</v>
      </c>
      <c r="R543" s="13">
        <f t="shared" ca="1" si="156"/>
        <v>264591369042</v>
      </c>
      <c r="S543" s="63"/>
      <c r="T543" s="8">
        <v>532621</v>
      </c>
      <c r="U543" s="8" t="s">
        <v>2255</v>
      </c>
      <c r="V543" s="12">
        <v>35939118</v>
      </c>
      <c r="W543" s="8">
        <v>22.6</v>
      </c>
      <c r="X543" s="11">
        <f ca="1">IFERROR(__xludf.DUMMYFUNCTION("GOOGLEFINANCE(""BOM:"" &amp; T543,""price"")"),17.46)</f>
        <v>17.46</v>
      </c>
      <c r="Y543" s="8">
        <f t="shared" ca="1" si="166"/>
        <v>-22.743362831858409</v>
      </c>
      <c r="Z543" s="12">
        <f t="shared" si="167"/>
        <v>812224066.80000007</v>
      </c>
      <c r="AA543" s="13">
        <f t="shared" ca="1" si="168"/>
        <v>627497000.27999997</v>
      </c>
      <c r="AB543" s="63"/>
      <c r="AC543" s="8">
        <v>540680</v>
      </c>
      <c r="AD543" s="8" t="s">
        <v>2256</v>
      </c>
      <c r="AE543" s="12">
        <v>607708400</v>
      </c>
      <c r="AF543" s="8">
        <v>484.2</v>
      </c>
      <c r="AG543" s="8">
        <f ca="1">IFERROR(__xludf.DUMMYFUNCTION("GOOGLEFINANCE(""BOM:"" &amp; AC543,""price"")"),390)</f>
        <v>390</v>
      </c>
      <c r="AH543" s="8">
        <f t="shared" ref="AH543:AH569" ca="1" si="170">((AG543-AF543)/AF543)*100</f>
        <v>-19.454770755885995</v>
      </c>
      <c r="AI543" s="12">
        <f t="shared" ref="AI543:AI569" si="171">AE543*AF543</f>
        <v>294252407280</v>
      </c>
      <c r="AJ543" s="13">
        <f t="shared" ref="AJ543:AJ569" ca="1" si="172">AE543*AG543</f>
        <v>237006276000</v>
      </c>
    </row>
    <row r="544" spans="1:36" x14ac:dyDescent="0.25">
      <c r="A544" s="64"/>
      <c r="B544" s="14">
        <v>504067</v>
      </c>
      <c r="C544" s="14" t="s">
        <v>2257</v>
      </c>
      <c r="D544" s="15">
        <v>225012109</v>
      </c>
      <c r="E544" s="8">
        <v>544.79999999999995</v>
      </c>
      <c r="F544" s="14">
        <f ca="1">IFERROR(__xludf.DUMMYFUNCTION("GOOGLEFINANCE(""BOM:"" &amp; B544,""price"")"),603.25)</f>
        <v>603.25</v>
      </c>
      <c r="G544" s="14">
        <f t="shared" ca="1" si="163"/>
        <v>10.728707782672551</v>
      </c>
      <c r="H544" s="15">
        <f t="shared" si="164"/>
        <v>122586596983.2</v>
      </c>
      <c r="I544" s="16">
        <f t="shared" ca="1" si="165"/>
        <v>135738554754.25</v>
      </c>
      <c r="J544" s="63"/>
      <c r="K544" s="8">
        <v>500460</v>
      </c>
      <c r="L544" s="8" t="s">
        <v>2258</v>
      </c>
      <c r="M544" s="12">
        <v>140251040</v>
      </c>
      <c r="N544" s="10">
        <v>169.7</v>
      </c>
      <c r="O544" s="10">
        <f ca="1">IFERROR(__xludf.DUMMYFUNCTION("GOOGLEFINANCE(""BOM:"" &amp; K544,""price"")"),148.2)</f>
        <v>148.19999999999999</v>
      </c>
      <c r="P544" s="8">
        <f t="shared" ca="1" si="169"/>
        <v>-12.669416617560403</v>
      </c>
      <c r="Q544" s="12">
        <f t="shared" si="155"/>
        <v>23800601488</v>
      </c>
      <c r="R544" s="13">
        <f t="shared" ca="1" si="156"/>
        <v>20785204128</v>
      </c>
      <c r="S544" s="63"/>
      <c r="T544" s="8">
        <v>521109</v>
      </c>
      <c r="U544" s="8" t="s">
        <v>2259</v>
      </c>
      <c r="V544" s="12">
        <v>12342683</v>
      </c>
      <c r="W544" s="8">
        <v>33.92</v>
      </c>
      <c r="X544" s="11">
        <f ca="1">IFERROR(__xludf.DUMMYFUNCTION("GOOGLEFINANCE(""BOM:"" &amp; T544,""price"")"),33.9)</f>
        <v>33.9</v>
      </c>
      <c r="Y544" s="8">
        <f t="shared" ca="1" si="166"/>
        <v>-5.8962264150952612E-2</v>
      </c>
      <c r="Z544" s="12">
        <f t="shared" si="167"/>
        <v>418663807.36000001</v>
      </c>
      <c r="AA544" s="13">
        <f t="shared" ca="1" si="168"/>
        <v>418416953.69999999</v>
      </c>
      <c r="AB544" s="64"/>
      <c r="AC544" s="14">
        <v>532604</v>
      </c>
      <c r="AD544" s="14" t="s">
        <v>2260</v>
      </c>
      <c r="AE544" s="15">
        <v>84775618</v>
      </c>
      <c r="AF544" s="14">
        <v>22.16</v>
      </c>
      <c r="AG544" s="14">
        <f ca="1">IFERROR(__xludf.DUMMYFUNCTION("GOOGLEFINANCE(""BOM:"" &amp; AC544,""price"")"),20.71)</f>
        <v>20.71</v>
      </c>
      <c r="AH544" s="14">
        <f t="shared" ca="1" si="170"/>
        <v>-6.5433212996389862</v>
      </c>
      <c r="AI544" s="15">
        <f t="shared" si="171"/>
        <v>1878627694.8800001</v>
      </c>
      <c r="AJ544" s="16">
        <f t="shared" ca="1" si="172"/>
        <v>1755703048.78</v>
      </c>
    </row>
    <row r="545" spans="1:36" x14ac:dyDescent="0.25">
      <c r="A545" s="62" t="s">
        <v>2261</v>
      </c>
      <c r="B545" s="6">
        <v>517356</v>
      </c>
      <c r="C545" s="6" t="s">
        <v>2262</v>
      </c>
      <c r="D545" s="7">
        <v>106348820</v>
      </c>
      <c r="E545" s="6">
        <v>2.27</v>
      </c>
      <c r="F545" s="8">
        <f ca="1">IFERROR(__xludf.DUMMYFUNCTION("GOOGLEFINANCE(""BOM:"" &amp; B545,""price"")"),1.84)</f>
        <v>1.84</v>
      </c>
      <c r="G545" s="8">
        <f t="shared" ca="1" si="163"/>
        <v>-18.942731277533039</v>
      </c>
      <c r="H545" s="7">
        <f t="shared" si="164"/>
        <v>241411821.40000001</v>
      </c>
      <c r="I545" s="9">
        <f t="shared" ca="1" si="165"/>
        <v>195681828.80000001</v>
      </c>
      <c r="J545" s="63"/>
      <c r="K545" s="8">
        <v>506022</v>
      </c>
      <c r="L545" s="8" t="s">
        <v>2263</v>
      </c>
      <c r="M545" s="12">
        <v>178015696</v>
      </c>
      <c r="N545" s="10">
        <v>174.7</v>
      </c>
      <c r="O545" s="10">
        <f ca="1">IFERROR(__xludf.DUMMYFUNCTION("GOOGLEFINANCE(""BOM:"" &amp; K545,""price"")"),167)</f>
        <v>167</v>
      </c>
      <c r="P545" s="8">
        <f t="shared" ca="1" si="169"/>
        <v>-4.4075558099599252</v>
      </c>
      <c r="Q545" s="12">
        <f t="shared" si="155"/>
        <v>31099342091.199997</v>
      </c>
      <c r="R545" s="13">
        <f t="shared" ca="1" si="156"/>
        <v>29728621232</v>
      </c>
      <c r="S545" s="63"/>
      <c r="T545" s="8">
        <v>519136</v>
      </c>
      <c r="U545" s="8" t="s">
        <v>2264</v>
      </c>
      <c r="V545" s="12">
        <v>38360032</v>
      </c>
      <c r="W545" s="8">
        <v>135.75</v>
      </c>
      <c r="X545" s="11">
        <f ca="1">IFERROR(__xludf.DUMMYFUNCTION("GOOGLEFINANCE(""BOM:"" &amp; T545,""price"")"),114.5)</f>
        <v>114.5</v>
      </c>
      <c r="Y545" s="8">
        <f t="shared" ca="1" si="166"/>
        <v>-15.653775322283609</v>
      </c>
      <c r="Z545" s="12">
        <f t="shared" si="167"/>
        <v>5207374344</v>
      </c>
      <c r="AA545" s="13">
        <f t="shared" ca="1" si="168"/>
        <v>4392223664</v>
      </c>
      <c r="AB545" s="65" t="s">
        <v>2265</v>
      </c>
      <c r="AC545" s="6">
        <v>543453</v>
      </c>
      <c r="AD545" s="6" t="s">
        <v>2266</v>
      </c>
      <c r="AE545" s="7">
        <v>5445000</v>
      </c>
      <c r="AF545" s="8">
        <v>206.85</v>
      </c>
      <c r="AG545" s="8">
        <f ca="1">IFERROR(__xludf.DUMMYFUNCTION("GOOGLEFINANCE(""BOM:"" &amp; AC545,""price"")"),171)</f>
        <v>171</v>
      </c>
      <c r="AH545" s="8">
        <f t="shared" ca="1" si="170"/>
        <v>-17.3313995649021</v>
      </c>
      <c r="AI545" s="7">
        <f t="shared" si="171"/>
        <v>1126298250</v>
      </c>
      <c r="AJ545" s="9">
        <f t="shared" ca="1" si="172"/>
        <v>931095000</v>
      </c>
    </row>
    <row r="546" spans="1:36" x14ac:dyDescent="0.25">
      <c r="A546" s="63"/>
      <c r="B546" s="8">
        <v>517246</v>
      </c>
      <c r="C546" s="8" t="s">
        <v>2267</v>
      </c>
      <c r="D546" s="12">
        <v>13600372</v>
      </c>
      <c r="E546" s="8">
        <v>51.36</v>
      </c>
      <c r="F546" s="8">
        <f ca="1">IFERROR(__xludf.DUMMYFUNCTION("GOOGLEFINANCE(""BOM:"" &amp; B546,""price"")"),49)</f>
        <v>49</v>
      </c>
      <c r="G546" s="8">
        <f t="shared" ca="1" si="163"/>
        <v>-4.5950155763239868</v>
      </c>
      <c r="H546" s="12">
        <f t="shared" si="164"/>
        <v>698515105.91999996</v>
      </c>
      <c r="I546" s="13">
        <f t="shared" ca="1" si="165"/>
        <v>666418228</v>
      </c>
      <c r="J546" s="63"/>
      <c r="K546" s="8">
        <v>500113</v>
      </c>
      <c r="L546" s="8" t="s">
        <v>2268</v>
      </c>
      <c r="M546" s="12">
        <v>4127539703</v>
      </c>
      <c r="N546" s="10">
        <v>133.15</v>
      </c>
      <c r="O546" s="10">
        <f ca="1">IFERROR(__xludf.DUMMYFUNCTION("GOOGLEFINANCE(""BOM:"" &amp; K546,""price"")"),134.15)</f>
        <v>134.15</v>
      </c>
      <c r="P546" s="8">
        <f t="shared" ca="1" si="169"/>
        <v>0.75103266992114159</v>
      </c>
      <c r="Q546" s="12">
        <f t="shared" si="155"/>
        <v>549581911454.45001</v>
      </c>
      <c r="R546" s="13">
        <f t="shared" ca="1" si="156"/>
        <v>553709451157.45007</v>
      </c>
      <c r="S546" s="63"/>
      <c r="T546" s="8">
        <v>500296</v>
      </c>
      <c r="U546" s="8" t="s">
        <v>2269</v>
      </c>
      <c r="V546" s="12">
        <v>35362371</v>
      </c>
      <c r="W546" s="8">
        <v>319.95</v>
      </c>
      <c r="X546" s="11">
        <f ca="1">IFERROR(__xludf.DUMMYFUNCTION("GOOGLEFINANCE(""BOM:"" &amp; T546,""price"")"),267)</f>
        <v>267</v>
      </c>
      <c r="Y546" s="8">
        <f t="shared" ca="1" si="166"/>
        <v>-16.549460853258317</v>
      </c>
      <c r="Z546" s="12">
        <f t="shared" si="167"/>
        <v>11314190601.449999</v>
      </c>
      <c r="AA546" s="13">
        <f t="shared" ca="1" si="168"/>
        <v>9441753057</v>
      </c>
      <c r="AB546" s="63"/>
      <c r="AC546" s="8">
        <v>539228</v>
      </c>
      <c r="AD546" s="8" t="s">
        <v>2270</v>
      </c>
      <c r="AE546" s="12">
        <v>53948987</v>
      </c>
      <c r="AF546" s="8">
        <v>3.82</v>
      </c>
      <c r="AG546" s="8">
        <f ca="1">IFERROR(__xludf.DUMMYFUNCTION("GOOGLEFINANCE(""BOM:"" &amp; AC546,""price"")"),2.94)</f>
        <v>2.94</v>
      </c>
      <c r="AH546" s="8">
        <f t="shared" ca="1" si="170"/>
        <v>-23.036649214659686</v>
      </c>
      <c r="AI546" s="12">
        <f t="shared" si="171"/>
        <v>206085130.34</v>
      </c>
      <c r="AJ546" s="13">
        <f t="shared" ca="1" si="172"/>
        <v>158610021.78</v>
      </c>
    </row>
    <row r="547" spans="1:36" x14ac:dyDescent="0.25">
      <c r="A547" s="63"/>
      <c r="B547" s="8">
        <v>532413</v>
      </c>
      <c r="C547" s="8" t="s">
        <v>2271</v>
      </c>
      <c r="D547" s="12">
        <v>114028568</v>
      </c>
      <c r="E547" s="8">
        <v>7.89</v>
      </c>
      <c r="F547" s="8">
        <f ca="1">IFERROR(__xludf.DUMMYFUNCTION("GOOGLEFINANCE(""BOM:"" &amp; B547,""price"")"),6.4)</f>
        <v>6.4</v>
      </c>
      <c r="G547" s="8">
        <f t="shared" ca="1" si="163"/>
        <v>-18.884664131812411</v>
      </c>
      <c r="H547" s="12">
        <f t="shared" si="164"/>
        <v>899685401.51999998</v>
      </c>
      <c r="I547" s="13">
        <f t="shared" ca="1" si="165"/>
        <v>729782835.20000005</v>
      </c>
      <c r="J547" s="63"/>
      <c r="K547" s="8">
        <v>504614</v>
      </c>
      <c r="L547" s="8" t="s">
        <v>2272</v>
      </c>
      <c r="M547" s="12">
        <v>350202830</v>
      </c>
      <c r="N547" s="10">
        <v>215.5</v>
      </c>
      <c r="O547" s="10">
        <f ca="1">IFERROR(__xludf.DUMMYFUNCTION("GOOGLEFINANCE(""BOM:"" &amp; K547,""price"")"),202.4)</f>
        <v>202.4</v>
      </c>
      <c r="P547" s="8">
        <f t="shared" ca="1" si="169"/>
        <v>-6.0788863109048696</v>
      </c>
      <c r="Q547" s="12">
        <f t="shared" si="155"/>
        <v>75468709865</v>
      </c>
      <c r="R547" s="13">
        <f t="shared" ca="1" si="156"/>
        <v>70881052792</v>
      </c>
      <c r="S547" s="63"/>
      <c r="T547" s="8">
        <v>532641</v>
      </c>
      <c r="U547" s="8" t="s">
        <v>2273</v>
      </c>
      <c r="V547" s="12">
        <v>144123544</v>
      </c>
      <c r="W547" s="8">
        <v>37.799999999999997</v>
      </c>
      <c r="X547" s="11">
        <f ca="1">IFERROR(__xludf.DUMMYFUNCTION("GOOGLEFINANCE(""BOM:"" &amp; T547,""price"")"),32.28)</f>
        <v>32.28</v>
      </c>
      <c r="Y547" s="8">
        <f t="shared" ca="1" si="166"/>
        <v>-14.603174603174592</v>
      </c>
      <c r="Z547" s="12">
        <f t="shared" si="167"/>
        <v>5447869963.1999998</v>
      </c>
      <c r="AA547" s="13">
        <f t="shared" ca="1" si="168"/>
        <v>4652308000.3199997</v>
      </c>
      <c r="AB547" s="63"/>
      <c r="AC547" s="8">
        <v>523207</v>
      </c>
      <c r="AD547" s="8" t="s">
        <v>2274</v>
      </c>
      <c r="AE547" s="12">
        <v>99321087</v>
      </c>
      <c r="AF547" s="8">
        <v>127.4</v>
      </c>
      <c r="AG547" s="8">
        <f ca="1">IFERROR(__xludf.DUMMYFUNCTION("GOOGLEFINANCE(""BOM:"" &amp; AC547,""price"")"),110.5)</f>
        <v>110.5</v>
      </c>
      <c r="AH547" s="8">
        <f t="shared" ca="1" si="170"/>
        <v>-13.265306122448983</v>
      </c>
      <c r="AI547" s="12">
        <f t="shared" si="171"/>
        <v>12653506483.800001</v>
      </c>
      <c r="AJ547" s="13">
        <f t="shared" ca="1" si="172"/>
        <v>10974980113.5</v>
      </c>
    </row>
    <row r="548" spans="1:36" x14ac:dyDescent="0.25">
      <c r="A548" s="63"/>
      <c r="B548" s="8">
        <v>532456</v>
      </c>
      <c r="C548" s="8" t="s">
        <v>2275</v>
      </c>
      <c r="D548" s="12">
        <v>64485536</v>
      </c>
      <c r="E548" s="8">
        <v>7.51</v>
      </c>
      <c r="F548" s="8">
        <f ca="1">IFERROR(__xludf.DUMMYFUNCTION("GOOGLEFINANCE(""BOM:"" &amp; B548,""price"")"),4.21)</f>
        <v>4.21</v>
      </c>
      <c r="G548" s="8">
        <f t="shared" ca="1" si="163"/>
        <v>-43.941411451398132</v>
      </c>
      <c r="H548" s="12">
        <f t="shared" si="164"/>
        <v>484286375.36000001</v>
      </c>
      <c r="I548" s="13">
        <f t="shared" ca="1" si="165"/>
        <v>271484106.56</v>
      </c>
      <c r="J548" s="63"/>
      <c r="K548" s="8">
        <v>511672</v>
      </c>
      <c r="L548" s="8" t="s">
        <v>2276</v>
      </c>
      <c r="M548" s="12">
        <v>52100995</v>
      </c>
      <c r="N548" s="10">
        <v>80.73</v>
      </c>
      <c r="O548" s="10">
        <f ca="1">IFERROR(__xludf.DUMMYFUNCTION("GOOGLEFINANCE(""BOM:"" &amp; K548,""price"")"),62)</f>
        <v>62</v>
      </c>
      <c r="P548" s="8">
        <f t="shared" ca="1" si="169"/>
        <v>-23.20079276601016</v>
      </c>
      <c r="Q548" s="12">
        <f t="shared" si="155"/>
        <v>4206113326.3500004</v>
      </c>
      <c r="R548" s="13">
        <f t="shared" ca="1" si="156"/>
        <v>3230261690</v>
      </c>
      <c r="S548" s="63"/>
      <c r="T548" s="8">
        <v>532698</v>
      </c>
      <c r="U548" s="8" t="s">
        <v>2277</v>
      </c>
      <c r="V548" s="12">
        <v>56219370</v>
      </c>
      <c r="W548" s="8">
        <v>358.95</v>
      </c>
      <c r="X548" s="11">
        <f ca="1">IFERROR(__xludf.DUMMYFUNCTION("GOOGLEFINANCE(""BOM:"" &amp; T548,""price"")"),320.85)</f>
        <v>320.85000000000002</v>
      </c>
      <c r="Y548" s="8">
        <f t="shared" ca="1" si="166"/>
        <v>-10.614291684078554</v>
      </c>
      <c r="Z548" s="12">
        <f t="shared" si="167"/>
        <v>20179942861.5</v>
      </c>
      <c r="AA548" s="13">
        <f t="shared" ca="1" si="168"/>
        <v>18037984864.5</v>
      </c>
      <c r="AB548" s="63"/>
      <c r="AC548" s="8">
        <v>531241</v>
      </c>
      <c r="AD548" s="8" t="s">
        <v>2278</v>
      </c>
      <c r="AE548" s="12">
        <v>14757903</v>
      </c>
      <c r="AF548" s="8">
        <v>549.85</v>
      </c>
      <c r="AG548" s="8">
        <f ca="1">IFERROR(__xludf.DUMMYFUNCTION("GOOGLEFINANCE(""BOM:"" &amp; AC548,""price"")"),513.35)</f>
        <v>513.35</v>
      </c>
      <c r="AH548" s="8">
        <f t="shared" ca="1" si="170"/>
        <v>-6.6381740474674906</v>
      </c>
      <c r="AI548" s="12">
        <f t="shared" si="171"/>
        <v>8114632964.5500002</v>
      </c>
      <c r="AJ548" s="13">
        <f t="shared" ca="1" si="172"/>
        <v>7575969505.0500002</v>
      </c>
    </row>
    <row r="549" spans="1:36" x14ac:dyDescent="0.25">
      <c r="A549" s="63"/>
      <c r="B549" s="8">
        <v>522295</v>
      </c>
      <c r="C549" s="8" t="s">
        <v>2279</v>
      </c>
      <c r="D549" s="12">
        <v>16023872</v>
      </c>
      <c r="E549" s="8">
        <v>925.8</v>
      </c>
      <c r="F549" s="8">
        <f ca="1">IFERROR(__xludf.DUMMYFUNCTION("GOOGLEFINANCE(""BOM:"" &amp; B549,""price"")"),936.15)</f>
        <v>936.15</v>
      </c>
      <c r="G549" s="8">
        <f t="shared" ca="1" si="163"/>
        <v>1.1179520414776436</v>
      </c>
      <c r="H549" s="12">
        <f t="shared" si="164"/>
        <v>14834900697.599998</v>
      </c>
      <c r="I549" s="13">
        <f t="shared" ca="1" si="165"/>
        <v>15000747772.799999</v>
      </c>
      <c r="J549" s="63"/>
      <c r="K549" s="8">
        <v>543299</v>
      </c>
      <c r="L549" s="8" t="s">
        <v>2280</v>
      </c>
      <c r="M549" s="12">
        <v>255080686</v>
      </c>
      <c r="N549" s="10">
        <v>671.65</v>
      </c>
      <c r="O549" s="10">
        <f ca="1">IFERROR(__xludf.DUMMYFUNCTION("GOOGLEFINANCE(""BOM:"" &amp; K549,""price"")"),590.3)</f>
        <v>590.29999999999995</v>
      </c>
      <c r="P549" s="8">
        <f t="shared" ca="1" si="169"/>
        <v>-12.111963076006854</v>
      </c>
      <c r="Q549" s="12">
        <f t="shared" si="155"/>
        <v>171324942751.89999</v>
      </c>
      <c r="R549" s="13">
        <f t="shared" ca="1" si="156"/>
        <v>150574128945.79999</v>
      </c>
      <c r="S549" s="63"/>
      <c r="T549" s="8">
        <v>531304</v>
      </c>
      <c r="U549" s="8" t="s">
        <v>2281</v>
      </c>
      <c r="V549" s="12">
        <v>2535000</v>
      </c>
      <c r="W549" s="8">
        <v>30.2</v>
      </c>
      <c r="X549" s="11">
        <f ca="1">IFERROR(__xludf.DUMMYFUNCTION("GOOGLEFINANCE(""BOM:"" &amp; T549,""price"")"),23.25)</f>
        <v>23.25</v>
      </c>
      <c r="Y549" s="8">
        <f t="shared" ca="1" si="166"/>
        <v>-23.013245033112582</v>
      </c>
      <c r="Z549" s="12">
        <f t="shared" si="167"/>
        <v>76557000</v>
      </c>
      <c r="AA549" s="13">
        <f t="shared" ca="1" si="168"/>
        <v>58938750</v>
      </c>
      <c r="AB549" s="64"/>
      <c r="AC549" s="14">
        <v>533166</v>
      </c>
      <c r="AD549" s="14" t="s">
        <v>2282</v>
      </c>
      <c r="AE549" s="15">
        <v>219085093</v>
      </c>
      <c r="AF549" s="14">
        <v>3.25</v>
      </c>
      <c r="AG549" s="14">
        <f ca="1">IFERROR(__xludf.DUMMYFUNCTION("GOOGLEFINANCE(""BOM:"" &amp; AC549,""price"")"),2.8)</f>
        <v>2.8</v>
      </c>
      <c r="AH549" s="14">
        <f t="shared" ca="1" si="170"/>
        <v>-13.846153846153852</v>
      </c>
      <c r="AI549" s="15">
        <f t="shared" si="171"/>
        <v>712026552.25</v>
      </c>
      <c r="AJ549" s="16">
        <f t="shared" ca="1" si="172"/>
        <v>613438260.39999998</v>
      </c>
    </row>
    <row r="550" spans="1:36" x14ac:dyDescent="0.25">
      <c r="A550" s="63"/>
      <c r="B550" s="8">
        <v>533146</v>
      </c>
      <c r="C550" s="8" t="s">
        <v>2283</v>
      </c>
      <c r="D550" s="12">
        <v>35488995</v>
      </c>
      <c r="E550" s="8">
        <v>300.89999999999998</v>
      </c>
      <c r="F550" s="8">
        <f ca="1">IFERROR(__xludf.DUMMYFUNCTION("GOOGLEFINANCE(""BOM:"" &amp; B550,""price"")"),270)</f>
        <v>270</v>
      </c>
      <c r="G550" s="8">
        <f t="shared" ca="1" si="163"/>
        <v>-10.269192422731797</v>
      </c>
      <c r="H550" s="12">
        <f t="shared" si="164"/>
        <v>10678638595.5</v>
      </c>
      <c r="I550" s="13">
        <f t="shared" ca="1" si="165"/>
        <v>9582028650</v>
      </c>
      <c r="J550" s="63"/>
      <c r="K550" s="8">
        <v>500404</v>
      </c>
      <c r="L550" s="8" t="s">
        <v>2284</v>
      </c>
      <c r="M550" s="12">
        <v>111329997</v>
      </c>
      <c r="N550" s="10">
        <v>204.4</v>
      </c>
      <c r="O550" s="10">
        <f ca="1">IFERROR(__xludf.DUMMYFUNCTION("GOOGLEFINANCE(""BOM:"" &amp; K550,""price"")"),186.5)</f>
        <v>186.5</v>
      </c>
      <c r="P550" s="8">
        <f t="shared" ca="1" si="169"/>
        <v>-8.7573385518591014</v>
      </c>
      <c r="Q550" s="12">
        <f t="shared" si="155"/>
        <v>22755851386.799999</v>
      </c>
      <c r="R550" s="13">
        <f t="shared" ca="1" si="156"/>
        <v>20763044440.5</v>
      </c>
      <c r="S550" s="63"/>
      <c r="T550" s="8">
        <v>512626</v>
      </c>
      <c r="U550" s="8" t="s">
        <v>2285</v>
      </c>
      <c r="V550" s="12">
        <v>27104024</v>
      </c>
      <c r="W550" s="8">
        <v>176.8</v>
      </c>
      <c r="X550" s="11">
        <f ca="1">IFERROR(__xludf.DUMMYFUNCTION("GOOGLEFINANCE(""BOM:"" &amp; T550,""price"")"),139)</f>
        <v>139</v>
      </c>
      <c r="Y550" s="8">
        <f t="shared" ca="1" si="166"/>
        <v>-21.380090497737562</v>
      </c>
      <c r="Z550" s="12">
        <f t="shared" si="167"/>
        <v>4791991443.2000008</v>
      </c>
      <c r="AA550" s="13">
        <f t="shared" ca="1" si="168"/>
        <v>3767459336</v>
      </c>
      <c r="AB550" s="65" t="s">
        <v>2286</v>
      </c>
      <c r="AC550" s="6">
        <v>540776</v>
      </c>
      <c r="AD550" s="6" t="s">
        <v>2287</v>
      </c>
      <c r="AE550" s="7">
        <v>29423149</v>
      </c>
      <c r="AF550" s="8">
        <v>560.5</v>
      </c>
      <c r="AG550" s="8">
        <f ca="1">IFERROR(__xludf.DUMMYFUNCTION("GOOGLEFINANCE(""BOM:"" &amp; AC550,""price"")"),506.05)</f>
        <v>506.05</v>
      </c>
      <c r="AH550" s="8">
        <f t="shared" ca="1" si="170"/>
        <v>-9.7145405887600322</v>
      </c>
      <c r="AI550" s="7">
        <f t="shared" si="171"/>
        <v>16491675014.5</v>
      </c>
      <c r="AJ550" s="9">
        <f t="shared" ca="1" si="172"/>
        <v>14889584551.450001</v>
      </c>
    </row>
    <row r="551" spans="1:36" x14ac:dyDescent="0.25">
      <c r="A551" s="63"/>
      <c r="B551" s="8">
        <v>517264</v>
      </c>
      <c r="C551" s="8" t="s">
        <v>2288</v>
      </c>
      <c r="D551" s="12">
        <v>3362006</v>
      </c>
      <c r="E551" s="8">
        <v>78.260000000000005</v>
      </c>
      <c r="F551" s="8">
        <f ca="1">IFERROR(__xludf.DUMMYFUNCTION("GOOGLEFINANCE(""BOM:"" &amp; B551,""price"")"),68.98)</f>
        <v>68.98</v>
      </c>
      <c r="G551" s="8">
        <f t="shared" ca="1" si="163"/>
        <v>-11.857909532328138</v>
      </c>
      <c r="H551" s="12">
        <f t="shared" si="164"/>
        <v>263110589.56</v>
      </c>
      <c r="I551" s="13">
        <f t="shared" ca="1" si="165"/>
        <v>231911173.88000003</v>
      </c>
      <c r="J551" s="63"/>
      <c r="K551" s="8">
        <v>500470</v>
      </c>
      <c r="L551" s="8" t="s">
        <v>2289</v>
      </c>
      <c r="M551" s="12">
        <v>12084966170</v>
      </c>
      <c r="N551" s="10">
        <v>150</v>
      </c>
      <c r="O551" s="10">
        <f ca="1">IFERROR(__xludf.DUMMYFUNCTION("GOOGLEFINANCE(""BOM:"" &amp; K551,""price"")"),155.9)</f>
        <v>155.9</v>
      </c>
      <c r="P551" s="8">
        <f t="shared" ca="1" si="169"/>
        <v>3.9333333333333371</v>
      </c>
      <c r="Q551" s="12">
        <f t="shared" si="155"/>
        <v>1812744925500</v>
      </c>
      <c r="R551" s="13">
        <f t="shared" ca="1" si="156"/>
        <v>1884046225903</v>
      </c>
      <c r="S551" s="63"/>
      <c r="T551" s="8">
        <v>540198</v>
      </c>
      <c r="U551" s="8" t="s">
        <v>2290</v>
      </c>
      <c r="V551" s="12">
        <v>5322915</v>
      </c>
      <c r="W551" s="8">
        <v>35.5</v>
      </c>
      <c r="X551" s="11">
        <f ca="1">IFERROR(__xludf.DUMMYFUNCTION("GOOGLEFINANCE(""BOM:"" &amp; T551,""price"")"),28.12)</f>
        <v>28.12</v>
      </c>
      <c r="Y551" s="8">
        <f t="shared" ca="1" si="166"/>
        <v>-20.788732394366193</v>
      </c>
      <c r="Z551" s="12">
        <f t="shared" si="167"/>
        <v>188963482.5</v>
      </c>
      <c r="AA551" s="13">
        <f t="shared" ca="1" si="168"/>
        <v>149680369.80000001</v>
      </c>
      <c r="AB551" s="63"/>
      <c r="AC551" s="8">
        <v>531400</v>
      </c>
      <c r="AD551" s="8" t="s">
        <v>2291</v>
      </c>
      <c r="AE551" s="12">
        <v>25757532</v>
      </c>
      <c r="AF551" s="8">
        <v>114.5</v>
      </c>
      <c r="AG551" s="8">
        <f ca="1">IFERROR(__xludf.DUMMYFUNCTION("GOOGLEFINANCE(""BOM:"" &amp; AC551,""price"")"),103)</f>
        <v>103</v>
      </c>
      <c r="AH551" s="8">
        <f t="shared" ca="1" si="170"/>
        <v>-10.043668122270741</v>
      </c>
      <c r="AI551" s="12">
        <f t="shared" si="171"/>
        <v>2949237414</v>
      </c>
      <c r="AJ551" s="13">
        <f t="shared" ca="1" si="172"/>
        <v>2653025796</v>
      </c>
    </row>
    <row r="552" spans="1:36" x14ac:dyDescent="0.25">
      <c r="A552" s="63"/>
      <c r="B552" s="8">
        <v>500179</v>
      </c>
      <c r="C552" s="8" t="s">
        <v>2292</v>
      </c>
      <c r="D552" s="12">
        <v>327060577</v>
      </c>
      <c r="E552" s="8">
        <v>16.55</v>
      </c>
      <c r="F552" s="8">
        <f ca="1">IFERROR(__xludf.DUMMYFUNCTION("GOOGLEFINANCE(""BOM:"" &amp; B552,""price"")"),16.9)</f>
        <v>16.899999999999999</v>
      </c>
      <c r="G552" s="8">
        <f t="shared" ca="1" si="163"/>
        <v>2.1148036253776303</v>
      </c>
      <c r="H552" s="12">
        <f t="shared" si="164"/>
        <v>5412852549.3500004</v>
      </c>
      <c r="I552" s="13">
        <f t="shared" ca="1" si="165"/>
        <v>5527323751.2999992</v>
      </c>
      <c r="J552" s="64"/>
      <c r="K552" s="14">
        <v>532721</v>
      </c>
      <c r="L552" s="14" t="s">
        <v>2293</v>
      </c>
      <c r="M552" s="15">
        <v>115789500</v>
      </c>
      <c r="N552" s="17">
        <v>20</v>
      </c>
      <c r="O552" s="17">
        <f ca="1">IFERROR(__xludf.DUMMYFUNCTION("GOOGLEFINANCE(""BOM:"" &amp; K552,""price"")"),20)</f>
        <v>20</v>
      </c>
      <c r="P552" s="14">
        <f t="shared" ca="1" si="169"/>
        <v>0</v>
      </c>
      <c r="Q552" s="15">
        <f t="shared" si="155"/>
        <v>2315790000</v>
      </c>
      <c r="R552" s="16">
        <f t="shared" ca="1" si="156"/>
        <v>2315790000</v>
      </c>
      <c r="S552" s="63"/>
      <c r="T552" s="8">
        <v>531395</v>
      </c>
      <c r="U552" s="8" t="s">
        <v>2294</v>
      </c>
      <c r="V552" s="12">
        <v>2100613</v>
      </c>
      <c r="W552" s="8">
        <v>48.81</v>
      </c>
      <c r="X552" s="11">
        <f ca="1">IFERROR(__xludf.DUMMYFUNCTION("GOOGLEFINANCE(""BOM:"" &amp; T552,""price"")"),38.27)</f>
        <v>38.270000000000003</v>
      </c>
      <c r="Y552" s="8">
        <f t="shared" ca="1" si="166"/>
        <v>-21.593935668920299</v>
      </c>
      <c r="Z552" s="12">
        <f t="shared" si="167"/>
        <v>102530920.53</v>
      </c>
      <c r="AA552" s="13">
        <f t="shared" ca="1" si="168"/>
        <v>80390459.510000005</v>
      </c>
      <c r="AB552" s="63"/>
      <c r="AC552" s="8">
        <v>543235</v>
      </c>
      <c r="AD552" s="8" t="s">
        <v>2295</v>
      </c>
      <c r="AE552" s="12">
        <v>83072227</v>
      </c>
      <c r="AF552" s="8">
        <v>2814.8</v>
      </c>
      <c r="AG552" s="8">
        <f ca="1">IFERROR(__xludf.DUMMYFUNCTION("GOOGLEFINANCE(""BOM:"" &amp; AC552,""price"")"),3043.9)</f>
        <v>3043.9</v>
      </c>
      <c r="AH552" s="8">
        <f t="shared" ca="1" si="170"/>
        <v>8.1391217848514952</v>
      </c>
      <c r="AI552" s="12">
        <f t="shared" si="171"/>
        <v>233831704559.60001</v>
      </c>
      <c r="AJ552" s="13">
        <f t="shared" ca="1" si="172"/>
        <v>252863551765.30002</v>
      </c>
    </row>
    <row r="553" spans="1:36" x14ac:dyDescent="0.25">
      <c r="A553" s="63"/>
      <c r="B553" s="8">
        <v>532376</v>
      </c>
      <c r="C553" s="8" t="s">
        <v>2296</v>
      </c>
      <c r="D553" s="12">
        <v>18596793</v>
      </c>
      <c r="E553" s="8">
        <v>78.760000000000005</v>
      </c>
      <c r="F553" s="8">
        <f ca="1">IFERROR(__xludf.DUMMYFUNCTION("GOOGLEFINANCE(""BOM:"" &amp; B553,""price"")"),71.11)</f>
        <v>71.11</v>
      </c>
      <c r="G553" s="8">
        <f t="shared" ca="1" si="163"/>
        <v>-9.7130523108176803</v>
      </c>
      <c r="H553" s="12">
        <f t="shared" si="164"/>
        <v>1464683416.6800001</v>
      </c>
      <c r="I553" s="13">
        <f t="shared" ca="1" si="165"/>
        <v>1322417950.23</v>
      </c>
      <c r="J553" s="62" t="s">
        <v>2297</v>
      </c>
      <c r="K553" s="6">
        <v>538812</v>
      </c>
      <c r="L553" s="6" t="s">
        <v>2298</v>
      </c>
      <c r="M553" s="7">
        <v>20853748</v>
      </c>
      <c r="N553" s="10">
        <v>7.75</v>
      </c>
      <c r="O553" s="10">
        <v>7.75</v>
      </c>
      <c r="P553" s="8">
        <f t="shared" si="169"/>
        <v>0</v>
      </c>
      <c r="Q553" s="7">
        <f t="shared" si="155"/>
        <v>161616547</v>
      </c>
      <c r="R553" s="9">
        <f t="shared" si="156"/>
        <v>161616547</v>
      </c>
      <c r="S553" s="63"/>
      <c r="T553" s="8">
        <v>521080</v>
      </c>
      <c r="U553" s="8" t="s">
        <v>2299</v>
      </c>
      <c r="V553" s="12">
        <v>10972471</v>
      </c>
      <c r="W553" s="8">
        <v>7.58</v>
      </c>
      <c r="X553" s="11">
        <f ca="1">IFERROR(__xludf.DUMMYFUNCTION("GOOGLEFINANCE(""BOM:"" &amp; T553,""price"")"),7.21)</f>
        <v>7.21</v>
      </c>
      <c r="Y553" s="8">
        <f t="shared" ca="1" si="166"/>
        <v>-4.8812664907651726</v>
      </c>
      <c r="Z553" s="12">
        <f t="shared" si="167"/>
        <v>83171330.180000007</v>
      </c>
      <c r="AA553" s="13">
        <f t="shared" ca="1" si="168"/>
        <v>79111515.909999996</v>
      </c>
      <c r="AB553" s="63"/>
      <c r="AC553" s="8">
        <v>511605</v>
      </c>
      <c r="AD553" s="8" t="s">
        <v>2300</v>
      </c>
      <c r="AE553" s="12">
        <v>102666680</v>
      </c>
      <c r="AF553" s="8">
        <v>66.489999999999995</v>
      </c>
      <c r="AG553" s="8">
        <f ca="1">IFERROR(__xludf.DUMMYFUNCTION("GOOGLEFINANCE(""BOM:"" &amp; AC553,""price"")"),54.91)</f>
        <v>54.91</v>
      </c>
      <c r="AH553" s="8">
        <f t="shared" ca="1" si="170"/>
        <v>-17.41615280493307</v>
      </c>
      <c r="AI553" s="12">
        <f t="shared" si="171"/>
        <v>6826307553.1999998</v>
      </c>
      <c r="AJ553" s="13">
        <f t="shared" ca="1" si="172"/>
        <v>5637427398.7999992</v>
      </c>
    </row>
    <row r="554" spans="1:36" x14ac:dyDescent="0.25">
      <c r="A554" s="63"/>
      <c r="B554" s="8">
        <v>504112</v>
      </c>
      <c r="C554" s="8" t="s">
        <v>2301</v>
      </c>
      <c r="D554" s="12">
        <v>21694033</v>
      </c>
      <c r="E554" s="8">
        <v>761</v>
      </c>
      <c r="F554" s="8">
        <f ca="1">IFERROR(__xludf.DUMMYFUNCTION("GOOGLEFINANCE(""BOM:"" &amp; B554,""price"")"),688)</f>
        <v>688</v>
      </c>
      <c r="G554" s="8">
        <f t="shared" ca="1" si="163"/>
        <v>-9.592641261498029</v>
      </c>
      <c r="H554" s="12">
        <f t="shared" si="164"/>
        <v>16509159113</v>
      </c>
      <c r="I554" s="13">
        <f t="shared" ca="1" si="165"/>
        <v>14925494704</v>
      </c>
      <c r="J554" s="63"/>
      <c r="K554" s="8">
        <v>513149</v>
      </c>
      <c r="L554" s="8" t="s">
        <v>2302</v>
      </c>
      <c r="M554" s="12">
        <v>603725</v>
      </c>
      <c r="N554" s="10">
        <v>710</v>
      </c>
      <c r="O554" s="10">
        <f ca="1">IFERROR(__xludf.DUMMYFUNCTION("GOOGLEFINANCE(""BOM:"" &amp; K554,""price"")"),730.05)</f>
        <v>730.05</v>
      </c>
      <c r="P554" s="8">
        <f t="shared" ca="1" si="169"/>
        <v>2.8239436619718243</v>
      </c>
      <c r="Q554" s="12">
        <f t="shared" si="155"/>
        <v>428644750</v>
      </c>
      <c r="R554" s="13">
        <f t="shared" ca="1" si="156"/>
        <v>440749436.25</v>
      </c>
      <c r="S554" s="63"/>
      <c r="T554" s="8">
        <v>503092</v>
      </c>
      <c r="U554" s="8" t="s">
        <v>2303</v>
      </c>
      <c r="V554" s="12">
        <v>9019644</v>
      </c>
      <c r="W554" s="8">
        <v>31.78</v>
      </c>
      <c r="X554" s="11">
        <f ca="1">IFERROR(__xludf.DUMMYFUNCTION("GOOGLEFINANCE(""BOM:"" &amp; T554,""price"")"),30.49)</f>
        <v>30.49</v>
      </c>
      <c r="Y554" s="8">
        <f t="shared" ca="1" si="166"/>
        <v>-4.0591567023285169</v>
      </c>
      <c r="Z554" s="12">
        <f t="shared" si="167"/>
        <v>286644286.31999999</v>
      </c>
      <c r="AA554" s="13">
        <f t="shared" ca="1" si="168"/>
        <v>275008945.56</v>
      </c>
      <c r="AB554" s="63"/>
      <c r="AC554" s="8">
        <v>530723</v>
      </c>
      <c r="AD554" s="8" t="s">
        <v>2304</v>
      </c>
      <c r="AE554" s="12">
        <v>4874081</v>
      </c>
      <c r="AF554" s="8">
        <v>172.3</v>
      </c>
      <c r="AG554" s="8">
        <f ca="1">IFERROR(__xludf.DUMMYFUNCTION("GOOGLEFINANCE(""BOM:"" &amp; AC554,""price"")"),141.25)</f>
        <v>141.25</v>
      </c>
      <c r="AH554" s="8">
        <f t="shared" ca="1" si="170"/>
        <v>-18.02089378990134</v>
      </c>
      <c r="AI554" s="12">
        <f t="shared" si="171"/>
        <v>839804156.30000007</v>
      </c>
      <c r="AJ554" s="13">
        <f t="shared" ca="1" si="172"/>
        <v>688463941.25</v>
      </c>
    </row>
    <row r="555" spans="1:36" x14ac:dyDescent="0.25">
      <c r="A555" s="63"/>
      <c r="B555" s="8">
        <v>532419</v>
      </c>
      <c r="C555" s="8" t="s">
        <v>2305</v>
      </c>
      <c r="D555" s="12">
        <v>9963491</v>
      </c>
      <c r="E555" s="8">
        <v>172</v>
      </c>
      <c r="F555" s="8">
        <f ca="1">IFERROR(__xludf.DUMMYFUNCTION("GOOGLEFINANCE(""BOM:"" &amp; B555,""price"")"),169.1)</f>
        <v>169.1</v>
      </c>
      <c r="G555" s="8">
        <f t="shared" ca="1" si="163"/>
        <v>-1.6860465116279102</v>
      </c>
      <c r="H555" s="12">
        <f t="shared" si="164"/>
        <v>1713720452</v>
      </c>
      <c r="I555" s="13">
        <f t="shared" ca="1" si="165"/>
        <v>1684826328.0999999</v>
      </c>
      <c r="J555" s="63"/>
      <c r="K555" s="8">
        <v>543377</v>
      </c>
      <c r="L555" s="8" t="s">
        <v>2306</v>
      </c>
      <c r="M555" s="12">
        <v>4558000</v>
      </c>
      <c r="N555" s="10">
        <v>12.2</v>
      </c>
      <c r="O555" s="10">
        <f ca="1">IFERROR(__xludf.DUMMYFUNCTION("GOOGLEFINANCE(""BOM:"" &amp; K555,""price"")"),10.5)</f>
        <v>10.5</v>
      </c>
      <c r="P555" s="8">
        <f t="shared" ca="1" si="169"/>
        <v>-13.934426229508192</v>
      </c>
      <c r="Q555" s="12">
        <f t="shared" si="155"/>
        <v>55607600</v>
      </c>
      <c r="R555" s="13">
        <f t="shared" ca="1" si="156"/>
        <v>47859000</v>
      </c>
      <c r="S555" s="63"/>
      <c r="T555" s="8">
        <v>514326</v>
      </c>
      <c r="U555" s="8" t="s">
        <v>2307</v>
      </c>
      <c r="V555" s="12">
        <v>29981825</v>
      </c>
      <c r="W555" s="8">
        <v>14.1</v>
      </c>
      <c r="X555" s="11">
        <f ca="1">IFERROR(__xludf.DUMMYFUNCTION("GOOGLEFINANCE(""BOM:"" &amp; T555,""price"")"),11.22)</f>
        <v>11.22</v>
      </c>
      <c r="Y555" s="8">
        <f t="shared" ca="1" si="166"/>
        <v>-20.425531914893611</v>
      </c>
      <c r="Z555" s="12">
        <f t="shared" si="167"/>
        <v>422743732.5</v>
      </c>
      <c r="AA555" s="13">
        <f t="shared" ca="1" si="168"/>
        <v>336396076.5</v>
      </c>
      <c r="AB555" s="63"/>
      <c r="AC555" s="8">
        <v>532974</v>
      </c>
      <c r="AD555" s="8" t="s">
        <v>2308</v>
      </c>
      <c r="AE555" s="12">
        <v>55448562</v>
      </c>
      <c r="AF555" s="8">
        <v>112.6</v>
      </c>
      <c r="AG555" s="8">
        <f ca="1">IFERROR(__xludf.DUMMYFUNCTION("GOOGLEFINANCE(""BOM:"" &amp; AC555,""price"")"),96.05)</f>
        <v>96.05</v>
      </c>
      <c r="AH555" s="8">
        <f t="shared" ca="1" si="170"/>
        <v>-14.698046181172289</v>
      </c>
      <c r="AI555" s="12">
        <f t="shared" si="171"/>
        <v>6243508081.1999998</v>
      </c>
      <c r="AJ555" s="13">
        <f t="shared" ca="1" si="172"/>
        <v>5325834380.0999994</v>
      </c>
    </row>
    <row r="556" spans="1:36" x14ac:dyDescent="0.25">
      <c r="A556" s="63"/>
      <c r="B556" s="8">
        <v>532513</v>
      </c>
      <c r="C556" s="8" t="s">
        <v>2309</v>
      </c>
      <c r="D556" s="12">
        <v>18269748</v>
      </c>
      <c r="E556" s="8">
        <v>316.89999999999998</v>
      </c>
      <c r="F556" s="8">
        <f ca="1">IFERROR(__xludf.DUMMYFUNCTION("GOOGLEFINANCE(""BOM:"" &amp; B556,""price"")"),251)</f>
        <v>251</v>
      </c>
      <c r="G556" s="8">
        <f t="shared" ca="1" si="163"/>
        <v>-20.795203534237924</v>
      </c>
      <c r="H556" s="12">
        <f t="shared" si="164"/>
        <v>5789683141.1999998</v>
      </c>
      <c r="I556" s="13">
        <f t="shared" ca="1" si="165"/>
        <v>4585706748</v>
      </c>
      <c r="J556" s="63"/>
      <c r="K556" s="8">
        <v>513513</v>
      </c>
      <c r="L556" s="8" t="s">
        <v>2310</v>
      </c>
      <c r="M556" s="12">
        <v>4647470</v>
      </c>
      <c r="N556" s="10">
        <v>10.4</v>
      </c>
      <c r="O556" s="10">
        <f ca="1">IFERROR(__xludf.DUMMYFUNCTION("GOOGLEFINANCE(""BOM:"" &amp; K556,""price"")"),9.49)</f>
        <v>9.49</v>
      </c>
      <c r="P556" s="8">
        <f t="shared" ca="1" si="169"/>
        <v>-8.75</v>
      </c>
      <c r="Q556" s="12">
        <f t="shared" si="155"/>
        <v>48333688</v>
      </c>
      <c r="R556" s="13">
        <f t="shared" ca="1" si="156"/>
        <v>44104490.300000004</v>
      </c>
      <c r="S556" s="63"/>
      <c r="T556" s="8">
        <v>514087</v>
      </c>
      <c r="U556" s="8" t="s">
        <v>2311</v>
      </c>
      <c r="V556" s="12">
        <v>6657415</v>
      </c>
      <c r="W556" s="8">
        <v>91.45</v>
      </c>
      <c r="X556" s="11">
        <f ca="1">IFERROR(__xludf.DUMMYFUNCTION("GOOGLEFINANCE(""BOM:"" &amp; T556,""price"")"),77.35)</f>
        <v>77.349999999999994</v>
      </c>
      <c r="Y556" s="8">
        <f t="shared" ca="1" si="166"/>
        <v>-15.418261344997275</v>
      </c>
      <c r="Z556" s="12">
        <f t="shared" si="167"/>
        <v>608820601.75</v>
      </c>
      <c r="AA556" s="13">
        <f t="shared" ca="1" si="168"/>
        <v>514951050.24999994</v>
      </c>
      <c r="AB556" s="63"/>
      <c r="AC556" s="8">
        <v>530393</v>
      </c>
      <c r="AD556" s="8" t="s">
        <v>2312</v>
      </c>
      <c r="AE556" s="12">
        <v>34981500</v>
      </c>
      <c r="AF556" s="8">
        <v>47.51</v>
      </c>
      <c r="AG556" s="8">
        <f ca="1">IFERROR(__xludf.DUMMYFUNCTION("GOOGLEFINANCE(""BOM:"" &amp; AC556,""price"")"),40.14)</f>
        <v>40.14</v>
      </c>
      <c r="AH556" s="8">
        <f t="shared" ca="1" si="170"/>
        <v>-15.512523679225421</v>
      </c>
      <c r="AI556" s="12">
        <f t="shared" si="171"/>
        <v>1661971065</v>
      </c>
      <c r="AJ556" s="13">
        <f t="shared" ca="1" si="172"/>
        <v>1404157410</v>
      </c>
    </row>
    <row r="557" spans="1:36" x14ac:dyDescent="0.25">
      <c r="A557" s="63"/>
      <c r="B557" s="8">
        <v>512175</v>
      </c>
      <c r="C557" s="8" t="s">
        <v>2313</v>
      </c>
      <c r="D557" s="12">
        <v>52446400</v>
      </c>
      <c r="E557" s="8">
        <v>5.9</v>
      </c>
      <c r="F557" s="8">
        <f ca="1">IFERROR(__xludf.DUMMYFUNCTION("GOOGLEFINANCE(""BOM:"" &amp; B557,""price"")"),4.4)</f>
        <v>4.4000000000000004</v>
      </c>
      <c r="G557" s="8">
        <f t="shared" ca="1" si="163"/>
        <v>-25.423728813559322</v>
      </c>
      <c r="H557" s="12">
        <f t="shared" si="164"/>
        <v>309433760</v>
      </c>
      <c r="I557" s="13">
        <f t="shared" ca="1" si="165"/>
        <v>230764160.00000003</v>
      </c>
      <c r="J557" s="63"/>
      <c r="K557" s="8">
        <v>522273</v>
      </c>
      <c r="L557" s="8" t="s">
        <v>2314</v>
      </c>
      <c r="M557" s="12">
        <v>3917447</v>
      </c>
      <c r="N557" s="10">
        <v>40.1</v>
      </c>
      <c r="O557" s="10">
        <f ca="1">IFERROR(__xludf.DUMMYFUNCTION("GOOGLEFINANCE(""BOM:"" &amp; K557,""price"")"),37)</f>
        <v>37</v>
      </c>
      <c r="P557" s="8">
        <f t="shared" ca="1" si="169"/>
        <v>-7.7306733167082324</v>
      </c>
      <c r="Q557" s="12">
        <f t="shared" si="155"/>
        <v>157089624.70000002</v>
      </c>
      <c r="R557" s="13">
        <f t="shared" ca="1" si="156"/>
        <v>144945539</v>
      </c>
      <c r="S557" s="63"/>
      <c r="T557" s="8">
        <v>531352</v>
      </c>
      <c r="U557" s="8" t="s">
        <v>2315</v>
      </c>
      <c r="V557" s="12">
        <v>2001049</v>
      </c>
      <c r="W557" s="8">
        <v>24.35</v>
      </c>
      <c r="X557" s="11">
        <f ca="1">IFERROR(__xludf.DUMMYFUNCTION("GOOGLEFINANCE(""BOM:"" &amp; T557,""price"")"),23.95)</f>
        <v>23.95</v>
      </c>
      <c r="Y557" s="8">
        <f t="shared" ca="1" si="166"/>
        <v>-1.6427104722792696</v>
      </c>
      <c r="Z557" s="12">
        <f t="shared" si="167"/>
        <v>48725543.150000006</v>
      </c>
      <c r="AA557" s="13">
        <f t="shared" ca="1" si="168"/>
        <v>47925123.549999997</v>
      </c>
      <c r="AB557" s="63"/>
      <c r="AC557" s="8">
        <v>505526</v>
      </c>
      <c r="AD557" s="8" t="s">
        <v>2316</v>
      </c>
      <c r="AE557" s="12">
        <v>175957050</v>
      </c>
      <c r="AF557" s="8">
        <v>71.400000000000006</v>
      </c>
      <c r="AG557" s="8">
        <f ca="1">IFERROR(__xludf.DUMMYFUNCTION("GOOGLEFINANCE(""BOM:"" &amp; AC557,""price"")"),68.35)</f>
        <v>68.349999999999994</v>
      </c>
      <c r="AH557" s="8">
        <f t="shared" ca="1" si="170"/>
        <v>-4.2717086834734044</v>
      </c>
      <c r="AI557" s="12">
        <f t="shared" si="171"/>
        <v>12563333370.000002</v>
      </c>
      <c r="AJ557" s="13">
        <f t="shared" ca="1" si="172"/>
        <v>12026664367.499998</v>
      </c>
    </row>
    <row r="558" spans="1:36" x14ac:dyDescent="0.25">
      <c r="A558" s="64"/>
      <c r="B558" s="14">
        <v>536672</v>
      </c>
      <c r="C558" s="14" t="s">
        <v>2317</v>
      </c>
      <c r="D558" s="15">
        <v>15100000</v>
      </c>
      <c r="E558" s="8">
        <v>7.44</v>
      </c>
      <c r="F558" s="14">
        <f ca="1">IFERROR(__xludf.DUMMYFUNCTION("GOOGLEFINANCE(""BOM:"" &amp; B558,""price"")"),6.57)</f>
        <v>6.57</v>
      </c>
      <c r="G558" s="14">
        <f t="shared" ca="1" si="163"/>
        <v>-11.693548387096776</v>
      </c>
      <c r="H558" s="15">
        <f t="shared" si="164"/>
        <v>112344000</v>
      </c>
      <c r="I558" s="16">
        <f t="shared" ca="1" si="165"/>
        <v>99207000</v>
      </c>
      <c r="J558" s="63"/>
      <c r="K558" s="8">
        <v>534064</v>
      </c>
      <c r="L558" s="8" t="s">
        <v>2318</v>
      </c>
      <c r="M558" s="12">
        <v>103474970</v>
      </c>
      <c r="N558" s="10">
        <v>52.98</v>
      </c>
      <c r="O558" s="10">
        <f ca="1">IFERROR(__xludf.DUMMYFUNCTION("GOOGLEFINANCE(""BOM:"" &amp; K558,""price"")"),52.83)</f>
        <v>52.83</v>
      </c>
      <c r="P558" s="8">
        <f t="shared" ca="1" si="169"/>
        <v>-0.28312570781426688</v>
      </c>
      <c r="Q558" s="12">
        <f t="shared" si="155"/>
        <v>5482103910.5999994</v>
      </c>
      <c r="R558" s="13">
        <f t="shared" ca="1" si="156"/>
        <v>5466582665.0999994</v>
      </c>
      <c r="S558" s="63"/>
      <c r="T558" s="8">
        <v>514300</v>
      </c>
      <c r="U558" s="8" t="s">
        <v>2319</v>
      </c>
      <c r="V558" s="12">
        <v>26249467</v>
      </c>
      <c r="W558" s="8">
        <v>47</v>
      </c>
      <c r="X558" s="11">
        <f ca="1">IFERROR(__xludf.DUMMYFUNCTION("GOOGLEFINANCE(""BOM:"" &amp; T558,""price"")"),38.2)</f>
        <v>38.200000000000003</v>
      </c>
      <c r="Y558" s="8">
        <f t="shared" ca="1" si="166"/>
        <v>-18.723404255319142</v>
      </c>
      <c r="Z558" s="12">
        <f t="shared" si="167"/>
        <v>1233724949</v>
      </c>
      <c r="AA558" s="13">
        <f t="shared" ca="1" si="168"/>
        <v>1002729639.4000001</v>
      </c>
      <c r="AB558" s="63"/>
      <c r="AC558" s="8">
        <v>532737</v>
      </c>
      <c r="AD558" s="8" t="s">
        <v>2320</v>
      </c>
      <c r="AE558" s="12">
        <v>24636216</v>
      </c>
      <c r="AF558" s="8">
        <v>123.35</v>
      </c>
      <c r="AG558" s="8">
        <f ca="1">IFERROR(__xludf.DUMMYFUNCTION("GOOGLEFINANCE(""BOM:"" &amp; AC558,""price"")"),117)</f>
        <v>117</v>
      </c>
      <c r="AH558" s="8">
        <f t="shared" ca="1" si="170"/>
        <v>-5.1479529793271137</v>
      </c>
      <c r="AI558" s="12">
        <f t="shared" si="171"/>
        <v>3038877243.5999999</v>
      </c>
      <c r="AJ558" s="13">
        <f t="shared" ca="1" si="172"/>
        <v>2882437272</v>
      </c>
    </row>
    <row r="559" spans="1:36" x14ac:dyDescent="0.25">
      <c r="A559" s="62" t="s">
        <v>2321</v>
      </c>
      <c r="B559" s="6">
        <v>532762</v>
      </c>
      <c r="C559" s="6" t="s">
        <v>2322</v>
      </c>
      <c r="D559" s="7">
        <v>119067176</v>
      </c>
      <c r="E559" s="6">
        <v>1427.95</v>
      </c>
      <c r="F559" s="8">
        <f ca="1">IFERROR(__xludf.DUMMYFUNCTION("GOOGLEFINANCE(""BOM:"" &amp; B559,""price"")"),1426.05)</f>
        <v>1426.05</v>
      </c>
      <c r="G559" s="8">
        <f t="shared" ca="1" si="163"/>
        <v>-0.13305788017788373</v>
      </c>
      <c r="H559" s="7">
        <f t="shared" si="164"/>
        <v>170021973969.20001</v>
      </c>
      <c r="I559" s="9">
        <f t="shared" ca="1" si="165"/>
        <v>169795746334.79999</v>
      </c>
      <c r="J559" s="63"/>
      <c r="K559" s="8">
        <v>533758</v>
      </c>
      <c r="L559" s="8" t="s">
        <v>2323</v>
      </c>
      <c r="M559" s="12">
        <v>250279618</v>
      </c>
      <c r="N559" s="10">
        <v>1550.3</v>
      </c>
      <c r="O559" s="10">
        <f ca="1">IFERROR(__xludf.DUMMYFUNCTION("GOOGLEFINANCE(""BOM:"" &amp; K559,""price"")"),1491.15)</f>
        <v>1491.15</v>
      </c>
      <c r="P559" s="8">
        <f t="shared" ca="1" si="169"/>
        <v>-3.8153905695671715</v>
      </c>
      <c r="Q559" s="12">
        <f t="shared" si="155"/>
        <v>388008491785.39996</v>
      </c>
      <c r="R559" s="13">
        <f t="shared" ca="1" si="156"/>
        <v>373204452380.70001</v>
      </c>
      <c r="S559" s="63"/>
      <c r="T559" s="8">
        <v>500192</v>
      </c>
      <c r="U559" s="8" t="s">
        <v>2324</v>
      </c>
      <c r="V559" s="12">
        <v>49218179</v>
      </c>
      <c r="W559" s="8">
        <v>3.77</v>
      </c>
      <c r="X559" s="11">
        <f ca="1">IFERROR(__xludf.DUMMYFUNCTION("GOOGLEFINANCE(""BOM:"" &amp; T559,""price"")"),2.97)</f>
        <v>2.97</v>
      </c>
      <c r="Y559" s="8">
        <f t="shared" ca="1" si="166"/>
        <v>-21.220159151193631</v>
      </c>
      <c r="Z559" s="12">
        <f t="shared" si="167"/>
        <v>185552534.83000001</v>
      </c>
      <c r="AA559" s="13">
        <f t="shared" ca="1" si="168"/>
        <v>146177991.63</v>
      </c>
      <c r="AB559" s="63"/>
      <c r="AC559" s="8">
        <v>535431</v>
      </c>
      <c r="AD559" s="8" t="s">
        <v>2325</v>
      </c>
      <c r="AE559" s="12">
        <v>188820000</v>
      </c>
      <c r="AF559" s="8">
        <v>0.94</v>
      </c>
      <c r="AG559" s="8">
        <f ca="1">IFERROR(__xludf.DUMMYFUNCTION("GOOGLEFINANCE(""BOM:"" &amp; AC559,""price"")"),0.78)</f>
        <v>0.78</v>
      </c>
      <c r="AH559" s="8">
        <f t="shared" ca="1" si="170"/>
        <v>-17.021276595744673</v>
      </c>
      <c r="AI559" s="12">
        <f t="shared" si="171"/>
        <v>177490800</v>
      </c>
      <c r="AJ559" s="13">
        <f t="shared" ca="1" si="172"/>
        <v>147279600</v>
      </c>
    </row>
    <row r="560" spans="1:36" x14ac:dyDescent="0.25">
      <c r="A560" s="63"/>
      <c r="B560" s="8">
        <v>500048</v>
      </c>
      <c r="C560" s="8" t="s">
        <v>2326</v>
      </c>
      <c r="D560" s="12">
        <v>41557013</v>
      </c>
      <c r="E560" s="8">
        <v>3167.95</v>
      </c>
      <c r="F560" s="8">
        <f ca="1">IFERROR(__xludf.DUMMYFUNCTION("GOOGLEFINANCE(""BOM:"" &amp; B560,""price"")"),3190.4)</f>
        <v>3190.4</v>
      </c>
      <c r="G560" s="8">
        <f t="shared" ca="1" si="163"/>
        <v>0.70866017456084451</v>
      </c>
      <c r="H560" s="12">
        <f t="shared" si="164"/>
        <v>131650539333.34999</v>
      </c>
      <c r="I560" s="13">
        <f t="shared" ca="1" si="165"/>
        <v>132583494275.2</v>
      </c>
      <c r="J560" s="63"/>
      <c r="K560" s="8">
        <v>538566</v>
      </c>
      <c r="L560" s="8" t="s">
        <v>2327</v>
      </c>
      <c r="M560" s="12">
        <v>60794178</v>
      </c>
      <c r="N560" s="8" t="s">
        <v>60</v>
      </c>
      <c r="O560" s="8" t="s">
        <v>60</v>
      </c>
      <c r="P560" s="8"/>
      <c r="Q560" s="12"/>
      <c r="R560" s="13"/>
      <c r="S560" s="63"/>
      <c r="T560" s="8">
        <v>531172</v>
      </c>
      <c r="U560" s="8" t="s">
        <v>2328</v>
      </c>
      <c r="V560" s="12">
        <v>19179337</v>
      </c>
      <c r="W560" s="8" t="s">
        <v>60</v>
      </c>
      <c r="X560" s="8" t="s">
        <v>60</v>
      </c>
      <c r="Y560" s="8"/>
      <c r="Z560" s="12"/>
      <c r="AA560" s="13"/>
      <c r="AB560" s="63"/>
      <c r="AC560" s="8">
        <v>532285</v>
      </c>
      <c r="AD560" s="8" t="s">
        <v>2329</v>
      </c>
      <c r="AE560" s="12">
        <v>238887143</v>
      </c>
      <c r="AF560" s="8">
        <v>74.88</v>
      </c>
      <c r="AG560" s="8">
        <f ca="1">IFERROR(__xludf.DUMMYFUNCTION("GOOGLEFINANCE(""BOM:"" &amp; AC560,""price"")"),65.2)</f>
        <v>65.2</v>
      </c>
      <c r="AH560" s="8">
        <f t="shared" ca="1" si="170"/>
        <v>-12.927350427350417</v>
      </c>
      <c r="AI560" s="12">
        <f t="shared" si="171"/>
        <v>17887869267.84</v>
      </c>
      <c r="AJ560" s="13">
        <f t="shared" ca="1" si="172"/>
        <v>15575441723.6</v>
      </c>
    </row>
    <row r="561" spans="1:36" x14ac:dyDescent="0.25">
      <c r="A561" s="63"/>
      <c r="B561" s="8">
        <v>505690</v>
      </c>
      <c r="C561" s="8" t="s">
        <v>2330</v>
      </c>
      <c r="D561" s="12">
        <v>2223790</v>
      </c>
      <c r="E561" s="8">
        <v>755.5</v>
      </c>
      <c r="F561" s="8">
        <f ca="1">IFERROR(__xludf.DUMMYFUNCTION("GOOGLEFINANCE(""BOM:"" &amp; B561,""price"")"),785.35)</f>
        <v>785.35</v>
      </c>
      <c r="G561" s="8">
        <f t="shared" ca="1" si="163"/>
        <v>3.9510258107213794</v>
      </c>
      <c r="H561" s="12">
        <f t="shared" si="164"/>
        <v>1680073345</v>
      </c>
      <c r="I561" s="13">
        <f t="shared" ca="1" si="165"/>
        <v>1746453476.5</v>
      </c>
      <c r="J561" s="63"/>
      <c r="K561" s="8">
        <v>539455</v>
      </c>
      <c r="L561" s="8" t="s">
        <v>2331</v>
      </c>
      <c r="M561" s="12">
        <v>3845400</v>
      </c>
      <c r="N561" s="10">
        <v>35.380000000000003</v>
      </c>
      <c r="O561" s="10">
        <f ca="1">IFERROR(__xludf.DUMMYFUNCTION("GOOGLEFINANCE(""BOM:"" &amp; K561,""price"")"),37.14)</f>
        <v>37.14</v>
      </c>
      <c r="P561" s="8">
        <f t="shared" ref="P561:P565" ca="1" si="173">((O561-N561)/N561)*100</f>
        <v>4.9745618993781733</v>
      </c>
      <c r="Q561" s="12">
        <f t="shared" ref="Q561:Q597" si="174">M561*N561</f>
        <v>136050252</v>
      </c>
      <c r="R561" s="13">
        <f t="shared" ref="R561:R597" ca="1" si="175">M561*O561</f>
        <v>142818156</v>
      </c>
      <c r="S561" s="63"/>
      <c r="T561" s="8">
        <v>530331</v>
      </c>
      <c r="U561" s="8" t="s">
        <v>2332</v>
      </c>
      <c r="V561" s="12">
        <v>3236784</v>
      </c>
      <c r="W561" s="8">
        <v>393.55</v>
      </c>
      <c r="X561" s="11">
        <f ca="1">IFERROR(__xludf.DUMMYFUNCTION("GOOGLEFINANCE(""BOM:"" &amp; T561,""price"")"),403.2)</f>
        <v>403.2</v>
      </c>
      <c r="Y561" s="8">
        <f t="shared" ref="Y561:Y564" ca="1" si="176">((X561-W561)/W561)*100</f>
        <v>2.4520391309871625</v>
      </c>
      <c r="Z561" s="12">
        <f t="shared" ref="Z561:Z567" si="177">V561*W561</f>
        <v>1273836343.2</v>
      </c>
      <c r="AA561" s="13">
        <f t="shared" ref="AA561:AA567" ca="1" si="178">V561*X561</f>
        <v>1305071308.8</v>
      </c>
      <c r="AB561" s="63"/>
      <c r="AC561" s="8">
        <v>531600</v>
      </c>
      <c r="AD561" s="8" t="s">
        <v>2333</v>
      </c>
      <c r="AE561" s="12">
        <v>5943876</v>
      </c>
      <c r="AF561" s="8">
        <v>99.41</v>
      </c>
      <c r="AG561" s="8">
        <f ca="1">IFERROR(__xludf.DUMMYFUNCTION("GOOGLEFINANCE(""BOM:"" &amp; AC561,""price"")"),113.39)</f>
        <v>113.39</v>
      </c>
      <c r="AH561" s="8">
        <f t="shared" ca="1" si="170"/>
        <v>14.062971532039034</v>
      </c>
      <c r="AI561" s="12">
        <f t="shared" si="171"/>
        <v>590880713.15999997</v>
      </c>
      <c r="AJ561" s="13">
        <f t="shared" ca="1" si="172"/>
        <v>673976099.63999999</v>
      </c>
    </row>
    <row r="562" spans="1:36" x14ac:dyDescent="0.25">
      <c r="A562" s="63"/>
      <c r="B562" s="8">
        <v>522001</v>
      </c>
      <c r="C562" s="8" t="s">
        <v>2334</v>
      </c>
      <c r="D562" s="12">
        <v>5882020</v>
      </c>
      <c r="E562" s="8">
        <v>59.43</v>
      </c>
      <c r="F562" s="8">
        <f ca="1">IFERROR(__xludf.DUMMYFUNCTION("GOOGLEFINANCE(""BOM:"" &amp; B562,""price"")"),52.4)</f>
        <v>52.4</v>
      </c>
      <c r="G562" s="8">
        <f t="shared" ca="1" si="163"/>
        <v>-11.829042571092042</v>
      </c>
      <c r="H562" s="12">
        <f t="shared" si="164"/>
        <v>349568448.60000002</v>
      </c>
      <c r="I562" s="13">
        <f t="shared" ca="1" si="165"/>
        <v>308217848</v>
      </c>
      <c r="J562" s="63"/>
      <c r="K562" s="8">
        <v>513401</v>
      </c>
      <c r="L562" s="8" t="s">
        <v>2335</v>
      </c>
      <c r="M562" s="12">
        <v>6786865</v>
      </c>
      <c r="N562" s="10">
        <v>39.26</v>
      </c>
      <c r="O562" s="10">
        <f ca="1">IFERROR(__xludf.DUMMYFUNCTION("GOOGLEFINANCE(""BOM:"" &amp; K562,""price"")"),40.99)</f>
        <v>40.99</v>
      </c>
      <c r="P562" s="8">
        <f t="shared" ca="1" si="173"/>
        <v>4.4065206316862042</v>
      </c>
      <c r="Q562" s="12">
        <f t="shared" si="174"/>
        <v>266452319.89999998</v>
      </c>
      <c r="R562" s="13">
        <f t="shared" ca="1" si="175"/>
        <v>278193596.35000002</v>
      </c>
      <c r="S562" s="63"/>
      <c r="T562" s="8">
        <v>509835</v>
      </c>
      <c r="U562" s="8" t="s">
        <v>2336</v>
      </c>
      <c r="V562" s="12">
        <v>4357878</v>
      </c>
      <c r="W562" s="8">
        <v>17</v>
      </c>
      <c r="X562" s="11">
        <f ca="1">IFERROR(__xludf.DUMMYFUNCTION("GOOGLEFINANCE(""BOM:"" &amp; T562,""price"")"),13.35)</f>
        <v>13.35</v>
      </c>
      <c r="Y562" s="8">
        <f t="shared" ca="1" si="176"/>
        <v>-21.47058823529412</v>
      </c>
      <c r="Z562" s="12">
        <f t="shared" si="177"/>
        <v>74083926</v>
      </c>
      <c r="AA562" s="13">
        <f t="shared" ca="1" si="178"/>
        <v>58177671.299999997</v>
      </c>
      <c r="AB562" s="63"/>
      <c r="AC562" s="8">
        <v>542773</v>
      </c>
      <c r="AD562" s="8" t="s">
        <v>2337</v>
      </c>
      <c r="AE562" s="12">
        <v>303775366</v>
      </c>
      <c r="AF562" s="8">
        <v>153.25</v>
      </c>
      <c r="AG562" s="8">
        <f ca="1">IFERROR(__xludf.DUMMYFUNCTION("GOOGLEFINANCE(""BOM:"" &amp; AC562,""price"")"),122.1)</f>
        <v>122.1</v>
      </c>
      <c r="AH562" s="8">
        <f t="shared" ca="1" si="170"/>
        <v>-20.326264274061995</v>
      </c>
      <c r="AI562" s="12">
        <f t="shared" si="171"/>
        <v>46553574839.5</v>
      </c>
      <c r="AJ562" s="13">
        <f t="shared" ca="1" si="172"/>
        <v>37090972188.599998</v>
      </c>
    </row>
    <row r="563" spans="1:36" x14ac:dyDescent="0.25">
      <c r="A563" s="63"/>
      <c r="B563" s="8">
        <v>530073</v>
      </c>
      <c r="C563" s="8" t="s">
        <v>2338</v>
      </c>
      <c r="D563" s="12">
        <v>28651460</v>
      </c>
      <c r="E563" s="8">
        <v>1202.1500000000001</v>
      </c>
      <c r="F563" s="8">
        <f ca="1">IFERROR(__xludf.DUMMYFUNCTION("GOOGLEFINANCE(""BOM:"" &amp; B563,""price"")"),1360)</f>
        <v>1360</v>
      </c>
      <c r="G563" s="8">
        <f t="shared" ca="1" si="163"/>
        <v>13.130640934991463</v>
      </c>
      <c r="H563" s="12">
        <f t="shared" si="164"/>
        <v>34443352639</v>
      </c>
      <c r="I563" s="13">
        <f t="shared" ca="1" si="165"/>
        <v>38965985600</v>
      </c>
      <c r="J563" s="63"/>
      <c r="K563" s="8">
        <v>526847</v>
      </c>
      <c r="L563" s="8" t="s">
        <v>2339</v>
      </c>
      <c r="M563" s="12">
        <v>12154962</v>
      </c>
      <c r="N563" s="10">
        <v>43.3</v>
      </c>
      <c r="O563" s="10">
        <f ca="1">IFERROR(__xludf.DUMMYFUNCTION("GOOGLEFINANCE(""BOM:"" &amp; K563,""price"")"),38.66)</f>
        <v>38.659999999999997</v>
      </c>
      <c r="P563" s="8">
        <f t="shared" ca="1" si="173"/>
        <v>-10.715935334872981</v>
      </c>
      <c r="Q563" s="12">
        <f t="shared" si="174"/>
        <v>526309854.59999996</v>
      </c>
      <c r="R563" s="13">
        <f t="shared" ca="1" si="175"/>
        <v>469910830.91999996</v>
      </c>
      <c r="S563" s="63"/>
      <c r="T563" s="8">
        <v>526773</v>
      </c>
      <c r="U563" s="8" t="s">
        <v>2340</v>
      </c>
      <c r="V563" s="12">
        <v>11165627</v>
      </c>
      <c r="W563" s="8">
        <v>11.34</v>
      </c>
      <c r="X563" s="11">
        <f ca="1">IFERROR(__xludf.DUMMYFUNCTION("GOOGLEFINANCE(""BOM:"" &amp; T563,""price"")"),8.43)</f>
        <v>8.43</v>
      </c>
      <c r="Y563" s="8">
        <f t="shared" ca="1" si="176"/>
        <v>-25.661375661375661</v>
      </c>
      <c r="Z563" s="12">
        <f t="shared" si="177"/>
        <v>126618210.17999999</v>
      </c>
      <c r="AA563" s="13">
        <f t="shared" ca="1" si="178"/>
        <v>94126235.609999999</v>
      </c>
      <c r="AB563" s="63"/>
      <c r="AC563" s="8">
        <v>511473</v>
      </c>
      <c r="AD563" s="8" t="s">
        <v>2341</v>
      </c>
      <c r="AE563" s="12">
        <v>42517168</v>
      </c>
      <c r="AF563" s="8">
        <v>48</v>
      </c>
      <c r="AG563" s="8">
        <f ca="1">IFERROR(__xludf.DUMMYFUNCTION("GOOGLEFINANCE(""BOM:"" &amp; AC563,""price"")"),42.95)</f>
        <v>42.95</v>
      </c>
      <c r="AH563" s="8">
        <f t="shared" ca="1" si="170"/>
        <v>-10.520833333333329</v>
      </c>
      <c r="AI563" s="12">
        <f t="shared" si="171"/>
        <v>2040824064</v>
      </c>
      <c r="AJ563" s="13">
        <f t="shared" ca="1" si="172"/>
        <v>1826112365.6000001</v>
      </c>
    </row>
    <row r="564" spans="1:36" x14ac:dyDescent="0.25">
      <c r="A564" s="64"/>
      <c r="B564" s="14">
        <v>505196</v>
      </c>
      <c r="C564" s="14" t="s">
        <v>2342</v>
      </c>
      <c r="D564" s="15">
        <v>9897947</v>
      </c>
      <c r="E564" s="8">
        <v>558</v>
      </c>
      <c r="F564" s="14">
        <f ca="1">IFERROR(__xludf.DUMMYFUNCTION("GOOGLEFINANCE(""BOM:"" &amp; B564,""price"")"),168)</f>
        <v>168</v>
      </c>
      <c r="G564" s="14">
        <f t="shared" ca="1" si="163"/>
        <v>-69.892473118279568</v>
      </c>
      <c r="H564" s="15">
        <f t="shared" si="164"/>
        <v>5523054426</v>
      </c>
      <c r="I564" s="16">
        <f t="shared" ca="1" si="165"/>
        <v>1662855096</v>
      </c>
      <c r="J564" s="63"/>
      <c r="K564" s="8">
        <v>533270</v>
      </c>
      <c r="L564" s="8" t="s">
        <v>2343</v>
      </c>
      <c r="M564" s="12">
        <v>32247881</v>
      </c>
      <c r="N564" s="10">
        <v>271.89999999999998</v>
      </c>
      <c r="O564" s="10">
        <f ca="1">IFERROR(__xludf.DUMMYFUNCTION("GOOGLEFINANCE(""BOM:"" &amp; K564,""price"")"),213.75)</f>
        <v>213.75</v>
      </c>
      <c r="P564" s="8">
        <f t="shared" ca="1" si="173"/>
        <v>-21.386539168812057</v>
      </c>
      <c r="Q564" s="12">
        <f t="shared" si="174"/>
        <v>8768198843.8999996</v>
      </c>
      <c r="R564" s="13">
        <f t="shared" ca="1" si="175"/>
        <v>6892984563.75</v>
      </c>
      <c r="S564" s="63"/>
      <c r="T564" s="8">
        <v>519014</v>
      </c>
      <c r="U564" s="8" t="s">
        <v>2344</v>
      </c>
      <c r="V564" s="12">
        <v>945631</v>
      </c>
      <c r="W564" s="8">
        <v>12.78</v>
      </c>
      <c r="X564" s="11">
        <f ca="1">IFERROR(__xludf.DUMMYFUNCTION("GOOGLEFINANCE(""BOM:"" &amp; T564,""price"")"),11.04)</f>
        <v>11.04</v>
      </c>
      <c r="Y564" s="8">
        <f t="shared" ca="1" si="176"/>
        <v>-13.615023474178406</v>
      </c>
      <c r="Z564" s="12">
        <f t="shared" si="177"/>
        <v>12085164.18</v>
      </c>
      <c r="AA564" s="13">
        <f t="shared" ca="1" si="178"/>
        <v>10439766.239999998</v>
      </c>
      <c r="AB564" s="63"/>
      <c r="AC564" s="8">
        <v>533676</v>
      </c>
      <c r="AD564" s="8" t="s">
        <v>2345</v>
      </c>
      <c r="AE564" s="12">
        <v>9999985</v>
      </c>
      <c r="AF564" s="8">
        <v>326</v>
      </c>
      <c r="AG564" s="8">
        <f ca="1">IFERROR(__xludf.DUMMYFUNCTION("GOOGLEFINANCE(""BOM:"" &amp; AC564,""price"")"),279.05)</f>
        <v>279.05</v>
      </c>
      <c r="AH564" s="8">
        <f t="shared" ca="1" si="170"/>
        <v>-14.401840490797543</v>
      </c>
      <c r="AI564" s="12">
        <f t="shared" si="171"/>
        <v>3259995110</v>
      </c>
      <c r="AJ564" s="13">
        <f t="shared" ca="1" si="172"/>
        <v>2790495814.25</v>
      </c>
    </row>
    <row r="565" spans="1:36" x14ac:dyDescent="0.25">
      <c r="A565" s="62" t="s">
        <v>2346</v>
      </c>
      <c r="B565" s="6">
        <v>538935</v>
      </c>
      <c r="C565" s="6" t="s">
        <v>2347</v>
      </c>
      <c r="D565" s="7">
        <v>3577800</v>
      </c>
      <c r="E565" s="6">
        <v>32.75</v>
      </c>
      <c r="F565" s="8">
        <f ca="1">IFERROR(__xludf.DUMMYFUNCTION("GOOGLEFINANCE(""BOM:"" &amp; B565,""price"")"),31.35)</f>
        <v>31.35</v>
      </c>
      <c r="G565" s="8">
        <f t="shared" ca="1" si="163"/>
        <v>-4.2748091603053391</v>
      </c>
      <c r="H565" s="7">
        <f t="shared" si="164"/>
        <v>117172950</v>
      </c>
      <c r="I565" s="9">
        <f t="shared" ca="1" si="165"/>
        <v>112164030</v>
      </c>
      <c r="J565" s="63"/>
      <c r="K565" s="8">
        <v>539018</v>
      </c>
      <c r="L565" s="8" t="s">
        <v>2348</v>
      </c>
      <c r="M565" s="12">
        <v>18209265</v>
      </c>
      <c r="N565" s="10">
        <v>636</v>
      </c>
      <c r="O565" s="10">
        <f ca="1">IFERROR(__xludf.DUMMYFUNCTION("GOOGLEFINANCE(""BOM:"" &amp; K565,""price"")"),561.1)</f>
        <v>561.1</v>
      </c>
      <c r="P565" s="8">
        <f t="shared" ca="1" si="173"/>
        <v>-11.776729559748423</v>
      </c>
      <c r="Q565" s="12">
        <f t="shared" si="174"/>
        <v>11581092540</v>
      </c>
      <c r="R565" s="13">
        <f t="shared" ca="1" si="175"/>
        <v>10217218591.5</v>
      </c>
      <c r="S565" s="63"/>
      <c r="T565" s="8">
        <v>531562</v>
      </c>
      <c r="U565" s="8" t="s">
        <v>2349</v>
      </c>
      <c r="V565" s="12">
        <v>4650100</v>
      </c>
      <c r="W565" s="8">
        <v>0</v>
      </c>
      <c r="X565" s="11">
        <f ca="1">IFERROR(__xludf.DUMMYFUNCTION("GOOGLEFINANCE(""BOM:"" &amp; T565,""price"")"),0)</f>
        <v>0</v>
      </c>
      <c r="Y565" s="8">
        <v>0</v>
      </c>
      <c r="Z565" s="12">
        <f t="shared" si="177"/>
        <v>0</v>
      </c>
      <c r="AA565" s="13">
        <f t="shared" ca="1" si="178"/>
        <v>0</v>
      </c>
      <c r="AB565" s="63"/>
      <c r="AC565" s="8">
        <v>533506</v>
      </c>
      <c r="AD565" s="8" t="s">
        <v>2350</v>
      </c>
      <c r="AE565" s="12">
        <v>840000000</v>
      </c>
      <c r="AF565" s="8">
        <v>2.77</v>
      </c>
      <c r="AG565" s="8">
        <f ca="1">IFERROR(__xludf.DUMMYFUNCTION("GOOGLEFINANCE(""BOM:"" &amp; AC565,""price"")"),2.13)</f>
        <v>2.13</v>
      </c>
      <c r="AH565" s="8">
        <f t="shared" ca="1" si="170"/>
        <v>-23.104693140794229</v>
      </c>
      <c r="AI565" s="12">
        <f t="shared" si="171"/>
        <v>2326800000</v>
      </c>
      <c r="AJ565" s="13">
        <f t="shared" ca="1" si="172"/>
        <v>1789200000</v>
      </c>
    </row>
    <row r="566" spans="1:36" x14ac:dyDescent="0.25">
      <c r="A566" s="63"/>
      <c r="B566" s="8">
        <v>531297</v>
      </c>
      <c r="C566" s="8" t="s">
        <v>2351</v>
      </c>
      <c r="D566" s="12">
        <v>7186892</v>
      </c>
      <c r="E566" s="8">
        <v>93.95</v>
      </c>
      <c r="F566" s="8">
        <f ca="1">IFERROR(__xludf.DUMMYFUNCTION("GOOGLEFINANCE(""BOM:"" &amp; B566,""price"")"),96.8)</f>
        <v>96.8</v>
      </c>
      <c r="G566" s="8">
        <f t="shared" ca="1" si="163"/>
        <v>3.0335284725917977</v>
      </c>
      <c r="H566" s="12">
        <f t="shared" si="164"/>
        <v>675208503.39999998</v>
      </c>
      <c r="I566" s="13">
        <f t="shared" ca="1" si="165"/>
        <v>695691145.60000002</v>
      </c>
      <c r="J566" s="63"/>
      <c r="K566" s="8">
        <v>512404</v>
      </c>
      <c r="L566" s="8" t="s">
        <v>2352</v>
      </c>
      <c r="M566" s="12">
        <v>3579898</v>
      </c>
      <c r="N566" s="10">
        <v>0</v>
      </c>
      <c r="O566" s="10">
        <f ca="1">IFERROR(__xludf.DUMMYFUNCTION("GOOGLEFINANCE(""BOM:"" &amp; K566,""price"")"),0)</f>
        <v>0</v>
      </c>
      <c r="P566" s="8">
        <v>0</v>
      </c>
      <c r="Q566" s="12">
        <f t="shared" si="174"/>
        <v>0</v>
      </c>
      <c r="R566" s="13">
        <f t="shared" ca="1" si="175"/>
        <v>0</v>
      </c>
      <c r="S566" s="63"/>
      <c r="T566" s="8">
        <v>531437</v>
      </c>
      <c r="U566" s="8" t="s">
        <v>2353</v>
      </c>
      <c r="V566" s="12">
        <v>9516183</v>
      </c>
      <c r="W566" s="8">
        <v>38.94</v>
      </c>
      <c r="X566" s="11">
        <f ca="1">IFERROR(__xludf.DUMMYFUNCTION("GOOGLEFINANCE(""BOM:"" &amp; T566,""price"")"),35.6)</f>
        <v>35.6</v>
      </c>
      <c r="Y566" s="8">
        <f t="shared" ref="Y566:Y567" ca="1" si="179">((X566-W566)/W566)*100</f>
        <v>-8.5772984078068735</v>
      </c>
      <c r="Z566" s="12">
        <f t="shared" si="177"/>
        <v>370560166.01999998</v>
      </c>
      <c r="AA566" s="13">
        <f t="shared" ca="1" si="178"/>
        <v>338776114.80000001</v>
      </c>
      <c r="AB566" s="63"/>
      <c r="AC566" s="8">
        <v>541179</v>
      </c>
      <c r="AD566" s="8" t="s">
        <v>2354</v>
      </c>
      <c r="AE566" s="12">
        <v>322773076</v>
      </c>
      <c r="AF566" s="8">
        <v>831</v>
      </c>
      <c r="AG566" s="8">
        <f ca="1">IFERROR(__xludf.DUMMYFUNCTION("GOOGLEFINANCE(""BOM:"" &amp; AC566,""price"")"),729)</f>
        <v>729</v>
      </c>
      <c r="AH566" s="8">
        <f t="shared" ca="1" si="170"/>
        <v>-12.274368231046932</v>
      </c>
      <c r="AI566" s="12">
        <f t="shared" si="171"/>
        <v>268224426156</v>
      </c>
      <c r="AJ566" s="13">
        <f t="shared" ca="1" si="172"/>
        <v>235301572404</v>
      </c>
    </row>
    <row r="567" spans="1:36" x14ac:dyDescent="0.25">
      <c r="A567" s="63"/>
      <c r="B567" s="8">
        <v>541302</v>
      </c>
      <c r="C567" s="8" t="s">
        <v>2355</v>
      </c>
      <c r="D567" s="12">
        <v>14288000</v>
      </c>
      <c r="E567" s="8">
        <v>122.15</v>
      </c>
      <c r="F567" s="8">
        <f ca="1">IFERROR(__xludf.DUMMYFUNCTION("GOOGLEFINANCE(""BOM:"" &amp; B567,""price"")"),118.95)</f>
        <v>118.95</v>
      </c>
      <c r="G567" s="8">
        <f t="shared" ca="1" si="163"/>
        <v>-2.6197298403602147</v>
      </c>
      <c r="H567" s="12">
        <f t="shared" si="164"/>
        <v>1745279200</v>
      </c>
      <c r="I567" s="13">
        <f t="shared" ca="1" si="165"/>
        <v>1699557600</v>
      </c>
      <c r="J567" s="63"/>
      <c r="K567" s="8">
        <v>539799</v>
      </c>
      <c r="L567" s="8" t="s">
        <v>2356</v>
      </c>
      <c r="M567" s="12">
        <v>63248196</v>
      </c>
      <c r="N567" s="10">
        <v>315.10000000000002</v>
      </c>
      <c r="O567" s="10">
        <f ca="1">IFERROR(__xludf.DUMMYFUNCTION("GOOGLEFINANCE(""BOM:"" &amp; K567,""price"")"),275.7)</f>
        <v>275.7</v>
      </c>
      <c r="P567" s="8">
        <f t="shared" ref="P567:P571" ca="1" si="180">((O567-N567)/N567)*100</f>
        <v>-12.503966994604898</v>
      </c>
      <c r="Q567" s="12">
        <f t="shared" si="174"/>
        <v>19929506559.600002</v>
      </c>
      <c r="R567" s="13">
        <f t="shared" ca="1" si="175"/>
        <v>17437527637.200001</v>
      </c>
      <c r="S567" s="63"/>
      <c r="T567" s="8">
        <v>514316</v>
      </c>
      <c r="U567" s="8" t="s">
        <v>2357</v>
      </c>
      <c r="V567" s="12">
        <v>34764860</v>
      </c>
      <c r="W567" s="8">
        <v>134</v>
      </c>
      <c r="X567" s="11">
        <f ca="1">IFERROR(__xludf.DUMMYFUNCTION("GOOGLEFINANCE(""BOM:"" &amp; T567,""price"")"),111.7)</f>
        <v>111.7</v>
      </c>
      <c r="Y567" s="8">
        <f t="shared" ca="1" si="179"/>
        <v>-16.641791044776117</v>
      </c>
      <c r="Z567" s="12">
        <f t="shared" si="177"/>
        <v>4658491240</v>
      </c>
      <c r="AA567" s="13">
        <f t="shared" ca="1" si="178"/>
        <v>3883234862</v>
      </c>
      <c r="AB567" s="63"/>
      <c r="AC567" s="8">
        <v>531861</v>
      </c>
      <c r="AD567" s="8" t="s">
        <v>2358</v>
      </c>
      <c r="AE567" s="12">
        <v>13716409</v>
      </c>
      <c r="AF567" s="8">
        <v>53.7</v>
      </c>
      <c r="AG567" s="8">
        <f ca="1">IFERROR(__xludf.DUMMYFUNCTION("GOOGLEFINANCE(""BOM:"" &amp; AC567,""price"")"),42.13)</f>
        <v>42.13</v>
      </c>
      <c r="AH567" s="8">
        <f t="shared" ca="1" si="170"/>
        <v>-21.54562383612663</v>
      </c>
      <c r="AI567" s="12">
        <f t="shared" si="171"/>
        <v>736571163.30000007</v>
      </c>
      <c r="AJ567" s="13">
        <f t="shared" ca="1" si="172"/>
        <v>577872311.17000008</v>
      </c>
    </row>
    <row r="568" spans="1:36" x14ac:dyDescent="0.25">
      <c r="A568" s="63"/>
      <c r="B568" s="8">
        <v>543410</v>
      </c>
      <c r="C568" s="8" t="s">
        <v>2359</v>
      </c>
      <c r="D568" s="12">
        <v>3726200</v>
      </c>
      <c r="E568" s="8">
        <v>147</v>
      </c>
      <c r="F568" s="8">
        <f ca="1">IFERROR(__xludf.DUMMYFUNCTION("GOOGLEFINANCE(""BOM:"" &amp; B568,""price"")"),125)</f>
        <v>125</v>
      </c>
      <c r="G568" s="8">
        <f t="shared" ca="1" si="163"/>
        <v>-14.965986394557824</v>
      </c>
      <c r="H568" s="12">
        <f t="shared" si="164"/>
        <v>547751400</v>
      </c>
      <c r="I568" s="13">
        <f t="shared" ca="1" si="165"/>
        <v>465775000</v>
      </c>
      <c r="J568" s="63"/>
      <c r="K568" s="8">
        <v>513422</v>
      </c>
      <c r="L568" s="8" t="s">
        <v>2360</v>
      </c>
      <c r="M568" s="12">
        <v>5759100</v>
      </c>
      <c r="N568" s="10">
        <v>31.05</v>
      </c>
      <c r="O568" s="10">
        <v>31.05</v>
      </c>
      <c r="P568" s="8">
        <f t="shared" si="180"/>
        <v>0</v>
      </c>
      <c r="Q568" s="12">
        <f t="shared" si="174"/>
        <v>178820055</v>
      </c>
      <c r="R568" s="13">
        <f t="shared" si="175"/>
        <v>178820055</v>
      </c>
      <c r="S568" s="63"/>
      <c r="T568" s="8">
        <v>532441</v>
      </c>
      <c r="U568" s="8" t="s">
        <v>2361</v>
      </c>
      <c r="V568" s="12">
        <v>12663437</v>
      </c>
      <c r="W568" s="8" t="s">
        <v>44</v>
      </c>
      <c r="X568" s="8" t="s">
        <v>44</v>
      </c>
      <c r="Y568" s="8"/>
      <c r="Z568" s="12"/>
      <c r="AA568" s="13"/>
      <c r="AB568" s="63"/>
      <c r="AC568" s="8">
        <v>531892</v>
      </c>
      <c r="AD568" s="8" t="s">
        <v>2362</v>
      </c>
      <c r="AE568" s="12">
        <v>11821173</v>
      </c>
      <c r="AF568" s="8">
        <v>32.46</v>
      </c>
      <c r="AG568" s="8">
        <f ca="1">IFERROR(__xludf.DUMMYFUNCTION("GOOGLEFINANCE(""BOM:"" &amp; AC568,""price"")"),30.2)</f>
        <v>30.2</v>
      </c>
      <c r="AH568" s="8">
        <f t="shared" ca="1" si="170"/>
        <v>-6.962415280345045</v>
      </c>
      <c r="AI568" s="12">
        <f t="shared" si="171"/>
        <v>383715275.57999998</v>
      </c>
      <c r="AJ568" s="13">
        <f t="shared" ca="1" si="172"/>
        <v>356999424.59999996</v>
      </c>
    </row>
    <row r="569" spans="1:36" x14ac:dyDescent="0.25">
      <c r="A569" s="63"/>
      <c r="B569" s="8">
        <v>540144</v>
      </c>
      <c r="C569" s="8" t="s">
        <v>2363</v>
      </c>
      <c r="D569" s="12">
        <v>10969999</v>
      </c>
      <c r="E569" s="8">
        <v>27.25</v>
      </c>
      <c r="F569" s="8">
        <f ca="1">IFERROR(__xludf.DUMMYFUNCTION("GOOGLEFINANCE(""BOM:"" &amp; B569,""price"")"),25)</f>
        <v>25</v>
      </c>
      <c r="G569" s="8">
        <f t="shared" ca="1" si="163"/>
        <v>-8.2568807339449553</v>
      </c>
      <c r="H569" s="12">
        <f t="shared" si="164"/>
        <v>298932472.75</v>
      </c>
      <c r="I569" s="13">
        <f t="shared" ca="1" si="165"/>
        <v>274249975</v>
      </c>
      <c r="J569" s="63"/>
      <c r="K569" s="8">
        <v>542669</v>
      </c>
      <c r="L569" s="8" t="s">
        <v>2364</v>
      </c>
      <c r="M569" s="12">
        <v>225033249</v>
      </c>
      <c r="N569" s="10">
        <v>62.16</v>
      </c>
      <c r="O569" s="10">
        <f ca="1">IFERROR(__xludf.DUMMYFUNCTION("GOOGLEFINANCE(""BOM:"" &amp; K569,""price"")"),55.35)</f>
        <v>55.35</v>
      </c>
      <c r="P569" s="8">
        <f t="shared" ca="1" si="180"/>
        <v>-10.95559845559845</v>
      </c>
      <c r="Q569" s="12">
        <f t="shared" si="174"/>
        <v>13988066757.84</v>
      </c>
      <c r="R569" s="13">
        <f t="shared" ca="1" si="175"/>
        <v>12455590332.15</v>
      </c>
      <c r="S569" s="63"/>
      <c r="T569" s="8">
        <v>514028</v>
      </c>
      <c r="U569" s="8" t="s">
        <v>2365</v>
      </c>
      <c r="V569" s="12">
        <v>5652628</v>
      </c>
      <c r="W569" s="8">
        <v>25.25</v>
      </c>
      <c r="X569" s="11">
        <f ca="1">IFERROR(__xludf.DUMMYFUNCTION("GOOGLEFINANCE(""BOM:"" &amp; T569,""price"")"),29)</f>
        <v>29</v>
      </c>
      <c r="Y569" s="8">
        <f t="shared" ref="Y569:Y606" ca="1" si="181">((X569-W569)/W569)*100</f>
        <v>14.85148514851485</v>
      </c>
      <c r="Z569" s="12">
        <f t="shared" ref="Z569:Z606" si="182">V569*W569</f>
        <v>142728857</v>
      </c>
      <c r="AA569" s="13">
        <f t="shared" ref="AA569:AA606" ca="1" si="183">V569*X569</f>
        <v>163926212</v>
      </c>
      <c r="AB569" s="63"/>
      <c r="AC569" s="8">
        <v>540192</v>
      </c>
      <c r="AD569" s="8" t="s">
        <v>2366</v>
      </c>
      <c r="AE569" s="12">
        <v>72775082</v>
      </c>
      <c r="AF569" s="8">
        <v>18.75</v>
      </c>
      <c r="AG569" s="8">
        <f ca="1">IFERROR(__xludf.DUMMYFUNCTION("GOOGLEFINANCE(""BOM:"" &amp; AC569,""price"")"),17.98)</f>
        <v>17.98</v>
      </c>
      <c r="AH569" s="8">
        <f t="shared" ca="1" si="170"/>
        <v>-4.1066666666666647</v>
      </c>
      <c r="AI569" s="12">
        <f t="shared" si="171"/>
        <v>1364532787.5</v>
      </c>
      <c r="AJ569" s="13">
        <f t="shared" ca="1" si="172"/>
        <v>1308495974.3600001</v>
      </c>
    </row>
    <row r="570" spans="1:36" x14ac:dyDescent="0.25">
      <c r="A570" s="63"/>
      <c r="B570" s="8">
        <v>543284</v>
      </c>
      <c r="C570" s="8" t="s">
        <v>2367</v>
      </c>
      <c r="D570" s="12">
        <v>6874000</v>
      </c>
      <c r="E570" s="8">
        <v>394.4</v>
      </c>
      <c r="F570" s="8">
        <f ca="1">IFERROR(__xludf.DUMMYFUNCTION("GOOGLEFINANCE(""BOM:"" &amp; B570,""price"")"),276.35)</f>
        <v>276.35000000000002</v>
      </c>
      <c r="G570" s="8">
        <f t="shared" ca="1" si="163"/>
        <v>-29.931541582150089</v>
      </c>
      <c r="H570" s="12">
        <f t="shared" si="164"/>
        <v>2711105600</v>
      </c>
      <c r="I570" s="13">
        <f t="shared" ca="1" si="165"/>
        <v>1899629900.0000002</v>
      </c>
      <c r="J570" s="63"/>
      <c r="K570" s="8">
        <v>504648</v>
      </c>
      <c r="L570" s="8" t="s">
        <v>2368</v>
      </c>
      <c r="M570" s="12">
        <v>4446230</v>
      </c>
      <c r="N570" s="10">
        <v>50.75</v>
      </c>
      <c r="O570" s="10">
        <f ca="1">IFERROR(__xludf.DUMMYFUNCTION("GOOGLEFINANCE(""BOM:"" &amp; K570,""price"")"),40.72)</f>
        <v>40.72</v>
      </c>
      <c r="P570" s="8">
        <f t="shared" ca="1" si="180"/>
        <v>-19.763546798029559</v>
      </c>
      <c r="Q570" s="12">
        <f t="shared" si="174"/>
        <v>225646172.5</v>
      </c>
      <c r="R570" s="13">
        <f t="shared" ca="1" si="175"/>
        <v>181050485.59999999</v>
      </c>
      <c r="S570" s="63"/>
      <c r="T570" s="8">
        <v>532503</v>
      </c>
      <c r="U570" s="8" t="s">
        <v>2369</v>
      </c>
      <c r="V570" s="12">
        <v>8146329</v>
      </c>
      <c r="W570" s="8">
        <v>894</v>
      </c>
      <c r="X570" s="11">
        <f ca="1">IFERROR(__xludf.DUMMYFUNCTION("GOOGLEFINANCE(""BOM:"" &amp; T570,""price"")"),887)</f>
        <v>887</v>
      </c>
      <c r="Y570" s="8">
        <f t="shared" ca="1" si="181"/>
        <v>-0.78299776286353473</v>
      </c>
      <c r="Z570" s="12">
        <f t="shared" si="182"/>
        <v>7282818126</v>
      </c>
      <c r="AA570" s="13">
        <f t="shared" ca="1" si="183"/>
        <v>7225793823</v>
      </c>
      <c r="AB570" s="63"/>
      <c r="AC570" s="8">
        <v>590082</v>
      </c>
      <c r="AD570" s="8" t="s">
        <v>2370</v>
      </c>
      <c r="AE570" s="12">
        <v>4977895</v>
      </c>
      <c r="AF570" s="8" t="s">
        <v>44</v>
      </c>
      <c r="AG570" s="8" t="s">
        <v>44</v>
      </c>
      <c r="AH570" s="8"/>
      <c r="AI570" s="12"/>
      <c r="AJ570" s="13"/>
    </row>
    <row r="571" spans="1:36" x14ac:dyDescent="0.25">
      <c r="A571" s="63"/>
      <c r="B571" s="8">
        <v>542851</v>
      </c>
      <c r="C571" s="8" t="s">
        <v>2371</v>
      </c>
      <c r="D571" s="12">
        <v>36656748</v>
      </c>
      <c r="E571" s="8">
        <v>1165</v>
      </c>
      <c r="F571" s="8">
        <f ca="1">IFERROR(__xludf.DUMMYFUNCTION("GOOGLEFINANCE(""BOM:"" &amp; B571,""price"")"),880.65)</f>
        <v>880.65</v>
      </c>
      <c r="G571" s="8">
        <f t="shared" ca="1" si="163"/>
        <v>-24.407725321888414</v>
      </c>
      <c r="H571" s="12">
        <f t="shared" si="164"/>
        <v>42705111420</v>
      </c>
      <c r="I571" s="13">
        <f t="shared" ca="1" si="165"/>
        <v>32281765126.200001</v>
      </c>
      <c r="J571" s="63"/>
      <c r="K571" s="8">
        <v>538546</v>
      </c>
      <c r="L571" s="8" t="s">
        <v>2372</v>
      </c>
      <c r="M571" s="12">
        <v>13183200</v>
      </c>
      <c r="N571" s="10">
        <v>88.76</v>
      </c>
      <c r="O571" s="10">
        <f ca="1">IFERROR(__xludf.DUMMYFUNCTION("GOOGLEFINANCE(""BOM:"" &amp; K571,""price"")"),79.99)</f>
        <v>79.989999999999995</v>
      </c>
      <c r="P571" s="8">
        <f t="shared" ca="1" si="180"/>
        <v>-9.8805768364128088</v>
      </c>
      <c r="Q571" s="12">
        <f t="shared" si="174"/>
        <v>1170140832</v>
      </c>
      <c r="R571" s="13">
        <f t="shared" ca="1" si="175"/>
        <v>1054524167.9999999</v>
      </c>
      <c r="S571" s="63"/>
      <c r="T571" s="8">
        <v>506975</v>
      </c>
      <c r="U571" s="8" t="s">
        <v>2373</v>
      </c>
      <c r="V571" s="12">
        <v>11056348</v>
      </c>
      <c r="W571" s="8">
        <v>2.9</v>
      </c>
      <c r="X571" s="11">
        <f ca="1">IFERROR(__xludf.DUMMYFUNCTION("GOOGLEFINANCE(""BOM:"" &amp; T571,""price"")"),3.12)</f>
        <v>3.12</v>
      </c>
      <c r="Y571" s="8">
        <f t="shared" ca="1" si="181"/>
        <v>7.5862068965517313</v>
      </c>
      <c r="Z571" s="12">
        <f t="shared" si="182"/>
        <v>32063409.199999999</v>
      </c>
      <c r="AA571" s="13">
        <f t="shared" ca="1" si="183"/>
        <v>34495805.759999998</v>
      </c>
      <c r="AB571" s="63"/>
      <c r="AC571" s="8">
        <v>511551</v>
      </c>
      <c r="AD571" s="8" t="s">
        <v>2374</v>
      </c>
      <c r="AE571" s="12">
        <v>30814723</v>
      </c>
      <c r="AF571" s="8">
        <v>624.45000000000005</v>
      </c>
      <c r="AG571" s="8">
        <f ca="1">IFERROR(__xludf.DUMMYFUNCTION("GOOGLEFINANCE(""BOM:"" &amp; AC571,""price"")"),533)</f>
        <v>533</v>
      </c>
      <c r="AH571" s="8">
        <f t="shared" ref="AH571:AH591" ca="1" si="184">((AG571-AF571)/AF571)*100</f>
        <v>-14.644887501000886</v>
      </c>
      <c r="AI571" s="12">
        <f t="shared" ref="AI571:AI591" si="185">AE571*AF571</f>
        <v>19242253777.350002</v>
      </c>
      <c r="AJ571" s="13">
        <f t="shared" ref="AJ571:AJ591" ca="1" si="186">AE571*AG571</f>
        <v>16424247359</v>
      </c>
    </row>
    <row r="572" spans="1:36" x14ac:dyDescent="0.25">
      <c r="A572" s="63"/>
      <c r="B572" s="8">
        <v>539149</v>
      </c>
      <c r="C572" s="8" t="s">
        <v>2375</v>
      </c>
      <c r="D572" s="12">
        <v>32460000</v>
      </c>
      <c r="E572" s="8">
        <v>3.96</v>
      </c>
      <c r="F572" s="8">
        <f ca="1">IFERROR(__xludf.DUMMYFUNCTION("GOOGLEFINANCE(""BOM:"" &amp; B572,""price"")"),3.77)</f>
        <v>3.77</v>
      </c>
      <c r="G572" s="8">
        <f t="shared" ca="1" si="163"/>
        <v>-4.7979797979797967</v>
      </c>
      <c r="H572" s="12">
        <f t="shared" si="164"/>
        <v>128541600</v>
      </c>
      <c r="I572" s="13">
        <f t="shared" ca="1" si="165"/>
        <v>122374200</v>
      </c>
      <c r="J572" s="63"/>
      <c r="K572" s="8">
        <v>504643</v>
      </c>
      <c r="L572" s="8" t="s">
        <v>2376</v>
      </c>
      <c r="M572" s="12">
        <v>6979610</v>
      </c>
      <c r="N572" s="10">
        <v>0</v>
      </c>
      <c r="O572" s="10">
        <f ca="1">IFERROR(__xludf.DUMMYFUNCTION("GOOGLEFINANCE(""BOM:"" &amp; K572,""price"")"),0)</f>
        <v>0</v>
      </c>
      <c r="P572" s="8">
        <v>0</v>
      </c>
      <c r="Q572" s="12">
        <f t="shared" si="174"/>
        <v>0</v>
      </c>
      <c r="R572" s="13">
        <f t="shared" ca="1" si="175"/>
        <v>0</v>
      </c>
      <c r="S572" s="63"/>
      <c r="T572" s="8">
        <v>503162</v>
      </c>
      <c r="U572" s="8" t="s">
        <v>2377</v>
      </c>
      <c r="V572" s="12">
        <v>7342975</v>
      </c>
      <c r="W572" s="8">
        <v>221</v>
      </c>
      <c r="X572" s="11">
        <f ca="1">IFERROR(__xludf.DUMMYFUNCTION("GOOGLEFINANCE(""BOM:"" &amp; T572,""price"")"),193.9)</f>
        <v>193.9</v>
      </c>
      <c r="Y572" s="8">
        <f t="shared" ca="1" si="181"/>
        <v>-12.262443438914024</v>
      </c>
      <c r="Z572" s="12">
        <f t="shared" si="182"/>
        <v>1622797475</v>
      </c>
      <c r="AA572" s="13">
        <f t="shared" ca="1" si="183"/>
        <v>1423802852.5</v>
      </c>
      <c r="AB572" s="63"/>
      <c r="AC572" s="8">
        <v>532892</v>
      </c>
      <c r="AD572" s="8" t="s">
        <v>2378</v>
      </c>
      <c r="AE572" s="12">
        <v>149060859</v>
      </c>
      <c r="AF572" s="8">
        <v>1650.05</v>
      </c>
      <c r="AG572" s="8">
        <f ca="1">IFERROR(__xludf.DUMMYFUNCTION("GOOGLEFINANCE(""BOM:"" &amp; AC572,""price"")"),1670)</f>
        <v>1670</v>
      </c>
      <c r="AH572" s="8">
        <f t="shared" ca="1" si="184"/>
        <v>1.2090542710826973</v>
      </c>
      <c r="AI572" s="12">
        <f t="shared" si="185"/>
        <v>245957870392.94998</v>
      </c>
      <c r="AJ572" s="13">
        <f t="shared" ca="1" si="186"/>
        <v>248931634530</v>
      </c>
    </row>
    <row r="573" spans="1:36" x14ac:dyDescent="0.25">
      <c r="A573" s="63"/>
      <c r="B573" s="8">
        <v>517044</v>
      </c>
      <c r="C573" s="8" t="s">
        <v>2379</v>
      </c>
      <c r="D573" s="12">
        <v>723238</v>
      </c>
      <c r="E573" s="8">
        <v>17.37</v>
      </c>
      <c r="F573" s="8">
        <f ca="1">IFERROR(__xludf.DUMMYFUNCTION("GOOGLEFINANCE(""BOM:"" &amp; B573,""price"")"),28.62)</f>
        <v>28.62</v>
      </c>
      <c r="G573" s="8">
        <f t="shared" ca="1" si="163"/>
        <v>64.766839378238345</v>
      </c>
      <c r="H573" s="12">
        <f t="shared" si="164"/>
        <v>12562644.060000001</v>
      </c>
      <c r="I573" s="13">
        <f t="shared" ca="1" si="165"/>
        <v>20699071.560000002</v>
      </c>
      <c r="J573" s="63"/>
      <c r="K573" s="8">
        <v>526977</v>
      </c>
      <c r="L573" s="8" t="s">
        <v>2380</v>
      </c>
      <c r="M573" s="12">
        <v>3905049</v>
      </c>
      <c r="N573" s="10">
        <v>8.94</v>
      </c>
      <c r="O573" s="10">
        <f ca="1">IFERROR(__xludf.DUMMYFUNCTION("GOOGLEFINANCE(""BOM:"" &amp; K573,""price"")"),8.94)</f>
        <v>8.94</v>
      </c>
      <c r="P573" s="8">
        <f t="shared" ref="P573:P589" ca="1" si="187">((O573-N573)/N573)*100</f>
        <v>0</v>
      </c>
      <c r="Q573" s="12">
        <f t="shared" si="174"/>
        <v>34911138.059999995</v>
      </c>
      <c r="R573" s="13">
        <f t="shared" ca="1" si="175"/>
        <v>34911138.059999995</v>
      </c>
      <c r="S573" s="63"/>
      <c r="T573" s="8">
        <v>531952</v>
      </c>
      <c r="U573" s="8" t="s">
        <v>2381</v>
      </c>
      <c r="V573" s="12">
        <v>9652870</v>
      </c>
      <c r="W573" s="8">
        <v>71.73</v>
      </c>
      <c r="X573" s="11">
        <f ca="1">IFERROR(__xludf.DUMMYFUNCTION("GOOGLEFINANCE(""BOM:"" &amp; T573,""price"")"),73)</f>
        <v>73</v>
      </c>
      <c r="Y573" s="8">
        <f t="shared" ca="1" si="181"/>
        <v>1.7705283702774237</v>
      </c>
      <c r="Z573" s="12">
        <f t="shared" si="182"/>
        <v>692400365.10000002</v>
      </c>
      <c r="AA573" s="13">
        <f t="shared" ca="1" si="183"/>
        <v>704659510</v>
      </c>
      <c r="AB573" s="63"/>
      <c r="AC573" s="8">
        <v>511200</v>
      </c>
      <c r="AD573" s="8" t="s">
        <v>2382</v>
      </c>
      <c r="AE573" s="12">
        <v>7733242</v>
      </c>
      <c r="AF573" s="8">
        <v>199.8</v>
      </c>
      <c r="AG573" s="8">
        <f ca="1">IFERROR(__xludf.DUMMYFUNCTION("GOOGLEFINANCE(""BOM:"" &amp; AC573,""price"")"),197.4)</f>
        <v>197.4</v>
      </c>
      <c r="AH573" s="8">
        <f t="shared" ca="1" si="184"/>
        <v>-1.2012012012012039</v>
      </c>
      <c r="AI573" s="12">
        <f t="shared" si="185"/>
        <v>1545101751.6000001</v>
      </c>
      <c r="AJ573" s="13">
        <f t="shared" ca="1" si="186"/>
        <v>1526541970.8</v>
      </c>
    </row>
    <row r="574" spans="1:36" x14ac:dyDescent="0.25">
      <c r="A574" s="63"/>
      <c r="B574" s="8">
        <v>513295</v>
      </c>
      <c r="C574" s="8" t="s">
        <v>2383</v>
      </c>
      <c r="D574" s="12">
        <v>47147636</v>
      </c>
      <c r="E574" s="8" t="s">
        <v>44</v>
      </c>
      <c r="F574" s="8" t="s">
        <v>44</v>
      </c>
      <c r="G574" s="8"/>
      <c r="H574" s="12"/>
      <c r="I574" s="13"/>
      <c r="J574" s="63"/>
      <c r="K574" s="8">
        <v>520081</v>
      </c>
      <c r="L574" s="8" t="s">
        <v>2384</v>
      </c>
      <c r="M574" s="12">
        <v>4362108</v>
      </c>
      <c r="N574" s="10">
        <v>30.15</v>
      </c>
      <c r="O574" s="10">
        <f ca="1">IFERROR(__xludf.DUMMYFUNCTION("GOOGLEFINANCE(""BOM:"" &amp; K574,""price"")"),27.22)</f>
        <v>27.22</v>
      </c>
      <c r="P574" s="8">
        <f t="shared" ca="1" si="187"/>
        <v>-9.7180762852404641</v>
      </c>
      <c r="Q574" s="12">
        <f t="shared" si="174"/>
        <v>131517556.19999999</v>
      </c>
      <c r="R574" s="13">
        <f t="shared" ca="1" si="175"/>
        <v>118736579.75999999</v>
      </c>
      <c r="S574" s="63"/>
      <c r="T574" s="8">
        <v>514177</v>
      </c>
      <c r="U574" s="8" t="s">
        <v>2385</v>
      </c>
      <c r="V574" s="12">
        <v>1609270</v>
      </c>
      <c r="W574" s="8">
        <v>76</v>
      </c>
      <c r="X574" s="11">
        <f ca="1">IFERROR(__xludf.DUMMYFUNCTION("GOOGLEFINANCE(""BOM:"" &amp; T574,""price"")"),79.61)</f>
        <v>79.61</v>
      </c>
      <c r="Y574" s="8">
        <f t="shared" ca="1" si="181"/>
        <v>4.7499999999999991</v>
      </c>
      <c r="Z574" s="12">
        <f t="shared" si="182"/>
        <v>122304520</v>
      </c>
      <c r="AA574" s="13">
        <f t="shared" ca="1" si="183"/>
        <v>128113984.7</v>
      </c>
      <c r="AB574" s="63"/>
      <c r="AC574" s="8">
        <v>538862</v>
      </c>
      <c r="AD574" s="8" t="s">
        <v>2386</v>
      </c>
      <c r="AE574" s="12">
        <v>13892590</v>
      </c>
      <c r="AF574" s="8">
        <v>14.71</v>
      </c>
      <c r="AG574" s="8">
        <f ca="1">IFERROR(__xludf.DUMMYFUNCTION("GOOGLEFINANCE(""BOM:"" &amp; AC574,""price"")"),15.44)</f>
        <v>15.44</v>
      </c>
      <c r="AH574" s="8">
        <f t="shared" ca="1" si="184"/>
        <v>4.9626104690686512</v>
      </c>
      <c r="AI574" s="12">
        <f t="shared" si="185"/>
        <v>204359998.90000001</v>
      </c>
      <c r="AJ574" s="13">
        <f t="shared" ca="1" si="186"/>
        <v>214501589.59999999</v>
      </c>
    </row>
    <row r="575" spans="1:36" x14ac:dyDescent="0.25">
      <c r="A575" s="63"/>
      <c r="B575" s="8">
        <v>542446</v>
      </c>
      <c r="C575" s="8" t="s">
        <v>2387</v>
      </c>
      <c r="D575" s="12">
        <v>7693932</v>
      </c>
      <c r="E575" s="8">
        <v>11.72</v>
      </c>
      <c r="F575" s="8">
        <f ca="1">IFERROR(__xludf.DUMMYFUNCTION("GOOGLEFINANCE(""BOM:"" &amp; B575,""price"")"),10.1)</f>
        <v>10.1</v>
      </c>
      <c r="G575" s="8">
        <f t="shared" ref="G575:G584" ca="1" si="188">((F575-E575)/E575)*100</f>
        <v>-13.822525597269633</v>
      </c>
      <c r="H575" s="12">
        <f t="shared" ref="H575:H642" si="189">D575*E575</f>
        <v>90172883.040000007</v>
      </c>
      <c r="I575" s="13">
        <f t="shared" ref="I575:I642" ca="1" si="190">D575*F575</f>
        <v>77708713.200000003</v>
      </c>
      <c r="J575" s="63"/>
      <c r="K575" s="8">
        <v>513452</v>
      </c>
      <c r="L575" s="8" t="s">
        <v>2388</v>
      </c>
      <c r="M575" s="12">
        <v>2087250</v>
      </c>
      <c r="N575" s="10">
        <v>14.7</v>
      </c>
      <c r="O575" s="10">
        <f ca="1">IFERROR(__xludf.DUMMYFUNCTION("GOOGLEFINANCE(""BOM:"" &amp; K575,""price"")"),10.62)</f>
        <v>10.62</v>
      </c>
      <c r="P575" s="8">
        <f t="shared" ca="1" si="187"/>
        <v>-27.755102040816325</v>
      </c>
      <c r="Q575" s="12">
        <f t="shared" si="174"/>
        <v>30682575</v>
      </c>
      <c r="R575" s="13">
        <f t="shared" ca="1" si="175"/>
        <v>22166595</v>
      </c>
      <c r="S575" s="63"/>
      <c r="T575" s="8">
        <v>512618</v>
      </c>
      <c r="U575" s="8" t="s">
        <v>2389</v>
      </c>
      <c r="V575" s="12">
        <v>7329998</v>
      </c>
      <c r="W575" s="8">
        <v>9.8000000000000007</v>
      </c>
      <c r="X575" s="11">
        <f ca="1">IFERROR(__xludf.DUMMYFUNCTION("GOOGLEFINANCE(""BOM:"" &amp; T575,""price"")"),7.69)</f>
        <v>7.69</v>
      </c>
      <c r="Y575" s="8">
        <f t="shared" ca="1" si="181"/>
        <v>-21.530612244897963</v>
      </c>
      <c r="Z575" s="12">
        <f t="shared" si="182"/>
        <v>71833980.400000006</v>
      </c>
      <c r="AA575" s="13">
        <f t="shared" ca="1" si="183"/>
        <v>56367684.620000005</v>
      </c>
      <c r="AB575" s="63"/>
      <c r="AC575" s="8">
        <v>570005</v>
      </c>
      <c r="AD575" s="8" t="s">
        <v>2390</v>
      </c>
      <c r="AE575" s="12">
        <v>56971457</v>
      </c>
      <c r="AF575" s="8">
        <v>4.67</v>
      </c>
      <c r="AG575" s="8">
        <f ca="1">IFERROR(__xludf.DUMMYFUNCTION("GOOGLEFINANCE(""BOM:"" &amp; AC575,""price"")"),3.08)</f>
        <v>3.08</v>
      </c>
      <c r="AH575" s="8">
        <f t="shared" ca="1" si="184"/>
        <v>-34.047109207708779</v>
      </c>
      <c r="AI575" s="12">
        <f t="shared" si="185"/>
        <v>266056704.19</v>
      </c>
      <c r="AJ575" s="13">
        <f t="shared" ca="1" si="186"/>
        <v>175472087.56</v>
      </c>
    </row>
    <row r="576" spans="1:36" x14ac:dyDescent="0.25">
      <c r="A576" s="63"/>
      <c r="B576" s="8">
        <v>501261</v>
      </c>
      <c r="C576" s="8" t="s">
        <v>2391</v>
      </c>
      <c r="D576" s="12">
        <v>658967</v>
      </c>
      <c r="E576" s="8">
        <v>308.7</v>
      </c>
      <c r="F576" s="8">
        <f ca="1">IFERROR(__xludf.DUMMYFUNCTION("GOOGLEFINANCE(""BOM:"" &amp; B576,""price"")"),324.1)</f>
        <v>324.10000000000002</v>
      </c>
      <c r="G576" s="8">
        <f t="shared" ca="1" si="188"/>
        <v>4.9886621315192858</v>
      </c>
      <c r="H576" s="12">
        <f t="shared" si="189"/>
        <v>203423112.90000001</v>
      </c>
      <c r="I576" s="13">
        <f t="shared" ca="1" si="190"/>
        <v>213571204.70000002</v>
      </c>
      <c r="J576" s="63"/>
      <c r="K576" s="8">
        <v>526608</v>
      </c>
      <c r="L576" s="8" t="s">
        <v>2392</v>
      </c>
      <c r="M576" s="12">
        <v>11632157</v>
      </c>
      <c r="N576" s="10">
        <v>522.95000000000005</v>
      </c>
      <c r="O576" s="10">
        <f ca="1">IFERROR(__xludf.DUMMYFUNCTION("GOOGLEFINANCE(""BOM:"" &amp; K576,""price"")"),541.6)</f>
        <v>541.6</v>
      </c>
      <c r="P576" s="8">
        <f t="shared" ca="1" si="187"/>
        <v>3.5663065302610146</v>
      </c>
      <c r="Q576" s="12">
        <f t="shared" si="174"/>
        <v>6083036503.1500006</v>
      </c>
      <c r="R576" s="13">
        <f t="shared" ca="1" si="175"/>
        <v>6299976231.1999998</v>
      </c>
      <c r="S576" s="63"/>
      <c r="T576" s="8">
        <v>538119</v>
      </c>
      <c r="U576" s="8" t="s">
        <v>2393</v>
      </c>
      <c r="V576" s="12">
        <v>69973390</v>
      </c>
      <c r="W576" s="8">
        <v>59.77</v>
      </c>
      <c r="X576" s="11">
        <f ca="1">IFERROR(__xludf.DUMMYFUNCTION("GOOGLEFINANCE(""BOM:"" &amp; T576,""price"")"),61.2)</f>
        <v>61.2</v>
      </c>
      <c r="Y576" s="8">
        <f t="shared" ca="1" si="181"/>
        <v>2.3925046009703856</v>
      </c>
      <c r="Z576" s="12">
        <f t="shared" si="182"/>
        <v>4182309520.3000002</v>
      </c>
      <c r="AA576" s="13">
        <f t="shared" ca="1" si="183"/>
        <v>4282371468</v>
      </c>
      <c r="AB576" s="63"/>
      <c r="AC576" s="8">
        <v>512393</v>
      </c>
      <c r="AD576" s="8" t="s">
        <v>2394</v>
      </c>
      <c r="AE576" s="12">
        <v>16973428</v>
      </c>
      <c r="AF576" s="8">
        <v>232.2</v>
      </c>
      <c r="AG576" s="8">
        <f ca="1">IFERROR(__xludf.DUMMYFUNCTION("GOOGLEFINANCE(""BOM:"" &amp; AC576,""price"")"),176.95)</f>
        <v>176.95</v>
      </c>
      <c r="AH576" s="8">
        <f t="shared" ca="1" si="184"/>
        <v>-23.794142980189491</v>
      </c>
      <c r="AI576" s="12">
        <f t="shared" si="185"/>
        <v>3941229981.5999999</v>
      </c>
      <c r="AJ576" s="13">
        <f t="shared" ca="1" si="186"/>
        <v>3003448084.5999999</v>
      </c>
    </row>
    <row r="577" spans="1:36" x14ac:dyDescent="0.25">
      <c r="A577" s="63"/>
      <c r="B577" s="8">
        <v>541196</v>
      </c>
      <c r="C577" s="8" t="s">
        <v>2395</v>
      </c>
      <c r="D577" s="12">
        <v>4190000</v>
      </c>
      <c r="E577" s="8">
        <v>73.36</v>
      </c>
      <c r="F577" s="8">
        <f ca="1">IFERROR(__xludf.DUMMYFUNCTION("GOOGLEFINANCE(""BOM:"" &amp; B577,""price"")"),76.5)</f>
        <v>76.5</v>
      </c>
      <c r="G577" s="8">
        <f t="shared" ca="1" si="188"/>
        <v>4.2802617230098159</v>
      </c>
      <c r="H577" s="12">
        <f t="shared" si="189"/>
        <v>307378400</v>
      </c>
      <c r="I577" s="13">
        <f t="shared" ca="1" si="190"/>
        <v>320535000</v>
      </c>
      <c r="J577" s="63"/>
      <c r="K577" s="8">
        <v>533275</v>
      </c>
      <c r="L577" s="8" t="s">
        <v>2396</v>
      </c>
      <c r="M577" s="12">
        <v>158275530</v>
      </c>
      <c r="N577" s="10">
        <v>4.04</v>
      </c>
      <c r="O577" s="10">
        <f ca="1">IFERROR(__xludf.DUMMYFUNCTION("GOOGLEFINANCE(""BOM:"" &amp; K577,""price"")"),3.1)</f>
        <v>3.1</v>
      </c>
      <c r="P577" s="8">
        <f t="shared" ca="1" si="187"/>
        <v>-23.267326732673265</v>
      </c>
      <c r="Q577" s="12">
        <f t="shared" si="174"/>
        <v>639433141.20000005</v>
      </c>
      <c r="R577" s="13">
        <f t="shared" ca="1" si="175"/>
        <v>490654143</v>
      </c>
      <c r="S577" s="63"/>
      <c r="T577" s="8">
        <v>531307</v>
      </c>
      <c r="U577" s="8" t="s">
        <v>2397</v>
      </c>
      <c r="V577" s="12">
        <v>121207716</v>
      </c>
      <c r="W577" s="8">
        <v>27.44</v>
      </c>
      <c r="X577" s="11">
        <f ca="1">IFERROR(__xludf.DUMMYFUNCTION("GOOGLEFINANCE(""BOM:"" &amp; T577,""price"")"),26.26)</f>
        <v>26.26</v>
      </c>
      <c r="Y577" s="8">
        <f t="shared" ca="1" si="181"/>
        <v>-4.300291545189503</v>
      </c>
      <c r="Z577" s="12">
        <f t="shared" si="182"/>
        <v>3325939727.04</v>
      </c>
      <c r="AA577" s="13">
        <f t="shared" ca="1" si="183"/>
        <v>3182914622.1600003</v>
      </c>
      <c r="AB577" s="63"/>
      <c r="AC577" s="8">
        <v>540725</v>
      </c>
      <c r="AD577" s="8" t="s">
        <v>2398</v>
      </c>
      <c r="AE577" s="12">
        <v>31906588</v>
      </c>
      <c r="AF577" s="8">
        <v>1893.35</v>
      </c>
      <c r="AG577" s="8">
        <f ca="1">IFERROR(__xludf.DUMMYFUNCTION("GOOGLEFINANCE(""BOM:"" &amp; AC577,""price"")"),1600)</f>
        <v>1600</v>
      </c>
      <c r="AH577" s="8">
        <f t="shared" ca="1" si="184"/>
        <v>-15.49370163995035</v>
      </c>
      <c r="AI577" s="12">
        <f t="shared" si="185"/>
        <v>60410338389.799995</v>
      </c>
      <c r="AJ577" s="13">
        <f t="shared" ca="1" si="186"/>
        <v>51050540800</v>
      </c>
    </row>
    <row r="578" spans="1:36" x14ac:dyDescent="0.25">
      <c r="A578" s="63"/>
      <c r="B578" s="8">
        <v>539927</v>
      </c>
      <c r="C578" s="8" t="s">
        <v>2399</v>
      </c>
      <c r="D578" s="12">
        <v>7067148</v>
      </c>
      <c r="E578" s="8">
        <v>142.25</v>
      </c>
      <c r="F578" s="8">
        <f ca="1">IFERROR(__xludf.DUMMYFUNCTION("GOOGLEFINANCE(""BOM:"" &amp; B578,""price"")"),140.5)</f>
        <v>140.5</v>
      </c>
      <c r="G578" s="8">
        <f t="shared" ca="1" si="188"/>
        <v>-1.2302284710017575</v>
      </c>
      <c r="H578" s="12">
        <f t="shared" si="189"/>
        <v>1005301803</v>
      </c>
      <c r="I578" s="13">
        <f t="shared" ca="1" si="190"/>
        <v>992934294</v>
      </c>
      <c r="J578" s="63"/>
      <c r="K578" s="8">
        <v>532726</v>
      </c>
      <c r="L578" s="8" t="s">
        <v>2400</v>
      </c>
      <c r="M578" s="12">
        <v>81322293</v>
      </c>
      <c r="N578" s="10">
        <v>216.75</v>
      </c>
      <c r="O578" s="10">
        <f ca="1">IFERROR(__xludf.DUMMYFUNCTION("GOOGLEFINANCE(""BOM:"" &amp; K578,""price"")"),193.9)</f>
        <v>193.9</v>
      </c>
      <c r="P578" s="8">
        <f t="shared" ca="1" si="187"/>
        <v>-10.54209919261822</v>
      </c>
      <c r="Q578" s="12">
        <f t="shared" si="174"/>
        <v>17626607007.75</v>
      </c>
      <c r="R578" s="13">
        <f t="shared" ca="1" si="175"/>
        <v>15768392612.700001</v>
      </c>
      <c r="S578" s="63"/>
      <c r="T578" s="8">
        <v>530179</v>
      </c>
      <c r="U578" s="8" t="s">
        <v>2401</v>
      </c>
      <c r="V578" s="12">
        <v>3527055</v>
      </c>
      <c r="W578" s="8">
        <v>9.76</v>
      </c>
      <c r="X578" s="11">
        <f ca="1">IFERROR(__xludf.DUMMYFUNCTION("GOOGLEFINANCE(""BOM:"" &amp; T578,""price"")"),8.28)</f>
        <v>8.2799999999999994</v>
      </c>
      <c r="Y578" s="8">
        <f t="shared" ca="1" si="181"/>
        <v>-15.163934426229513</v>
      </c>
      <c r="Z578" s="12">
        <f t="shared" si="182"/>
        <v>34424056.799999997</v>
      </c>
      <c r="AA578" s="13">
        <f t="shared" ca="1" si="183"/>
        <v>29204015.399999999</v>
      </c>
      <c r="AB578" s="63"/>
      <c r="AC578" s="8">
        <v>543263</v>
      </c>
      <c r="AD578" s="8" t="s">
        <v>2402</v>
      </c>
      <c r="AE578" s="12">
        <v>110028101</v>
      </c>
      <c r="AF578" s="8">
        <v>133</v>
      </c>
      <c r="AG578" s="8">
        <f ca="1">IFERROR(__xludf.DUMMYFUNCTION("GOOGLEFINANCE(""BOM:"" &amp; AC578,""price"")"),124.2)</f>
        <v>124.2</v>
      </c>
      <c r="AH578" s="8">
        <f t="shared" ca="1" si="184"/>
        <v>-6.6165413533834565</v>
      </c>
      <c r="AI578" s="12">
        <f t="shared" si="185"/>
        <v>14633737433</v>
      </c>
      <c r="AJ578" s="13">
        <f t="shared" ca="1" si="186"/>
        <v>13665490144.200001</v>
      </c>
    </row>
    <row r="579" spans="1:36" x14ac:dyDescent="0.25">
      <c r="A579" s="63"/>
      <c r="B579" s="8">
        <v>543305</v>
      </c>
      <c r="C579" s="8" t="s">
        <v>2403</v>
      </c>
      <c r="D579" s="12">
        <v>3854000</v>
      </c>
      <c r="E579" s="8">
        <v>8.99</v>
      </c>
      <c r="F579" s="8">
        <f ca="1">IFERROR(__xludf.DUMMYFUNCTION("GOOGLEFINANCE(""BOM:"" &amp; B579,""price"")"),7.27)</f>
        <v>7.27</v>
      </c>
      <c r="G579" s="8">
        <f t="shared" ca="1" si="188"/>
        <v>-19.132369299221363</v>
      </c>
      <c r="H579" s="12">
        <f t="shared" si="189"/>
        <v>34647460</v>
      </c>
      <c r="I579" s="13">
        <f t="shared" ca="1" si="190"/>
        <v>28018580</v>
      </c>
      <c r="J579" s="63"/>
      <c r="K579" s="8">
        <v>513108</v>
      </c>
      <c r="L579" s="8" t="s">
        <v>2404</v>
      </c>
      <c r="M579" s="12">
        <v>11757779</v>
      </c>
      <c r="N579" s="10">
        <v>798.05</v>
      </c>
      <c r="O579" s="10">
        <f ca="1">IFERROR(__xludf.DUMMYFUNCTION("GOOGLEFINANCE(""BOM:"" &amp; K579,""price"")"),725.25)</f>
        <v>725.25</v>
      </c>
      <c r="P579" s="8">
        <f t="shared" ca="1" si="187"/>
        <v>-9.1222354489067037</v>
      </c>
      <c r="Q579" s="12">
        <f t="shared" si="174"/>
        <v>9383295530.9499989</v>
      </c>
      <c r="R579" s="13">
        <f t="shared" ca="1" si="175"/>
        <v>8527329219.75</v>
      </c>
      <c r="S579" s="63"/>
      <c r="T579" s="8">
        <v>500350</v>
      </c>
      <c r="U579" s="8" t="s">
        <v>2405</v>
      </c>
      <c r="V579" s="12">
        <v>22910982</v>
      </c>
      <c r="W579" s="8">
        <v>193.55</v>
      </c>
      <c r="X579" s="11">
        <f ca="1">IFERROR(__xludf.DUMMYFUNCTION("GOOGLEFINANCE(""BOM:"" &amp; T579,""price"")"),169.9)</f>
        <v>169.9</v>
      </c>
      <c r="Y579" s="8">
        <f t="shared" ca="1" si="181"/>
        <v>-12.219064841126325</v>
      </c>
      <c r="Z579" s="12">
        <f t="shared" si="182"/>
        <v>4434420566.1000004</v>
      </c>
      <c r="AA579" s="13">
        <f t="shared" ca="1" si="183"/>
        <v>3892575841.8000002</v>
      </c>
      <c r="AB579" s="63"/>
      <c r="AC579" s="8">
        <v>531723</v>
      </c>
      <c r="AD579" s="8" t="s">
        <v>2406</v>
      </c>
      <c r="AE579" s="12">
        <v>228456840</v>
      </c>
      <c r="AF579" s="8">
        <v>1.69</v>
      </c>
      <c r="AG579" s="8">
        <f ca="1">IFERROR(__xludf.DUMMYFUNCTION("GOOGLEFINANCE(""BOM:"" &amp; AC579,""price"")"),1.17)</f>
        <v>1.17</v>
      </c>
      <c r="AH579" s="8">
        <f t="shared" ca="1" si="184"/>
        <v>-30.76923076923077</v>
      </c>
      <c r="AI579" s="12">
        <f t="shared" si="185"/>
        <v>386092059.59999996</v>
      </c>
      <c r="AJ579" s="13">
        <f t="shared" ca="1" si="186"/>
        <v>267294502.79999998</v>
      </c>
    </row>
    <row r="580" spans="1:36" x14ac:dyDescent="0.25">
      <c r="A580" s="63"/>
      <c r="B580" s="8">
        <v>523151</v>
      </c>
      <c r="C580" s="8" t="s">
        <v>2407</v>
      </c>
      <c r="D580" s="12">
        <v>12327785</v>
      </c>
      <c r="E580" s="8">
        <v>7.19</v>
      </c>
      <c r="F580" s="8">
        <f ca="1">IFERROR(__xludf.DUMMYFUNCTION("GOOGLEFINANCE(""BOM:"" &amp; B580,""price"")"),5.54)</f>
        <v>5.54</v>
      </c>
      <c r="G580" s="8">
        <f t="shared" ca="1" si="188"/>
        <v>-22.948539638386652</v>
      </c>
      <c r="H580" s="12">
        <f t="shared" si="189"/>
        <v>88636774.150000006</v>
      </c>
      <c r="I580" s="13">
        <f t="shared" ca="1" si="190"/>
        <v>68295928.900000006</v>
      </c>
      <c r="J580" s="63"/>
      <c r="K580" s="8">
        <v>530615</v>
      </c>
      <c r="L580" s="8" t="s">
        <v>2408</v>
      </c>
      <c r="M580" s="12">
        <v>3838485</v>
      </c>
      <c r="N580" s="10">
        <v>362.4</v>
      </c>
      <c r="O580" s="10">
        <f ca="1">IFERROR(__xludf.DUMMYFUNCTION("GOOGLEFINANCE(""BOM:"" &amp; K580,""price"")"),339)</f>
        <v>339</v>
      </c>
      <c r="P580" s="8">
        <f t="shared" ca="1" si="187"/>
        <v>-6.4569536423841001</v>
      </c>
      <c r="Q580" s="12">
        <f t="shared" si="174"/>
        <v>1391066964</v>
      </c>
      <c r="R580" s="13">
        <f t="shared" ca="1" si="175"/>
        <v>1301246415</v>
      </c>
      <c r="S580" s="63"/>
      <c r="T580" s="8">
        <v>503169</v>
      </c>
      <c r="U580" s="8" t="s">
        <v>2409</v>
      </c>
      <c r="V580" s="12">
        <v>33338920</v>
      </c>
      <c r="W580" s="8">
        <v>218</v>
      </c>
      <c r="X580" s="11">
        <f ca="1">IFERROR(__xludf.DUMMYFUNCTION("GOOGLEFINANCE(""BOM:"" &amp; T580,""price"")"),182.05)</f>
        <v>182.05</v>
      </c>
      <c r="Y580" s="8">
        <f t="shared" ca="1" si="181"/>
        <v>-16.490825688073389</v>
      </c>
      <c r="Z580" s="12">
        <f t="shared" si="182"/>
        <v>7267884560</v>
      </c>
      <c r="AA580" s="13">
        <f t="shared" ca="1" si="183"/>
        <v>6069350386</v>
      </c>
      <c r="AB580" s="63"/>
      <c r="AC580" s="8">
        <v>530585</v>
      </c>
      <c r="AD580" s="8" t="s">
        <v>2410</v>
      </c>
      <c r="AE580" s="12">
        <v>2907870</v>
      </c>
      <c r="AF580" s="8">
        <v>511</v>
      </c>
      <c r="AG580" s="8">
        <f ca="1">IFERROR(__xludf.DUMMYFUNCTION("GOOGLEFINANCE(""BOM:"" &amp; AC580,""price"")"),614.15)</f>
        <v>614.15</v>
      </c>
      <c r="AH580" s="8">
        <f t="shared" ca="1" si="184"/>
        <v>20.185909980430523</v>
      </c>
      <c r="AI580" s="12">
        <f t="shared" si="185"/>
        <v>1485921570</v>
      </c>
      <c r="AJ580" s="13">
        <f t="shared" ca="1" si="186"/>
        <v>1785868360.5</v>
      </c>
    </row>
    <row r="581" spans="1:36" x14ac:dyDescent="0.25">
      <c r="A581" s="63"/>
      <c r="B581" s="8">
        <v>531364</v>
      </c>
      <c r="C581" s="8" t="s">
        <v>2411</v>
      </c>
      <c r="D581" s="12">
        <v>14622800</v>
      </c>
      <c r="E581" s="8">
        <v>59.4</v>
      </c>
      <c r="F581" s="8">
        <f ca="1">IFERROR(__xludf.DUMMYFUNCTION("GOOGLEFINANCE(""BOM:"" &amp; B581,""price"")"),54.1)</f>
        <v>54.1</v>
      </c>
      <c r="G581" s="8">
        <f t="shared" ca="1" si="188"/>
        <v>-8.9225589225589186</v>
      </c>
      <c r="H581" s="12">
        <f t="shared" si="189"/>
        <v>868594320</v>
      </c>
      <c r="I581" s="13">
        <f t="shared" ca="1" si="190"/>
        <v>791093480</v>
      </c>
      <c r="J581" s="63"/>
      <c r="K581" s="8">
        <v>530655</v>
      </c>
      <c r="L581" s="8" t="s">
        <v>2412</v>
      </c>
      <c r="M581" s="12">
        <v>25820745</v>
      </c>
      <c r="N581" s="10">
        <v>978.75</v>
      </c>
      <c r="O581" s="10">
        <f ca="1">IFERROR(__xludf.DUMMYFUNCTION("GOOGLEFINANCE(""BOM:"" &amp; K581,""price"")"),849)</f>
        <v>849</v>
      </c>
      <c r="P581" s="8">
        <f t="shared" ca="1" si="187"/>
        <v>-13.256704980842912</v>
      </c>
      <c r="Q581" s="12">
        <f t="shared" si="174"/>
        <v>25272054168.75</v>
      </c>
      <c r="R581" s="13">
        <f t="shared" ca="1" si="175"/>
        <v>21921812505</v>
      </c>
      <c r="S581" s="63"/>
      <c r="T581" s="8">
        <v>590056</v>
      </c>
      <c r="U581" s="8" t="s">
        <v>2413</v>
      </c>
      <c r="V581" s="12">
        <v>4900800</v>
      </c>
      <c r="W581" s="8">
        <v>335.3</v>
      </c>
      <c r="X581" s="11">
        <f ca="1">IFERROR(__xludf.DUMMYFUNCTION("GOOGLEFINANCE(""BOM:"" &amp; T581,""price"")"),319.95)</f>
        <v>319.95</v>
      </c>
      <c r="Y581" s="8">
        <f t="shared" ca="1" si="181"/>
        <v>-4.577989859827027</v>
      </c>
      <c r="Z581" s="12">
        <f t="shared" si="182"/>
        <v>1643238240</v>
      </c>
      <c r="AA581" s="13">
        <f t="shared" ca="1" si="183"/>
        <v>1568010960</v>
      </c>
      <c r="AB581" s="63"/>
      <c r="AC581" s="8">
        <v>526506</v>
      </c>
      <c r="AD581" s="8" t="s">
        <v>2414</v>
      </c>
      <c r="AE581" s="12">
        <v>12480865</v>
      </c>
      <c r="AF581" s="8">
        <v>899</v>
      </c>
      <c r="AG581" s="8">
        <f ca="1">IFERROR(__xludf.DUMMYFUNCTION("GOOGLEFINANCE(""BOM:"" &amp; AC581,""price"")"),780)</f>
        <v>780</v>
      </c>
      <c r="AH581" s="8">
        <f t="shared" ca="1" si="184"/>
        <v>-13.236929922135706</v>
      </c>
      <c r="AI581" s="12">
        <f t="shared" si="185"/>
        <v>11220297635</v>
      </c>
      <c r="AJ581" s="13">
        <f t="shared" ca="1" si="186"/>
        <v>9735074700</v>
      </c>
    </row>
    <row r="582" spans="1:36" x14ac:dyDescent="0.25">
      <c r="A582" s="63"/>
      <c r="B582" s="8">
        <v>540703</v>
      </c>
      <c r="C582" s="8" t="s">
        <v>2415</v>
      </c>
      <c r="D582" s="12">
        <v>4414527</v>
      </c>
      <c r="E582" s="8">
        <v>7.8</v>
      </c>
      <c r="F582" s="8">
        <f ca="1">IFERROR(__xludf.DUMMYFUNCTION("GOOGLEFINANCE(""BOM:"" &amp; B582,""price"")"),6.82)</f>
        <v>6.82</v>
      </c>
      <c r="G582" s="8">
        <f t="shared" ca="1" si="188"/>
        <v>-12.564102564102559</v>
      </c>
      <c r="H582" s="12">
        <f t="shared" si="189"/>
        <v>34433310.600000001</v>
      </c>
      <c r="I582" s="13">
        <f t="shared" ca="1" si="190"/>
        <v>30107074.140000001</v>
      </c>
      <c r="J582" s="63"/>
      <c r="K582" s="8">
        <v>531913</v>
      </c>
      <c r="L582" s="8" t="s">
        <v>2416</v>
      </c>
      <c r="M582" s="12">
        <v>4176700</v>
      </c>
      <c r="N582" s="10">
        <v>7.83</v>
      </c>
      <c r="O582" s="10">
        <f ca="1">IFERROR(__xludf.DUMMYFUNCTION("GOOGLEFINANCE(""BOM:"" &amp; K582,""price"")"),6.61)</f>
        <v>6.61</v>
      </c>
      <c r="P582" s="8">
        <f t="shared" ca="1" si="187"/>
        <v>-15.581098339719027</v>
      </c>
      <c r="Q582" s="12">
        <f t="shared" si="174"/>
        <v>32703561</v>
      </c>
      <c r="R582" s="13">
        <f t="shared" ca="1" si="175"/>
        <v>27607987</v>
      </c>
      <c r="S582" s="63"/>
      <c r="T582" s="8">
        <v>521240</v>
      </c>
      <c r="U582" s="8" t="s">
        <v>2417</v>
      </c>
      <c r="V582" s="12">
        <v>4144747</v>
      </c>
      <c r="W582" s="8">
        <v>165</v>
      </c>
      <c r="X582" s="11">
        <f ca="1">IFERROR(__xludf.DUMMYFUNCTION("GOOGLEFINANCE(""BOM:"" &amp; T582,""price"")"),142)</f>
        <v>142</v>
      </c>
      <c r="Y582" s="8">
        <f t="shared" ca="1" si="181"/>
        <v>-13.939393939393941</v>
      </c>
      <c r="Z582" s="12">
        <f t="shared" si="182"/>
        <v>683883255</v>
      </c>
      <c r="AA582" s="13">
        <f t="shared" ca="1" si="183"/>
        <v>588554074</v>
      </c>
      <c r="AB582" s="64"/>
      <c r="AC582" s="14">
        <v>532053</v>
      </c>
      <c r="AD582" s="14" t="s">
        <v>2418</v>
      </c>
      <c r="AE582" s="15">
        <v>9236594</v>
      </c>
      <c r="AF582" s="14">
        <v>128.05000000000001</v>
      </c>
      <c r="AG582" s="14">
        <f ca="1">IFERROR(__xludf.DUMMYFUNCTION("GOOGLEFINANCE(""BOM:"" &amp; AC582,""price"")"),111)</f>
        <v>111</v>
      </c>
      <c r="AH582" s="14">
        <f t="shared" ca="1" si="184"/>
        <v>-13.31511128465444</v>
      </c>
      <c r="AI582" s="15">
        <f t="shared" si="185"/>
        <v>1182745861.7</v>
      </c>
      <c r="AJ582" s="16">
        <f t="shared" ca="1" si="186"/>
        <v>1025261934</v>
      </c>
    </row>
    <row r="583" spans="1:36" x14ac:dyDescent="0.25">
      <c r="A583" s="63"/>
      <c r="B583" s="8">
        <v>541151</v>
      </c>
      <c r="C583" s="8" t="s">
        <v>2419</v>
      </c>
      <c r="D583" s="12">
        <v>12440000</v>
      </c>
      <c r="E583" s="8">
        <v>4.5999999999999996</v>
      </c>
      <c r="F583" s="8">
        <f ca="1">IFERROR(__xludf.DUMMYFUNCTION("GOOGLEFINANCE(""BOM:"" &amp; B583,""price"")"),4.6)</f>
        <v>4.5999999999999996</v>
      </c>
      <c r="G583" s="8">
        <f t="shared" ca="1" si="188"/>
        <v>0</v>
      </c>
      <c r="H583" s="12">
        <f t="shared" si="189"/>
        <v>57223999.999999993</v>
      </c>
      <c r="I583" s="13">
        <f t="shared" ca="1" si="190"/>
        <v>57223999.999999993</v>
      </c>
      <c r="J583" s="63"/>
      <c r="K583" s="8">
        <v>532734</v>
      </c>
      <c r="L583" s="8" t="s">
        <v>2420</v>
      </c>
      <c r="M583" s="12">
        <v>140939950</v>
      </c>
      <c r="N583" s="10">
        <v>769.05</v>
      </c>
      <c r="O583" s="10">
        <f ca="1">IFERROR(__xludf.DUMMYFUNCTION("GOOGLEFINANCE(""BOM:"" &amp; K583,""price"")"),752.05)</f>
        <v>752.05</v>
      </c>
      <c r="P583" s="8">
        <f t="shared" ca="1" si="187"/>
        <v>-2.210519472075938</v>
      </c>
      <c r="Q583" s="12">
        <f t="shared" si="174"/>
        <v>108389868547.5</v>
      </c>
      <c r="R583" s="13">
        <f t="shared" ca="1" si="175"/>
        <v>105993889397.5</v>
      </c>
      <c r="S583" s="63"/>
      <c r="T583" s="8">
        <v>514234</v>
      </c>
      <c r="U583" s="8" t="s">
        <v>2421</v>
      </c>
      <c r="V583" s="12">
        <v>43320336</v>
      </c>
      <c r="W583" s="8">
        <v>490.6</v>
      </c>
      <c r="X583" s="11">
        <f ca="1">IFERROR(__xludf.DUMMYFUNCTION("GOOGLEFINANCE(""BOM:"" &amp; T583,""price"")"),445)</f>
        <v>445</v>
      </c>
      <c r="Y583" s="8">
        <f t="shared" ca="1" si="181"/>
        <v>-9.2947411333061591</v>
      </c>
      <c r="Z583" s="12">
        <f t="shared" si="182"/>
        <v>21252956841.600002</v>
      </c>
      <c r="AA583" s="13">
        <f t="shared" ca="1" si="183"/>
        <v>19277549520</v>
      </c>
      <c r="AB583" s="65" t="s">
        <v>2422</v>
      </c>
      <c r="AC583" s="6">
        <v>540649</v>
      </c>
      <c r="AD583" s="6" t="s">
        <v>2423</v>
      </c>
      <c r="AE583" s="7">
        <v>19920774</v>
      </c>
      <c r="AF583" s="8">
        <v>592.1</v>
      </c>
      <c r="AG583" s="8">
        <f ca="1">IFERROR(__xludf.DUMMYFUNCTION("GOOGLEFINANCE(""BOM:"" &amp; AC583,""price"")"),526.85)</f>
        <v>526.85</v>
      </c>
      <c r="AH583" s="8">
        <f t="shared" ca="1" si="184"/>
        <v>-11.02009795642628</v>
      </c>
      <c r="AI583" s="7">
        <f t="shared" si="185"/>
        <v>11795090285.4</v>
      </c>
      <c r="AJ583" s="9">
        <f t="shared" ca="1" si="186"/>
        <v>10495259781.9</v>
      </c>
    </row>
    <row r="584" spans="1:36" x14ac:dyDescent="0.25">
      <c r="A584" s="63"/>
      <c r="B584" s="8">
        <v>538496</v>
      </c>
      <c r="C584" s="8" t="s">
        <v>2424</v>
      </c>
      <c r="D584" s="12">
        <v>12997846</v>
      </c>
      <c r="E584" s="8">
        <v>15.39</v>
      </c>
      <c r="F584" s="8">
        <f ca="1">IFERROR(__xludf.DUMMYFUNCTION("GOOGLEFINANCE(""BOM:"" &amp; B584,""price"")"),11.93)</f>
        <v>11.93</v>
      </c>
      <c r="G584" s="8">
        <f t="shared" ca="1" si="188"/>
        <v>-22.482131254061084</v>
      </c>
      <c r="H584" s="12">
        <f t="shared" si="189"/>
        <v>200036849.94</v>
      </c>
      <c r="I584" s="13">
        <f t="shared" ca="1" si="190"/>
        <v>155064302.78</v>
      </c>
      <c r="J584" s="63"/>
      <c r="K584" s="8">
        <v>513343</v>
      </c>
      <c r="L584" s="8" t="s">
        <v>2425</v>
      </c>
      <c r="M584" s="12">
        <v>28123692</v>
      </c>
      <c r="N584" s="10">
        <v>10.02</v>
      </c>
      <c r="O584" s="10">
        <f ca="1">IFERROR(__xludf.DUMMYFUNCTION("GOOGLEFINANCE(""BOM:"" &amp; K584,""price"")"),10.52)</f>
        <v>10.52</v>
      </c>
      <c r="P584" s="8">
        <f t="shared" ca="1" si="187"/>
        <v>4.9900199600798407</v>
      </c>
      <c r="Q584" s="12">
        <f t="shared" si="174"/>
        <v>281799393.83999997</v>
      </c>
      <c r="R584" s="13">
        <f t="shared" ca="1" si="175"/>
        <v>295861239.83999997</v>
      </c>
      <c r="S584" s="63"/>
      <c r="T584" s="8">
        <v>514280</v>
      </c>
      <c r="U584" s="8" t="s">
        <v>2426</v>
      </c>
      <c r="V584" s="12">
        <v>3245150</v>
      </c>
      <c r="W584" s="8">
        <v>129.75</v>
      </c>
      <c r="X584" s="11">
        <f ca="1">IFERROR(__xludf.DUMMYFUNCTION("GOOGLEFINANCE(""BOM:"" &amp; T584,""price"")"),125)</f>
        <v>125</v>
      </c>
      <c r="Y584" s="8">
        <f t="shared" ca="1" si="181"/>
        <v>-3.6608863198458574</v>
      </c>
      <c r="Z584" s="12">
        <f t="shared" si="182"/>
        <v>421058212.5</v>
      </c>
      <c r="AA584" s="13">
        <f t="shared" ca="1" si="183"/>
        <v>405643750</v>
      </c>
      <c r="AB584" s="63"/>
      <c r="AC584" s="8">
        <v>500032</v>
      </c>
      <c r="AD584" s="8" t="s">
        <v>2427</v>
      </c>
      <c r="AE584" s="12">
        <v>1276546685</v>
      </c>
      <c r="AF584" s="8">
        <v>34.340000000000003</v>
      </c>
      <c r="AG584" s="8">
        <f ca="1">IFERROR(__xludf.DUMMYFUNCTION("GOOGLEFINANCE(""BOM:"" &amp; AC584,""price"")"),29.03)</f>
        <v>29.03</v>
      </c>
      <c r="AH584" s="8">
        <f t="shared" ca="1" si="184"/>
        <v>-15.463016889924292</v>
      </c>
      <c r="AI584" s="12">
        <f t="shared" si="185"/>
        <v>43836613162.900002</v>
      </c>
      <c r="AJ584" s="13">
        <f t="shared" ca="1" si="186"/>
        <v>37058150265.550003</v>
      </c>
    </row>
    <row r="585" spans="1:36" x14ac:dyDescent="0.25">
      <c r="A585" s="63"/>
      <c r="B585" s="8">
        <v>509917</v>
      </c>
      <c r="C585" s="8" t="s">
        <v>2428</v>
      </c>
      <c r="D585" s="12">
        <v>199399</v>
      </c>
      <c r="E585" s="8">
        <v>0</v>
      </c>
      <c r="F585" s="8">
        <f ca="1">IFERROR(__xludf.DUMMYFUNCTION("GOOGLEFINANCE(""BOM:"" &amp; B585,""price"")"),0)</f>
        <v>0</v>
      </c>
      <c r="G585" s="8">
        <v>0</v>
      </c>
      <c r="H585" s="12">
        <f t="shared" si="189"/>
        <v>0</v>
      </c>
      <c r="I585" s="13">
        <f t="shared" ca="1" si="190"/>
        <v>0</v>
      </c>
      <c r="J585" s="63"/>
      <c r="K585" s="8">
        <v>513507</v>
      </c>
      <c r="L585" s="8" t="s">
        <v>2429</v>
      </c>
      <c r="M585" s="12">
        <v>3655030</v>
      </c>
      <c r="N585" s="10">
        <v>166</v>
      </c>
      <c r="O585" s="10">
        <f ca="1">IFERROR(__xludf.DUMMYFUNCTION("GOOGLEFINANCE(""BOM:"" &amp; K585,""price"")"),158.15)</f>
        <v>158.15</v>
      </c>
      <c r="P585" s="8">
        <f t="shared" ca="1" si="187"/>
        <v>-4.728915662650599</v>
      </c>
      <c r="Q585" s="12">
        <f t="shared" si="174"/>
        <v>606734980</v>
      </c>
      <c r="R585" s="13">
        <f t="shared" ca="1" si="175"/>
        <v>578042994.5</v>
      </c>
      <c r="S585" s="63"/>
      <c r="T585" s="8">
        <v>530035</v>
      </c>
      <c r="U585" s="8" t="s">
        <v>2430</v>
      </c>
      <c r="V585" s="12">
        <v>2282575</v>
      </c>
      <c r="W585" s="8">
        <v>35.950000000000003</v>
      </c>
      <c r="X585" s="11">
        <f ca="1">IFERROR(__xludf.DUMMYFUNCTION("GOOGLEFINANCE(""BOM:"" &amp; T585,""price"")"),23.8)</f>
        <v>23.8</v>
      </c>
      <c r="Y585" s="8">
        <f t="shared" ca="1" si="181"/>
        <v>-33.796940194714885</v>
      </c>
      <c r="Z585" s="12">
        <f t="shared" si="182"/>
        <v>82058571.25</v>
      </c>
      <c r="AA585" s="13">
        <f t="shared" ca="1" si="183"/>
        <v>54325285</v>
      </c>
      <c r="AB585" s="63"/>
      <c r="AC585" s="8">
        <v>500038</v>
      </c>
      <c r="AD585" s="8" t="s">
        <v>2431</v>
      </c>
      <c r="AE585" s="12">
        <v>203312468</v>
      </c>
      <c r="AF585" s="8">
        <v>373.6</v>
      </c>
      <c r="AG585" s="8">
        <f ca="1">IFERROR(__xludf.DUMMYFUNCTION("GOOGLEFINANCE(""BOM:"" &amp; AC585,""price"")"),360)</f>
        <v>360</v>
      </c>
      <c r="AH585" s="8">
        <f t="shared" ca="1" si="184"/>
        <v>-3.6402569593147813</v>
      </c>
      <c r="AI585" s="12">
        <f t="shared" si="185"/>
        <v>75957538044.800003</v>
      </c>
      <c r="AJ585" s="13">
        <f t="shared" ca="1" si="186"/>
        <v>73192488480</v>
      </c>
    </row>
    <row r="586" spans="1:36" x14ac:dyDescent="0.25">
      <c r="A586" s="63"/>
      <c r="B586" s="8">
        <v>531203</v>
      </c>
      <c r="C586" s="8" t="s">
        <v>2432</v>
      </c>
      <c r="D586" s="12">
        <v>2727250</v>
      </c>
      <c r="E586" s="8">
        <v>42.65</v>
      </c>
      <c r="F586" s="8">
        <f ca="1">IFERROR(__xludf.DUMMYFUNCTION("GOOGLEFINANCE(""BOM:"" &amp; B586,""price"")"),42.65)</f>
        <v>42.65</v>
      </c>
      <c r="G586" s="8">
        <f t="shared" ref="G586:G642" ca="1" si="191">((F586-E586)/E586)*100</f>
        <v>0</v>
      </c>
      <c r="H586" s="12">
        <f t="shared" si="189"/>
        <v>116317212.5</v>
      </c>
      <c r="I586" s="13">
        <f t="shared" ca="1" si="190"/>
        <v>116317212.5</v>
      </c>
      <c r="J586" s="63"/>
      <c r="K586" s="8">
        <v>543517</v>
      </c>
      <c r="L586" s="8" t="s">
        <v>2433</v>
      </c>
      <c r="M586" s="12">
        <v>25476204</v>
      </c>
      <c r="N586" s="10">
        <v>518</v>
      </c>
      <c r="O586" s="10">
        <f ca="1">IFERROR(__xludf.DUMMYFUNCTION("GOOGLEFINANCE(""BOM:"" &amp; K586,""price"")"),452.25)</f>
        <v>452.25</v>
      </c>
      <c r="P586" s="8">
        <f t="shared" ca="1" si="187"/>
        <v>-12.693050193050192</v>
      </c>
      <c r="Q586" s="12">
        <f t="shared" si="174"/>
        <v>13196673672</v>
      </c>
      <c r="R586" s="13">
        <f t="shared" ca="1" si="175"/>
        <v>11521613259</v>
      </c>
      <c r="S586" s="63"/>
      <c r="T586" s="8">
        <v>526885</v>
      </c>
      <c r="U586" s="8" t="s">
        <v>2434</v>
      </c>
      <c r="V586" s="12">
        <v>82383340</v>
      </c>
      <c r="W586" s="8">
        <v>65</v>
      </c>
      <c r="X586" s="11">
        <f ca="1">IFERROR(__xludf.DUMMYFUNCTION("GOOGLEFINANCE(""BOM:"" &amp; T586,""price"")"),54.65)</f>
        <v>54.65</v>
      </c>
      <c r="Y586" s="8">
        <f t="shared" ca="1" si="181"/>
        <v>-15.923076923076925</v>
      </c>
      <c r="Z586" s="12">
        <f t="shared" si="182"/>
        <v>5354917100</v>
      </c>
      <c r="AA586" s="13">
        <f t="shared" ca="1" si="183"/>
        <v>4502249531</v>
      </c>
      <c r="AB586" s="63"/>
      <c r="AC586" s="8">
        <v>500041</v>
      </c>
      <c r="AD586" s="8" t="s">
        <v>2435</v>
      </c>
      <c r="AE586" s="12">
        <v>12283445</v>
      </c>
      <c r="AF586" s="8">
        <v>2598.9</v>
      </c>
      <c r="AG586" s="8">
        <f ca="1">IFERROR(__xludf.DUMMYFUNCTION("GOOGLEFINANCE(""BOM:"" &amp; AC586,""price"")"),2313)</f>
        <v>2313</v>
      </c>
      <c r="AH586" s="8">
        <f t="shared" ca="1" si="184"/>
        <v>-11.000808034168305</v>
      </c>
      <c r="AI586" s="12">
        <f t="shared" si="185"/>
        <v>31923445210.5</v>
      </c>
      <c r="AJ586" s="13">
        <f t="shared" ca="1" si="186"/>
        <v>28411608285</v>
      </c>
    </row>
    <row r="587" spans="1:36" x14ac:dyDescent="0.25">
      <c r="A587" s="63"/>
      <c r="B587" s="8">
        <v>501370</v>
      </c>
      <c r="C587" s="8" t="s">
        <v>2436</v>
      </c>
      <c r="D587" s="12">
        <v>2687300</v>
      </c>
      <c r="E587" s="8">
        <v>237.3</v>
      </c>
      <c r="F587" s="8">
        <f ca="1">IFERROR(__xludf.DUMMYFUNCTION("GOOGLEFINANCE(""BOM:"" &amp; B587,""price"")"),200)</f>
        <v>200</v>
      </c>
      <c r="G587" s="8">
        <f t="shared" ca="1" si="191"/>
        <v>-15.718499789296253</v>
      </c>
      <c r="H587" s="12">
        <f t="shared" si="189"/>
        <v>637696290</v>
      </c>
      <c r="I587" s="13">
        <f t="shared" ca="1" si="190"/>
        <v>537460000</v>
      </c>
      <c r="J587" s="63"/>
      <c r="K587" s="8">
        <v>526967</v>
      </c>
      <c r="L587" s="8" t="s">
        <v>2437</v>
      </c>
      <c r="M587" s="12">
        <v>5348800</v>
      </c>
      <c r="N587" s="10">
        <v>8.4600000000000009</v>
      </c>
      <c r="O587" s="10">
        <f ca="1">IFERROR(__xludf.DUMMYFUNCTION("GOOGLEFINANCE(""BOM:"" &amp; K587,""price"")"),7.56)</f>
        <v>7.56</v>
      </c>
      <c r="P587" s="8">
        <f t="shared" ca="1" si="187"/>
        <v>-10.63829787234044</v>
      </c>
      <c r="Q587" s="12">
        <f t="shared" si="174"/>
        <v>45250848.000000007</v>
      </c>
      <c r="R587" s="13">
        <f t="shared" ca="1" si="175"/>
        <v>40436928</v>
      </c>
      <c r="S587" s="63"/>
      <c r="T587" s="8">
        <v>521131</v>
      </c>
      <c r="U587" s="8" t="s">
        <v>2438</v>
      </c>
      <c r="V587" s="12">
        <v>8637455</v>
      </c>
      <c r="W587" s="8">
        <v>20.49</v>
      </c>
      <c r="X587" s="11">
        <f ca="1">IFERROR(__xludf.DUMMYFUNCTION("GOOGLEFINANCE(""BOM:"" &amp; T587,""price"")"),19)</f>
        <v>19</v>
      </c>
      <c r="Y587" s="8">
        <f t="shared" ca="1" si="181"/>
        <v>-7.2718399219131218</v>
      </c>
      <c r="Z587" s="12">
        <f t="shared" si="182"/>
        <v>176981452.94999999</v>
      </c>
      <c r="AA587" s="13">
        <f t="shared" ca="1" si="183"/>
        <v>164111645</v>
      </c>
      <c r="AB587" s="63"/>
      <c r="AC587" s="8">
        <v>500097</v>
      </c>
      <c r="AD587" s="8" t="s">
        <v>2439</v>
      </c>
      <c r="AE587" s="12">
        <v>79939851</v>
      </c>
      <c r="AF587" s="8">
        <v>386.15</v>
      </c>
      <c r="AG587" s="8">
        <f ca="1">IFERROR(__xludf.DUMMYFUNCTION("GOOGLEFINANCE(""BOM:"" &amp; AC587,""price"")"),339.05)</f>
        <v>339.05</v>
      </c>
      <c r="AH587" s="8">
        <f t="shared" ca="1" si="184"/>
        <v>-12.197332642755397</v>
      </c>
      <c r="AI587" s="12">
        <f t="shared" si="185"/>
        <v>30868773463.649998</v>
      </c>
      <c r="AJ587" s="13">
        <f t="shared" ca="1" si="186"/>
        <v>27103606481.549999</v>
      </c>
    </row>
    <row r="588" spans="1:36" x14ac:dyDescent="0.25">
      <c r="A588" s="64"/>
      <c r="B588" s="14">
        <v>503641</v>
      </c>
      <c r="C588" s="14" t="s">
        <v>2440</v>
      </c>
      <c r="D588" s="15">
        <v>37113980</v>
      </c>
      <c r="E588" s="8">
        <v>15.3</v>
      </c>
      <c r="F588" s="14">
        <f ca="1">IFERROR(__xludf.DUMMYFUNCTION("GOOGLEFINANCE(""BOM:"" &amp; B588,""price"")"),13.77)</f>
        <v>13.77</v>
      </c>
      <c r="G588" s="14">
        <f t="shared" ca="1" si="191"/>
        <v>-10.000000000000007</v>
      </c>
      <c r="H588" s="15">
        <f t="shared" si="189"/>
        <v>567843894</v>
      </c>
      <c r="I588" s="16">
        <f t="shared" ca="1" si="190"/>
        <v>511059504.59999996</v>
      </c>
      <c r="J588" s="63"/>
      <c r="K588" s="8">
        <v>590018</v>
      </c>
      <c r="L588" s="8" t="s">
        <v>2441</v>
      </c>
      <c r="M588" s="12">
        <v>5296885</v>
      </c>
      <c r="N588" s="10">
        <v>207.65</v>
      </c>
      <c r="O588" s="10">
        <f ca="1">IFERROR(__xludf.DUMMYFUNCTION("GOOGLEFINANCE(""BOM:"" &amp; K588,""price"")"),173)</f>
        <v>173</v>
      </c>
      <c r="P588" s="8">
        <f t="shared" ca="1" si="187"/>
        <v>-16.686732482542745</v>
      </c>
      <c r="Q588" s="12">
        <f t="shared" si="174"/>
        <v>1099898170.25</v>
      </c>
      <c r="R588" s="13">
        <f t="shared" ca="1" si="175"/>
        <v>916361105</v>
      </c>
      <c r="S588" s="63"/>
      <c r="T588" s="8">
        <v>543537</v>
      </c>
      <c r="U588" s="8" t="s">
        <v>2442</v>
      </c>
      <c r="V588" s="12">
        <v>3150150</v>
      </c>
      <c r="W588" s="8">
        <v>125.05</v>
      </c>
      <c r="X588" s="11">
        <f ca="1">IFERROR(__xludf.DUMMYFUNCTION("GOOGLEFINANCE(""BOM:"" &amp; T588,""price"")"),143.5)</f>
        <v>143.5</v>
      </c>
      <c r="Y588" s="8">
        <f t="shared" ca="1" si="181"/>
        <v>14.754098360655741</v>
      </c>
      <c r="Z588" s="12">
        <f t="shared" si="182"/>
        <v>393926257.5</v>
      </c>
      <c r="AA588" s="13">
        <f t="shared" ca="1" si="183"/>
        <v>452046525</v>
      </c>
      <c r="AB588" s="63"/>
      <c r="AC588" s="8">
        <v>543267</v>
      </c>
      <c r="AD588" s="8" t="s">
        <v>2443</v>
      </c>
      <c r="AE588" s="12">
        <v>54263445</v>
      </c>
      <c r="AF588" s="8">
        <v>105.5</v>
      </c>
      <c r="AG588" s="8">
        <f ca="1">IFERROR(__xludf.DUMMYFUNCTION("GOOGLEFINANCE(""BOM:"" &amp; AC588,""price"")"),75.4)</f>
        <v>75.400000000000006</v>
      </c>
      <c r="AH588" s="8">
        <f t="shared" ca="1" si="184"/>
        <v>-28.530805687203788</v>
      </c>
      <c r="AI588" s="12">
        <f t="shared" si="185"/>
        <v>5724793447.5</v>
      </c>
      <c r="AJ588" s="13">
        <f t="shared" ca="1" si="186"/>
        <v>4091463753.0000005</v>
      </c>
    </row>
    <row r="589" spans="1:36" x14ac:dyDescent="0.25">
      <c r="A589" s="62" t="s">
        <v>2444</v>
      </c>
      <c r="B589" s="6">
        <v>500074</v>
      </c>
      <c r="C589" s="6" t="s">
        <v>2445</v>
      </c>
      <c r="D589" s="7">
        <v>48377387</v>
      </c>
      <c r="E589" s="6">
        <v>99.6</v>
      </c>
      <c r="F589" s="8">
        <f ca="1">IFERROR(__xludf.DUMMYFUNCTION("GOOGLEFINANCE(""BOM:"" &amp; B589,""price"")"),87.75)</f>
        <v>87.75</v>
      </c>
      <c r="G589" s="8">
        <f t="shared" ca="1" si="191"/>
        <v>-11.897590361445779</v>
      </c>
      <c r="H589" s="7">
        <f t="shared" si="189"/>
        <v>4818387745.1999998</v>
      </c>
      <c r="I589" s="9">
        <f t="shared" ca="1" si="190"/>
        <v>4245115709.25</v>
      </c>
      <c r="J589" s="63"/>
      <c r="K589" s="8">
        <v>543411</v>
      </c>
      <c r="L589" s="8" t="s">
        <v>2446</v>
      </c>
      <c r="M589" s="12">
        <v>122711000</v>
      </c>
      <c r="N589" s="10">
        <v>146.05000000000001</v>
      </c>
      <c r="O589" s="10">
        <f ca="1">IFERROR(__xludf.DUMMYFUNCTION("GOOGLEFINANCE(""BOM:"" &amp; K589,""price"")"),139.6)</f>
        <v>139.6</v>
      </c>
      <c r="P589" s="8">
        <f t="shared" ca="1" si="187"/>
        <v>-4.4162957891133292</v>
      </c>
      <c r="Q589" s="12">
        <f t="shared" si="174"/>
        <v>17921941550</v>
      </c>
      <c r="R589" s="13">
        <f t="shared" ca="1" si="175"/>
        <v>17130455600</v>
      </c>
      <c r="S589" s="63"/>
      <c r="T589" s="8">
        <v>514264</v>
      </c>
      <c r="U589" s="8" t="s">
        <v>2447</v>
      </c>
      <c r="V589" s="12">
        <v>6554666</v>
      </c>
      <c r="W589" s="8">
        <v>17.98</v>
      </c>
      <c r="X589" s="11">
        <f ca="1">IFERROR(__xludf.DUMMYFUNCTION("GOOGLEFINANCE(""BOM:"" &amp; T589,""price"")"),18.4)</f>
        <v>18.399999999999999</v>
      </c>
      <c r="Y589" s="8">
        <f t="shared" ca="1" si="181"/>
        <v>2.3359288097886437</v>
      </c>
      <c r="Z589" s="12">
        <f t="shared" si="182"/>
        <v>117852894.68000001</v>
      </c>
      <c r="AA589" s="13">
        <f t="shared" ca="1" si="183"/>
        <v>120605854.39999999</v>
      </c>
      <c r="AB589" s="63"/>
      <c r="AC589" s="8">
        <v>523369</v>
      </c>
      <c r="AD589" s="8" t="s">
        <v>2448</v>
      </c>
      <c r="AE589" s="12">
        <v>85092295</v>
      </c>
      <c r="AF589" s="8">
        <v>193.4</v>
      </c>
      <c r="AG589" s="8">
        <f ca="1">IFERROR(__xludf.DUMMYFUNCTION("GOOGLEFINANCE(""BOM:"" &amp; AC589,""price"")"),184.85)</f>
        <v>184.85</v>
      </c>
      <c r="AH589" s="8">
        <f t="shared" ca="1" si="184"/>
        <v>-4.4208893485005234</v>
      </c>
      <c r="AI589" s="12">
        <f t="shared" si="185"/>
        <v>16456849853</v>
      </c>
      <c r="AJ589" s="13">
        <f t="shared" ca="1" si="186"/>
        <v>15729310730.75</v>
      </c>
    </row>
    <row r="590" spans="1:36" x14ac:dyDescent="0.25">
      <c r="A590" s="63"/>
      <c r="B590" s="8">
        <v>517236</v>
      </c>
      <c r="C590" s="8" t="s">
        <v>2449</v>
      </c>
      <c r="D590" s="12">
        <v>11514248</v>
      </c>
      <c r="E590" s="8">
        <v>161</v>
      </c>
      <c r="F590" s="8">
        <f ca="1">IFERROR(__xludf.DUMMYFUNCTION("GOOGLEFINANCE(""BOM:"" &amp; B590,""price"")"),145.5)</f>
        <v>145.5</v>
      </c>
      <c r="G590" s="8">
        <f t="shared" ca="1" si="191"/>
        <v>-9.6273291925465845</v>
      </c>
      <c r="H590" s="12">
        <f t="shared" si="189"/>
        <v>1853793928</v>
      </c>
      <c r="I590" s="13">
        <f t="shared" ca="1" si="190"/>
        <v>1675323084</v>
      </c>
      <c r="J590" s="63"/>
      <c r="K590" s="8">
        <v>506024</v>
      </c>
      <c r="L590" s="8" t="s">
        <v>2450</v>
      </c>
      <c r="M590" s="12">
        <v>234000</v>
      </c>
      <c r="N590" s="10">
        <v>0</v>
      </c>
      <c r="O590" s="10">
        <f ca="1">IFERROR(__xludf.DUMMYFUNCTION("GOOGLEFINANCE(""BOM:"" &amp; K590,""price"")"),0)</f>
        <v>0</v>
      </c>
      <c r="P590" s="8">
        <v>0</v>
      </c>
      <c r="Q590" s="12">
        <f t="shared" si="174"/>
        <v>0</v>
      </c>
      <c r="R590" s="13">
        <f t="shared" ca="1" si="175"/>
        <v>0</v>
      </c>
      <c r="S590" s="63"/>
      <c r="T590" s="8">
        <v>532730</v>
      </c>
      <c r="U590" s="8" t="s">
        <v>2451</v>
      </c>
      <c r="V590" s="12">
        <v>27452184</v>
      </c>
      <c r="W590" s="8">
        <v>17.43</v>
      </c>
      <c r="X590" s="11">
        <f ca="1">IFERROR(__xludf.DUMMYFUNCTION("GOOGLEFINANCE(""BOM:"" &amp; T590,""price"")"),14.5)</f>
        <v>14.5</v>
      </c>
      <c r="Y590" s="8">
        <f t="shared" ca="1" si="181"/>
        <v>-16.810097532989097</v>
      </c>
      <c r="Z590" s="12">
        <f t="shared" si="182"/>
        <v>478491567.12</v>
      </c>
      <c r="AA590" s="13">
        <f t="shared" ca="1" si="183"/>
        <v>398056668</v>
      </c>
      <c r="AB590" s="63"/>
      <c r="AC590" s="8">
        <v>531923</v>
      </c>
      <c r="AD590" s="8" t="s">
        <v>2452</v>
      </c>
      <c r="AE590" s="12">
        <v>7737500</v>
      </c>
      <c r="AF590" s="8">
        <v>90.27</v>
      </c>
      <c r="AG590" s="8">
        <f ca="1">IFERROR(__xludf.DUMMYFUNCTION("GOOGLEFINANCE(""BOM:"" &amp; AC590,""price"")"),79.84)</f>
        <v>79.84</v>
      </c>
      <c r="AH590" s="8">
        <f t="shared" ca="1" si="184"/>
        <v>-11.554226210258108</v>
      </c>
      <c r="AI590" s="12">
        <f t="shared" si="185"/>
        <v>698464125</v>
      </c>
      <c r="AJ590" s="13">
        <f t="shared" ca="1" si="186"/>
        <v>617762000</v>
      </c>
    </row>
    <row r="591" spans="1:36" x14ac:dyDescent="0.25">
      <c r="A591" s="63"/>
      <c r="B591" s="8">
        <v>543378</v>
      </c>
      <c r="C591" s="8" t="s">
        <v>2453</v>
      </c>
      <c r="D591" s="12">
        <v>3611400</v>
      </c>
      <c r="E591" s="8">
        <v>900</v>
      </c>
      <c r="F591" s="8">
        <f ca="1">IFERROR(__xludf.DUMMYFUNCTION("GOOGLEFINANCE(""BOM:"" &amp; B591,""price"")"),641)</f>
        <v>641</v>
      </c>
      <c r="G591" s="8">
        <f t="shared" ca="1" si="191"/>
        <v>-28.777777777777779</v>
      </c>
      <c r="H591" s="12">
        <f t="shared" si="189"/>
        <v>3250260000</v>
      </c>
      <c r="I591" s="13">
        <f t="shared" ca="1" si="190"/>
        <v>2314907400</v>
      </c>
      <c r="J591" s="63"/>
      <c r="K591" s="8">
        <v>504731</v>
      </c>
      <c r="L591" s="8" t="s">
        <v>2454</v>
      </c>
      <c r="M591" s="12">
        <v>672866</v>
      </c>
      <c r="N591" s="10">
        <v>138.6</v>
      </c>
      <c r="O591" s="10">
        <f ca="1">IFERROR(__xludf.DUMMYFUNCTION("GOOGLEFINANCE(""BOM:"" &amp; K591,""price"")"),107.25)</f>
        <v>107.25</v>
      </c>
      <c r="P591" s="8">
        <f t="shared" ref="P591:P597" ca="1" si="192">((O591-N591)/N591)*100</f>
        <v>-22.619047619047617</v>
      </c>
      <c r="Q591" s="12">
        <f t="shared" si="174"/>
        <v>93259227.599999994</v>
      </c>
      <c r="R591" s="13">
        <f t="shared" ca="1" si="175"/>
        <v>72164878.5</v>
      </c>
      <c r="S591" s="63"/>
      <c r="T591" s="8">
        <v>542862</v>
      </c>
      <c r="U591" s="8" t="s">
        <v>2455</v>
      </c>
      <c r="V591" s="12">
        <v>88122090</v>
      </c>
      <c r="W591" s="8">
        <v>28.1</v>
      </c>
      <c r="X591" s="11">
        <f ca="1">IFERROR(__xludf.DUMMYFUNCTION("GOOGLEFINANCE(""BOM:"" &amp; T591,""price"")"),27.24)</f>
        <v>27.24</v>
      </c>
      <c r="Y591" s="8">
        <f t="shared" ca="1" si="181"/>
        <v>-3.06049822064058</v>
      </c>
      <c r="Z591" s="12">
        <f t="shared" si="182"/>
        <v>2476230729</v>
      </c>
      <c r="AA591" s="13">
        <f t="shared" ca="1" si="183"/>
        <v>2400445731.5999999</v>
      </c>
      <c r="AB591" s="63"/>
      <c r="AC591" s="8">
        <v>500119</v>
      </c>
      <c r="AD591" s="8" t="s">
        <v>2456</v>
      </c>
      <c r="AE591" s="12">
        <v>66178618</v>
      </c>
      <c r="AF591" s="8">
        <v>239.5</v>
      </c>
      <c r="AG591" s="8">
        <f ca="1">IFERROR(__xludf.DUMMYFUNCTION("GOOGLEFINANCE(""BOM:"" &amp; AC591,""price"")"),207.85)</f>
        <v>207.85</v>
      </c>
      <c r="AH591" s="8">
        <f t="shared" ca="1" si="184"/>
        <v>-13.215031315240086</v>
      </c>
      <c r="AI591" s="12">
        <f t="shared" si="185"/>
        <v>15849779011</v>
      </c>
      <c r="AJ591" s="13">
        <f t="shared" ca="1" si="186"/>
        <v>13755225751.299999</v>
      </c>
    </row>
    <row r="592" spans="1:36" x14ac:dyDescent="0.25">
      <c r="A592" s="63"/>
      <c r="B592" s="8">
        <v>540699</v>
      </c>
      <c r="C592" s="8" t="s">
        <v>2457</v>
      </c>
      <c r="D592" s="12">
        <v>59341815</v>
      </c>
      <c r="E592" s="8">
        <v>7009.65</v>
      </c>
      <c r="F592" s="8">
        <f ca="1">IFERROR(__xludf.DUMMYFUNCTION("GOOGLEFINANCE(""BOM:"" &amp; B592,""price"")"),7490)</f>
        <v>7490</v>
      </c>
      <c r="G592" s="8">
        <f t="shared" ca="1" si="191"/>
        <v>6.8526959263301368</v>
      </c>
      <c r="H592" s="12">
        <f t="shared" si="189"/>
        <v>415965353514.75</v>
      </c>
      <c r="I592" s="13">
        <f t="shared" ca="1" si="190"/>
        <v>444470194350</v>
      </c>
      <c r="J592" s="63"/>
      <c r="K592" s="8">
        <v>538365</v>
      </c>
      <c r="L592" s="8" t="s">
        <v>2458</v>
      </c>
      <c r="M592" s="12">
        <v>46763749</v>
      </c>
      <c r="N592" s="10">
        <v>41.21</v>
      </c>
      <c r="O592" s="10">
        <f ca="1">IFERROR(__xludf.DUMMYFUNCTION("GOOGLEFINANCE(""BOM:"" &amp; K592,""price"")"),35.12)</f>
        <v>35.119999999999997</v>
      </c>
      <c r="P592" s="8">
        <f t="shared" ca="1" si="192"/>
        <v>-14.777966512982294</v>
      </c>
      <c r="Q592" s="12">
        <f t="shared" si="174"/>
        <v>1927134096.29</v>
      </c>
      <c r="R592" s="13">
        <f t="shared" ca="1" si="175"/>
        <v>1642342864.8799999</v>
      </c>
      <c r="S592" s="63"/>
      <c r="T592" s="8">
        <v>514402</v>
      </c>
      <c r="U592" s="8" t="s">
        <v>2459</v>
      </c>
      <c r="V592" s="12">
        <v>3205600</v>
      </c>
      <c r="W592" s="8">
        <v>45.14</v>
      </c>
      <c r="X592" s="11">
        <f ca="1">IFERROR(__xludf.DUMMYFUNCTION("GOOGLEFINANCE(""BOM:"" &amp; T592,""price"")"),36.55)</f>
        <v>36.549999999999997</v>
      </c>
      <c r="Y592" s="8">
        <f t="shared" ca="1" si="181"/>
        <v>-19.029685423128054</v>
      </c>
      <c r="Z592" s="12">
        <f t="shared" si="182"/>
        <v>144700784</v>
      </c>
      <c r="AA592" s="13">
        <f t="shared" ca="1" si="183"/>
        <v>117164679.99999999</v>
      </c>
      <c r="AB592" s="63"/>
      <c r="AC592" s="8">
        <v>507442</v>
      </c>
      <c r="AD592" s="8" t="s">
        <v>2460</v>
      </c>
      <c r="AE592" s="12">
        <v>31780769</v>
      </c>
      <c r="AF592" s="8" t="s">
        <v>44</v>
      </c>
      <c r="AG592" s="8" t="s">
        <v>44</v>
      </c>
      <c r="AH592" s="8"/>
      <c r="AI592" s="12"/>
      <c r="AJ592" s="13"/>
    </row>
    <row r="593" spans="1:36" x14ac:dyDescent="0.25">
      <c r="A593" s="63"/>
      <c r="B593" s="8">
        <v>517354</v>
      </c>
      <c r="C593" s="8" t="s">
        <v>2461</v>
      </c>
      <c r="D593" s="12">
        <v>625334653</v>
      </c>
      <c r="E593" s="8">
        <v>1518.95</v>
      </c>
      <c r="F593" s="8">
        <f ca="1">IFERROR(__xludf.DUMMYFUNCTION("GOOGLEFINANCE(""BOM:"" &amp; B593,""price"")"),1522.45)</f>
        <v>1522.45</v>
      </c>
      <c r="G593" s="8">
        <f t="shared" ca="1" si="191"/>
        <v>0.23042233121564237</v>
      </c>
      <c r="H593" s="12">
        <f t="shared" si="189"/>
        <v>949852071174.34998</v>
      </c>
      <c r="I593" s="13">
        <f t="shared" ca="1" si="190"/>
        <v>952040742459.84998</v>
      </c>
      <c r="J593" s="63"/>
      <c r="K593" s="8">
        <v>532001</v>
      </c>
      <c r="L593" s="8" t="s">
        <v>2462</v>
      </c>
      <c r="M593" s="12">
        <v>3967454</v>
      </c>
      <c r="N593" s="10">
        <v>69</v>
      </c>
      <c r="O593" s="10">
        <f ca="1">IFERROR(__xludf.DUMMYFUNCTION("GOOGLEFINANCE(""BOM:"" &amp; K593,""price"")"),59.45)</f>
        <v>59.45</v>
      </c>
      <c r="P593" s="8">
        <f t="shared" ca="1" si="192"/>
        <v>-13.840579710144924</v>
      </c>
      <c r="Q593" s="12">
        <f t="shared" si="174"/>
        <v>273754326</v>
      </c>
      <c r="R593" s="13">
        <f t="shared" ca="1" si="175"/>
        <v>235865140.30000001</v>
      </c>
      <c r="S593" s="63"/>
      <c r="T593" s="8">
        <v>539111</v>
      </c>
      <c r="U593" s="8" t="s">
        <v>2463</v>
      </c>
      <c r="V593" s="12">
        <v>4315374</v>
      </c>
      <c r="W593" s="8">
        <v>14.98</v>
      </c>
      <c r="X593" s="11">
        <f ca="1">IFERROR(__xludf.DUMMYFUNCTION("GOOGLEFINANCE(""BOM:"" &amp; T593,""price"")"),14)</f>
        <v>14</v>
      </c>
      <c r="Y593" s="8">
        <f t="shared" ca="1" si="181"/>
        <v>-6.5420560747663572</v>
      </c>
      <c r="Z593" s="12">
        <f t="shared" si="182"/>
        <v>64644302.520000003</v>
      </c>
      <c r="AA593" s="13">
        <f t="shared" ca="1" si="183"/>
        <v>60415236</v>
      </c>
      <c r="AB593" s="63"/>
      <c r="AC593" s="8">
        <v>532610</v>
      </c>
      <c r="AD593" s="8" t="s">
        <v>2464</v>
      </c>
      <c r="AE593" s="12">
        <v>188050050</v>
      </c>
      <c r="AF593" s="8">
        <v>78.040000000000006</v>
      </c>
      <c r="AG593" s="8">
        <f ca="1">IFERROR(__xludf.DUMMYFUNCTION("GOOGLEFINANCE(""BOM:"" &amp; AC593,""price"")"),69.5)</f>
        <v>69.5</v>
      </c>
      <c r="AH593" s="8">
        <f t="shared" ref="AH593:AH609" ca="1" si="193">((AG593-AF593)/AF593)*100</f>
        <v>-10.943106099436193</v>
      </c>
      <c r="AI593" s="12">
        <f t="shared" ref="AI593:AI609" si="194">AE593*AF593</f>
        <v>14675425902.000002</v>
      </c>
      <c r="AJ593" s="13">
        <f t="shared" ref="AJ593:AJ609" ca="1" si="195">AE593*AG593</f>
        <v>13069478475</v>
      </c>
    </row>
    <row r="594" spans="1:36" x14ac:dyDescent="0.25">
      <c r="A594" s="63"/>
      <c r="B594" s="8">
        <v>540136</v>
      </c>
      <c r="C594" s="8" t="s">
        <v>2465</v>
      </c>
      <c r="D594" s="12">
        <v>64300485</v>
      </c>
      <c r="E594" s="8">
        <v>344.25</v>
      </c>
      <c r="F594" s="8">
        <f ca="1">IFERROR(__xludf.DUMMYFUNCTION("GOOGLEFINANCE(""BOM:"" &amp; B594,""price"")"),318.25)</f>
        <v>318.25</v>
      </c>
      <c r="G594" s="8">
        <f t="shared" ca="1" si="191"/>
        <v>-7.5526506899055921</v>
      </c>
      <c r="H594" s="12">
        <f t="shared" si="189"/>
        <v>22135441961.25</v>
      </c>
      <c r="I594" s="13">
        <f t="shared" ca="1" si="190"/>
        <v>20463629351.25</v>
      </c>
      <c r="J594" s="63"/>
      <c r="K594" s="8">
        <v>532479</v>
      </c>
      <c r="L594" s="8" t="s">
        <v>2466</v>
      </c>
      <c r="M594" s="12">
        <v>288146192</v>
      </c>
      <c r="N594" s="10">
        <v>91.15</v>
      </c>
      <c r="O594" s="10">
        <f ca="1">IFERROR(__xludf.DUMMYFUNCTION("GOOGLEFINANCE(""BOM:"" &amp; K594,""price"")"),86.93)</f>
        <v>86.93</v>
      </c>
      <c r="P594" s="8">
        <f t="shared" ca="1" si="192"/>
        <v>-4.629731212287437</v>
      </c>
      <c r="Q594" s="12">
        <f t="shared" si="174"/>
        <v>26264525400.800003</v>
      </c>
      <c r="R594" s="13">
        <f t="shared" ca="1" si="175"/>
        <v>25048548470.560001</v>
      </c>
      <c r="S594" s="63"/>
      <c r="T594" s="8">
        <v>543244</v>
      </c>
      <c r="U594" s="8" t="s">
        <v>2467</v>
      </c>
      <c r="V594" s="12">
        <v>2792000</v>
      </c>
      <c r="W594" s="8">
        <v>234</v>
      </c>
      <c r="X594" s="11">
        <f ca="1">IFERROR(__xludf.DUMMYFUNCTION("GOOGLEFINANCE(""BOM:"" &amp; T594,""price"")"),211.2)</f>
        <v>211.2</v>
      </c>
      <c r="Y594" s="8">
        <f t="shared" ca="1" si="181"/>
        <v>-9.7435897435897481</v>
      </c>
      <c r="Z594" s="12">
        <f t="shared" si="182"/>
        <v>653328000</v>
      </c>
      <c r="AA594" s="13">
        <f t="shared" ca="1" si="183"/>
        <v>589670400</v>
      </c>
      <c r="AB594" s="63"/>
      <c r="AC594" s="8">
        <v>537709</v>
      </c>
      <c r="AD594" s="8" t="s">
        <v>2468</v>
      </c>
      <c r="AE594" s="12">
        <v>16363727</v>
      </c>
      <c r="AF594" s="8">
        <v>6.59</v>
      </c>
      <c r="AG594" s="8">
        <f ca="1">IFERROR(__xludf.DUMMYFUNCTION("GOOGLEFINANCE(""BOM:"" &amp; AC594,""price"")"),5.86)</f>
        <v>5.86</v>
      </c>
      <c r="AH594" s="8">
        <f t="shared" ca="1" si="193"/>
        <v>-11.077389984825487</v>
      </c>
      <c r="AI594" s="12">
        <f t="shared" si="194"/>
        <v>107836960.92999999</v>
      </c>
      <c r="AJ594" s="13">
        <f t="shared" ca="1" si="195"/>
        <v>95891440.219999999</v>
      </c>
    </row>
    <row r="595" spans="1:36" x14ac:dyDescent="0.25">
      <c r="A595" s="63"/>
      <c r="B595" s="8">
        <v>590068</v>
      </c>
      <c r="C595" s="8" t="s">
        <v>2469</v>
      </c>
      <c r="D595" s="12">
        <v>4324384</v>
      </c>
      <c r="E595" s="8">
        <v>78.56</v>
      </c>
      <c r="F595" s="8">
        <f ca="1">IFERROR(__xludf.DUMMYFUNCTION("GOOGLEFINANCE(""BOM:"" &amp; B595,""price"")"),59.14)</f>
        <v>59.14</v>
      </c>
      <c r="G595" s="8">
        <f t="shared" ca="1" si="191"/>
        <v>-24.719959266802448</v>
      </c>
      <c r="H595" s="12">
        <f t="shared" si="189"/>
        <v>339723607.04000002</v>
      </c>
      <c r="I595" s="13">
        <f t="shared" ca="1" si="190"/>
        <v>255744069.75999999</v>
      </c>
      <c r="J595" s="63"/>
      <c r="K595" s="8">
        <v>513361</v>
      </c>
      <c r="L595" s="8" t="s">
        <v>2470</v>
      </c>
      <c r="M595" s="12">
        <v>396983220</v>
      </c>
      <c r="N595" s="10">
        <v>3.29</v>
      </c>
      <c r="O595" s="10">
        <f ca="1">IFERROR(__xludf.DUMMYFUNCTION("GOOGLEFINANCE(""BOM:"" &amp; K595,""price"")"),3.28)</f>
        <v>3.28</v>
      </c>
      <c r="P595" s="8">
        <f t="shared" ca="1" si="192"/>
        <v>-0.30395136778116205</v>
      </c>
      <c r="Q595" s="12">
        <f t="shared" si="174"/>
        <v>1306074793.8</v>
      </c>
      <c r="R595" s="13">
        <f t="shared" ca="1" si="175"/>
        <v>1302104961.5999999</v>
      </c>
      <c r="S595" s="63"/>
      <c r="T595" s="8">
        <v>540961</v>
      </c>
      <c r="U595" s="8" t="s">
        <v>2471</v>
      </c>
      <c r="V595" s="12">
        <v>8363332</v>
      </c>
      <c r="W595" s="8">
        <v>97.21</v>
      </c>
      <c r="X595" s="11">
        <f ca="1">IFERROR(__xludf.DUMMYFUNCTION("GOOGLEFINANCE(""BOM:"" &amp; T595,""price"")"),82.6)</f>
        <v>82.6</v>
      </c>
      <c r="Y595" s="8">
        <f t="shared" ca="1" si="181"/>
        <v>-15.02931797140212</v>
      </c>
      <c r="Z595" s="12">
        <f t="shared" si="182"/>
        <v>812999503.71999991</v>
      </c>
      <c r="AA595" s="13">
        <f t="shared" ca="1" si="183"/>
        <v>690811223.19999993</v>
      </c>
      <c r="AB595" s="63"/>
      <c r="AC595" s="8">
        <v>500319</v>
      </c>
      <c r="AD595" s="8" t="s">
        <v>2472</v>
      </c>
      <c r="AE595" s="12">
        <v>14755946</v>
      </c>
      <c r="AF595" s="8">
        <v>94.99</v>
      </c>
      <c r="AG595" s="8">
        <f ca="1">IFERROR(__xludf.DUMMYFUNCTION("GOOGLEFINANCE(""BOM:"" &amp; AC595,""price"")"),76.95)</f>
        <v>76.95</v>
      </c>
      <c r="AH595" s="8">
        <f t="shared" ca="1" si="193"/>
        <v>-18.991472786609108</v>
      </c>
      <c r="AI595" s="12">
        <f t="shared" si="194"/>
        <v>1401667310.54</v>
      </c>
      <c r="AJ595" s="13">
        <f t="shared" ca="1" si="195"/>
        <v>1135470044.7</v>
      </c>
    </row>
    <row r="596" spans="1:36" x14ac:dyDescent="0.25">
      <c r="A596" s="63"/>
      <c r="B596" s="8">
        <v>500279</v>
      </c>
      <c r="C596" s="8" t="s">
        <v>2473</v>
      </c>
      <c r="D596" s="12">
        <v>228176708</v>
      </c>
      <c r="E596" s="8">
        <v>24.7</v>
      </c>
      <c r="F596" s="8">
        <f ca="1">IFERROR(__xludf.DUMMYFUNCTION("GOOGLEFINANCE(""BOM:"" &amp; B596,""price"")"),19)</f>
        <v>19</v>
      </c>
      <c r="G596" s="8">
        <f t="shared" ca="1" si="191"/>
        <v>-23.076923076923077</v>
      </c>
      <c r="H596" s="12">
        <f t="shared" si="189"/>
        <v>5635964687.5999994</v>
      </c>
      <c r="I596" s="13">
        <f t="shared" ca="1" si="190"/>
        <v>4335357452</v>
      </c>
      <c r="J596" s="63"/>
      <c r="K596" s="8">
        <v>522285</v>
      </c>
      <c r="L596" s="8" t="s">
        <v>2474</v>
      </c>
      <c r="M596" s="12">
        <v>968454614</v>
      </c>
      <c r="N596" s="10">
        <v>55.44</v>
      </c>
      <c r="O596" s="10">
        <f ca="1">IFERROR(__xludf.DUMMYFUNCTION("GOOGLEFINANCE(""BOM:"" &amp; K596,""price"")"),48.06)</f>
        <v>48.06</v>
      </c>
      <c r="P596" s="8">
        <f t="shared" ca="1" si="192"/>
        <v>-13.311688311688306</v>
      </c>
      <c r="Q596" s="12">
        <f t="shared" si="174"/>
        <v>53691123800.159996</v>
      </c>
      <c r="R596" s="13">
        <f t="shared" ca="1" si="175"/>
        <v>46543928748.840004</v>
      </c>
      <c r="S596" s="63"/>
      <c r="T596" s="8">
        <v>511108</v>
      </c>
      <c r="U596" s="8" t="s">
        <v>2475</v>
      </c>
      <c r="V596" s="12">
        <v>12691075</v>
      </c>
      <c r="W596" s="8">
        <v>167.7</v>
      </c>
      <c r="X596" s="11">
        <f ca="1">IFERROR(__xludf.DUMMYFUNCTION("GOOGLEFINANCE(""BOM:"" &amp; T596,""price"")"),143.9)</f>
        <v>143.9</v>
      </c>
      <c r="Y596" s="8">
        <f t="shared" ca="1" si="181"/>
        <v>-14.192009540846742</v>
      </c>
      <c r="Z596" s="12">
        <f t="shared" si="182"/>
        <v>2128293277.4999998</v>
      </c>
      <c r="AA596" s="13">
        <f t="shared" ca="1" si="183"/>
        <v>1826245692.5</v>
      </c>
      <c r="AB596" s="63"/>
      <c r="AC596" s="8">
        <v>533192</v>
      </c>
      <c r="AD596" s="8" t="s">
        <v>2476</v>
      </c>
      <c r="AE596" s="12">
        <v>110367517</v>
      </c>
      <c r="AF596" s="8">
        <v>38.409999999999997</v>
      </c>
      <c r="AG596" s="8">
        <f ca="1">IFERROR(__xludf.DUMMYFUNCTION("GOOGLEFINANCE(""BOM:"" &amp; AC596,""price"")"),33.03)</f>
        <v>33.03</v>
      </c>
      <c r="AH596" s="8">
        <f t="shared" ca="1" si="193"/>
        <v>-14.006769070554531</v>
      </c>
      <c r="AI596" s="12">
        <f t="shared" si="194"/>
        <v>4239216327.9699998</v>
      </c>
      <c r="AJ596" s="13">
        <f t="shared" ca="1" si="195"/>
        <v>3645439086.5100002</v>
      </c>
    </row>
    <row r="597" spans="1:36" x14ac:dyDescent="0.25">
      <c r="A597" s="63"/>
      <c r="B597" s="8">
        <v>541301</v>
      </c>
      <c r="C597" s="8" t="s">
        <v>2477</v>
      </c>
      <c r="D597" s="12">
        <v>211412286</v>
      </c>
      <c r="E597" s="8">
        <v>208.15</v>
      </c>
      <c r="F597" s="8">
        <f ca="1">IFERROR(__xludf.DUMMYFUNCTION("GOOGLEFINANCE(""BOM:"" &amp; B597,""price"")"),192)</f>
        <v>192</v>
      </c>
      <c r="G597" s="8">
        <f t="shared" ca="1" si="191"/>
        <v>-7.7588277684362259</v>
      </c>
      <c r="H597" s="12">
        <f t="shared" si="189"/>
        <v>44005467330.900002</v>
      </c>
      <c r="I597" s="13">
        <f t="shared" ca="1" si="190"/>
        <v>40591158912</v>
      </c>
      <c r="J597" s="63"/>
      <c r="K597" s="8">
        <v>500378</v>
      </c>
      <c r="L597" s="8" t="s">
        <v>2478</v>
      </c>
      <c r="M597" s="12">
        <v>316188617</v>
      </c>
      <c r="N597" s="10">
        <v>490.7</v>
      </c>
      <c r="O597" s="10">
        <f ca="1">IFERROR(__xludf.DUMMYFUNCTION("GOOGLEFINANCE(""BOM:"" &amp; K597,""price"")"),431.5)</f>
        <v>431.5</v>
      </c>
      <c r="P597" s="8">
        <f t="shared" ca="1" si="192"/>
        <v>-12.064397799062561</v>
      </c>
      <c r="Q597" s="12">
        <f t="shared" si="174"/>
        <v>155153754361.89999</v>
      </c>
      <c r="R597" s="13">
        <f t="shared" ca="1" si="175"/>
        <v>136435388235.5</v>
      </c>
      <c r="S597" s="63"/>
      <c r="T597" s="8">
        <v>503804</v>
      </c>
      <c r="U597" s="8" t="s">
        <v>2479</v>
      </c>
      <c r="V597" s="12">
        <v>5425842</v>
      </c>
      <c r="W597" s="8">
        <v>527.75</v>
      </c>
      <c r="X597" s="11">
        <f ca="1">IFERROR(__xludf.DUMMYFUNCTION("GOOGLEFINANCE(""BOM:"" &amp; T597,""price"")"),475.1)</f>
        <v>475.1</v>
      </c>
      <c r="Y597" s="8">
        <f t="shared" ca="1" si="181"/>
        <v>-9.9763145428706732</v>
      </c>
      <c r="Z597" s="12">
        <f t="shared" si="182"/>
        <v>2863488115.5</v>
      </c>
      <c r="AA597" s="13">
        <f t="shared" ca="1" si="183"/>
        <v>2577817534.2000003</v>
      </c>
      <c r="AB597" s="63"/>
      <c r="AC597" s="8">
        <v>507180</v>
      </c>
      <c r="AD597" s="8" t="s">
        <v>2480</v>
      </c>
      <c r="AE597" s="12">
        <v>9926512</v>
      </c>
      <c r="AF597" s="8">
        <v>120.5</v>
      </c>
      <c r="AG597" s="8">
        <f ca="1">IFERROR(__xludf.DUMMYFUNCTION("GOOGLEFINANCE(""BOM:"" &amp; AC597,""price"")"),106)</f>
        <v>106</v>
      </c>
      <c r="AH597" s="8">
        <f t="shared" ca="1" si="193"/>
        <v>-12.033195020746888</v>
      </c>
      <c r="AI597" s="12">
        <f t="shared" si="194"/>
        <v>1196144696</v>
      </c>
      <c r="AJ597" s="13">
        <f t="shared" ca="1" si="195"/>
        <v>1052210272</v>
      </c>
    </row>
    <row r="598" spans="1:36" x14ac:dyDescent="0.25">
      <c r="A598" s="63"/>
      <c r="B598" s="8">
        <v>533581</v>
      </c>
      <c r="C598" s="8" t="s">
        <v>2481</v>
      </c>
      <c r="D598" s="12">
        <v>21224865</v>
      </c>
      <c r="E598" s="8">
        <v>1830</v>
      </c>
      <c r="F598" s="8">
        <f ca="1">IFERROR(__xludf.DUMMYFUNCTION("GOOGLEFINANCE(""BOM:"" &amp; B598,""price"")"),1666)</f>
        <v>1666</v>
      </c>
      <c r="G598" s="8">
        <f t="shared" ca="1" si="191"/>
        <v>-8.9617486338797825</v>
      </c>
      <c r="H598" s="12">
        <f t="shared" si="189"/>
        <v>38841502950</v>
      </c>
      <c r="I598" s="13">
        <f t="shared" ca="1" si="190"/>
        <v>35360625090</v>
      </c>
      <c r="J598" s="63"/>
      <c r="K598" s="8">
        <v>539597</v>
      </c>
      <c r="L598" s="8" t="s">
        <v>2482</v>
      </c>
      <c r="M598" s="12">
        <v>233118865</v>
      </c>
      <c r="N598" s="10" t="s">
        <v>60</v>
      </c>
      <c r="O598" s="10" t="s">
        <v>60</v>
      </c>
      <c r="P598" s="8"/>
      <c r="Q598" s="12"/>
      <c r="R598" s="13"/>
      <c r="S598" s="63"/>
      <c r="T598" s="8">
        <v>503863</v>
      </c>
      <c r="U598" s="8" t="s">
        <v>2483</v>
      </c>
      <c r="V598" s="12">
        <v>6915351</v>
      </c>
      <c r="W598" s="8">
        <v>14.66</v>
      </c>
      <c r="X598" s="11">
        <f ca="1">IFERROR(__xludf.DUMMYFUNCTION("GOOGLEFINANCE(""BOM:"" &amp; T598,""price"")"),12.58)</f>
        <v>12.58</v>
      </c>
      <c r="Y598" s="8">
        <f t="shared" ca="1" si="181"/>
        <v>-14.188267394270124</v>
      </c>
      <c r="Z598" s="12">
        <f t="shared" si="182"/>
        <v>101379045.66</v>
      </c>
      <c r="AA598" s="13">
        <f t="shared" ca="1" si="183"/>
        <v>86995115.579999998</v>
      </c>
      <c r="AB598" s="63"/>
      <c r="AC598" s="8">
        <v>532673</v>
      </c>
      <c r="AD598" s="8" t="s">
        <v>2484</v>
      </c>
      <c r="AE598" s="12">
        <v>91999140</v>
      </c>
      <c r="AF598" s="8">
        <v>33.36</v>
      </c>
      <c r="AG598" s="8">
        <f ca="1">IFERROR(__xludf.DUMMYFUNCTION("GOOGLEFINANCE(""BOM:"" &amp; AC598,""price"")"),28.45)</f>
        <v>28.45</v>
      </c>
      <c r="AH598" s="8">
        <f t="shared" ca="1" si="193"/>
        <v>-14.718225419664268</v>
      </c>
      <c r="AI598" s="12">
        <f t="shared" si="194"/>
        <v>3069091310.4000001</v>
      </c>
      <c r="AJ598" s="13">
        <f t="shared" ca="1" si="195"/>
        <v>2617375533</v>
      </c>
    </row>
    <row r="599" spans="1:36" x14ac:dyDescent="0.25">
      <c r="A599" s="63"/>
      <c r="B599" s="8">
        <v>523449</v>
      </c>
      <c r="C599" s="8" t="s">
        <v>2485</v>
      </c>
      <c r="D599" s="12">
        <v>25176895</v>
      </c>
      <c r="E599" s="8">
        <v>60.79</v>
      </c>
      <c r="F599" s="8">
        <f ca="1">IFERROR(__xludf.DUMMYFUNCTION("GOOGLEFINANCE(""BOM:"" &amp; B599,""price"")"),73.8)</f>
        <v>73.8</v>
      </c>
      <c r="G599" s="8">
        <f t="shared" ca="1" si="191"/>
        <v>21.401546306958377</v>
      </c>
      <c r="H599" s="12">
        <f t="shared" si="189"/>
        <v>1530503447.05</v>
      </c>
      <c r="I599" s="13">
        <f t="shared" ca="1" si="190"/>
        <v>1858054851</v>
      </c>
      <c r="J599" s="63"/>
      <c r="K599" s="8">
        <v>534600</v>
      </c>
      <c r="L599" s="8" t="s">
        <v>2486</v>
      </c>
      <c r="M599" s="12">
        <v>168410784</v>
      </c>
      <c r="N599" s="10">
        <v>259.10000000000002</v>
      </c>
      <c r="O599" s="10">
        <f ca="1">IFERROR(__xludf.DUMMYFUNCTION("GOOGLEFINANCE(""BOM:"" &amp; K599,""price"")"),184)</f>
        <v>184</v>
      </c>
      <c r="P599" s="8">
        <f t="shared" ref="P599:P608" ca="1" si="196">((O599-N599)/N599)*100</f>
        <v>-28.984947896565039</v>
      </c>
      <c r="Q599" s="12">
        <f t="shared" ref="Q599:Q643" si="197">M599*N599</f>
        <v>43635234134.400002</v>
      </c>
      <c r="R599" s="13">
        <f t="shared" ref="R599:R643" ca="1" si="198">M599*O599</f>
        <v>30987584256</v>
      </c>
      <c r="S599" s="63"/>
      <c r="T599" s="8">
        <v>542019</v>
      </c>
      <c r="U599" s="8" t="s">
        <v>2487</v>
      </c>
      <c r="V599" s="12">
        <v>12122000</v>
      </c>
      <c r="W599" s="8">
        <v>23.95</v>
      </c>
      <c r="X599" s="11">
        <f ca="1">IFERROR(__xludf.DUMMYFUNCTION("GOOGLEFINANCE(""BOM:"" &amp; T599,""price"")"),18.95)</f>
        <v>18.95</v>
      </c>
      <c r="Y599" s="8">
        <f t="shared" ca="1" si="181"/>
        <v>-20.876826722338205</v>
      </c>
      <c r="Z599" s="12">
        <f t="shared" si="182"/>
        <v>290321900</v>
      </c>
      <c r="AA599" s="13">
        <f t="shared" ca="1" si="183"/>
        <v>229711900</v>
      </c>
      <c r="AB599" s="63"/>
      <c r="AC599" s="8">
        <v>540650</v>
      </c>
      <c r="AD599" s="8" t="s">
        <v>2488</v>
      </c>
      <c r="AE599" s="12">
        <v>14013343</v>
      </c>
      <c r="AF599" s="8">
        <v>618</v>
      </c>
      <c r="AG599" s="8">
        <f ca="1">IFERROR(__xludf.DUMMYFUNCTION("GOOGLEFINANCE(""BOM:"" &amp; AC599,""price"")"),536.3)</f>
        <v>536.29999999999995</v>
      </c>
      <c r="AH599" s="8">
        <f t="shared" ca="1" si="193"/>
        <v>-13.220064724919101</v>
      </c>
      <c r="AI599" s="12">
        <f t="shared" si="194"/>
        <v>8660245974</v>
      </c>
      <c r="AJ599" s="13">
        <f t="shared" ca="1" si="195"/>
        <v>7515355850.8999996</v>
      </c>
    </row>
    <row r="600" spans="1:36" x14ac:dyDescent="0.25">
      <c r="A600" s="63"/>
      <c r="B600" s="8">
        <v>517385</v>
      </c>
      <c r="C600" s="8" t="s">
        <v>2489</v>
      </c>
      <c r="D600" s="12">
        <v>69433650</v>
      </c>
      <c r="E600" s="8">
        <v>894.75</v>
      </c>
      <c r="F600" s="8">
        <f ca="1">IFERROR(__xludf.DUMMYFUNCTION("GOOGLEFINANCE(""BOM:"" &amp; B600,""price"")"),851.2)</f>
        <v>851.2</v>
      </c>
      <c r="G600" s="8">
        <f t="shared" ca="1" si="191"/>
        <v>-4.8672813635093553</v>
      </c>
      <c r="H600" s="12">
        <f t="shared" si="189"/>
        <v>62125758337.5</v>
      </c>
      <c r="I600" s="13">
        <f t="shared" ca="1" si="190"/>
        <v>59101922880</v>
      </c>
      <c r="J600" s="63"/>
      <c r="K600" s="8">
        <v>532741</v>
      </c>
      <c r="L600" s="8" t="s">
        <v>2490</v>
      </c>
      <c r="M600" s="12">
        <v>26935268</v>
      </c>
      <c r="N600" s="10">
        <v>641.95000000000005</v>
      </c>
      <c r="O600" s="10">
        <f ca="1">IFERROR(__xludf.DUMMYFUNCTION("GOOGLEFINANCE(""BOM:"" &amp; K600,""price"")"),520.7)</f>
        <v>520.70000000000005</v>
      </c>
      <c r="P600" s="8">
        <f t="shared" ca="1" si="196"/>
        <v>-18.887763844536178</v>
      </c>
      <c r="Q600" s="12">
        <f t="shared" si="197"/>
        <v>17291095292.600002</v>
      </c>
      <c r="R600" s="13">
        <f t="shared" ca="1" si="198"/>
        <v>14025194047.6</v>
      </c>
      <c r="S600" s="63"/>
      <c r="T600" s="8">
        <v>533018</v>
      </c>
      <c r="U600" s="8" t="s">
        <v>2491</v>
      </c>
      <c r="V600" s="12">
        <v>28724</v>
      </c>
      <c r="W600" s="8">
        <v>2391.9</v>
      </c>
      <c r="X600" s="11">
        <f ca="1">IFERROR(__xludf.DUMMYFUNCTION("GOOGLEFINANCE(""BOM:"" &amp; T600,""price"")"),2212.35)</f>
        <v>2212.35</v>
      </c>
      <c r="Y600" s="8">
        <f t="shared" ca="1" si="181"/>
        <v>-7.5065847234416232</v>
      </c>
      <c r="Z600" s="12">
        <f t="shared" si="182"/>
        <v>68704935.600000009</v>
      </c>
      <c r="AA600" s="13">
        <f t="shared" ca="1" si="183"/>
        <v>63547541.399999999</v>
      </c>
      <c r="AB600" s="63"/>
      <c r="AC600" s="8">
        <v>523371</v>
      </c>
      <c r="AD600" s="8" t="s">
        <v>2492</v>
      </c>
      <c r="AE600" s="12">
        <v>38632279</v>
      </c>
      <c r="AF600" s="8">
        <v>98.33</v>
      </c>
      <c r="AG600" s="8">
        <f ca="1">IFERROR(__xludf.DUMMYFUNCTION("GOOGLEFINANCE(""BOM:"" &amp; AC600,""price"")"),84.8)</f>
        <v>84.8</v>
      </c>
      <c r="AH600" s="8">
        <f t="shared" ca="1" si="193"/>
        <v>-13.759788467405675</v>
      </c>
      <c r="AI600" s="12">
        <f t="shared" si="194"/>
        <v>3798711994.0700002</v>
      </c>
      <c r="AJ600" s="13">
        <f t="shared" ca="1" si="195"/>
        <v>3276017259.1999998</v>
      </c>
    </row>
    <row r="601" spans="1:36" x14ac:dyDescent="0.25">
      <c r="A601" s="63"/>
      <c r="B601" s="8">
        <v>539331</v>
      </c>
      <c r="C601" s="8" t="s">
        <v>2493</v>
      </c>
      <c r="D601" s="12">
        <v>19114950</v>
      </c>
      <c r="E601" s="8">
        <v>141</v>
      </c>
      <c r="F601" s="8">
        <f ca="1">IFERROR(__xludf.DUMMYFUNCTION("GOOGLEFINANCE(""BOM:"" &amp; B601,""price"")"),122.9)</f>
        <v>122.9</v>
      </c>
      <c r="G601" s="8">
        <f t="shared" ca="1" si="191"/>
        <v>-12.83687943262411</v>
      </c>
      <c r="H601" s="12">
        <f t="shared" si="189"/>
        <v>2695207950</v>
      </c>
      <c r="I601" s="13">
        <f t="shared" ca="1" si="190"/>
        <v>2349227355</v>
      </c>
      <c r="J601" s="63"/>
      <c r="K601" s="8">
        <v>513456</v>
      </c>
      <c r="L601" s="8" t="s">
        <v>2494</v>
      </c>
      <c r="M601" s="12">
        <v>25874723</v>
      </c>
      <c r="N601" s="10">
        <v>32.49</v>
      </c>
      <c r="O601" s="10">
        <f ca="1">IFERROR(__xludf.DUMMYFUNCTION("GOOGLEFINANCE(""BOM:"" &amp; K601,""price"")"),27.8)</f>
        <v>27.8</v>
      </c>
      <c r="P601" s="8">
        <f t="shared" ca="1" si="196"/>
        <v>-14.435210834102804</v>
      </c>
      <c r="Q601" s="12">
        <f t="shared" si="197"/>
        <v>840669750.2700001</v>
      </c>
      <c r="R601" s="13">
        <f t="shared" ca="1" si="198"/>
        <v>719317299.39999998</v>
      </c>
      <c r="S601" s="63"/>
      <c r="T601" s="8">
        <v>503811</v>
      </c>
      <c r="U601" s="8" t="s">
        <v>2495</v>
      </c>
      <c r="V601" s="12">
        <v>46174083</v>
      </c>
      <c r="W601" s="8">
        <v>501.05</v>
      </c>
      <c r="X601" s="11">
        <f ca="1">IFERROR(__xludf.DUMMYFUNCTION("GOOGLEFINANCE(""BOM:"" &amp; T601,""price"")"),435.5)</f>
        <v>435.5</v>
      </c>
      <c r="Y601" s="8">
        <f t="shared" ca="1" si="181"/>
        <v>-13.082526693942723</v>
      </c>
      <c r="Z601" s="12">
        <f t="shared" si="182"/>
        <v>23135524287.150002</v>
      </c>
      <c r="AA601" s="13">
        <f t="shared" ca="1" si="183"/>
        <v>20108813146.5</v>
      </c>
      <c r="AB601" s="63"/>
      <c r="AC601" s="8">
        <v>531065</v>
      </c>
      <c r="AD601" s="8" t="s">
        <v>2496</v>
      </c>
      <c r="AE601" s="12">
        <v>9743600</v>
      </c>
      <c r="AF601" s="8">
        <v>4.9000000000000004</v>
      </c>
      <c r="AG601" s="8">
        <f ca="1">IFERROR(__xludf.DUMMYFUNCTION("GOOGLEFINANCE(""BOM:"" &amp; AC601,""price"")"),4.9)</f>
        <v>4.9000000000000004</v>
      </c>
      <c r="AH601" s="8">
        <f t="shared" ca="1" si="193"/>
        <v>0</v>
      </c>
      <c r="AI601" s="12">
        <f t="shared" si="194"/>
        <v>47743640</v>
      </c>
      <c r="AJ601" s="13">
        <f t="shared" ca="1" si="195"/>
        <v>47743640</v>
      </c>
    </row>
    <row r="602" spans="1:36" x14ac:dyDescent="0.25">
      <c r="A602" s="64"/>
      <c r="B602" s="14">
        <v>517399</v>
      </c>
      <c r="C602" s="14" t="s">
        <v>2497</v>
      </c>
      <c r="D602" s="15">
        <v>10762900</v>
      </c>
      <c r="E602" s="8">
        <v>7.12</v>
      </c>
      <c r="F602" s="14">
        <f ca="1">IFERROR(__xludf.DUMMYFUNCTION("GOOGLEFINANCE(""BOM:"" &amp; B602,""price"")"),4.2)</f>
        <v>4.2</v>
      </c>
      <c r="G602" s="14">
        <f t="shared" ca="1" si="191"/>
        <v>-41.011235955056179</v>
      </c>
      <c r="H602" s="15">
        <f t="shared" si="189"/>
        <v>76631848</v>
      </c>
      <c r="I602" s="16">
        <f t="shared" ca="1" si="190"/>
        <v>45204180</v>
      </c>
      <c r="J602" s="63"/>
      <c r="K602" s="8">
        <v>513460</v>
      </c>
      <c r="L602" s="8" t="s">
        <v>2498</v>
      </c>
      <c r="M602" s="12">
        <v>4782690</v>
      </c>
      <c r="N602" s="10">
        <v>11.21</v>
      </c>
      <c r="O602" s="10">
        <f ca="1">IFERROR(__xludf.DUMMYFUNCTION("GOOGLEFINANCE(""BOM:"" &amp; K602,""price"")"),10.5)</f>
        <v>10.5</v>
      </c>
      <c r="P602" s="8">
        <f t="shared" ca="1" si="196"/>
        <v>-6.3336306868867158</v>
      </c>
      <c r="Q602" s="12">
        <f t="shared" si="197"/>
        <v>53613954.900000006</v>
      </c>
      <c r="R602" s="13">
        <f t="shared" ca="1" si="198"/>
        <v>50218245</v>
      </c>
      <c r="S602" s="63"/>
      <c r="T602" s="8">
        <v>526479</v>
      </c>
      <c r="U602" s="8" t="s">
        <v>2499</v>
      </c>
      <c r="V602" s="12">
        <v>7598995</v>
      </c>
      <c r="W602" s="8">
        <v>86.02</v>
      </c>
      <c r="X602" s="11">
        <f ca="1">IFERROR(__xludf.DUMMYFUNCTION("GOOGLEFINANCE(""BOM:"" &amp; T602,""price"")"),82.76)</f>
        <v>82.76</v>
      </c>
      <c r="Y602" s="8">
        <f t="shared" ca="1" si="181"/>
        <v>-3.7898163217856209</v>
      </c>
      <c r="Z602" s="12">
        <f t="shared" si="182"/>
        <v>653665549.89999998</v>
      </c>
      <c r="AA602" s="13">
        <f t="shared" ca="1" si="183"/>
        <v>628892826.20000005</v>
      </c>
      <c r="AB602" s="63"/>
      <c r="AC602" s="8">
        <v>541347</v>
      </c>
      <c r="AD602" s="8" t="s">
        <v>2500</v>
      </c>
      <c r="AE602" s="12">
        <v>89997827</v>
      </c>
      <c r="AF602" s="8">
        <v>12.5</v>
      </c>
      <c r="AG602" s="8">
        <f ca="1">IFERROR(__xludf.DUMMYFUNCTION("GOOGLEFINANCE(""BOM:"" &amp; AC602,""price"")"),10.35)</f>
        <v>10.35</v>
      </c>
      <c r="AH602" s="8">
        <f t="shared" ca="1" si="193"/>
        <v>-17.200000000000003</v>
      </c>
      <c r="AI602" s="12">
        <f t="shared" si="194"/>
        <v>1124972837.5</v>
      </c>
      <c r="AJ602" s="13">
        <f t="shared" ca="1" si="195"/>
        <v>931477509.44999993</v>
      </c>
    </row>
    <row r="603" spans="1:36" x14ac:dyDescent="0.25">
      <c r="A603" s="62" t="s">
        <v>2501</v>
      </c>
      <c r="B603" s="6">
        <v>513119</v>
      </c>
      <c r="C603" s="6" t="s">
        <v>2502</v>
      </c>
      <c r="D603" s="7">
        <v>933724</v>
      </c>
      <c r="E603" s="6">
        <v>56.5</v>
      </c>
      <c r="F603" s="8">
        <f ca="1">IFERROR(__xludf.DUMMYFUNCTION("GOOGLEFINANCE(""BOM:"" &amp; B603,""price"")"),58.93)</f>
        <v>58.93</v>
      </c>
      <c r="G603" s="8">
        <f t="shared" ca="1" si="191"/>
        <v>4.3008849557522124</v>
      </c>
      <c r="H603" s="7">
        <f t="shared" si="189"/>
        <v>52755406</v>
      </c>
      <c r="I603" s="9">
        <f t="shared" ca="1" si="190"/>
        <v>55024355.32</v>
      </c>
      <c r="J603" s="63"/>
      <c r="K603" s="8">
        <v>513554</v>
      </c>
      <c r="L603" s="8" t="s">
        <v>2503</v>
      </c>
      <c r="M603" s="12">
        <v>16008870</v>
      </c>
      <c r="N603" s="10">
        <v>106</v>
      </c>
      <c r="O603" s="10">
        <f ca="1">IFERROR(__xludf.DUMMYFUNCTION("GOOGLEFINANCE(""BOM:"" &amp; K603,""price"")"),100.95)</f>
        <v>100.95</v>
      </c>
      <c r="P603" s="8">
        <f t="shared" ca="1" si="196"/>
        <v>-4.7641509433962241</v>
      </c>
      <c r="Q603" s="12">
        <f t="shared" si="197"/>
        <v>1696940220</v>
      </c>
      <c r="R603" s="13">
        <f t="shared" ca="1" si="198"/>
        <v>1616095426.5</v>
      </c>
      <c r="S603" s="63"/>
      <c r="T603" s="8">
        <v>521161</v>
      </c>
      <c r="U603" s="8" t="s">
        <v>2504</v>
      </c>
      <c r="V603" s="12">
        <v>3178875</v>
      </c>
      <c r="W603" s="8">
        <v>43.79</v>
      </c>
      <c r="X603" s="11">
        <f ca="1">IFERROR(__xludf.DUMMYFUNCTION("GOOGLEFINANCE(""BOM:"" &amp; T603,""price"")"),44)</f>
        <v>44</v>
      </c>
      <c r="Y603" s="8">
        <f t="shared" ca="1" si="181"/>
        <v>0.47956154373144749</v>
      </c>
      <c r="Z603" s="12">
        <f t="shared" si="182"/>
        <v>139202936.25</v>
      </c>
      <c r="AA603" s="13">
        <f t="shared" ca="1" si="183"/>
        <v>139870500</v>
      </c>
      <c r="AB603" s="63"/>
      <c r="AC603" s="8">
        <v>530305</v>
      </c>
      <c r="AD603" s="8" t="s">
        <v>2505</v>
      </c>
      <c r="AE603" s="12">
        <v>91038364</v>
      </c>
      <c r="AF603" s="8">
        <v>371.9</v>
      </c>
      <c r="AG603" s="8">
        <f ca="1">IFERROR(__xludf.DUMMYFUNCTION("GOOGLEFINANCE(""BOM:"" &amp; AC603,""price"")"),301.95)</f>
        <v>301.95</v>
      </c>
      <c r="AH603" s="8">
        <f t="shared" ca="1" si="193"/>
        <v>-18.808819575154608</v>
      </c>
      <c r="AI603" s="12">
        <f t="shared" si="194"/>
        <v>33857167571.599998</v>
      </c>
      <c r="AJ603" s="13">
        <f t="shared" ca="1" si="195"/>
        <v>27489034009.799999</v>
      </c>
    </row>
    <row r="604" spans="1:36" x14ac:dyDescent="0.25">
      <c r="A604" s="63"/>
      <c r="B604" s="8">
        <v>512296</v>
      </c>
      <c r="C604" s="8" t="s">
        <v>2506</v>
      </c>
      <c r="D604" s="12">
        <v>31839095</v>
      </c>
      <c r="E604" s="8">
        <v>95.24</v>
      </c>
      <c r="F604" s="8">
        <f ca="1">IFERROR(__xludf.DUMMYFUNCTION("GOOGLEFINANCE(""BOM:"" &amp; B604,""price"")"),82.25)</f>
        <v>82.25</v>
      </c>
      <c r="G604" s="8">
        <f t="shared" ca="1" si="191"/>
        <v>-13.639227215455687</v>
      </c>
      <c r="H604" s="12">
        <f t="shared" si="189"/>
        <v>3032355407.7999997</v>
      </c>
      <c r="I604" s="13">
        <f t="shared" ca="1" si="190"/>
        <v>2618765563.75</v>
      </c>
      <c r="J604" s="63"/>
      <c r="K604" s="8">
        <v>500265</v>
      </c>
      <c r="L604" s="8" t="s">
        <v>2507</v>
      </c>
      <c r="M604" s="12">
        <v>66420073</v>
      </c>
      <c r="N604" s="10">
        <v>949.5</v>
      </c>
      <c r="O604" s="10">
        <f ca="1">IFERROR(__xludf.DUMMYFUNCTION("GOOGLEFINANCE(""BOM:"" &amp; K604,""price"")"),840)</f>
        <v>840</v>
      </c>
      <c r="P604" s="8">
        <f t="shared" ca="1" si="196"/>
        <v>-11.532385466034755</v>
      </c>
      <c r="Q604" s="12">
        <f t="shared" si="197"/>
        <v>63065859313.5</v>
      </c>
      <c r="R604" s="13">
        <f t="shared" ca="1" si="198"/>
        <v>55792861320</v>
      </c>
      <c r="S604" s="63"/>
      <c r="T604" s="8">
        <v>521034</v>
      </c>
      <c r="U604" s="8" t="s">
        <v>2508</v>
      </c>
      <c r="V604" s="12">
        <v>32532514</v>
      </c>
      <c r="W604" s="8">
        <v>27.73</v>
      </c>
      <c r="X604" s="11">
        <f ca="1">IFERROR(__xludf.DUMMYFUNCTION("GOOGLEFINANCE(""BOM:"" &amp; T604,""price"")"),33.3)</f>
        <v>33.299999999999997</v>
      </c>
      <c r="Y604" s="8">
        <f t="shared" ca="1" si="181"/>
        <v>20.086548864046147</v>
      </c>
      <c r="Z604" s="12">
        <f t="shared" si="182"/>
        <v>902126613.22000003</v>
      </c>
      <c r="AA604" s="13">
        <f t="shared" ca="1" si="183"/>
        <v>1083332716.1999998</v>
      </c>
      <c r="AB604" s="63"/>
      <c r="AC604" s="8">
        <v>507498</v>
      </c>
      <c r="AD604" s="8" t="s">
        <v>2509</v>
      </c>
      <c r="AE604" s="12">
        <v>20822485</v>
      </c>
      <c r="AF604" s="8">
        <v>69.89</v>
      </c>
      <c r="AG604" s="8">
        <f ca="1">IFERROR(__xludf.DUMMYFUNCTION("GOOGLEFINANCE(""BOM:"" &amp; AC604,""price"")"),50.52)</f>
        <v>50.52</v>
      </c>
      <c r="AH604" s="8">
        <f t="shared" ca="1" si="193"/>
        <v>-27.714980683931888</v>
      </c>
      <c r="AI604" s="12">
        <f t="shared" si="194"/>
        <v>1455283476.6500001</v>
      </c>
      <c r="AJ604" s="13">
        <f t="shared" ca="1" si="195"/>
        <v>1051951942.2</v>
      </c>
    </row>
    <row r="605" spans="1:36" x14ac:dyDescent="0.25">
      <c r="A605" s="63"/>
      <c r="B605" s="8">
        <v>513599</v>
      </c>
      <c r="C605" s="8" t="s">
        <v>2510</v>
      </c>
      <c r="D605" s="12">
        <v>966994698</v>
      </c>
      <c r="E605" s="8">
        <v>271.89999999999998</v>
      </c>
      <c r="F605" s="8">
        <f ca="1">IFERROR(__xludf.DUMMYFUNCTION("GOOGLEFINANCE(""BOM:"" &amp; B605,""price"")"),278.2)</f>
        <v>278.2</v>
      </c>
      <c r="G605" s="8">
        <f t="shared" ca="1" si="191"/>
        <v>2.3170283192350172</v>
      </c>
      <c r="H605" s="12">
        <f t="shared" si="189"/>
        <v>262925858386.19998</v>
      </c>
      <c r="I605" s="13">
        <f t="shared" ca="1" si="190"/>
        <v>269017924983.59998</v>
      </c>
      <c r="J605" s="63"/>
      <c r="K605" s="8">
        <v>532932</v>
      </c>
      <c r="L605" s="8" t="s">
        <v>2511</v>
      </c>
      <c r="M605" s="12">
        <v>65533883</v>
      </c>
      <c r="N605" s="10">
        <v>119.6</v>
      </c>
      <c r="O605" s="10">
        <f ca="1">IFERROR(__xludf.DUMMYFUNCTION("GOOGLEFINANCE(""BOM:"" &amp; K605,""price"")"),98)</f>
        <v>98</v>
      </c>
      <c r="P605" s="8">
        <f t="shared" ca="1" si="196"/>
        <v>-18.060200668896318</v>
      </c>
      <c r="Q605" s="12">
        <f t="shared" si="197"/>
        <v>7837852406.7999992</v>
      </c>
      <c r="R605" s="13">
        <f t="shared" ca="1" si="198"/>
        <v>6422320534</v>
      </c>
      <c r="S605" s="63"/>
      <c r="T605" s="8">
        <v>521036</v>
      </c>
      <c r="U605" s="8" t="s">
        <v>2512</v>
      </c>
      <c r="V605" s="12">
        <v>3571699</v>
      </c>
      <c r="W605" s="8">
        <v>3.34</v>
      </c>
      <c r="X605" s="11">
        <f ca="1">IFERROR(__xludf.DUMMYFUNCTION("GOOGLEFINANCE(""BOM:"" &amp; T605,""price"")"),3.34)</f>
        <v>3.34</v>
      </c>
      <c r="Y605" s="8">
        <f t="shared" ca="1" si="181"/>
        <v>0</v>
      </c>
      <c r="Z605" s="12">
        <f t="shared" si="182"/>
        <v>11929474.66</v>
      </c>
      <c r="AA605" s="13">
        <f t="shared" ca="1" si="183"/>
        <v>11929474.66</v>
      </c>
      <c r="AB605" s="63"/>
      <c r="AC605" s="8">
        <v>532460</v>
      </c>
      <c r="AD605" s="8" t="s">
        <v>2513</v>
      </c>
      <c r="AE605" s="12">
        <v>8196791</v>
      </c>
      <c r="AF605" s="8">
        <v>413.5</v>
      </c>
      <c r="AG605" s="8">
        <f ca="1">IFERROR(__xludf.DUMMYFUNCTION("GOOGLEFINANCE(""BOM:"" &amp; AC605,""price"")"),401.75)</f>
        <v>401.75</v>
      </c>
      <c r="AH605" s="8">
        <f t="shared" ca="1" si="193"/>
        <v>-2.841596130592503</v>
      </c>
      <c r="AI605" s="12">
        <f t="shared" si="194"/>
        <v>3389373078.5</v>
      </c>
      <c r="AJ605" s="13">
        <f t="shared" ca="1" si="195"/>
        <v>3293060784.25</v>
      </c>
    </row>
    <row r="606" spans="1:36" x14ac:dyDescent="0.25">
      <c r="A606" s="63"/>
      <c r="B606" s="8">
        <v>512024</v>
      </c>
      <c r="C606" s="8" t="s">
        <v>2514</v>
      </c>
      <c r="D606" s="12">
        <v>2419718</v>
      </c>
      <c r="E606" s="8">
        <v>100.24</v>
      </c>
      <c r="F606" s="8">
        <f ca="1">IFERROR(__xludf.DUMMYFUNCTION("GOOGLEFINANCE(""BOM:"" &amp; B606,""price"")"),104.05)</f>
        <v>104.05</v>
      </c>
      <c r="G606" s="8">
        <f t="shared" ca="1" si="191"/>
        <v>3.8008778930566667</v>
      </c>
      <c r="H606" s="12">
        <f t="shared" si="189"/>
        <v>242552532.31999999</v>
      </c>
      <c r="I606" s="13">
        <f t="shared" ca="1" si="190"/>
        <v>251771657.90000001</v>
      </c>
      <c r="J606" s="63"/>
      <c r="K606" s="8">
        <v>539044</v>
      </c>
      <c r="L606" s="8" t="s">
        <v>2515</v>
      </c>
      <c r="M606" s="12">
        <v>65533109</v>
      </c>
      <c r="N606" s="10">
        <v>76.69</v>
      </c>
      <c r="O606" s="10">
        <f ca="1">IFERROR(__xludf.DUMMYFUNCTION("GOOGLEFINANCE(""BOM:"" &amp; K606,""price"")"),60)</f>
        <v>60</v>
      </c>
      <c r="P606" s="8">
        <f t="shared" ca="1" si="196"/>
        <v>-21.762941713391573</v>
      </c>
      <c r="Q606" s="12">
        <f t="shared" si="197"/>
        <v>5025734129.21</v>
      </c>
      <c r="R606" s="13">
        <f t="shared" ca="1" si="198"/>
        <v>3931986540</v>
      </c>
      <c r="S606" s="63"/>
      <c r="T606" s="8">
        <v>514454</v>
      </c>
      <c r="U606" s="8" t="s">
        <v>2516</v>
      </c>
      <c r="V606" s="12">
        <v>5338490</v>
      </c>
      <c r="W606" s="8">
        <v>22</v>
      </c>
      <c r="X606" s="11">
        <f ca="1">IFERROR(__xludf.DUMMYFUNCTION("GOOGLEFINANCE(""BOM:"" &amp; T606,""price"")"),24)</f>
        <v>24</v>
      </c>
      <c r="Y606" s="8">
        <f t="shared" ca="1" si="181"/>
        <v>9.0909090909090917</v>
      </c>
      <c r="Z606" s="12">
        <f t="shared" si="182"/>
        <v>117446780</v>
      </c>
      <c r="AA606" s="13">
        <f t="shared" ca="1" si="183"/>
        <v>128123760</v>
      </c>
      <c r="AB606" s="63"/>
      <c r="AC606" s="8">
        <v>500354</v>
      </c>
      <c r="AD606" s="8" t="s">
        <v>2517</v>
      </c>
      <c r="AE606" s="12">
        <v>31065372</v>
      </c>
      <c r="AF606" s="8">
        <v>73.45</v>
      </c>
      <c r="AG606" s="8">
        <f ca="1">IFERROR(__xludf.DUMMYFUNCTION("GOOGLEFINANCE(""BOM:"" &amp; AC606,""price"")"),57.76)</f>
        <v>57.76</v>
      </c>
      <c r="AH606" s="8">
        <f t="shared" ca="1" si="193"/>
        <v>-21.361470388019065</v>
      </c>
      <c r="AI606" s="12">
        <f t="shared" si="194"/>
        <v>2281751573.4000001</v>
      </c>
      <c r="AJ606" s="13">
        <f t="shared" ca="1" si="195"/>
        <v>1794335886.72</v>
      </c>
    </row>
    <row r="607" spans="1:36" x14ac:dyDescent="0.25">
      <c r="A607" s="64"/>
      <c r="B607" s="14">
        <v>532455</v>
      </c>
      <c r="C607" s="14" t="s">
        <v>2518</v>
      </c>
      <c r="D607" s="15">
        <v>42289807</v>
      </c>
      <c r="E607" s="8">
        <v>24.17</v>
      </c>
      <c r="F607" s="14">
        <f ca="1">IFERROR(__xludf.DUMMYFUNCTION("GOOGLEFINANCE(""BOM:"" &amp; B607,""price"")"),20.9)</f>
        <v>20.9</v>
      </c>
      <c r="G607" s="14">
        <f t="shared" ca="1" si="191"/>
        <v>-13.529168390566831</v>
      </c>
      <c r="H607" s="15">
        <f t="shared" si="189"/>
        <v>1022144635.1900001</v>
      </c>
      <c r="I607" s="16">
        <f t="shared" ca="1" si="190"/>
        <v>883856966.29999995</v>
      </c>
      <c r="J607" s="63"/>
      <c r="K607" s="8">
        <v>513269</v>
      </c>
      <c r="L607" s="8" t="s">
        <v>2519</v>
      </c>
      <c r="M607" s="12">
        <v>59408039</v>
      </c>
      <c r="N607" s="10">
        <v>398.4</v>
      </c>
      <c r="O607" s="10">
        <f ca="1">IFERROR(__xludf.DUMMYFUNCTION("GOOGLEFINANCE(""BOM:"" &amp; K607,""price"")"),360.5)</f>
        <v>360.5</v>
      </c>
      <c r="P607" s="8">
        <f t="shared" ca="1" si="196"/>
        <v>-9.5130522088353366</v>
      </c>
      <c r="Q607" s="12">
        <f t="shared" si="197"/>
        <v>23668162737.599998</v>
      </c>
      <c r="R607" s="13">
        <f t="shared" ca="1" si="198"/>
        <v>21416598059.5</v>
      </c>
      <c r="S607" s="63"/>
      <c r="T607" s="8">
        <v>521082</v>
      </c>
      <c r="U607" s="8" t="s">
        <v>2520</v>
      </c>
      <c r="V607" s="12">
        <v>88683640</v>
      </c>
      <c r="W607" s="8" t="s">
        <v>44</v>
      </c>
      <c r="X607" s="11" t="s">
        <v>44</v>
      </c>
      <c r="Y607" s="8"/>
      <c r="Z607" s="12"/>
      <c r="AA607" s="13"/>
      <c r="AB607" s="63"/>
      <c r="AC607" s="8">
        <v>507490</v>
      </c>
      <c r="AD607" s="8" t="s">
        <v>2521</v>
      </c>
      <c r="AE607" s="12">
        <v>149145239</v>
      </c>
      <c r="AF607" s="8">
        <v>23.67</v>
      </c>
      <c r="AG607" s="8">
        <f ca="1">IFERROR(__xludf.DUMMYFUNCTION("GOOGLEFINANCE(""BOM:"" &amp; AC607,""price"")"),19.5)</f>
        <v>19.5</v>
      </c>
      <c r="AH607" s="8">
        <f t="shared" ca="1" si="193"/>
        <v>-17.617237008871996</v>
      </c>
      <c r="AI607" s="12">
        <f t="shared" si="194"/>
        <v>3530267807.1300001</v>
      </c>
      <c r="AJ607" s="13">
        <f t="shared" ca="1" si="195"/>
        <v>2908332160.5</v>
      </c>
    </row>
    <row r="608" spans="1:36" x14ac:dyDescent="0.25">
      <c r="A608" s="62" t="s">
        <v>2522</v>
      </c>
      <c r="B608" s="6">
        <v>543306</v>
      </c>
      <c r="C608" s="6" t="s">
        <v>2523</v>
      </c>
      <c r="D608" s="7">
        <v>59492735</v>
      </c>
      <c r="E608" s="6">
        <v>996.8</v>
      </c>
      <c r="F608" s="8">
        <f ca="1">IFERROR(__xludf.DUMMYFUNCTION("GOOGLEFINANCE(""BOM:"" &amp; B608,""price"")"),801.8)</f>
        <v>801.8</v>
      </c>
      <c r="G608" s="8">
        <f t="shared" ca="1" si="191"/>
        <v>-19.562600321027286</v>
      </c>
      <c r="H608" s="7">
        <f t="shared" si="189"/>
        <v>59302358248</v>
      </c>
      <c r="I608" s="9">
        <f t="shared" ca="1" si="190"/>
        <v>47701274923</v>
      </c>
      <c r="J608" s="63"/>
      <c r="K608" s="8">
        <v>513303</v>
      </c>
      <c r="L608" s="8" t="s">
        <v>2524</v>
      </c>
      <c r="M608" s="12">
        <v>12965004</v>
      </c>
      <c r="N608" s="10">
        <v>24.1</v>
      </c>
      <c r="O608" s="10">
        <f ca="1">IFERROR(__xludf.DUMMYFUNCTION("GOOGLEFINANCE(""BOM:"" &amp; K608,""price"")"),19.38)</f>
        <v>19.38</v>
      </c>
      <c r="P608" s="8">
        <f t="shared" ca="1" si="196"/>
        <v>-19.585062240663909</v>
      </c>
      <c r="Q608" s="12">
        <f t="shared" si="197"/>
        <v>312456596.40000004</v>
      </c>
      <c r="R608" s="13">
        <f t="shared" ca="1" si="198"/>
        <v>251261777.51999998</v>
      </c>
      <c r="S608" s="63"/>
      <c r="T608" s="8">
        <v>539221</v>
      </c>
      <c r="U608" s="8" t="s">
        <v>2525</v>
      </c>
      <c r="V608" s="12">
        <v>12802100</v>
      </c>
      <c r="W608" s="8">
        <v>832</v>
      </c>
      <c r="X608" s="11">
        <f ca="1">IFERROR(__xludf.DUMMYFUNCTION("GOOGLEFINANCE(""BOM:"" &amp; T608,""price"")"),791.35)</f>
        <v>791.35</v>
      </c>
      <c r="Y608" s="8">
        <f t="shared" ref="Y608:Y615" ca="1" si="199">((X608-W608)/W608)*100</f>
        <v>-4.8858173076923048</v>
      </c>
      <c r="Z608" s="12">
        <f t="shared" ref="Z608:Z646" si="200">V608*W608</f>
        <v>10651347200</v>
      </c>
      <c r="AA608" s="13">
        <f t="shared" ref="AA608:AA646" ca="1" si="201">V608*X608</f>
        <v>10130941835</v>
      </c>
      <c r="AB608" s="63"/>
      <c r="AC608" s="8">
        <v>507300</v>
      </c>
      <c r="AD608" s="8" t="s">
        <v>2526</v>
      </c>
      <c r="AE608" s="12">
        <v>63200</v>
      </c>
      <c r="AF608" s="8">
        <v>1255.7</v>
      </c>
      <c r="AG608" s="8">
        <f ca="1">IFERROR(__xludf.DUMMYFUNCTION("GOOGLEFINANCE(""BOM:"" &amp; AC608,""price"")"),1022.9)</f>
        <v>1022.9</v>
      </c>
      <c r="AH608" s="8">
        <f t="shared" ca="1" si="193"/>
        <v>-18.539460062116753</v>
      </c>
      <c r="AI608" s="12">
        <f t="shared" si="194"/>
        <v>79360240</v>
      </c>
      <c r="AJ608" s="13">
        <f t="shared" ca="1" si="195"/>
        <v>64647280</v>
      </c>
    </row>
    <row r="609" spans="1:36" x14ac:dyDescent="0.25">
      <c r="A609" s="63"/>
      <c r="B609" s="8">
        <v>531531</v>
      </c>
      <c r="C609" s="8" t="s">
        <v>2527</v>
      </c>
      <c r="D609" s="12">
        <v>214260584</v>
      </c>
      <c r="E609" s="8">
        <v>1131.8</v>
      </c>
      <c r="F609" s="8">
        <f ca="1">IFERROR(__xludf.DUMMYFUNCTION("GOOGLEFINANCE(""BOM:"" &amp; B609,""price"")"),998)</f>
        <v>998</v>
      </c>
      <c r="G609" s="8">
        <f t="shared" ca="1" si="191"/>
        <v>-11.821876656653115</v>
      </c>
      <c r="H609" s="12">
        <f t="shared" si="189"/>
        <v>242500128971.19998</v>
      </c>
      <c r="I609" s="13">
        <f t="shared" ca="1" si="190"/>
        <v>213832062832</v>
      </c>
      <c r="J609" s="63"/>
      <c r="K609" s="8">
        <v>512505</v>
      </c>
      <c r="L609" s="8" t="s">
        <v>2528</v>
      </c>
      <c r="M609" s="12">
        <v>1244500</v>
      </c>
      <c r="N609" s="10">
        <v>0</v>
      </c>
      <c r="O609" s="10">
        <f ca="1">IFERROR(__xludf.DUMMYFUNCTION("GOOGLEFINANCE(""BOM:"" &amp; K609,""price"")"),0)</f>
        <v>0</v>
      </c>
      <c r="P609" s="8">
        <v>0</v>
      </c>
      <c r="Q609" s="12">
        <f t="shared" si="197"/>
        <v>0</v>
      </c>
      <c r="R609" s="13">
        <f t="shared" ca="1" si="198"/>
        <v>0</v>
      </c>
      <c r="S609" s="63"/>
      <c r="T609" s="8">
        <v>530037</v>
      </c>
      <c r="U609" s="8" t="s">
        <v>2529</v>
      </c>
      <c r="V609" s="12">
        <v>1524432</v>
      </c>
      <c r="W609" s="8">
        <v>4</v>
      </c>
      <c r="X609" s="11">
        <f ca="1">IFERROR(__xludf.DUMMYFUNCTION("GOOGLEFINANCE(""BOM:"" &amp; T609,""price"")"),5.61)</f>
        <v>5.61</v>
      </c>
      <c r="Y609" s="8">
        <f t="shared" ca="1" si="199"/>
        <v>40.250000000000007</v>
      </c>
      <c r="Z609" s="12">
        <f t="shared" si="200"/>
        <v>6097728</v>
      </c>
      <c r="AA609" s="13">
        <f t="shared" ca="1" si="201"/>
        <v>8552063.5200000014</v>
      </c>
      <c r="AB609" s="63"/>
      <c r="AC609" s="8">
        <v>532670</v>
      </c>
      <c r="AD609" s="8" t="s">
        <v>2530</v>
      </c>
      <c r="AE609" s="12">
        <v>2125013813</v>
      </c>
      <c r="AF609" s="8">
        <v>46.55</v>
      </c>
      <c r="AG609" s="8">
        <f ca="1">IFERROR(__xludf.DUMMYFUNCTION("GOOGLEFINANCE(""BOM:"" &amp; AC609,""price"")"),39.72)</f>
        <v>39.72</v>
      </c>
      <c r="AH609" s="8">
        <f t="shared" ca="1" si="193"/>
        <v>-14.672395273899031</v>
      </c>
      <c r="AI609" s="12">
        <f t="shared" si="194"/>
        <v>98919392995.149994</v>
      </c>
      <c r="AJ609" s="13">
        <f t="shared" ca="1" si="195"/>
        <v>84405548652.360001</v>
      </c>
    </row>
    <row r="610" spans="1:36" x14ac:dyDescent="0.25">
      <c r="A610" s="63"/>
      <c r="B610" s="8">
        <v>519552</v>
      </c>
      <c r="C610" s="8" t="s">
        <v>2531</v>
      </c>
      <c r="D610" s="12">
        <v>45844304</v>
      </c>
      <c r="E610" s="8">
        <v>348</v>
      </c>
      <c r="F610" s="8">
        <f ca="1">IFERROR(__xludf.DUMMYFUNCTION("GOOGLEFINANCE(""BOM:"" &amp; B610,""price"")"),336.95)</f>
        <v>336.95</v>
      </c>
      <c r="G610" s="8">
        <f t="shared" ca="1" si="191"/>
        <v>-3.1752873563218422</v>
      </c>
      <c r="H610" s="12">
        <f t="shared" si="189"/>
        <v>15953817792</v>
      </c>
      <c r="I610" s="13">
        <f t="shared" ca="1" si="190"/>
        <v>15447238232.799999</v>
      </c>
      <c r="J610" s="63"/>
      <c r="K610" s="8">
        <v>531810</v>
      </c>
      <c r="L610" s="8" t="s">
        <v>2532</v>
      </c>
      <c r="M610" s="12">
        <v>6872459</v>
      </c>
      <c r="N610" s="10">
        <v>90.87</v>
      </c>
      <c r="O610" s="10">
        <f ca="1">IFERROR(__xludf.DUMMYFUNCTION("GOOGLEFINANCE(""BOM:"" &amp; K610,""price"")"),79)</f>
        <v>79</v>
      </c>
      <c r="P610" s="8">
        <f t="shared" ref="P610:P643" ca="1" si="202">((O610-N610)/N610)*100</f>
        <v>-13.062616925277872</v>
      </c>
      <c r="Q610" s="12">
        <f t="shared" si="197"/>
        <v>624500349.33000004</v>
      </c>
      <c r="R610" s="13">
        <f t="shared" ca="1" si="198"/>
        <v>542924261</v>
      </c>
      <c r="S610" s="63"/>
      <c r="T610" s="8">
        <v>521234</v>
      </c>
      <c r="U610" s="8" t="s">
        <v>2533</v>
      </c>
      <c r="V610" s="12">
        <v>3957052</v>
      </c>
      <c r="W610" s="8">
        <v>33.5</v>
      </c>
      <c r="X610" s="11">
        <f ca="1">IFERROR(__xludf.DUMMYFUNCTION("GOOGLEFINANCE(""BOM:"" &amp; T610,""price"")"),29.45)</f>
        <v>29.45</v>
      </c>
      <c r="Y610" s="8">
        <f t="shared" ca="1" si="199"/>
        <v>-12.089552238805974</v>
      </c>
      <c r="Z610" s="12">
        <f t="shared" si="200"/>
        <v>132561242</v>
      </c>
      <c r="AA610" s="13">
        <f t="shared" ca="1" si="201"/>
        <v>116535181.39999999</v>
      </c>
      <c r="AB610" s="63"/>
      <c r="AC610" s="8">
        <v>507508</v>
      </c>
      <c r="AD610" s="8" t="s">
        <v>2534</v>
      </c>
      <c r="AE610" s="12">
        <v>14216388</v>
      </c>
      <c r="AF610" s="8" t="s">
        <v>44</v>
      </c>
      <c r="AG610" s="8" t="s">
        <v>44</v>
      </c>
      <c r="AH610" s="8"/>
      <c r="AI610" s="12"/>
      <c r="AJ610" s="13"/>
    </row>
    <row r="611" spans="1:36" x14ac:dyDescent="0.25">
      <c r="A611" s="63"/>
      <c r="B611" s="8">
        <v>507621</v>
      </c>
      <c r="C611" s="8" t="s">
        <v>2535</v>
      </c>
      <c r="D611" s="12">
        <v>4599853</v>
      </c>
      <c r="E611" s="8">
        <v>543.04999999999995</v>
      </c>
      <c r="F611" s="8">
        <f ca="1">IFERROR(__xludf.DUMMYFUNCTION("GOOGLEFINANCE(""BOM:"" &amp; B611,""price"")"),516.05)</f>
        <v>516.04999999999995</v>
      </c>
      <c r="G611" s="8">
        <f t="shared" ca="1" si="191"/>
        <v>-4.9719178712825709</v>
      </c>
      <c r="H611" s="12">
        <f t="shared" si="189"/>
        <v>2497950171.6499996</v>
      </c>
      <c r="I611" s="13">
        <f t="shared" ca="1" si="190"/>
        <v>2373754140.6499996</v>
      </c>
      <c r="J611" s="63"/>
      <c r="K611" s="8">
        <v>513721</v>
      </c>
      <c r="L611" s="8" t="s">
        <v>2536</v>
      </c>
      <c r="M611" s="12">
        <v>3026700</v>
      </c>
      <c r="N611" s="10">
        <v>9.2100000000000009</v>
      </c>
      <c r="O611" s="10">
        <f ca="1">IFERROR(__xludf.DUMMYFUNCTION("GOOGLEFINANCE(""BOM:"" &amp; K611,""price"")"),6.72)</f>
        <v>6.72</v>
      </c>
      <c r="P611" s="8">
        <f t="shared" ca="1" si="202"/>
        <v>-27.035830618892518</v>
      </c>
      <c r="Q611" s="12">
        <f t="shared" si="197"/>
        <v>27875907.000000004</v>
      </c>
      <c r="R611" s="13">
        <f t="shared" ca="1" si="198"/>
        <v>20339424</v>
      </c>
      <c r="S611" s="63"/>
      <c r="T611" s="8">
        <v>513515</v>
      </c>
      <c r="U611" s="8" t="s">
        <v>2537</v>
      </c>
      <c r="V611" s="12">
        <v>17989990</v>
      </c>
      <c r="W611" s="8">
        <v>2.31</v>
      </c>
      <c r="X611" s="11">
        <f ca="1">IFERROR(__xludf.DUMMYFUNCTION("GOOGLEFINANCE(""BOM:"" &amp; T611,""price"")"),1.57)</f>
        <v>1.57</v>
      </c>
      <c r="Y611" s="8">
        <f t="shared" ca="1" si="199"/>
        <v>-32.034632034632033</v>
      </c>
      <c r="Z611" s="12">
        <f t="shared" si="200"/>
        <v>41556876.899999999</v>
      </c>
      <c r="AA611" s="13">
        <f t="shared" ca="1" si="201"/>
        <v>28244284.300000001</v>
      </c>
      <c r="AB611" s="63"/>
      <c r="AC611" s="8">
        <v>507315</v>
      </c>
      <c r="AD611" s="8" t="s">
        <v>2538</v>
      </c>
      <c r="AE611" s="12">
        <v>117528508</v>
      </c>
      <c r="AF611" s="8">
        <v>35.65</v>
      </c>
      <c r="AG611" s="8">
        <f ca="1">IFERROR(__xludf.DUMMYFUNCTION("GOOGLEFINANCE(""BOM:"" &amp; AC611,""price"")"),29.75)</f>
        <v>29.75</v>
      </c>
      <c r="AH611" s="8">
        <f t="shared" ref="AH611:AH637" ca="1" si="203">((AG611-AF611)/AF611)*100</f>
        <v>-16.549789621318372</v>
      </c>
      <c r="AI611" s="12">
        <f t="shared" ref="AI611:AI637" si="204">AE611*AF611</f>
        <v>4189891310.1999998</v>
      </c>
      <c r="AJ611" s="13">
        <f t="shared" ref="AJ611:AJ637" ca="1" si="205">AE611*AG611</f>
        <v>3496473113</v>
      </c>
    </row>
    <row r="612" spans="1:36" x14ac:dyDescent="0.25">
      <c r="A612" s="63"/>
      <c r="B612" s="8">
        <v>539889</v>
      </c>
      <c r="C612" s="8" t="s">
        <v>2539</v>
      </c>
      <c r="D612" s="12">
        <v>95375833</v>
      </c>
      <c r="E612" s="8">
        <v>245.35</v>
      </c>
      <c r="F612" s="8">
        <f ca="1">IFERROR(__xludf.DUMMYFUNCTION("GOOGLEFINANCE(""BOM:"" &amp; B612,""price"")"),208.4)</f>
        <v>208.4</v>
      </c>
      <c r="G612" s="8">
        <f t="shared" ca="1" si="191"/>
        <v>-15.060118198491946</v>
      </c>
      <c r="H612" s="12">
        <f t="shared" si="189"/>
        <v>23400460626.549999</v>
      </c>
      <c r="I612" s="13">
        <f t="shared" ca="1" si="190"/>
        <v>19876323597.200001</v>
      </c>
      <c r="J612" s="63"/>
      <c r="K612" s="8">
        <v>539046</v>
      </c>
      <c r="L612" s="8" t="s">
        <v>2540</v>
      </c>
      <c r="M612" s="12">
        <v>65532984</v>
      </c>
      <c r="N612" s="10">
        <v>40.19</v>
      </c>
      <c r="O612" s="10">
        <f ca="1">IFERROR(__xludf.DUMMYFUNCTION("GOOGLEFINANCE(""BOM:"" &amp; K612,""price"")"),29.6)</f>
        <v>29.6</v>
      </c>
      <c r="P612" s="8">
        <f t="shared" ca="1" si="202"/>
        <v>-26.349838268225916</v>
      </c>
      <c r="Q612" s="12">
        <f t="shared" si="197"/>
        <v>2633770626.96</v>
      </c>
      <c r="R612" s="13">
        <f t="shared" ca="1" si="198"/>
        <v>1939776326.4000001</v>
      </c>
      <c r="S612" s="63"/>
      <c r="T612" s="8">
        <v>521178</v>
      </c>
      <c r="U612" s="8" t="s">
        <v>2541</v>
      </c>
      <c r="V612" s="12">
        <v>6748259</v>
      </c>
      <c r="W612" s="8">
        <v>48.27</v>
      </c>
      <c r="X612" s="11">
        <f ca="1">IFERROR(__xludf.DUMMYFUNCTION("GOOGLEFINANCE(""BOM:"" &amp; T612,""price"")"),41.36)</f>
        <v>41.36</v>
      </c>
      <c r="Y612" s="8">
        <f t="shared" ca="1" si="199"/>
        <v>-14.315309716179828</v>
      </c>
      <c r="Z612" s="12">
        <f t="shared" si="200"/>
        <v>325738461.93000001</v>
      </c>
      <c r="AA612" s="13">
        <f t="shared" ca="1" si="201"/>
        <v>279107992.24000001</v>
      </c>
      <c r="AB612" s="63"/>
      <c r="AC612" s="8">
        <v>532102</v>
      </c>
      <c r="AD612" s="8" t="s">
        <v>2542</v>
      </c>
      <c r="AE612" s="12">
        <v>39588500</v>
      </c>
      <c r="AF612" s="8">
        <v>45.5</v>
      </c>
      <c r="AG612" s="8">
        <f ca="1">IFERROR(__xludf.DUMMYFUNCTION("GOOGLEFINANCE(""BOM:"" &amp; AC612,""price"")"),37.5)</f>
        <v>37.5</v>
      </c>
      <c r="AH612" s="8">
        <f t="shared" ca="1" si="203"/>
        <v>-17.582417582417584</v>
      </c>
      <c r="AI612" s="12">
        <f t="shared" si="204"/>
        <v>1801276750</v>
      </c>
      <c r="AJ612" s="13">
        <f t="shared" ca="1" si="205"/>
        <v>1484568750</v>
      </c>
    </row>
    <row r="613" spans="1:36" x14ac:dyDescent="0.25">
      <c r="A613" s="63"/>
      <c r="B613" s="8">
        <v>540757</v>
      </c>
      <c r="C613" s="8" t="s">
        <v>2543</v>
      </c>
      <c r="D613" s="12">
        <v>10500000</v>
      </c>
      <c r="E613" s="8">
        <v>407.75</v>
      </c>
      <c r="F613" s="8">
        <f ca="1">IFERROR(__xludf.DUMMYFUNCTION("GOOGLEFINANCE(""BOM:"" &amp; B613,""price"")"),346.6)</f>
        <v>346.6</v>
      </c>
      <c r="G613" s="8">
        <f t="shared" ca="1" si="191"/>
        <v>-14.996934396076023</v>
      </c>
      <c r="H613" s="12">
        <f t="shared" si="189"/>
        <v>4281375000</v>
      </c>
      <c r="I613" s="13">
        <f t="shared" ca="1" si="190"/>
        <v>3639300000.0000005</v>
      </c>
      <c r="J613" s="63"/>
      <c r="K613" s="8">
        <v>532078</v>
      </c>
      <c r="L613" s="8" t="s">
        <v>2544</v>
      </c>
      <c r="M613" s="12">
        <v>3565794</v>
      </c>
      <c r="N613" s="10">
        <v>26.63</v>
      </c>
      <c r="O613" s="10">
        <f ca="1">IFERROR(__xludf.DUMMYFUNCTION("GOOGLEFINANCE(""BOM:"" &amp; K613,""price"")"),26.63)</f>
        <v>26.63</v>
      </c>
      <c r="P613" s="8">
        <f t="shared" ca="1" si="202"/>
        <v>0</v>
      </c>
      <c r="Q613" s="12">
        <f t="shared" si="197"/>
        <v>94957094.219999999</v>
      </c>
      <c r="R613" s="13">
        <f t="shared" ca="1" si="198"/>
        <v>94957094.219999999</v>
      </c>
      <c r="S613" s="63"/>
      <c r="T613" s="8">
        <v>514197</v>
      </c>
      <c r="U613" s="8" t="s">
        <v>2545</v>
      </c>
      <c r="V613" s="12">
        <v>5009666</v>
      </c>
      <c r="W613" s="8">
        <v>33.1</v>
      </c>
      <c r="X613" s="11">
        <f ca="1">IFERROR(__xludf.DUMMYFUNCTION("GOOGLEFINANCE(""BOM:"" &amp; T613,""price"")"),25.46)</f>
        <v>25.46</v>
      </c>
      <c r="Y613" s="8">
        <f t="shared" ca="1" si="199"/>
        <v>-23.081570996978854</v>
      </c>
      <c r="Z613" s="12">
        <f t="shared" si="200"/>
        <v>165819944.59999999</v>
      </c>
      <c r="AA613" s="13">
        <f t="shared" ca="1" si="201"/>
        <v>127546096.36</v>
      </c>
      <c r="AB613" s="63"/>
      <c r="AC613" s="8">
        <v>539742</v>
      </c>
      <c r="AD613" s="8" t="s">
        <v>2546</v>
      </c>
      <c r="AE613" s="12">
        <v>40763044</v>
      </c>
      <c r="AF613" s="8">
        <v>31.38</v>
      </c>
      <c r="AG613" s="8">
        <f ca="1">IFERROR(__xludf.DUMMYFUNCTION("GOOGLEFINANCE(""BOM:"" &amp; AC613,""price"")"),25)</f>
        <v>25</v>
      </c>
      <c r="AH613" s="8">
        <f t="shared" ca="1" si="203"/>
        <v>-20.331421287444229</v>
      </c>
      <c r="AI613" s="12">
        <f t="shared" si="204"/>
        <v>1279144320.72</v>
      </c>
      <c r="AJ613" s="13">
        <f t="shared" ca="1" si="205"/>
        <v>1019076100</v>
      </c>
    </row>
    <row r="614" spans="1:36" x14ac:dyDescent="0.25">
      <c r="A614" s="63"/>
      <c r="B614" s="8">
        <v>540955</v>
      </c>
      <c r="C614" s="8" t="s">
        <v>2547</v>
      </c>
      <c r="D614" s="12">
        <v>20430000</v>
      </c>
      <c r="E614" s="8">
        <v>14.49</v>
      </c>
      <c r="F614" s="8">
        <f ca="1">IFERROR(__xludf.DUMMYFUNCTION("GOOGLEFINANCE(""BOM:"" &amp; B614,""price"")"),8.68)</f>
        <v>8.68</v>
      </c>
      <c r="G614" s="8">
        <f t="shared" ca="1" si="191"/>
        <v>-40.096618357487927</v>
      </c>
      <c r="H614" s="12">
        <f t="shared" si="189"/>
        <v>296030700</v>
      </c>
      <c r="I614" s="13">
        <f t="shared" ca="1" si="190"/>
        <v>177332400</v>
      </c>
      <c r="J614" s="63"/>
      <c r="K614" s="8">
        <v>532650</v>
      </c>
      <c r="L614" s="8" t="s">
        <v>2548</v>
      </c>
      <c r="M614" s="12">
        <v>383653856</v>
      </c>
      <c r="N614" s="10">
        <v>31.64</v>
      </c>
      <c r="O614" s="10">
        <f ca="1">IFERROR(__xludf.DUMMYFUNCTION("GOOGLEFINANCE(""BOM:"" &amp; K614,""price"")"),31)</f>
        <v>31</v>
      </c>
      <c r="P614" s="8">
        <f t="shared" ca="1" si="202"/>
        <v>-2.022756005056892</v>
      </c>
      <c r="Q614" s="12">
        <f t="shared" si="197"/>
        <v>12138808003.84</v>
      </c>
      <c r="R614" s="13">
        <f t="shared" ca="1" si="198"/>
        <v>11893269536</v>
      </c>
      <c r="S614" s="63"/>
      <c r="T614" s="8">
        <v>530231</v>
      </c>
      <c r="U614" s="8" t="s">
        <v>2549</v>
      </c>
      <c r="V614" s="12">
        <v>2874000</v>
      </c>
      <c r="W614" s="8">
        <v>29.98</v>
      </c>
      <c r="X614" s="11">
        <f ca="1">IFERROR(__xludf.DUMMYFUNCTION("GOOGLEFINANCE(""BOM:"" &amp; T614,""price"")"),22.6)</f>
        <v>22.6</v>
      </c>
      <c r="Y614" s="8">
        <f t="shared" ca="1" si="199"/>
        <v>-24.61641094062708</v>
      </c>
      <c r="Z614" s="12">
        <f t="shared" si="200"/>
        <v>86162520</v>
      </c>
      <c r="AA614" s="13">
        <f t="shared" ca="1" si="201"/>
        <v>64952400.000000007</v>
      </c>
      <c r="AB614" s="63"/>
      <c r="AC614" s="8">
        <v>532879</v>
      </c>
      <c r="AD614" s="8" t="s">
        <v>2550</v>
      </c>
      <c r="AE614" s="12">
        <v>5001979</v>
      </c>
      <c r="AF614" s="8">
        <v>360.35</v>
      </c>
      <c r="AG614" s="8">
        <f ca="1">IFERROR(__xludf.DUMMYFUNCTION("GOOGLEFINANCE(""BOM:"" &amp; AC614,""price"")"),341)</f>
        <v>341</v>
      </c>
      <c r="AH614" s="8">
        <f t="shared" ca="1" si="203"/>
        <v>-5.3697793811572145</v>
      </c>
      <c r="AI614" s="12">
        <f t="shared" si="204"/>
        <v>1802463132.6500001</v>
      </c>
      <c r="AJ614" s="13">
        <f t="shared" ca="1" si="205"/>
        <v>1705674839</v>
      </c>
    </row>
    <row r="615" spans="1:36" x14ac:dyDescent="0.25">
      <c r="A615" s="63"/>
      <c r="B615" s="8">
        <v>500231</v>
      </c>
      <c r="C615" s="8" t="s">
        <v>2551</v>
      </c>
      <c r="D615" s="12">
        <v>21336314</v>
      </c>
      <c r="E615" s="8">
        <v>99.8</v>
      </c>
      <c r="F615" s="8">
        <f ca="1">IFERROR(__xludf.DUMMYFUNCTION("GOOGLEFINANCE(""BOM:"" &amp; B615,""price"")"),75.74)</f>
        <v>75.739999999999995</v>
      </c>
      <c r="G615" s="8">
        <f t="shared" ca="1" si="191"/>
        <v>-24.108216432865735</v>
      </c>
      <c r="H615" s="12">
        <f t="shared" si="189"/>
        <v>2129364137.2</v>
      </c>
      <c r="I615" s="13">
        <f t="shared" ca="1" si="190"/>
        <v>1616012422.3599999</v>
      </c>
      <c r="J615" s="63"/>
      <c r="K615" s="8">
        <v>523832</v>
      </c>
      <c r="L615" s="8" t="s">
        <v>2552</v>
      </c>
      <c r="M615" s="12">
        <v>11054895</v>
      </c>
      <c r="N615" s="10">
        <v>15.05</v>
      </c>
      <c r="O615" s="10">
        <f ca="1">IFERROR(__xludf.DUMMYFUNCTION("GOOGLEFINANCE(""BOM:"" &amp; K615,""price"")"),12.93)</f>
        <v>12.93</v>
      </c>
      <c r="P615" s="8">
        <f t="shared" ca="1" si="202"/>
        <v>-14.086378737541533</v>
      </c>
      <c r="Q615" s="12">
        <f t="shared" si="197"/>
        <v>166376169.75</v>
      </c>
      <c r="R615" s="13">
        <f t="shared" ca="1" si="198"/>
        <v>142939792.34999999</v>
      </c>
      <c r="S615" s="63"/>
      <c r="T615" s="8">
        <v>521113</v>
      </c>
      <c r="U615" s="8" t="s">
        <v>2553</v>
      </c>
      <c r="V615" s="12">
        <v>16917563</v>
      </c>
      <c r="W615" s="8">
        <v>17.73</v>
      </c>
      <c r="X615" s="11">
        <f ca="1">IFERROR(__xludf.DUMMYFUNCTION("GOOGLEFINANCE(""BOM:"" &amp; T615,""price"")"),15.7)</f>
        <v>15.7</v>
      </c>
      <c r="Y615" s="8">
        <f t="shared" ca="1" si="199"/>
        <v>-11.44952058657643</v>
      </c>
      <c r="Z615" s="12">
        <f t="shared" si="200"/>
        <v>299948391.99000001</v>
      </c>
      <c r="AA615" s="13">
        <f t="shared" ca="1" si="201"/>
        <v>265605739.09999999</v>
      </c>
      <c r="AB615" s="63"/>
      <c r="AC615" s="8">
        <v>532356</v>
      </c>
      <c r="AD615" s="8" t="s">
        <v>2554</v>
      </c>
      <c r="AE615" s="12">
        <v>241645053</v>
      </c>
      <c r="AF615" s="8">
        <v>322.55</v>
      </c>
      <c r="AG615" s="8">
        <f ca="1">IFERROR(__xludf.DUMMYFUNCTION("GOOGLEFINANCE(""BOM:"" &amp; AC615,""price"")"),310.6)</f>
        <v>310.60000000000002</v>
      </c>
      <c r="AH615" s="8">
        <f t="shared" ca="1" si="203"/>
        <v>-3.7048519609362853</v>
      </c>
      <c r="AI615" s="12">
        <f t="shared" si="204"/>
        <v>77942611845.150009</v>
      </c>
      <c r="AJ615" s="13">
        <f t="shared" ca="1" si="205"/>
        <v>75054953461.800003</v>
      </c>
    </row>
    <row r="616" spans="1:36" x14ac:dyDescent="0.25">
      <c r="A616" s="63"/>
      <c r="B616" s="8">
        <v>519156</v>
      </c>
      <c r="C616" s="8" t="s">
        <v>2555</v>
      </c>
      <c r="D616" s="12">
        <v>7030295</v>
      </c>
      <c r="E616" s="8">
        <v>3596</v>
      </c>
      <c r="F616" s="8">
        <f ca="1">IFERROR(__xludf.DUMMYFUNCTION("GOOGLEFINANCE(""BOM:"" &amp; B616,""price"")"),4346.65)</f>
        <v>4346.6499999999996</v>
      </c>
      <c r="G616" s="8">
        <f t="shared" ca="1" si="191"/>
        <v>20.874582869855384</v>
      </c>
      <c r="H616" s="12">
        <f t="shared" si="189"/>
        <v>25280940820</v>
      </c>
      <c r="I616" s="13">
        <f t="shared" ca="1" si="190"/>
        <v>30558231761.749996</v>
      </c>
      <c r="J616" s="63"/>
      <c r="K616" s="8">
        <v>531289</v>
      </c>
      <c r="L616" s="8" t="s">
        <v>2556</v>
      </c>
      <c r="M616" s="12">
        <v>7822142</v>
      </c>
      <c r="N616" s="10">
        <v>109.05</v>
      </c>
      <c r="O616" s="10">
        <f ca="1">IFERROR(__xludf.DUMMYFUNCTION("GOOGLEFINANCE(""BOM:"" &amp; K616,""price"")"),97.6)</f>
        <v>97.6</v>
      </c>
      <c r="P616" s="8">
        <f t="shared" ca="1" si="202"/>
        <v>-10.499770747363597</v>
      </c>
      <c r="Q616" s="12">
        <f t="shared" si="197"/>
        <v>853004585.10000002</v>
      </c>
      <c r="R616" s="13">
        <f t="shared" ca="1" si="198"/>
        <v>763441059.19999993</v>
      </c>
      <c r="S616" s="63"/>
      <c r="T616" s="8">
        <v>540318</v>
      </c>
      <c r="U616" s="8" t="s">
        <v>2557</v>
      </c>
      <c r="V616" s="12">
        <v>1660340</v>
      </c>
      <c r="W616" s="8">
        <v>0</v>
      </c>
      <c r="X616" s="11">
        <f ca="1">IFERROR(__xludf.DUMMYFUNCTION("GOOGLEFINANCE(""BOM:"" &amp; T616,""price"")"),0)</f>
        <v>0</v>
      </c>
      <c r="Y616" s="8">
        <v>0</v>
      </c>
      <c r="Z616" s="12">
        <f t="shared" si="200"/>
        <v>0</v>
      </c>
      <c r="AA616" s="13">
        <f t="shared" ca="1" si="201"/>
        <v>0</v>
      </c>
      <c r="AB616" s="63"/>
      <c r="AC616" s="8">
        <v>530363</v>
      </c>
      <c r="AD616" s="8" t="s">
        <v>2558</v>
      </c>
      <c r="AE616" s="12">
        <v>95134288</v>
      </c>
      <c r="AF616" s="8">
        <v>79.98</v>
      </c>
      <c r="AG616" s="8">
        <f ca="1">IFERROR(__xludf.DUMMYFUNCTION("GOOGLEFINANCE(""BOM:"" &amp; AC616,""price"")"),65.83)</f>
        <v>65.83</v>
      </c>
      <c r="AH616" s="8">
        <f t="shared" ca="1" si="203"/>
        <v>-17.691922980745193</v>
      </c>
      <c r="AI616" s="12">
        <f t="shared" si="204"/>
        <v>7608840354.2400007</v>
      </c>
      <c r="AJ616" s="13">
        <f t="shared" ca="1" si="205"/>
        <v>6262690179.04</v>
      </c>
    </row>
    <row r="617" spans="1:36" x14ac:dyDescent="0.25">
      <c r="A617" s="63"/>
      <c r="B617" s="8">
        <v>519152</v>
      </c>
      <c r="C617" s="8" t="s">
        <v>2559</v>
      </c>
      <c r="D617" s="12">
        <v>813799</v>
      </c>
      <c r="E617" s="8">
        <v>3625</v>
      </c>
      <c r="F617" s="8">
        <f ca="1">IFERROR(__xludf.DUMMYFUNCTION("GOOGLEFINANCE(""BOM:"" &amp; B617,""price"")"),3805.05)</f>
        <v>3805.05</v>
      </c>
      <c r="G617" s="8">
        <f t="shared" ca="1" si="191"/>
        <v>4.966896551724143</v>
      </c>
      <c r="H617" s="12">
        <f t="shared" si="189"/>
        <v>2950021375</v>
      </c>
      <c r="I617" s="13">
        <f t="shared" ca="1" si="190"/>
        <v>3096545884.9500003</v>
      </c>
      <c r="J617" s="63"/>
      <c r="K617" s="8">
        <v>531651</v>
      </c>
      <c r="L617" s="8" t="s">
        <v>2560</v>
      </c>
      <c r="M617" s="12">
        <v>3670508</v>
      </c>
      <c r="N617" s="10">
        <v>76</v>
      </c>
      <c r="O617" s="10">
        <f ca="1">IFERROR(__xludf.DUMMYFUNCTION("GOOGLEFINANCE(""BOM:"" &amp; K617,""price"")"),70.49)</f>
        <v>70.489999999999995</v>
      </c>
      <c r="P617" s="8">
        <f t="shared" ca="1" si="202"/>
        <v>-7.2500000000000062</v>
      </c>
      <c r="Q617" s="12">
        <f t="shared" si="197"/>
        <v>278958608</v>
      </c>
      <c r="R617" s="13">
        <f t="shared" ca="1" si="198"/>
        <v>258734108.91999999</v>
      </c>
      <c r="S617" s="63"/>
      <c r="T617" s="8">
        <v>514211</v>
      </c>
      <c r="U617" s="8" t="s">
        <v>2561</v>
      </c>
      <c r="V617" s="12">
        <v>101311206</v>
      </c>
      <c r="W617" s="8">
        <v>3.65</v>
      </c>
      <c r="X617" s="11">
        <f ca="1">IFERROR(__xludf.DUMMYFUNCTION("GOOGLEFINANCE(""BOM:"" &amp; T617,""price"")"),2.5)</f>
        <v>2.5</v>
      </c>
      <c r="Y617" s="8">
        <f t="shared" ref="Y617:Y634" ca="1" si="206">((X617-W617)/W617)*100</f>
        <v>-31.506849315068493</v>
      </c>
      <c r="Z617" s="12">
        <f t="shared" si="200"/>
        <v>369785901.89999998</v>
      </c>
      <c r="AA617" s="13">
        <f t="shared" ca="1" si="201"/>
        <v>253278015</v>
      </c>
      <c r="AB617" s="63"/>
      <c r="AC617" s="8">
        <v>532729</v>
      </c>
      <c r="AD617" s="8" t="s">
        <v>2562</v>
      </c>
      <c r="AE617" s="12">
        <v>37896025</v>
      </c>
      <c r="AF617" s="8">
        <v>341.75</v>
      </c>
      <c r="AG617" s="8">
        <f ca="1">IFERROR(__xludf.DUMMYFUNCTION("GOOGLEFINANCE(""BOM:"" &amp; AC617,""price"")"),311.9)</f>
        <v>311.89999999999998</v>
      </c>
      <c r="AH617" s="8">
        <f t="shared" ca="1" si="203"/>
        <v>-8.7344550109729404</v>
      </c>
      <c r="AI617" s="12">
        <f t="shared" si="204"/>
        <v>12950966543.75</v>
      </c>
      <c r="AJ617" s="13">
        <f t="shared" ca="1" si="205"/>
        <v>11819770197.5</v>
      </c>
    </row>
    <row r="618" spans="1:36" x14ac:dyDescent="0.25">
      <c r="A618" s="64"/>
      <c r="B618" s="14">
        <v>519457</v>
      </c>
      <c r="C618" s="14" t="s">
        <v>2563</v>
      </c>
      <c r="D618" s="15">
        <v>19621440</v>
      </c>
      <c r="E618" s="8">
        <v>61.19</v>
      </c>
      <c r="F618" s="14">
        <f ca="1">IFERROR(__xludf.DUMMYFUNCTION("GOOGLEFINANCE(""BOM:"" &amp; B618,""price"")"),48.8)</f>
        <v>48.8</v>
      </c>
      <c r="G618" s="14">
        <f t="shared" ca="1" si="191"/>
        <v>-20.248406602386012</v>
      </c>
      <c r="H618" s="15">
        <f t="shared" si="189"/>
        <v>1200635913.5999999</v>
      </c>
      <c r="I618" s="16">
        <f t="shared" ca="1" si="190"/>
        <v>957526272</v>
      </c>
      <c r="J618" s="63"/>
      <c r="K618" s="8">
        <v>513511</v>
      </c>
      <c r="L618" s="8" t="s">
        <v>2564</v>
      </c>
      <c r="M618" s="12">
        <v>18994024</v>
      </c>
      <c r="N618" s="10">
        <v>147.05000000000001</v>
      </c>
      <c r="O618" s="10">
        <f ca="1">IFERROR(__xludf.DUMMYFUNCTION("GOOGLEFINANCE(""BOM:"" &amp; K618,""price"")"),145)</f>
        <v>145</v>
      </c>
      <c r="P618" s="8">
        <f t="shared" ca="1" si="202"/>
        <v>-1.3940836450187086</v>
      </c>
      <c r="Q618" s="12">
        <f t="shared" si="197"/>
        <v>2793071229.2000003</v>
      </c>
      <c r="R618" s="13">
        <f t="shared" ca="1" si="198"/>
        <v>2754133480</v>
      </c>
      <c r="S618" s="63"/>
      <c r="T618" s="8">
        <v>530795</v>
      </c>
      <c r="U618" s="8" t="s">
        <v>2565</v>
      </c>
      <c r="V618" s="12">
        <v>3570306</v>
      </c>
      <c r="W618" s="8">
        <v>9.4</v>
      </c>
      <c r="X618" s="11">
        <f ca="1">IFERROR(__xludf.DUMMYFUNCTION("GOOGLEFINANCE(""BOM:"" &amp; T618,""price"")"),7.7)</f>
        <v>7.7</v>
      </c>
      <c r="Y618" s="8">
        <f t="shared" ca="1" si="206"/>
        <v>-18.085106382978726</v>
      </c>
      <c r="Z618" s="12">
        <f t="shared" si="200"/>
        <v>33560876.399999999</v>
      </c>
      <c r="AA618" s="13">
        <f t="shared" ca="1" si="201"/>
        <v>27491356.199999999</v>
      </c>
      <c r="AB618" s="63"/>
      <c r="AC618" s="8">
        <v>542852</v>
      </c>
      <c r="AD618" s="8" t="s">
        <v>2566</v>
      </c>
      <c r="AE618" s="12">
        <v>172807750</v>
      </c>
      <c r="AF618" s="8">
        <v>17.66</v>
      </c>
      <c r="AG618" s="8">
        <f ca="1">IFERROR(__xludf.DUMMYFUNCTION("GOOGLEFINANCE(""BOM:"" &amp; AC618,""price"")"),14.3)</f>
        <v>14.3</v>
      </c>
      <c r="AH618" s="8">
        <f t="shared" ca="1" si="203"/>
        <v>-19.026047565118908</v>
      </c>
      <c r="AI618" s="12">
        <f t="shared" si="204"/>
        <v>3051784865</v>
      </c>
      <c r="AJ618" s="13">
        <f t="shared" ca="1" si="205"/>
        <v>2471150825</v>
      </c>
    </row>
    <row r="619" spans="1:36" x14ac:dyDescent="0.25">
      <c r="A619" s="62" t="s">
        <v>2567</v>
      </c>
      <c r="B619" s="6">
        <v>543232</v>
      </c>
      <c r="C619" s="6" t="s">
        <v>2568</v>
      </c>
      <c r="D619" s="7">
        <v>48931440</v>
      </c>
      <c r="E619" s="6">
        <v>3108.5</v>
      </c>
      <c r="F619" s="8">
        <f ca="1">IFERROR(__xludf.DUMMYFUNCTION("GOOGLEFINANCE(""BOM:"" &amp; B619,""price"")"),2912)</f>
        <v>2912</v>
      </c>
      <c r="G619" s="8">
        <f t="shared" ca="1" si="191"/>
        <v>-6.3213768698729282</v>
      </c>
      <c r="H619" s="7">
        <f t="shared" si="189"/>
        <v>152103381240</v>
      </c>
      <c r="I619" s="9">
        <f t="shared" ca="1" si="190"/>
        <v>142488353280</v>
      </c>
      <c r="J619" s="63"/>
      <c r="K619" s="8">
        <v>513403</v>
      </c>
      <c r="L619" s="8" t="s">
        <v>2569</v>
      </c>
      <c r="M619" s="12">
        <v>9820040</v>
      </c>
      <c r="N619" s="10">
        <v>5.49</v>
      </c>
      <c r="O619" s="10">
        <f ca="1">IFERROR(__xludf.DUMMYFUNCTION("GOOGLEFINANCE(""BOM:"" &amp; K619,""price"")"),5.36)</f>
        <v>5.36</v>
      </c>
      <c r="P619" s="8">
        <f t="shared" ca="1" si="202"/>
        <v>-2.3679417122040052</v>
      </c>
      <c r="Q619" s="12">
        <f t="shared" si="197"/>
        <v>53912019.600000001</v>
      </c>
      <c r="R619" s="13">
        <f t="shared" ca="1" si="198"/>
        <v>52635414.400000006</v>
      </c>
      <c r="S619" s="63"/>
      <c r="T619" s="8">
        <v>512527</v>
      </c>
      <c r="U619" s="8" t="s">
        <v>2570</v>
      </c>
      <c r="V619" s="12">
        <v>2955299</v>
      </c>
      <c r="W619" s="8">
        <v>1415</v>
      </c>
      <c r="X619" s="11">
        <f ca="1">IFERROR(__xludf.DUMMYFUNCTION("GOOGLEFINANCE(""BOM:"" &amp; T619,""price"")"),1400)</f>
        <v>1400</v>
      </c>
      <c r="Y619" s="8">
        <f t="shared" ca="1" si="206"/>
        <v>-1.0600706713780919</v>
      </c>
      <c r="Z619" s="12">
        <f t="shared" si="200"/>
        <v>4181748085</v>
      </c>
      <c r="AA619" s="13">
        <f t="shared" ca="1" si="201"/>
        <v>4137418600</v>
      </c>
      <c r="AB619" s="64"/>
      <c r="AC619" s="14">
        <v>500780</v>
      </c>
      <c r="AD619" s="14" t="s">
        <v>2571</v>
      </c>
      <c r="AE619" s="15">
        <v>29526222</v>
      </c>
      <c r="AF619" s="14">
        <v>305.10000000000002</v>
      </c>
      <c r="AG619" s="14">
        <f ca="1">IFERROR(__xludf.DUMMYFUNCTION("GOOGLEFINANCE(""BOM:"" &amp; AC619,""price"")"),325.85)</f>
        <v>325.85000000000002</v>
      </c>
      <c r="AH619" s="14">
        <f t="shared" ca="1" si="203"/>
        <v>6.801048836447066</v>
      </c>
      <c r="AI619" s="15">
        <f t="shared" si="204"/>
        <v>9008450332.2000008</v>
      </c>
      <c r="AJ619" s="16">
        <f t="shared" ca="1" si="205"/>
        <v>9621119438.7000008</v>
      </c>
    </row>
    <row r="620" spans="1:36" x14ac:dyDescent="0.25">
      <c r="A620" s="64"/>
      <c r="B620" s="14">
        <v>500306</v>
      </c>
      <c r="C620" s="14" t="s">
        <v>2572</v>
      </c>
      <c r="D620" s="15">
        <v>45058620</v>
      </c>
      <c r="E620" s="8">
        <v>139.9</v>
      </c>
      <c r="F620" s="14">
        <f ca="1">IFERROR(__xludf.DUMMYFUNCTION("GOOGLEFINANCE(""BOM:"" &amp; B620,""price"")"),117.1)</f>
        <v>117.1</v>
      </c>
      <c r="G620" s="14">
        <f t="shared" ca="1" si="191"/>
        <v>-16.297355253752688</v>
      </c>
      <c r="H620" s="15">
        <f t="shared" si="189"/>
        <v>6303700938</v>
      </c>
      <c r="I620" s="16">
        <f t="shared" ca="1" si="190"/>
        <v>5276364402</v>
      </c>
      <c r="J620" s="63"/>
      <c r="K620" s="8">
        <v>530095</v>
      </c>
      <c r="L620" s="8" t="s">
        <v>2573</v>
      </c>
      <c r="M620" s="12">
        <v>3361625</v>
      </c>
      <c r="N620" s="10">
        <v>50</v>
      </c>
      <c r="O620" s="10">
        <f ca="1">IFERROR(__xludf.DUMMYFUNCTION("GOOGLEFINANCE(""BOM:"" &amp; K620,""price"")"),34.85)</f>
        <v>34.85</v>
      </c>
      <c r="P620" s="8">
        <f t="shared" ca="1" si="202"/>
        <v>-30.3</v>
      </c>
      <c r="Q620" s="12">
        <f t="shared" si="197"/>
        <v>168081250</v>
      </c>
      <c r="R620" s="13">
        <f t="shared" ca="1" si="198"/>
        <v>117152631.25</v>
      </c>
      <c r="S620" s="63"/>
      <c r="T620" s="8">
        <v>521180</v>
      </c>
      <c r="U620" s="8" t="s">
        <v>2574</v>
      </c>
      <c r="V620" s="12">
        <v>53947394</v>
      </c>
      <c r="W620" s="8">
        <v>8.74</v>
      </c>
      <c r="X620" s="11">
        <f ca="1">IFERROR(__xludf.DUMMYFUNCTION("GOOGLEFINANCE(""BOM:"" &amp; T620,""price"")"),6.73)</f>
        <v>6.73</v>
      </c>
      <c r="Y620" s="8">
        <f t="shared" ca="1" si="206"/>
        <v>-22.997711670480548</v>
      </c>
      <c r="Z620" s="12">
        <f t="shared" si="200"/>
        <v>471500223.56</v>
      </c>
      <c r="AA620" s="13">
        <f t="shared" ca="1" si="201"/>
        <v>363065961.62</v>
      </c>
      <c r="AB620" s="65" t="s">
        <v>2575</v>
      </c>
      <c r="AC620" s="6">
        <v>526173</v>
      </c>
      <c r="AD620" s="6" t="s">
        <v>2576</v>
      </c>
      <c r="AE620" s="7">
        <v>488380546</v>
      </c>
      <c r="AF620" s="8">
        <v>43.91</v>
      </c>
      <c r="AG620" s="8">
        <f ca="1">IFERROR(__xludf.DUMMYFUNCTION("GOOGLEFINANCE(""BOM:"" &amp; AC620,""price"")"),34.79)</f>
        <v>34.79</v>
      </c>
      <c r="AH620" s="8">
        <f t="shared" ca="1" si="203"/>
        <v>-20.769756319744928</v>
      </c>
      <c r="AI620" s="7">
        <f t="shared" si="204"/>
        <v>21444789774.859997</v>
      </c>
      <c r="AJ620" s="9">
        <f t="shared" ca="1" si="205"/>
        <v>16990759195.34</v>
      </c>
    </row>
    <row r="621" spans="1:36" x14ac:dyDescent="0.25">
      <c r="A621" s="62" t="s">
        <v>2577</v>
      </c>
      <c r="B621" s="6">
        <v>500480</v>
      </c>
      <c r="C621" s="6" t="s">
        <v>2578</v>
      </c>
      <c r="D621" s="7">
        <v>275307979</v>
      </c>
      <c r="E621" s="6">
        <v>2725.15</v>
      </c>
      <c r="F621" s="8">
        <f ca="1">IFERROR(__xludf.DUMMYFUNCTION("GOOGLEFINANCE(""BOM:"" &amp; B621,""price"")"),3021.75)</f>
        <v>3021.75</v>
      </c>
      <c r="G621" s="8">
        <f t="shared" ca="1" si="191"/>
        <v>10.88380456121681</v>
      </c>
      <c r="H621" s="7">
        <f t="shared" si="189"/>
        <v>750255538971.84998</v>
      </c>
      <c r="I621" s="9">
        <f t="shared" ca="1" si="190"/>
        <v>831911885543.25</v>
      </c>
      <c r="J621" s="63"/>
      <c r="K621" s="8">
        <v>533239</v>
      </c>
      <c r="L621" s="8" t="s">
        <v>2579</v>
      </c>
      <c r="M621" s="12">
        <v>174999250</v>
      </c>
      <c r="N621" s="10">
        <v>8.01</v>
      </c>
      <c r="O621" s="10">
        <f ca="1">IFERROR(__xludf.DUMMYFUNCTION("GOOGLEFINANCE(""BOM:"" &amp; K621,""price"")"),7.8)</f>
        <v>7.8</v>
      </c>
      <c r="P621" s="8">
        <f t="shared" ca="1" si="202"/>
        <v>-2.6217228464419469</v>
      </c>
      <c r="Q621" s="12">
        <f t="shared" si="197"/>
        <v>1401743992.5</v>
      </c>
      <c r="R621" s="13">
        <f t="shared" ca="1" si="198"/>
        <v>1364994150</v>
      </c>
      <c r="S621" s="63"/>
      <c r="T621" s="8">
        <v>526133</v>
      </c>
      <c r="U621" s="8" t="s">
        <v>2580</v>
      </c>
      <c r="V621" s="12">
        <v>11206782</v>
      </c>
      <c r="W621" s="8">
        <v>14.39</v>
      </c>
      <c r="X621" s="11">
        <f ca="1">IFERROR(__xludf.DUMMYFUNCTION("GOOGLEFINANCE(""BOM:"" &amp; T621,""price"")"),11.42)</f>
        <v>11.42</v>
      </c>
      <c r="Y621" s="8">
        <f t="shared" ca="1" si="206"/>
        <v>-20.639332870048648</v>
      </c>
      <c r="Z621" s="12">
        <f t="shared" si="200"/>
        <v>161265592.98000002</v>
      </c>
      <c r="AA621" s="13">
        <f t="shared" ca="1" si="201"/>
        <v>127981450.44</v>
      </c>
      <c r="AB621" s="63"/>
      <c r="AC621" s="8">
        <v>519353</v>
      </c>
      <c r="AD621" s="8" t="s">
        <v>2581</v>
      </c>
      <c r="AE621" s="12">
        <v>443205</v>
      </c>
      <c r="AF621" s="8">
        <v>3.43</v>
      </c>
      <c r="AG621" s="8">
        <f ca="1">IFERROR(__xludf.DUMMYFUNCTION("GOOGLEFINANCE(""BOM:"" &amp; AC621,""price"")"),3.34)</f>
        <v>3.34</v>
      </c>
      <c r="AH621" s="8">
        <f t="shared" ca="1" si="203"/>
        <v>-2.6239067055393672</v>
      </c>
      <c r="AI621" s="12">
        <f t="shared" si="204"/>
        <v>1520193.1500000001</v>
      </c>
      <c r="AJ621" s="13">
        <f t="shared" ca="1" si="205"/>
        <v>1480304.7</v>
      </c>
    </row>
    <row r="622" spans="1:36" x14ac:dyDescent="0.25">
      <c r="A622" s="63"/>
      <c r="B622" s="8">
        <v>501455</v>
      </c>
      <c r="C622" s="8" t="s">
        <v>2582</v>
      </c>
      <c r="D622" s="12">
        <v>229840115</v>
      </c>
      <c r="E622" s="8">
        <v>152.80000000000001</v>
      </c>
      <c r="F622" s="8">
        <f ca="1">IFERROR(__xludf.DUMMYFUNCTION("GOOGLEFINANCE(""BOM:"" &amp; B622,""price"")"),126.45)</f>
        <v>126.45</v>
      </c>
      <c r="G622" s="8">
        <f t="shared" ca="1" si="191"/>
        <v>-17.244764397905762</v>
      </c>
      <c r="H622" s="12">
        <f t="shared" si="189"/>
        <v>35119569572</v>
      </c>
      <c r="I622" s="13">
        <f t="shared" ca="1" si="190"/>
        <v>29063282541.75</v>
      </c>
      <c r="J622" s="63"/>
      <c r="K622" s="8">
        <v>530253</v>
      </c>
      <c r="L622" s="8" t="s">
        <v>2583</v>
      </c>
      <c r="M622" s="12">
        <v>3989546</v>
      </c>
      <c r="N622" s="10">
        <v>42.77</v>
      </c>
      <c r="O622" s="10">
        <f ca="1">IFERROR(__xludf.DUMMYFUNCTION("GOOGLEFINANCE(""BOM:"" &amp; K622,""price"")"),30.45)</f>
        <v>30.45</v>
      </c>
      <c r="P622" s="8">
        <f t="shared" ca="1" si="202"/>
        <v>-28.805237315875619</v>
      </c>
      <c r="Q622" s="12">
        <f t="shared" si="197"/>
        <v>170632882.42000002</v>
      </c>
      <c r="R622" s="13">
        <f t="shared" ca="1" si="198"/>
        <v>121481675.7</v>
      </c>
      <c r="S622" s="63"/>
      <c r="T622" s="8">
        <v>530185</v>
      </c>
      <c r="U622" s="8" t="s">
        <v>2584</v>
      </c>
      <c r="V622" s="12">
        <v>219770891</v>
      </c>
      <c r="W622" s="8">
        <v>12.19</v>
      </c>
      <c r="X622" s="11">
        <f ca="1">IFERROR(__xludf.DUMMYFUNCTION("GOOGLEFINANCE(""BOM:"" &amp; T622,""price"")"),9.54)</f>
        <v>9.5399999999999991</v>
      </c>
      <c r="Y622" s="8">
        <f t="shared" ca="1" si="206"/>
        <v>-21.739130434782613</v>
      </c>
      <c r="Z622" s="12">
        <f t="shared" si="200"/>
        <v>2679007161.29</v>
      </c>
      <c r="AA622" s="13">
        <f t="shared" ca="1" si="201"/>
        <v>2096614300.1399999</v>
      </c>
      <c r="AB622" s="63"/>
      <c r="AC622" s="8">
        <v>532230</v>
      </c>
      <c r="AD622" s="8" t="s">
        <v>2585</v>
      </c>
      <c r="AE622" s="12">
        <v>8702588</v>
      </c>
      <c r="AF622" s="8">
        <v>125</v>
      </c>
      <c r="AG622" s="8">
        <f ca="1">IFERROR(__xludf.DUMMYFUNCTION("GOOGLEFINANCE(""BOM:"" &amp; AC622,""price"")"),130.4)</f>
        <v>130.4</v>
      </c>
      <c r="AH622" s="8">
        <f t="shared" ca="1" si="203"/>
        <v>4.3200000000000047</v>
      </c>
      <c r="AI622" s="12">
        <f t="shared" si="204"/>
        <v>1087823500</v>
      </c>
      <c r="AJ622" s="13">
        <f t="shared" ca="1" si="205"/>
        <v>1134817475.2</v>
      </c>
    </row>
    <row r="623" spans="1:36" x14ac:dyDescent="0.25">
      <c r="A623" s="63"/>
      <c r="B623" s="8">
        <v>533293</v>
      </c>
      <c r="C623" s="8" t="s">
        <v>2586</v>
      </c>
      <c r="D623" s="12">
        <v>139887070</v>
      </c>
      <c r="E623" s="8">
        <v>912</v>
      </c>
      <c r="F623" s="8">
        <f ca="1">IFERROR(__xludf.DUMMYFUNCTION("GOOGLEFINANCE(""BOM:"" &amp; B623,""price"")"),859.25)</f>
        <v>859.25</v>
      </c>
      <c r="G623" s="8">
        <f t="shared" ca="1" si="191"/>
        <v>-5.7839912280701755</v>
      </c>
      <c r="H623" s="12">
        <f t="shared" si="189"/>
        <v>127577007840</v>
      </c>
      <c r="I623" s="13">
        <f t="shared" ca="1" si="190"/>
        <v>120197964897.5</v>
      </c>
      <c r="J623" s="63"/>
      <c r="K623" s="8">
        <v>539309</v>
      </c>
      <c r="L623" s="8" t="s">
        <v>2587</v>
      </c>
      <c r="M623" s="12">
        <v>418874975</v>
      </c>
      <c r="N623" s="10">
        <v>40.409999999999997</v>
      </c>
      <c r="O623" s="10">
        <f ca="1">IFERROR(__xludf.DUMMYFUNCTION("GOOGLEFINANCE(""BOM:"" &amp; K623,""price"")"),14.38)</f>
        <v>14.38</v>
      </c>
      <c r="P623" s="8">
        <f t="shared" ca="1" si="202"/>
        <v>-64.414748824548369</v>
      </c>
      <c r="Q623" s="12">
        <f t="shared" si="197"/>
        <v>16926737739.749998</v>
      </c>
      <c r="R623" s="13">
        <f t="shared" ca="1" si="198"/>
        <v>6023422140.5</v>
      </c>
      <c r="S623" s="63"/>
      <c r="T623" s="8">
        <v>514260</v>
      </c>
      <c r="U623" s="8" t="s">
        <v>2588</v>
      </c>
      <c r="V623" s="12">
        <v>2445300</v>
      </c>
      <c r="W623" s="8">
        <v>2.74</v>
      </c>
      <c r="X623" s="11">
        <f ca="1">IFERROR(__xludf.DUMMYFUNCTION("GOOGLEFINANCE(""BOM:"" &amp; T623,""price"")"),3.01)</f>
        <v>3.01</v>
      </c>
      <c r="Y623" s="8">
        <f t="shared" ca="1" si="206"/>
        <v>9.8540145985401306</v>
      </c>
      <c r="Z623" s="12">
        <f t="shared" si="200"/>
        <v>6700122.0000000009</v>
      </c>
      <c r="AA623" s="13">
        <f t="shared" ca="1" si="201"/>
        <v>7360352.9999999991</v>
      </c>
      <c r="AB623" s="63"/>
      <c r="AC623" s="8">
        <v>508136</v>
      </c>
      <c r="AD623" s="8" t="s">
        <v>2589</v>
      </c>
      <c r="AE623" s="12">
        <v>2997960</v>
      </c>
      <c r="AF623" s="8">
        <v>471.7</v>
      </c>
      <c r="AG623" s="8">
        <f ca="1">IFERROR(__xludf.DUMMYFUNCTION("GOOGLEFINANCE(""BOM:"" &amp; AC623,""price"")"),444.5)</f>
        <v>444.5</v>
      </c>
      <c r="AH623" s="8">
        <f t="shared" ca="1" si="203"/>
        <v>-5.7663769344922597</v>
      </c>
      <c r="AI623" s="12">
        <f t="shared" si="204"/>
        <v>1414137732</v>
      </c>
      <c r="AJ623" s="13">
        <f t="shared" ca="1" si="205"/>
        <v>1332593220</v>
      </c>
    </row>
    <row r="624" spans="1:36" x14ac:dyDescent="0.25">
      <c r="A624" s="64"/>
      <c r="B624" s="14">
        <v>500407</v>
      </c>
      <c r="C624" s="14" t="s">
        <v>2590</v>
      </c>
      <c r="D624" s="15">
        <v>12086964</v>
      </c>
      <c r="E624" s="8">
        <v>2550</v>
      </c>
      <c r="F624" s="14">
        <f ca="1">IFERROR(__xludf.DUMMYFUNCTION("GOOGLEFINANCE(""BOM:"" &amp; B624,""price"")"),2290)</f>
        <v>2290</v>
      </c>
      <c r="G624" s="14">
        <f t="shared" ca="1" si="191"/>
        <v>-10.196078431372548</v>
      </c>
      <c r="H624" s="15">
        <f t="shared" si="189"/>
        <v>30821758200</v>
      </c>
      <c r="I624" s="16">
        <f t="shared" ca="1" si="190"/>
        <v>27679147560</v>
      </c>
      <c r="J624" s="63"/>
      <c r="K624" s="8">
        <v>532918</v>
      </c>
      <c r="L624" s="8" t="s">
        <v>2591</v>
      </c>
      <c r="M624" s="12">
        <v>16330346</v>
      </c>
      <c r="N624" s="10">
        <v>42</v>
      </c>
      <c r="O624" s="10">
        <f ca="1">IFERROR(__xludf.DUMMYFUNCTION("GOOGLEFINANCE(""BOM:"" &amp; K624,""price"")"),34.88)</f>
        <v>34.880000000000003</v>
      </c>
      <c r="P624" s="8">
        <f t="shared" ca="1" si="202"/>
        <v>-16.952380952380945</v>
      </c>
      <c r="Q624" s="12">
        <f t="shared" si="197"/>
        <v>685874532</v>
      </c>
      <c r="R624" s="13">
        <f t="shared" ca="1" si="198"/>
        <v>569602468.48000002</v>
      </c>
      <c r="S624" s="63"/>
      <c r="T624" s="8">
        <v>533101</v>
      </c>
      <c r="U624" s="8" t="s">
        <v>2592</v>
      </c>
      <c r="V624" s="12">
        <v>2908523</v>
      </c>
      <c r="W624" s="8">
        <v>168</v>
      </c>
      <c r="X624" s="11">
        <f ca="1">IFERROR(__xludf.DUMMYFUNCTION("GOOGLEFINANCE(""BOM:"" &amp; T624,""price"")"),152.5)</f>
        <v>152.5</v>
      </c>
      <c r="Y624" s="8">
        <f t="shared" ca="1" si="206"/>
        <v>-9.2261904761904763</v>
      </c>
      <c r="Z624" s="12">
        <f t="shared" si="200"/>
        <v>488631864</v>
      </c>
      <c r="AA624" s="13">
        <f t="shared" ca="1" si="201"/>
        <v>443549757.5</v>
      </c>
      <c r="AB624" s="63"/>
      <c r="AC624" s="8">
        <v>519600</v>
      </c>
      <c r="AD624" s="8" t="s">
        <v>2593</v>
      </c>
      <c r="AE624" s="12">
        <v>132281177</v>
      </c>
      <c r="AF624" s="8">
        <v>627.5</v>
      </c>
      <c r="AG624" s="8">
        <f ca="1">IFERROR(__xludf.DUMMYFUNCTION("GOOGLEFINANCE(""BOM:"" &amp; AC624,""price"")"),582)</f>
        <v>582</v>
      </c>
      <c r="AH624" s="8">
        <f t="shared" ca="1" si="203"/>
        <v>-7.2509960159362548</v>
      </c>
      <c r="AI624" s="12">
        <f t="shared" si="204"/>
        <v>83006438567.5</v>
      </c>
      <c r="AJ624" s="13">
        <f t="shared" ca="1" si="205"/>
        <v>76987645014</v>
      </c>
    </row>
    <row r="625" spans="1:36" x14ac:dyDescent="0.25">
      <c r="A625" s="62" t="s">
        <v>2594</v>
      </c>
      <c r="B625" s="6">
        <v>539661</v>
      </c>
      <c r="C625" s="6" t="s">
        <v>2595</v>
      </c>
      <c r="D625" s="7">
        <v>941500</v>
      </c>
      <c r="E625" s="6">
        <v>48.8</v>
      </c>
      <c r="F625" s="8">
        <v>48.8</v>
      </c>
      <c r="G625" s="8">
        <f t="shared" si="191"/>
        <v>0</v>
      </c>
      <c r="H625" s="7">
        <f t="shared" si="189"/>
        <v>45945200</v>
      </c>
      <c r="I625" s="9">
        <f t="shared" si="190"/>
        <v>45945200</v>
      </c>
      <c r="J625" s="63"/>
      <c r="K625" s="8">
        <v>520111</v>
      </c>
      <c r="L625" s="8" t="s">
        <v>2596</v>
      </c>
      <c r="M625" s="12">
        <v>69484133</v>
      </c>
      <c r="N625" s="10">
        <v>3119.45</v>
      </c>
      <c r="O625" s="10">
        <f ca="1">IFERROR(__xludf.DUMMYFUNCTION("GOOGLEFINANCE(""BOM:"" &amp; K625,""price"")"),2788.6)</f>
        <v>2788.6</v>
      </c>
      <c r="P625" s="8">
        <f t="shared" ca="1" si="202"/>
        <v>-10.606036320505215</v>
      </c>
      <c r="Q625" s="12">
        <f t="shared" si="197"/>
        <v>216752278686.84998</v>
      </c>
      <c r="R625" s="13">
        <f t="shared" ca="1" si="198"/>
        <v>193763453283.79999</v>
      </c>
      <c r="S625" s="63"/>
      <c r="T625" s="8">
        <v>514138</v>
      </c>
      <c r="U625" s="8" t="s">
        <v>2597</v>
      </c>
      <c r="V625" s="12">
        <v>4224230</v>
      </c>
      <c r="W625" s="8">
        <v>412.8</v>
      </c>
      <c r="X625" s="11">
        <f ca="1">IFERROR(__xludf.DUMMYFUNCTION("GOOGLEFINANCE(""BOM:"" &amp; T625,""price"")"),353.05)</f>
        <v>353.05</v>
      </c>
      <c r="Y625" s="8">
        <f t="shared" ca="1" si="206"/>
        <v>-14.474321705426357</v>
      </c>
      <c r="Z625" s="12">
        <f t="shared" si="200"/>
        <v>1743762144</v>
      </c>
      <c r="AA625" s="13">
        <f t="shared" ca="1" si="201"/>
        <v>1491364401.5</v>
      </c>
      <c r="AB625" s="63"/>
      <c r="AC625" s="8">
        <v>538902</v>
      </c>
      <c r="AD625" s="8" t="s">
        <v>2598</v>
      </c>
      <c r="AE625" s="12">
        <v>10445809</v>
      </c>
      <c r="AF625" s="8">
        <v>216.4</v>
      </c>
      <c r="AG625" s="8">
        <f ca="1">IFERROR(__xludf.DUMMYFUNCTION("GOOGLEFINANCE(""BOM:"" &amp; AC625,""price"")"),185.25)</f>
        <v>185.25</v>
      </c>
      <c r="AH625" s="8">
        <f t="shared" ca="1" si="203"/>
        <v>-14.394639556377081</v>
      </c>
      <c r="AI625" s="12">
        <f t="shared" si="204"/>
        <v>2260473067.5999999</v>
      </c>
      <c r="AJ625" s="13">
        <f t="shared" ca="1" si="205"/>
        <v>1935086117.25</v>
      </c>
    </row>
    <row r="626" spans="1:36" x14ac:dyDescent="0.25">
      <c r="A626" s="63"/>
      <c r="B626" s="8">
        <v>539277</v>
      </c>
      <c r="C626" s="8" t="s">
        <v>2599</v>
      </c>
      <c r="D626" s="12">
        <v>11678500</v>
      </c>
      <c r="E626" s="8">
        <v>0.8</v>
      </c>
      <c r="F626" s="8">
        <f ca="1">IFERROR(__xludf.DUMMYFUNCTION("GOOGLEFINANCE(""BOM:"" &amp; B626,""price"")"),0.71)</f>
        <v>0.71</v>
      </c>
      <c r="G626" s="8">
        <f t="shared" ca="1" si="191"/>
        <v>-11.250000000000011</v>
      </c>
      <c r="H626" s="12">
        <f t="shared" si="189"/>
        <v>9342800</v>
      </c>
      <c r="I626" s="13">
        <f t="shared" ca="1" si="190"/>
        <v>8291735</v>
      </c>
      <c r="J626" s="63"/>
      <c r="K626" s="8">
        <v>513043</v>
      </c>
      <c r="L626" s="8" t="s">
        <v>2600</v>
      </c>
      <c r="M626" s="12">
        <v>10503922</v>
      </c>
      <c r="N626" s="10">
        <v>77.89</v>
      </c>
      <c r="O626" s="10">
        <f ca="1">IFERROR(__xludf.DUMMYFUNCTION("GOOGLEFINANCE(""BOM:"" &amp; K626,""price"")"),69.5)</f>
        <v>69.5</v>
      </c>
      <c r="P626" s="8">
        <f t="shared" ca="1" si="202"/>
        <v>-10.771600975735012</v>
      </c>
      <c r="Q626" s="12">
        <f t="shared" si="197"/>
        <v>818150484.58000004</v>
      </c>
      <c r="R626" s="13">
        <f t="shared" ca="1" si="198"/>
        <v>730022579</v>
      </c>
      <c r="S626" s="63"/>
      <c r="T626" s="8">
        <v>521200</v>
      </c>
      <c r="U626" s="8" t="s">
        <v>2601</v>
      </c>
      <c r="V626" s="12">
        <v>18739510</v>
      </c>
      <c r="W626" s="8">
        <v>76.67</v>
      </c>
      <c r="X626" s="11">
        <f ca="1">IFERROR(__xludf.DUMMYFUNCTION("GOOGLEFINANCE(""BOM:"" &amp; T626,""price"")"),64)</f>
        <v>64</v>
      </c>
      <c r="Y626" s="8">
        <f t="shared" ca="1" si="206"/>
        <v>-16.525368462240774</v>
      </c>
      <c r="Z626" s="12">
        <f t="shared" si="200"/>
        <v>1436758231.7</v>
      </c>
      <c r="AA626" s="13">
        <f t="shared" ca="1" si="201"/>
        <v>1199328640</v>
      </c>
      <c r="AB626" s="63"/>
      <c r="AC626" s="8">
        <v>530959</v>
      </c>
      <c r="AD626" s="8" t="s">
        <v>2602</v>
      </c>
      <c r="AE626" s="12">
        <v>14913635</v>
      </c>
      <c r="AF626" s="8">
        <v>31.51</v>
      </c>
      <c r="AG626" s="8">
        <f ca="1">IFERROR(__xludf.DUMMYFUNCTION("GOOGLEFINANCE(""BOM:"" &amp; AC626,""price"")"),25.12)</f>
        <v>25.12</v>
      </c>
      <c r="AH626" s="8">
        <f t="shared" ca="1" si="203"/>
        <v>-20.279276420184068</v>
      </c>
      <c r="AI626" s="12">
        <f t="shared" si="204"/>
        <v>469928638.85000002</v>
      </c>
      <c r="AJ626" s="13">
        <f t="shared" ca="1" si="205"/>
        <v>374630511.19999999</v>
      </c>
    </row>
    <row r="627" spans="1:36" x14ac:dyDescent="0.25">
      <c r="A627" s="63"/>
      <c r="B627" s="8">
        <v>539788</v>
      </c>
      <c r="C627" s="8" t="s">
        <v>2603</v>
      </c>
      <c r="D627" s="12">
        <v>22974000</v>
      </c>
      <c r="E627" s="8">
        <v>76.959999999999994</v>
      </c>
      <c r="F627" s="8">
        <f ca="1">IFERROR(__xludf.DUMMYFUNCTION("GOOGLEFINANCE(""BOM:"" &amp; B627,""price"")"),80.8)</f>
        <v>80.8</v>
      </c>
      <c r="G627" s="8">
        <f t="shared" ca="1" si="191"/>
        <v>4.9896049896049943</v>
      </c>
      <c r="H627" s="12">
        <f t="shared" si="189"/>
        <v>1768079039.9999998</v>
      </c>
      <c r="I627" s="13">
        <f t="shared" ca="1" si="190"/>
        <v>1856299200</v>
      </c>
      <c r="J627" s="63"/>
      <c r="K627" s="8">
        <v>531539</v>
      </c>
      <c r="L627" s="8" t="s">
        <v>2604</v>
      </c>
      <c r="M627" s="12">
        <v>5458585</v>
      </c>
      <c r="N627" s="10">
        <v>45.42</v>
      </c>
      <c r="O627" s="10">
        <f ca="1">IFERROR(__xludf.DUMMYFUNCTION("GOOGLEFINANCE(""BOM:"" &amp; K627,""price"")"),31.88)</f>
        <v>31.88</v>
      </c>
      <c r="P627" s="8">
        <f t="shared" ca="1" si="202"/>
        <v>-29.810656098634968</v>
      </c>
      <c r="Q627" s="12">
        <f t="shared" si="197"/>
        <v>247928930.70000002</v>
      </c>
      <c r="R627" s="13">
        <f t="shared" ca="1" si="198"/>
        <v>174019689.79999998</v>
      </c>
      <c r="S627" s="63"/>
      <c r="T627" s="8">
        <v>514140</v>
      </c>
      <c r="U627" s="8" t="s">
        <v>2605</v>
      </c>
      <c r="V627" s="12">
        <v>4274126</v>
      </c>
      <c r="W627" s="8">
        <v>24.94</v>
      </c>
      <c r="X627" s="11">
        <f ca="1">IFERROR(__xludf.DUMMYFUNCTION("GOOGLEFINANCE(""BOM:"" &amp; T627,""price"")"),23.16)</f>
        <v>23.16</v>
      </c>
      <c r="Y627" s="8">
        <f t="shared" ca="1" si="206"/>
        <v>-7.1371291098636771</v>
      </c>
      <c r="Z627" s="12">
        <f t="shared" si="200"/>
        <v>106596702.44000001</v>
      </c>
      <c r="AA627" s="13">
        <f t="shared" ca="1" si="201"/>
        <v>98988758.159999996</v>
      </c>
      <c r="AB627" s="63"/>
      <c r="AC627" s="8">
        <v>500166</v>
      </c>
      <c r="AD627" s="8" t="s">
        <v>2606</v>
      </c>
      <c r="AE627" s="12">
        <v>21402685</v>
      </c>
      <c r="AF627" s="8">
        <v>182.4</v>
      </c>
      <c r="AG627" s="8">
        <f ca="1">IFERROR(__xludf.DUMMYFUNCTION("GOOGLEFINANCE(""BOM:"" &amp; AC627,""price"")"),163.05)</f>
        <v>163.05000000000001</v>
      </c>
      <c r="AH627" s="8">
        <f t="shared" ca="1" si="203"/>
        <v>-10.608552631578943</v>
      </c>
      <c r="AI627" s="12">
        <f t="shared" si="204"/>
        <v>3903849744</v>
      </c>
      <c r="AJ627" s="13">
        <f t="shared" ca="1" si="205"/>
        <v>3489707789.2500005</v>
      </c>
    </row>
    <row r="628" spans="1:36" x14ac:dyDescent="0.25">
      <c r="A628" s="63"/>
      <c r="B628" s="8">
        <v>539599</v>
      </c>
      <c r="C628" s="8" t="s">
        <v>2607</v>
      </c>
      <c r="D628" s="12">
        <v>6592000</v>
      </c>
      <c r="E628" s="8">
        <v>16</v>
      </c>
      <c r="F628" s="8">
        <f ca="1">IFERROR(__xludf.DUMMYFUNCTION("GOOGLEFINANCE(""BOM:"" &amp; B628,""price"")"),16.69)</f>
        <v>16.690000000000001</v>
      </c>
      <c r="G628" s="8">
        <f t="shared" ca="1" si="191"/>
        <v>4.312500000000008</v>
      </c>
      <c r="H628" s="12">
        <f t="shared" si="189"/>
        <v>105472000</v>
      </c>
      <c r="I628" s="13">
        <f t="shared" ca="1" si="190"/>
        <v>110020480.00000001</v>
      </c>
      <c r="J628" s="63"/>
      <c r="K628" s="8">
        <v>540082</v>
      </c>
      <c r="L628" s="8" t="s">
        <v>2608</v>
      </c>
      <c r="M628" s="12">
        <v>8028632</v>
      </c>
      <c r="N628" s="10">
        <v>41.5</v>
      </c>
      <c r="O628" s="10">
        <f ca="1">IFERROR(__xludf.DUMMYFUNCTION("GOOGLEFINANCE(""BOM:"" &amp; K628,""price"")"),39.05)</f>
        <v>39.049999999999997</v>
      </c>
      <c r="P628" s="8">
        <f t="shared" ca="1" si="202"/>
        <v>-5.9036144578313321</v>
      </c>
      <c r="Q628" s="12">
        <f t="shared" si="197"/>
        <v>333188228</v>
      </c>
      <c r="R628" s="13">
        <f t="shared" ca="1" si="198"/>
        <v>313518079.59999996</v>
      </c>
      <c r="S628" s="63"/>
      <c r="T628" s="8">
        <v>532782</v>
      </c>
      <c r="U628" s="8" t="s">
        <v>2609</v>
      </c>
      <c r="V628" s="12">
        <v>163091250</v>
      </c>
      <c r="W628" s="8">
        <v>66</v>
      </c>
      <c r="X628" s="11">
        <f ca="1">IFERROR(__xludf.DUMMYFUNCTION("GOOGLEFINANCE(""BOM:"" &amp; T628,""price"")"),50.3)</f>
        <v>50.3</v>
      </c>
      <c r="Y628" s="8">
        <f t="shared" ca="1" si="206"/>
        <v>-23.787878787878793</v>
      </c>
      <c r="Z628" s="12">
        <f t="shared" si="200"/>
        <v>10764022500</v>
      </c>
      <c r="AA628" s="13">
        <f t="shared" ca="1" si="201"/>
        <v>8203489875</v>
      </c>
      <c r="AB628" s="63"/>
      <c r="AC628" s="8">
        <v>500467</v>
      </c>
      <c r="AD628" s="8" t="s">
        <v>2610</v>
      </c>
      <c r="AE628" s="12">
        <v>17975892</v>
      </c>
      <c r="AF628" s="8">
        <v>187.8</v>
      </c>
      <c r="AG628" s="8">
        <f ca="1">IFERROR(__xludf.DUMMYFUNCTION("GOOGLEFINANCE(""BOM:"" &amp; AC628,""price"")"),168.9)</f>
        <v>168.9</v>
      </c>
      <c r="AH628" s="8">
        <f t="shared" ca="1" si="203"/>
        <v>-10.063897763578279</v>
      </c>
      <c r="AI628" s="12">
        <f t="shared" si="204"/>
        <v>3375872517.6000004</v>
      </c>
      <c r="AJ628" s="13">
        <f t="shared" ca="1" si="205"/>
        <v>3036128158.8000002</v>
      </c>
    </row>
    <row r="629" spans="1:36" x14ac:dyDescent="0.25">
      <c r="A629" s="63"/>
      <c r="B629" s="8">
        <v>539519</v>
      </c>
      <c r="C629" s="8" t="s">
        <v>2611</v>
      </c>
      <c r="D629" s="12">
        <v>6201660</v>
      </c>
      <c r="E629" s="8">
        <v>13.83</v>
      </c>
      <c r="F629" s="8">
        <f ca="1">IFERROR(__xludf.DUMMYFUNCTION("GOOGLEFINANCE(""BOM:"" &amp; B629,""price"")"),11.28)</f>
        <v>11.28</v>
      </c>
      <c r="G629" s="8">
        <f t="shared" ca="1" si="191"/>
        <v>-18.438177874186557</v>
      </c>
      <c r="H629" s="12">
        <f t="shared" si="189"/>
        <v>85768957.799999997</v>
      </c>
      <c r="I629" s="13">
        <f t="shared" ca="1" si="190"/>
        <v>69954724.799999997</v>
      </c>
      <c r="J629" s="63"/>
      <c r="K629" s="8">
        <v>539226</v>
      </c>
      <c r="L629" s="8" t="s">
        <v>2612</v>
      </c>
      <c r="M629" s="12">
        <v>100343768</v>
      </c>
      <c r="N629" s="10">
        <v>46.96</v>
      </c>
      <c r="O629" s="10">
        <f ca="1">IFERROR(__xludf.DUMMYFUNCTION("GOOGLEFINANCE(""BOM:"" &amp; K629,""price"")"),40.22)</f>
        <v>40.22</v>
      </c>
      <c r="P629" s="8">
        <f t="shared" ca="1" si="202"/>
        <v>-14.352640545144807</v>
      </c>
      <c r="Q629" s="12">
        <f t="shared" si="197"/>
        <v>4712143345.2799997</v>
      </c>
      <c r="R629" s="13">
        <f t="shared" ca="1" si="198"/>
        <v>4035826348.96</v>
      </c>
      <c r="S629" s="63"/>
      <c r="T629" s="8">
        <v>543274</v>
      </c>
      <c r="U629" s="8" t="s">
        <v>2613</v>
      </c>
      <c r="V629" s="12">
        <v>24723024</v>
      </c>
      <c r="W629" s="8">
        <v>6.2</v>
      </c>
      <c r="X629" s="11">
        <f ca="1">IFERROR(__xludf.DUMMYFUNCTION("GOOGLEFINANCE(""BOM:"" &amp; T629,""price"")"),6.51)</f>
        <v>6.51</v>
      </c>
      <c r="Y629" s="8">
        <f t="shared" ca="1" si="206"/>
        <v>4.9999999999999929</v>
      </c>
      <c r="Z629" s="12">
        <f t="shared" si="200"/>
        <v>153282748.80000001</v>
      </c>
      <c r="AA629" s="13">
        <f t="shared" ca="1" si="201"/>
        <v>160946886.24000001</v>
      </c>
      <c r="AB629" s="63"/>
      <c r="AC629" s="8">
        <v>538564</v>
      </c>
      <c r="AD629" s="8" t="s">
        <v>2614</v>
      </c>
      <c r="AE629" s="12">
        <v>4133017</v>
      </c>
      <c r="AF629" s="8">
        <v>229</v>
      </c>
      <c r="AG629" s="8">
        <f ca="1">IFERROR(__xludf.DUMMYFUNCTION("GOOGLEFINANCE(""BOM:"" &amp; AC629,""price"")"),218)</f>
        <v>218</v>
      </c>
      <c r="AH629" s="8">
        <f t="shared" ca="1" si="203"/>
        <v>-4.8034934497816595</v>
      </c>
      <c r="AI629" s="12">
        <f t="shared" si="204"/>
        <v>946460893</v>
      </c>
      <c r="AJ629" s="13">
        <f t="shared" ca="1" si="205"/>
        <v>900997706</v>
      </c>
    </row>
    <row r="630" spans="1:36" x14ac:dyDescent="0.25">
      <c r="A630" s="63"/>
      <c r="B630" s="8">
        <v>538890</v>
      </c>
      <c r="C630" s="8" t="s">
        <v>2615</v>
      </c>
      <c r="D630" s="12">
        <v>39405000</v>
      </c>
      <c r="E630" s="8">
        <v>78.91</v>
      </c>
      <c r="F630" s="8">
        <f ca="1">IFERROR(__xludf.DUMMYFUNCTION("GOOGLEFINANCE(""BOM:"" &amp; B630,""price"")"),74.62)</f>
        <v>74.62</v>
      </c>
      <c r="G630" s="8">
        <f t="shared" ca="1" si="191"/>
        <v>-5.4365733113673711</v>
      </c>
      <c r="H630" s="12">
        <f t="shared" si="189"/>
        <v>3109448550</v>
      </c>
      <c r="I630" s="13">
        <f t="shared" ca="1" si="190"/>
        <v>2940401100</v>
      </c>
      <c r="J630" s="63"/>
      <c r="K630" s="8">
        <v>513436</v>
      </c>
      <c r="L630" s="8" t="s">
        <v>2616</v>
      </c>
      <c r="M630" s="12">
        <v>19433008</v>
      </c>
      <c r="N630" s="10">
        <v>65.8</v>
      </c>
      <c r="O630" s="10">
        <f ca="1">IFERROR(__xludf.DUMMYFUNCTION("GOOGLEFINANCE(""BOM:"" &amp; K630,""price"")"),58)</f>
        <v>58</v>
      </c>
      <c r="P630" s="8">
        <f t="shared" ca="1" si="202"/>
        <v>-11.854103343465042</v>
      </c>
      <c r="Q630" s="12">
        <f t="shared" si="197"/>
        <v>1278691926.3999999</v>
      </c>
      <c r="R630" s="13">
        <f t="shared" ca="1" si="198"/>
        <v>1127114464</v>
      </c>
      <c r="S630" s="63"/>
      <c r="T630" s="8">
        <v>505590</v>
      </c>
      <c r="U630" s="8" t="s">
        <v>2617</v>
      </c>
      <c r="V630" s="12">
        <v>126400000</v>
      </c>
      <c r="W630" s="8">
        <v>8.51</v>
      </c>
      <c r="X630" s="11">
        <f ca="1">IFERROR(__xludf.DUMMYFUNCTION("GOOGLEFINANCE(""BOM:"" &amp; T630,""price"")"),5.97)</f>
        <v>5.97</v>
      </c>
      <c r="Y630" s="8">
        <f t="shared" ca="1" si="206"/>
        <v>-29.847238542890718</v>
      </c>
      <c r="Z630" s="12">
        <f t="shared" si="200"/>
        <v>1075664000</v>
      </c>
      <c r="AA630" s="13">
        <f t="shared" ca="1" si="201"/>
        <v>754608000</v>
      </c>
      <c r="AB630" s="63"/>
      <c r="AC630" s="8">
        <v>509715</v>
      </c>
      <c r="AD630" s="8" t="s">
        <v>2618</v>
      </c>
      <c r="AE630" s="12">
        <v>28609578</v>
      </c>
      <c r="AF630" s="8">
        <v>118.35</v>
      </c>
      <c r="AG630" s="8">
        <f ca="1">IFERROR(__xludf.DUMMYFUNCTION("GOOGLEFINANCE(""BOM:"" &amp; AC630,""price"")"),96.85)</f>
        <v>96.85</v>
      </c>
      <c r="AH630" s="8">
        <f t="shared" ca="1" si="203"/>
        <v>-18.166455428812846</v>
      </c>
      <c r="AI630" s="12">
        <f t="shared" si="204"/>
        <v>3385943556.2999997</v>
      </c>
      <c r="AJ630" s="13">
        <f t="shared" ca="1" si="205"/>
        <v>2770837629.2999997</v>
      </c>
    </row>
    <row r="631" spans="1:36" x14ac:dyDescent="0.25">
      <c r="A631" s="63"/>
      <c r="B631" s="8">
        <v>543262</v>
      </c>
      <c r="C631" s="8" t="s">
        <v>2619</v>
      </c>
      <c r="D631" s="12">
        <v>8937270</v>
      </c>
      <c r="E631" s="8">
        <v>48</v>
      </c>
      <c r="F631" s="8">
        <f ca="1">IFERROR(__xludf.DUMMYFUNCTION("GOOGLEFINANCE(""BOM:"" &amp; B631,""price"")"),59)</f>
        <v>59</v>
      </c>
      <c r="G631" s="8">
        <f t="shared" ca="1" si="191"/>
        <v>22.916666666666664</v>
      </c>
      <c r="H631" s="12">
        <f t="shared" si="189"/>
        <v>428988960</v>
      </c>
      <c r="I631" s="13">
        <f t="shared" ca="1" si="190"/>
        <v>527298930</v>
      </c>
      <c r="J631" s="63"/>
      <c r="K631" s="8">
        <v>526981</v>
      </c>
      <c r="L631" s="8" t="s">
        <v>2620</v>
      </c>
      <c r="M631" s="12">
        <v>8740585</v>
      </c>
      <c r="N631" s="10">
        <v>288.95</v>
      </c>
      <c r="O631" s="10">
        <f ca="1">IFERROR(__xludf.DUMMYFUNCTION("GOOGLEFINANCE(""BOM:"" &amp; K631,""price"")"),263.25)</f>
        <v>263.25</v>
      </c>
      <c r="P631" s="8">
        <f t="shared" ca="1" si="202"/>
        <v>-8.8942723654611484</v>
      </c>
      <c r="Q631" s="12">
        <f t="shared" si="197"/>
        <v>2525592035.75</v>
      </c>
      <c r="R631" s="13">
        <f t="shared" ca="1" si="198"/>
        <v>2300959001.25</v>
      </c>
      <c r="S631" s="63"/>
      <c r="T631" s="8">
        <v>503816</v>
      </c>
      <c r="U631" s="8" t="s">
        <v>2621</v>
      </c>
      <c r="V631" s="12">
        <v>32008760</v>
      </c>
      <c r="W631" s="8">
        <v>124.6</v>
      </c>
      <c r="X631" s="11">
        <f ca="1">IFERROR(__xludf.DUMMYFUNCTION("GOOGLEFINANCE(""BOM:"" &amp; T631,""price"")"),144.45)</f>
        <v>144.44999999999999</v>
      </c>
      <c r="Y631" s="8">
        <f t="shared" ca="1" si="206"/>
        <v>15.93097913322632</v>
      </c>
      <c r="Z631" s="12">
        <f t="shared" si="200"/>
        <v>3988291496</v>
      </c>
      <c r="AA631" s="13">
        <f t="shared" ca="1" si="201"/>
        <v>4623665382</v>
      </c>
      <c r="AB631" s="63"/>
      <c r="AC631" s="8">
        <v>538092</v>
      </c>
      <c r="AD631" s="8" t="s">
        <v>2622</v>
      </c>
      <c r="AE631" s="12">
        <v>8170384</v>
      </c>
      <c r="AF631" s="8">
        <v>104</v>
      </c>
      <c r="AG631" s="8">
        <f ca="1">IFERROR(__xludf.DUMMYFUNCTION("GOOGLEFINANCE(""BOM:"" &amp; AC631,""price"")"),95.75)</f>
        <v>95.75</v>
      </c>
      <c r="AH631" s="8">
        <f t="shared" ca="1" si="203"/>
        <v>-7.9326923076923075</v>
      </c>
      <c r="AI631" s="12">
        <f t="shared" si="204"/>
        <v>849719936</v>
      </c>
      <c r="AJ631" s="13">
        <f t="shared" ca="1" si="205"/>
        <v>782314268</v>
      </c>
    </row>
    <row r="632" spans="1:36" x14ac:dyDescent="0.25">
      <c r="A632" s="64"/>
      <c r="B632" s="14">
        <v>539673</v>
      </c>
      <c r="C632" s="14" t="s">
        <v>2623</v>
      </c>
      <c r="D632" s="15">
        <v>14400000</v>
      </c>
      <c r="E632" s="8">
        <v>2.2599999999999998</v>
      </c>
      <c r="F632" s="14">
        <f ca="1">IFERROR(__xludf.DUMMYFUNCTION("GOOGLEFINANCE(""BOM:"" &amp; B632,""price"")"),2.06)</f>
        <v>2.06</v>
      </c>
      <c r="G632" s="14">
        <f t="shared" ca="1" si="191"/>
        <v>-8.8495575221238827</v>
      </c>
      <c r="H632" s="15">
        <f t="shared" si="189"/>
        <v>32543999.999999996</v>
      </c>
      <c r="I632" s="16">
        <f t="shared" ca="1" si="190"/>
        <v>29664000</v>
      </c>
      <c r="J632" s="63"/>
      <c r="K632" s="8">
        <v>513097</v>
      </c>
      <c r="L632" s="8" t="s">
        <v>2624</v>
      </c>
      <c r="M632" s="12">
        <v>37757200</v>
      </c>
      <c r="N632" s="10">
        <v>547.65</v>
      </c>
      <c r="O632" s="10">
        <f ca="1">IFERROR(__xludf.DUMMYFUNCTION("GOOGLEFINANCE(""BOM:"" &amp; K632,""price"")"),522.9)</f>
        <v>522.9</v>
      </c>
      <c r="P632" s="8">
        <f t="shared" ca="1" si="202"/>
        <v>-4.5193097781429747</v>
      </c>
      <c r="Q632" s="12">
        <f t="shared" si="197"/>
        <v>20677730580</v>
      </c>
      <c r="R632" s="13">
        <f t="shared" ca="1" si="198"/>
        <v>19743239880</v>
      </c>
      <c r="S632" s="63"/>
      <c r="T632" s="8">
        <v>503310</v>
      </c>
      <c r="U632" s="8" t="s">
        <v>2625</v>
      </c>
      <c r="V632" s="12">
        <v>263048400</v>
      </c>
      <c r="W632" s="8">
        <v>762.8</v>
      </c>
      <c r="X632" s="11">
        <f ca="1">IFERROR(__xludf.DUMMYFUNCTION("GOOGLEFINANCE(""BOM:"" &amp; T632,""price"")"),667.1)</f>
        <v>667.1</v>
      </c>
      <c r="Y632" s="8">
        <f t="shared" ca="1" si="206"/>
        <v>-12.54588358678552</v>
      </c>
      <c r="Z632" s="12">
        <f t="shared" si="200"/>
        <v>200653319520</v>
      </c>
      <c r="AA632" s="13">
        <f t="shared" ca="1" si="201"/>
        <v>175479587640</v>
      </c>
      <c r="AB632" s="63"/>
      <c r="AC632" s="8">
        <v>541005</v>
      </c>
      <c r="AD632" s="8" t="s">
        <v>2626</v>
      </c>
      <c r="AE632" s="12">
        <v>4778258</v>
      </c>
      <c r="AF632" s="8">
        <v>79.5</v>
      </c>
      <c r="AG632" s="8">
        <f ca="1">IFERROR(__xludf.DUMMYFUNCTION("GOOGLEFINANCE(""BOM:"" &amp; AC632,""price"")"),69.6)</f>
        <v>69.599999999999994</v>
      </c>
      <c r="AH632" s="8">
        <f t="shared" ca="1" si="203"/>
        <v>-12.452830188679252</v>
      </c>
      <c r="AI632" s="12">
        <f t="shared" si="204"/>
        <v>379871511</v>
      </c>
      <c r="AJ632" s="13">
        <f t="shared" ca="1" si="205"/>
        <v>332566756.79999995</v>
      </c>
    </row>
    <row r="633" spans="1:36" x14ac:dyDescent="0.25">
      <c r="A633" s="62" t="s">
        <v>2627</v>
      </c>
      <c r="B633" s="6">
        <v>523395</v>
      </c>
      <c r="C633" s="6" t="s">
        <v>2628</v>
      </c>
      <c r="D633" s="7">
        <v>11210196</v>
      </c>
      <c r="E633" s="6">
        <v>31535</v>
      </c>
      <c r="F633" s="8">
        <f ca="1">IFERROR(__xludf.DUMMYFUNCTION("GOOGLEFINANCE(""BOM:"" &amp; B633,""price"")"),31234)</f>
        <v>31234</v>
      </c>
      <c r="G633" s="8">
        <f t="shared" ca="1" si="191"/>
        <v>-0.9544950055493896</v>
      </c>
      <c r="H633" s="7">
        <f t="shared" si="189"/>
        <v>353513530860</v>
      </c>
      <c r="I633" s="9">
        <f t="shared" ca="1" si="190"/>
        <v>350139261864</v>
      </c>
      <c r="J633" s="63"/>
      <c r="K633" s="8">
        <v>513548</v>
      </c>
      <c r="L633" s="8" t="s">
        <v>2629</v>
      </c>
      <c r="M633" s="12">
        <v>4109640</v>
      </c>
      <c r="N633" s="10">
        <v>341</v>
      </c>
      <c r="O633" s="10">
        <f ca="1">IFERROR(__xludf.DUMMYFUNCTION("GOOGLEFINANCE(""BOM:"" &amp; K633,""price"")"),308)</f>
        <v>308</v>
      </c>
      <c r="P633" s="8">
        <f t="shared" ca="1" si="202"/>
        <v>-9.67741935483871</v>
      </c>
      <c r="Q633" s="12">
        <f t="shared" si="197"/>
        <v>1401387240</v>
      </c>
      <c r="R633" s="13">
        <f t="shared" ca="1" si="198"/>
        <v>1265769120</v>
      </c>
      <c r="S633" s="63"/>
      <c r="T633" s="8">
        <v>510245</v>
      </c>
      <c r="U633" s="8" t="s">
        <v>2630</v>
      </c>
      <c r="V633" s="12">
        <v>89548946</v>
      </c>
      <c r="W633" s="8">
        <v>8.19</v>
      </c>
      <c r="X633" s="11">
        <f ca="1">IFERROR(__xludf.DUMMYFUNCTION("GOOGLEFINANCE(""BOM:"" &amp; T633,""price"")"),6.79)</f>
        <v>6.79</v>
      </c>
      <c r="Y633" s="8">
        <f t="shared" ca="1" si="206"/>
        <v>-17.09401709401709</v>
      </c>
      <c r="Z633" s="12">
        <f t="shared" si="200"/>
        <v>733405867.74000001</v>
      </c>
      <c r="AA633" s="13">
        <f t="shared" ca="1" si="201"/>
        <v>608037343.34000003</v>
      </c>
      <c r="AB633" s="63"/>
      <c r="AC633" s="8">
        <v>526568</v>
      </c>
      <c r="AD633" s="8" t="s">
        <v>2631</v>
      </c>
      <c r="AE633" s="12">
        <v>2103890</v>
      </c>
      <c r="AF633" s="8">
        <v>46.18</v>
      </c>
      <c r="AG633" s="8">
        <f ca="1">IFERROR(__xludf.DUMMYFUNCTION("GOOGLEFINANCE(""BOM:"" &amp; AC633,""price"")"),45.4)</f>
        <v>45.4</v>
      </c>
      <c r="AH633" s="8">
        <f t="shared" ca="1" si="203"/>
        <v>-1.6890428757037703</v>
      </c>
      <c r="AI633" s="12">
        <f t="shared" si="204"/>
        <v>97157640.200000003</v>
      </c>
      <c r="AJ633" s="13">
        <f t="shared" ca="1" si="205"/>
        <v>95516606</v>
      </c>
    </row>
    <row r="634" spans="1:36" x14ac:dyDescent="0.25">
      <c r="A634" s="63"/>
      <c r="B634" s="8">
        <v>511463</v>
      </c>
      <c r="C634" s="8" t="s">
        <v>2632</v>
      </c>
      <c r="D634" s="12">
        <v>8712777</v>
      </c>
      <c r="E634" s="8">
        <v>16</v>
      </c>
      <c r="F634" s="8">
        <f ca="1">IFERROR(__xludf.DUMMYFUNCTION("GOOGLEFINANCE(""BOM:"" &amp; B634,""price"")"),13.21)</f>
        <v>13.21</v>
      </c>
      <c r="G634" s="8">
        <f t="shared" ca="1" si="191"/>
        <v>-17.437499999999993</v>
      </c>
      <c r="H634" s="12">
        <f t="shared" si="189"/>
        <v>139404432</v>
      </c>
      <c r="I634" s="13">
        <f t="shared" ca="1" si="190"/>
        <v>115095784.17</v>
      </c>
      <c r="J634" s="63"/>
      <c r="K634" s="8">
        <v>540393</v>
      </c>
      <c r="L634" s="8" t="s">
        <v>2633</v>
      </c>
      <c r="M634" s="12">
        <v>13689750</v>
      </c>
      <c r="N634" s="10">
        <v>242.9</v>
      </c>
      <c r="O634" s="10">
        <f ca="1">IFERROR(__xludf.DUMMYFUNCTION("GOOGLEFINANCE(""BOM:"" &amp; K634,""price"")"),222)</f>
        <v>222</v>
      </c>
      <c r="P634" s="8">
        <f t="shared" ca="1" si="202"/>
        <v>-8.6043639357760409</v>
      </c>
      <c r="Q634" s="12">
        <f t="shared" si="197"/>
        <v>3325240275</v>
      </c>
      <c r="R634" s="13">
        <f t="shared" ca="1" si="198"/>
        <v>3039124500</v>
      </c>
      <c r="S634" s="63"/>
      <c r="T634" s="8">
        <v>531499</v>
      </c>
      <c r="U634" s="8" t="s">
        <v>2634</v>
      </c>
      <c r="V634" s="12">
        <v>9144154</v>
      </c>
      <c r="W634" s="8">
        <v>8.19</v>
      </c>
      <c r="X634" s="11">
        <f ca="1">IFERROR(__xludf.DUMMYFUNCTION("GOOGLEFINANCE(""BOM:"" &amp; T634,""price"")"),6.36)</f>
        <v>6.36</v>
      </c>
      <c r="Y634" s="8">
        <f t="shared" ca="1" si="206"/>
        <v>-22.344322344322336</v>
      </c>
      <c r="Z634" s="12">
        <f t="shared" si="200"/>
        <v>74890621.25999999</v>
      </c>
      <c r="AA634" s="13">
        <f t="shared" ca="1" si="201"/>
        <v>58156819.440000005</v>
      </c>
      <c r="AB634" s="63"/>
      <c r="AC634" s="8">
        <v>532654</v>
      </c>
      <c r="AD634" s="8" t="s">
        <v>2635</v>
      </c>
      <c r="AE634" s="12">
        <v>103343559</v>
      </c>
      <c r="AF634" s="8">
        <v>35.119999999999997</v>
      </c>
      <c r="AG634" s="8">
        <f ca="1">IFERROR(__xludf.DUMMYFUNCTION("GOOGLEFINANCE(""BOM:"" &amp; AC634,""price"")"),24.03)</f>
        <v>24.03</v>
      </c>
      <c r="AH634" s="8">
        <f t="shared" ca="1" si="203"/>
        <v>-31.577448747152609</v>
      </c>
      <c r="AI634" s="12">
        <f t="shared" si="204"/>
        <v>3629425792.0799999</v>
      </c>
      <c r="AJ634" s="13">
        <f t="shared" ca="1" si="205"/>
        <v>2483345722.77</v>
      </c>
    </row>
    <row r="635" spans="1:36" x14ac:dyDescent="0.25">
      <c r="A635" s="63"/>
      <c r="B635" s="8">
        <v>523319</v>
      </c>
      <c r="C635" s="8" t="s">
        <v>2636</v>
      </c>
      <c r="D635" s="12">
        <v>169076038</v>
      </c>
      <c r="E635" s="8">
        <v>243.4</v>
      </c>
      <c r="F635" s="8">
        <f ca="1">IFERROR(__xludf.DUMMYFUNCTION("GOOGLEFINANCE(""BOM:"" &amp; B635,""price"")"),238.75)</f>
        <v>238.75</v>
      </c>
      <c r="G635" s="8">
        <f t="shared" ca="1" si="191"/>
        <v>-1.910435497124078</v>
      </c>
      <c r="H635" s="12">
        <f t="shared" si="189"/>
        <v>41153107649.200005</v>
      </c>
      <c r="I635" s="13">
        <f t="shared" ca="1" si="190"/>
        <v>40366904072.5</v>
      </c>
      <c r="J635" s="63"/>
      <c r="K635" s="8">
        <v>533110</v>
      </c>
      <c r="L635" s="8" t="s">
        <v>2637</v>
      </c>
      <c r="M635" s="12">
        <v>4135006</v>
      </c>
      <c r="N635" s="10">
        <v>19.260000000000002</v>
      </c>
      <c r="O635" s="10">
        <f ca="1">IFERROR(__xludf.DUMMYFUNCTION("GOOGLEFINANCE(""BOM:"" &amp; K635,""price"")"),8.31)</f>
        <v>8.31</v>
      </c>
      <c r="P635" s="8">
        <f t="shared" ca="1" si="202"/>
        <v>-56.853582554517132</v>
      </c>
      <c r="Q635" s="12">
        <f t="shared" si="197"/>
        <v>79640215.560000002</v>
      </c>
      <c r="R635" s="13">
        <f t="shared" ca="1" si="198"/>
        <v>34361899.859999999</v>
      </c>
      <c r="S635" s="63"/>
      <c r="T635" s="8">
        <v>531628</v>
      </c>
      <c r="U635" s="8" t="s">
        <v>2638</v>
      </c>
      <c r="V635" s="12">
        <v>6701960</v>
      </c>
      <c r="W635" s="8">
        <v>77.930000000000007</v>
      </c>
      <c r="X635" s="11">
        <f ca="1">IFERROR(__xludf.DUMMYFUNCTION("GOOGLEFINANCE(""BOM:"" &amp; T635,""price"")"),71.7)</f>
        <v>71.7</v>
      </c>
      <c r="Y635" s="8">
        <v>0</v>
      </c>
      <c r="Z635" s="12">
        <f t="shared" si="200"/>
        <v>522283742.80000007</v>
      </c>
      <c r="AA635" s="13">
        <f t="shared" ca="1" si="201"/>
        <v>480530532</v>
      </c>
      <c r="AB635" s="63"/>
      <c r="AC635" s="8">
        <v>508670</v>
      </c>
      <c r="AD635" s="8" t="s">
        <v>2639</v>
      </c>
      <c r="AE635" s="12">
        <v>547879</v>
      </c>
      <c r="AF635" s="8">
        <v>3855.05</v>
      </c>
      <c r="AG635" s="8">
        <f ca="1">IFERROR(__xludf.DUMMYFUNCTION("GOOGLEFINANCE(""BOM:"" &amp; AC635,""price"")"),3702.85)</f>
        <v>3702.85</v>
      </c>
      <c r="AH635" s="8">
        <f t="shared" ca="1" si="203"/>
        <v>-3.9480681184420505</v>
      </c>
      <c r="AI635" s="12">
        <f t="shared" si="204"/>
        <v>2112100938.95</v>
      </c>
      <c r="AJ635" s="13">
        <f t="shared" ca="1" si="205"/>
        <v>2028713755.1499999</v>
      </c>
    </row>
    <row r="636" spans="1:36" x14ac:dyDescent="0.25">
      <c r="A636" s="63"/>
      <c r="B636" s="8">
        <v>523367</v>
      </c>
      <c r="C636" s="8" t="s">
        <v>2640</v>
      </c>
      <c r="D636" s="12">
        <v>153992829</v>
      </c>
      <c r="E636" s="8">
        <v>967</v>
      </c>
      <c r="F636" s="8">
        <f ca="1">IFERROR(__xludf.DUMMYFUNCTION("GOOGLEFINANCE(""BOM:"" &amp; B636,""price"")"),848.5)</f>
        <v>848.5</v>
      </c>
      <c r="G636" s="8">
        <f t="shared" ca="1" si="191"/>
        <v>-12.254395036194415</v>
      </c>
      <c r="H636" s="12">
        <f t="shared" si="189"/>
        <v>148911065643</v>
      </c>
      <c r="I636" s="13">
        <f t="shared" ca="1" si="190"/>
        <v>130662915406.5</v>
      </c>
      <c r="J636" s="63"/>
      <c r="K636" s="8">
        <v>513488</v>
      </c>
      <c r="L636" s="8" t="s">
        <v>2641</v>
      </c>
      <c r="M636" s="12">
        <v>2844441</v>
      </c>
      <c r="N636" s="10">
        <v>39.4</v>
      </c>
      <c r="O636" s="10">
        <f ca="1">IFERROR(__xludf.DUMMYFUNCTION("GOOGLEFINANCE(""BOM:"" &amp; K636,""price"")"),37.55)</f>
        <v>37.549999999999997</v>
      </c>
      <c r="P636" s="8">
        <f t="shared" ca="1" si="202"/>
        <v>-4.6954314720812222</v>
      </c>
      <c r="Q636" s="12">
        <f t="shared" si="197"/>
        <v>112070975.39999999</v>
      </c>
      <c r="R636" s="13">
        <f t="shared" ca="1" si="198"/>
        <v>106808759.55</v>
      </c>
      <c r="S636" s="63"/>
      <c r="T636" s="8">
        <v>539985</v>
      </c>
      <c r="U636" s="8" t="s">
        <v>2642</v>
      </c>
      <c r="V636" s="12">
        <v>6728507</v>
      </c>
      <c r="W636" s="8">
        <v>42.9</v>
      </c>
      <c r="X636" s="11">
        <f ca="1">IFERROR(__xludf.DUMMYFUNCTION("GOOGLEFINANCE(""BOM:"" &amp; T636,""price"")"),44.84)</f>
        <v>44.84</v>
      </c>
      <c r="Y636" s="8">
        <f t="shared" ref="Y636:Y646" ca="1" si="207">((X636-W636)/W636)*100</f>
        <v>4.5221445221445329</v>
      </c>
      <c r="Z636" s="12">
        <f t="shared" si="200"/>
        <v>288652950.30000001</v>
      </c>
      <c r="AA636" s="13">
        <f t="shared" ca="1" si="201"/>
        <v>301706253.88</v>
      </c>
      <c r="AB636" s="63"/>
      <c r="AC636" s="8">
        <v>542938</v>
      </c>
      <c r="AD636" s="8" t="s">
        <v>2643</v>
      </c>
      <c r="AE636" s="12">
        <v>2696760</v>
      </c>
      <c r="AF636" s="8">
        <v>80.81</v>
      </c>
      <c r="AG636" s="8">
        <f ca="1">IFERROR(__xludf.DUMMYFUNCTION("GOOGLEFINANCE(""BOM:"" &amp; AC636,""price"")"),65.05)</f>
        <v>65.05</v>
      </c>
      <c r="AH636" s="8">
        <f t="shared" ca="1" si="203"/>
        <v>-19.502536814750655</v>
      </c>
      <c r="AI636" s="12">
        <f t="shared" si="204"/>
        <v>217925175.59999999</v>
      </c>
      <c r="AJ636" s="13">
        <f t="shared" ca="1" si="205"/>
        <v>175424238</v>
      </c>
    </row>
    <row r="637" spans="1:36" x14ac:dyDescent="0.25">
      <c r="A637" s="63"/>
      <c r="B637" s="8">
        <v>509525</v>
      </c>
      <c r="C637" s="8" t="s">
        <v>2644</v>
      </c>
      <c r="D637" s="12">
        <v>5926403</v>
      </c>
      <c r="E637" s="8">
        <v>1022.15</v>
      </c>
      <c r="F637" s="8">
        <f ca="1">IFERROR(__xludf.DUMMYFUNCTION("GOOGLEFINANCE(""BOM:"" &amp; B637,""price"")"),897)</f>
        <v>897</v>
      </c>
      <c r="G637" s="8">
        <f t="shared" ca="1" si="191"/>
        <v>-12.2437998336839</v>
      </c>
      <c r="H637" s="12">
        <f t="shared" si="189"/>
        <v>6057672826.4499998</v>
      </c>
      <c r="I637" s="13">
        <f t="shared" ca="1" si="190"/>
        <v>5315983491</v>
      </c>
      <c r="J637" s="63"/>
      <c r="K637" s="8">
        <v>534748</v>
      </c>
      <c r="L637" s="8" t="s">
        <v>2645</v>
      </c>
      <c r="M637" s="12">
        <v>846341300</v>
      </c>
      <c r="N637" s="10">
        <v>14.54</v>
      </c>
      <c r="O637" s="10">
        <f ca="1">IFERROR(__xludf.DUMMYFUNCTION("GOOGLEFINANCE(""BOM:"" &amp; K637,""price"")"),13.82)</f>
        <v>13.82</v>
      </c>
      <c r="P637" s="8">
        <f t="shared" ca="1" si="202"/>
        <v>-4.9518569463548756</v>
      </c>
      <c r="Q637" s="12">
        <f t="shared" si="197"/>
        <v>12305802502</v>
      </c>
      <c r="R637" s="13">
        <f t="shared" ca="1" si="198"/>
        <v>11696436766</v>
      </c>
      <c r="S637" s="63"/>
      <c r="T637" s="8">
        <v>521005</v>
      </c>
      <c r="U637" s="8" t="s">
        <v>2646</v>
      </c>
      <c r="V637" s="12">
        <v>2353050</v>
      </c>
      <c r="W637" s="8">
        <v>103.45</v>
      </c>
      <c r="X637" s="11">
        <f ca="1">IFERROR(__xludf.DUMMYFUNCTION("GOOGLEFINANCE(""BOM:"" &amp; T637,""price"")"),101.5)</f>
        <v>101.5</v>
      </c>
      <c r="Y637" s="8">
        <f t="shared" ca="1" si="207"/>
        <v>-1.8849685838569386</v>
      </c>
      <c r="Z637" s="12">
        <f t="shared" si="200"/>
        <v>243423022.5</v>
      </c>
      <c r="AA637" s="13">
        <f t="shared" ca="1" si="201"/>
        <v>238834575</v>
      </c>
      <c r="AB637" s="63"/>
      <c r="AC637" s="8">
        <v>519191</v>
      </c>
      <c r="AD637" s="8" t="s">
        <v>2647</v>
      </c>
      <c r="AE637" s="12">
        <v>3566900</v>
      </c>
      <c r="AF637" s="8">
        <v>12.63</v>
      </c>
      <c r="AG637" s="8">
        <f ca="1">IFERROR(__xludf.DUMMYFUNCTION("GOOGLEFINANCE(""BOM:"" &amp; AC637,""price"")"),10.33)</f>
        <v>10.33</v>
      </c>
      <c r="AH637" s="8">
        <f t="shared" ca="1" si="203"/>
        <v>-18.210609659540779</v>
      </c>
      <c r="AI637" s="12">
        <f t="shared" si="204"/>
        <v>45049947</v>
      </c>
      <c r="AJ637" s="13">
        <f t="shared" ca="1" si="205"/>
        <v>36846077</v>
      </c>
    </row>
    <row r="638" spans="1:36" x14ac:dyDescent="0.25">
      <c r="A638" s="63"/>
      <c r="B638" s="8">
        <v>542802</v>
      </c>
      <c r="C638" s="8" t="s">
        <v>2648</v>
      </c>
      <c r="D638" s="12">
        <v>149011330</v>
      </c>
      <c r="E638" s="8">
        <v>4.53</v>
      </c>
      <c r="F638" s="8">
        <f ca="1">IFERROR(__xludf.DUMMYFUNCTION("GOOGLEFINANCE(""BOM:"" &amp; B638,""price"")"),4.02)</f>
        <v>4.0199999999999996</v>
      </c>
      <c r="G638" s="8">
        <f t="shared" ca="1" si="191"/>
        <v>-11.258278145695378</v>
      </c>
      <c r="H638" s="12">
        <f t="shared" si="189"/>
        <v>675021324.9000001</v>
      </c>
      <c r="I638" s="13">
        <f t="shared" ca="1" si="190"/>
        <v>599025546.5999999</v>
      </c>
      <c r="J638" s="63"/>
      <c r="K638" s="8">
        <v>541701</v>
      </c>
      <c r="L638" s="8" t="s">
        <v>2649</v>
      </c>
      <c r="M638" s="12">
        <v>11525278</v>
      </c>
      <c r="N638" s="10">
        <v>500</v>
      </c>
      <c r="O638" s="10">
        <f ca="1">IFERROR(__xludf.DUMMYFUNCTION("GOOGLEFINANCE(""BOM:"" &amp; K638,""price"")"),500)</f>
        <v>500</v>
      </c>
      <c r="P638" s="8">
        <f t="shared" ca="1" si="202"/>
        <v>0</v>
      </c>
      <c r="Q638" s="12">
        <f t="shared" si="197"/>
        <v>5762639000</v>
      </c>
      <c r="R638" s="13">
        <f t="shared" ca="1" si="198"/>
        <v>5762639000</v>
      </c>
      <c r="S638" s="63"/>
      <c r="T638" s="8">
        <v>521064</v>
      </c>
      <c r="U638" s="8" t="s">
        <v>2650</v>
      </c>
      <c r="V638" s="12">
        <v>5074876270</v>
      </c>
      <c r="W638" s="8">
        <v>42.23</v>
      </c>
      <c r="X638" s="11">
        <f ca="1">IFERROR(__xludf.DUMMYFUNCTION("GOOGLEFINANCE(""BOM:"" &amp; T638,""price"")"),36.54)</f>
        <v>36.54</v>
      </c>
      <c r="Y638" s="8">
        <f t="shared" ca="1" si="207"/>
        <v>-13.473833767463884</v>
      </c>
      <c r="Z638" s="12">
        <f t="shared" si="200"/>
        <v>214312024882.09998</v>
      </c>
      <c r="AA638" s="13">
        <f t="shared" ca="1" si="201"/>
        <v>185435978905.79999</v>
      </c>
      <c r="AB638" s="63"/>
      <c r="AC638" s="8">
        <v>532301</v>
      </c>
      <c r="AD638" s="8" t="s">
        <v>2651</v>
      </c>
      <c r="AE638" s="12">
        <v>183679160</v>
      </c>
      <c r="AF638" s="8" t="s">
        <v>44</v>
      </c>
      <c r="AG638" s="8" t="s">
        <v>44</v>
      </c>
      <c r="AH638" s="8"/>
      <c r="AI638" s="12"/>
      <c r="AJ638" s="13"/>
    </row>
    <row r="639" spans="1:36" x14ac:dyDescent="0.25">
      <c r="A639" s="63"/>
      <c r="B639" s="8">
        <v>539224</v>
      </c>
      <c r="C639" s="8" t="s">
        <v>2652</v>
      </c>
      <c r="D639" s="12">
        <v>3702410</v>
      </c>
      <c r="E639" s="8">
        <v>130.16</v>
      </c>
      <c r="F639" s="8">
        <f ca="1">IFERROR(__xludf.DUMMYFUNCTION("GOOGLEFINANCE(""BOM:"" &amp; B639,""price"")"),122.55)</f>
        <v>122.55</v>
      </c>
      <c r="G639" s="8">
        <f t="shared" ca="1" si="191"/>
        <v>-5.8466502765826673</v>
      </c>
      <c r="H639" s="12">
        <f t="shared" si="189"/>
        <v>481905685.59999996</v>
      </c>
      <c r="I639" s="13">
        <f t="shared" ca="1" si="190"/>
        <v>453730345.5</v>
      </c>
      <c r="J639" s="63"/>
      <c r="K639" s="8">
        <v>534733</v>
      </c>
      <c r="L639" s="8" t="s">
        <v>2653</v>
      </c>
      <c r="M639" s="12">
        <v>31474950</v>
      </c>
      <c r="N639" s="10">
        <v>11.63</v>
      </c>
      <c r="O639" s="10">
        <f ca="1">IFERROR(__xludf.DUMMYFUNCTION("GOOGLEFINANCE(""BOM:"" &amp; K639,""price"")"),12.65)</f>
        <v>12.65</v>
      </c>
      <c r="P639" s="8">
        <f t="shared" ca="1" si="202"/>
        <v>8.7704213241616458</v>
      </c>
      <c r="Q639" s="12">
        <f t="shared" si="197"/>
        <v>366053668.5</v>
      </c>
      <c r="R639" s="13">
        <f t="shared" ca="1" si="198"/>
        <v>398158117.5</v>
      </c>
      <c r="S639" s="63"/>
      <c r="T639" s="8">
        <v>540726</v>
      </c>
      <c r="U639" s="8" t="s">
        <v>2654</v>
      </c>
      <c r="V639" s="12">
        <v>10070100</v>
      </c>
      <c r="W639" s="8">
        <v>56.6</v>
      </c>
      <c r="X639" s="11">
        <f ca="1">IFERROR(__xludf.DUMMYFUNCTION("GOOGLEFINANCE(""BOM:"" &amp; T639,""price"")"),48.82)</f>
        <v>48.82</v>
      </c>
      <c r="Y639" s="8">
        <f t="shared" ca="1" si="207"/>
        <v>-13.745583038869261</v>
      </c>
      <c r="Z639" s="12">
        <f t="shared" si="200"/>
        <v>569967660</v>
      </c>
      <c r="AA639" s="13">
        <f t="shared" ca="1" si="201"/>
        <v>491622282</v>
      </c>
      <c r="AB639" s="63"/>
      <c r="AC639" s="8">
        <v>500800</v>
      </c>
      <c r="AD639" s="8" t="s">
        <v>2655</v>
      </c>
      <c r="AE639" s="12">
        <v>909456443</v>
      </c>
      <c r="AF639" s="8">
        <v>1200.05</v>
      </c>
      <c r="AG639" s="8">
        <f ca="1">IFERROR(__xludf.DUMMYFUNCTION("GOOGLEFINANCE(""BOM:"" &amp; AC639,""price"")"),1095.4)</f>
        <v>1095.4000000000001</v>
      </c>
      <c r="AH639" s="8">
        <f t="shared" ref="AH639:AH711" ca="1" si="208">((AG639-AF639)/AF639)*100</f>
        <v>-8.7204699804174712</v>
      </c>
      <c r="AI639" s="12">
        <f t="shared" ref="AI639:AI711" si="209">AE639*AF639</f>
        <v>1091393204422.1499</v>
      </c>
      <c r="AJ639" s="13">
        <f t="shared" ref="AJ639:AJ711" ca="1" si="210">AE639*AG639</f>
        <v>996218587662.20007</v>
      </c>
    </row>
    <row r="640" spans="1:36" x14ac:dyDescent="0.25">
      <c r="A640" s="63"/>
      <c r="B640" s="8">
        <v>542924</v>
      </c>
      <c r="C640" s="8" t="s">
        <v>2656</v>
      </c>
      <c r="D640" s="12">
        <v>5739000</v>
      </c>
      <c r="E640" s="8">
        <v>6.07</v>
      </c>
      <c r="F640" s="8">
        <f ca="1">IFERROR(__xludf.DUMMYFUNCTION("GOOGLEFINANCE(""BOM:"" &amp; B640,""price"")"),6.45)</f>
        <v>6.45</v>
      </c>
      <c r="G640" s="8">
        <f t="shared" ca="1" si="191"/>
        <v>6.2602965403624369</v>
      </c>
      <c r="H640" s="12">
        <f t="shared" si="189"/>
        <v>34835730</v>
      </c>
      <c r="I640" s="13">
        <f t="shared" ca="1" si="190"/>
        <v>37016550</v>
      </c>
      <c r="J640" s="63"/>
      <c r="K640" s="8">
        <v>518075</v>
      </c>
      <c r="L640" s="8" t="s">
        <v>2657</v>
      </c>
      <c r="M640" s="12">
        <v>9921400</v>
      </c>
      <c r="N640" s="10">
        <v>478.75</v>
      </c>
      <c r="O640" s="10">
        <f ca="1">IFERROR(__xludf.DUMMYFUNCTION("GOOGLEFINANCE(""BOM:"" &amp; K640,""price"")"),406)</f>
        <v>406</v>
      </c>
      <c r="P640" s="8">
        <f t="shared" ca="1" si="202"/>
        <v>-15.195822454308095</v>
      </c>
      <c r="Q640" s="12">
        <f t="shared" si="197"/>
        <v>4749870250</v>
      </c>
      <c r="R640" s="13">
        <f t="shared" ca="1" si="198"/>
        <v>4028088400</v>
      </c>
      <c r="S640" s="63"/>
      <c r="T640" s="8">
        <v>514142</v>
      </c>
      <c r="U640" s="8" t="s">
        <v>2658</v>
      </c>
      <c r="V640" s="12">
        <v>20269551</v>
      </c>
      <c r="W640" s="8">
        <v>116.2</v>
      </c>
      <c r="X640" s="11">
        <f ca="1">IFERROR(__xludf.DUMMYFUNCTION("GOOGLEFINANCE(""BOM:"" &amp; T640,""price"")"),104.25)</f>
        <v>104.25</v>
      </c>
      <c r="Y640" s="8">
        <f t="shared" ca="1" si="207"/>
        <v>-10.283993115318419</v>
      </c>
      <c r="Z640" s="12">
        <f t="shared" si="200"/>
        <v>2355321826.2000003</v>
      </c>
      <c r="AA640" s="13">
        <f t="shared" ca="1" si="201"/>
        <v>2113100691.75</v>
      </c>
      <c r="AB640" s="63"/>
      <c r="AC640" s="8">
        <v>530533</v>
      </c>
      <c r="AD640" s="8" t="s">
        <v>2659</v>
      </c>
      <c r="AE640" s="12">
        <v>6819442</v>
      </c>
      <c r="AF640" s="8">
        <v>97.85</v>
      </c>
      <c r="AG640" s="8">
        <f ca="1">IFERROR(__xludf.DUMMYFUNCTION("GOOGLEFINANCE(""BOM:"" &amp; AC640,""price"")"),79.59)</f>
        <v>79.59</v>
      </c>
      <c r="AH640" s="8">
        <f t="shared" ca="1" si="208"/>
        <v>-18.661216147164016</v>
      </c>
      <c r="AI640" s="12">
        <f t="shared" si="209"/>
        <v>667282399.69999993</v>
      </c>
      <c r="AJ640" s="13">
        <f t="shared" ca="1" si="210"/>
        <v>542759388.77999997</v>
      </c>
    </row>
    <row r="641" spans="1:36" x14ac:dyDescent="0.25">
      <c r="A641" s="63"/>
      <c r="B641" s="8">
        <v>523550</v>
      </c>
      <c r="C641" s="8" t="s">
        <v>2660</v>
      </c>
      <c r="D641" s="12">
        <v>13759693</v>
      </c>
      <c r="E641" s="8">
        <v>37.11</v>
      </c>
      <c r="F641" s="8">
        <f ca="1">IFERROR(__xludf.DUMMYFUNCTION("GOOGLEFINANCE(""BOM:"" &amp; B641,""price"")"),32.8)</f>
        <v>32.799999999999997</v>
      </c>
      <c r="G641" s="8">
        <f t="shared" ca="1" si="191"/>
        <v>-11.614120183239026</v>
      </c>
      <c r="H641" s="12">
        <f t="shared" si="189"/>
        <v>510622207.23000002</v>
      </c>
      <c r="I641" s="13">
        <f t="shared" ca="1" si="190"/>
        <v>451317930.39999998</v>
      </c>
      <c r="J641" s="63"/>
      <c r="K641" s="8">
        <v>531638</v>
      </c>
      <c r="L641" s="8" t="s">
        <v>2661</v>
      </c>
      <c r="M641" s="12">
        <v>19223267</v>
      </c>
      <c r="N641" s="10">
        <v>225.85</v>
      </c>
      <c r="O641" s="10">
        <f ca="1">IFERROR(__xludf.DUMMYFUNCTION("GOOGLEFINANCE(""BOM:"" &amp; K641,""price"")"),218.55)</f>
        <v>218.55</v>
      </c>
      <c r="P641" s="8">
        <f t="shared" ca="1" si="202"/>
        <v>-3.232233783484606</v>
      </c>
      <c r="Q641" s="12">
        <f t="shared" si="197"/>
        <v>4341574851.9499998</v>
      </c>
      <c r="R641" s="13">
        <f t="shared" ca="1" si="198"/>
        <v>4201245002.8500004</v>
      </c>
      <c r="S641" s="63"/>
      <c r="T641" s="8">
        <v>531411</v>
      </c>
      <c r="U641" s="8" t="s">
        <v>2662</v>
      </c>
      <c r="V641" s="12">
        <v>128971500</v>
      </c>
      <c r="W641" s="8">
        <v>1.99</v>
      </c>
      <c r="X641" s="11">
        <f ca="1">IFERROR(__xludf.DUMMYFUNCTION("GOOGLEFINANCE(""BOM:"" &amp; T641,""price"")"),1.92)</f>
        <v>1.92</v>
      </c>
      <c r="Y641" s="8">
        <f t="shared" ca="1" si="207"/>
        <v>-3.5175879396984957</v>
      </c>
      <c r="Z641" s="12">
        <f t="shared" si="200"/>
        <v>256653285</v>
      </c>
      <c r="AA641" s="13">
        <f t="shared" ca="1" si="201"/>
        <v>247625280</v>
      </c>
      <c r="AB641" s="63"/>
      <c r="AC641" s="8">
        <v>526945</v>
      </c>
      <c r="AD641" s="8" t="s">
        <v>2663</v>
      </c>
      <c r="AE641" s="12">
        <v>3161967</v>
      </c>
      <c r="AF641" s="8">
        <v>94.9</v>
      </c>
      <c r="AG641" s="8">
        <f ca="1">IFERROR(__xludf.DUMMYFUNCTION("GOOGLEFINANCE(""BOM:"" &amp; AC641,""price"")"),92.3)</f>
        <v>92.3</v>
      </c>
      <c r="AH641" s="8">
        <f t="shared" ca="1" si="208"/>
        <v>-2.739726027397269</v>
      </c>
      <c r="AI641" s="12">
        <f t="shared" si="209"/>
        <v>300070668.30000001</v>
      </c>
      <c r="AJ641" s="13">
        <f t="shared" ca="1" si="210"/>
        <v>291849554.09999996</v>
      </c>
    </row>
    <row r="642" spans="1:36" x14ac:dyDescent="0.25">
      <c r="A642" s="63"/>
      <c r="B642" s="8">
        <v>539143</v>
      </c>
      <c r="C642" s="8" t="s">
        <v>2664</v>
      </c>
      <c r="D642" s="12">
        <v>11633200</v>
      </c>
      <c r="E642" s="8">
        <v>8.56</v>
      </c>
      <c r="F642" s="8">
        <f ca="1">IFERROR(__xludf.DUMMYFUNCTION("GOOGLEFINANCE(""BOM:"" &amp; B642,""price"")"),7.32)</f>
        <v>7.32</v>
      </c>
      <c r="G642" s="8">
        <f t="shared" ca="1" si="191"/>
        <v>-14.485981308411217</v>
      </c>
      <c r="H642" s="12">
        <f t="shared" si="189"/>
        <v>99580192</v>
      </c>
      <c r="I642" s="13">
        <f t="shared" ca="1" si="190"/>
        <v>85155024</v>
      </c>
      <c r="J642" s="63"/>
      <c r="K642" s="8">
        <v>500336</v>
      </c>
      <c r="L642" s="8" t="s">
        <v>2665</v>
      </c>
      <c r="M642" s="12">
        <v>108264304</v>
      </c>
      <c r="N642" s="10">
        <v>582.54999999999995</v>
      </c>
      <c r="O642" s="10">
        <f ca="1">IFERROR(__xludf.DUMMYFUNCTION("GOOGLEFINANCE(""BOM:"" &amp; K642,""price"")"),508.7)</f>
        <v>508.7</v>
      </c>
      <c r="P642" s="8">
        <f t="shared" ca="1" si="202"/>
        <v>-12.677023431465106</v>
      </c>
      <c r="Q642" s="12">
        <f t="shared" si="197"/>
        <v>63069370295.199997</v>
      </c>
      <c r="R642" s="13">
        <f t="shared" ca="1" si="198"/>
        <v>55074051444.799995</v>
      </c>
      <c r="S642" s="63"/>
      <c r="T642" s="8">
        <v>521226</v>
      </c>
      <c r="U642" s="8" t="s">
        <v>2666</v>
      </c>
      <c r="V642" s="12">
        <v>7472290</v>
      </c>
      <c r="W642" s="8">
        <v>27.2</v>
      </c>
      <c r="X642" s="11">
        <f ca="1">IFERROR(__xludf.DUMMYFUNCTION("GOOGLEFINANCE(""BOM:"" &amp; T642,""price"")"),20.15)</f>
        <v>20.149999999999999</v>
      </c>
      <c r="Y642" s="8">
        <f t="shared" ca="1" si="207"/>
        <v>-25.919117647058826</v>
      </c>
      <c r="Z642" s="12">
        <f t="shared" si="200"/>
        <v>203246288</v>
      </c>
      <c r="AA642" s="13">
        <f t="shared" ca="1" si="201"/>
        <v>150566643.5</v>
      </c>
      <c r="AB642" s="64"/>
      <c r="AC642" s="14">
        <v>508494</v>
      </c>
      <c r="AD642" s="14" t="s">
        <v>2667</v>
      </c>
      <c r="AE642" s="15">
        <v>11573255</v>
      </c>
      <c r="AF642" s="14">
        <v>46.82</v>
      </c>
      <c r="AG642" s="14">
        <f ca="1">IFERROR(__xludf.DUMMYFUNCTION("GOOGLEFINANCE(""BOM:"" &amp; AC642,""price"")"),36.49)</f>
        <v>36.49</v>
      </c>
      <c r="AH642" s="14">
        <f t="shared" ca="1" si="208"/>
        <v>-22.06322084579239</v>
      </c>
      <c r="AI642" s="15">
        <f t="shared" si="209"/>
        <v>541859799.10000002</v>
      </c>
      <c r="AJ642" s="16">
        <f t="shared" ca="1" si="210"/>
        <v>422308074.95000005</v>
      </c>
    </row>
    <row r="643" spans="1:36" x14ac:dyDescent="0.25">
      <c r="A643" s="63"/>
      <c r="B643" s="8">
        <v>532679</v>
      </c>
      <c r="C643" s="8" t="s">
        <v>2668</v>
      </c>
      <c r="D643" s="12">
        <v>31499518</v>
      </c>
      <c r="E643" s="8" t="s">
        <v>60</v>
      </c>
      <c r="F643" s="8" t="s">
        <v>60</v>
      </c>
      <c r="G643" s="8"/>
      <c r="H643" s="12"/>
      <c r="I643" s="13"/>
      <c r="J643" s="63"/>
      <c r="K643" s="8">
        <v>505685</v>
      </c>
      <c r="L643" s="8" t="s">
        <v>2669</v>
      </c>
      <c r="M643" s="12">
        <v>12519475</v>
      </c>
      <c r="N643" s="10">
        <v>3.21</v>
      </c>
      <c r="O643" s="10">
        <f ca="1">IFERROR(__xludf.DUMMYFUNCTION("GOOGLEFINANCE(""BOM:"" &amp; K643,""price"")"),3.7)</f>
        <v>3.7</v>
      </c>
      <c r="P643" s="8">
        <f t="shared" ca="1" si="202"/>
        <v>15.264797507788169</v>
      </c>
      <c r="Q643" s="12">
        <f t="shared" si="197"/>
        <v>40187514.75</v>
      </c>
      <c r="R643" s="13">
        <f t="shared" ca="1" si="198"/>
        <v>46322057.5</v>
      </c>
      <c r="S643" s="63"/>
      <c r="T643" s="8">
        <v>521188</v>
      </c>
      <c r="U643" s="8" t="s">
        <v>2670</v>
      </c>
      <c r="V643" s="12">
        <v>2481975</v>
      </c>
      <c r="W643" s="8">
        <v>19.18</v>
      </c>
      <c r="X643" s="11">
        <f ca="1">IFERROR(__xludf.DUMMYFUNCTION("GOOGLEFINANCE(""BOM:"" &amp; T643,""price"")"),18.55)</f>
        <v>18.55</v>
      </c>
      <c r="Y643" s="8">
        <f t="shared" ca="1" si="207"/>
        <v>-3.2846715328467098</v>
      </c>
      <c r="Z643" s="12">
        <f t="shared" si="200"/>
        <v>47604280.5</v>
      </c>
      <c r="AA643" s="13">
        <f t="shared" ca="1" si="201"/>
        <v>46040636.25</v>
      </c>
      <c r="AB643" s="62" t="s">
        <v>2671</v>
      </c>
      <c r="AC643" s="6">
        <v>523411</v>
      </c>
      <c r="AD643" s="6" t="s">
        <v>2672</v>
      </c>
      <c r="AE643" s="7">
        <v>4555291</v>
      </c>
      <c r="AF643" s="8">
        <v>1021.8</v>
      </c>
      <c r="AG643" s="8">
        <f ca="1">IFERROR(__xludf.DUMMYFUNCTION("GOOGLEFINANCE(""BOM:"" &amp; AC643,""price"")"),880.1)</f>
        <v>880.1</v>
      </c>
      <c r="AH643" s="8">
        <f t="shared" ca="1" si="208"/>
        <v>-13.867684478371494</v>
      </c>
      <c r="AI643" s="7">
        <f t="shared" si="209"/>
        <v>4654596343.8000002</v>
      </c>
      <c r="AJ643" s="9">
        <f t="shared" ca="1" si="210"/>
        <v>4009111609.0999999</v>
      </c>
    </row>
    <row r="644" spans="1:36" x14ac:dyDescent="0.25">
      <c r="A644" s="63"/>
      <c r="B644" s="8">
        <v>512257</v>
      </c>
      <c r="C644" s="8" t="s">
        <v>2673</v>
      </c>
      <c r="D644" s="12">
        <v>89548946</v>
      </c>
      <c r="E644" s="8">
        <v>5.14</v>
      </c>
      <c r="F644" s="8">
        <f ca="1">IFERROR(__xludf.DUMMYFUNCTION("GOOGLEFINANCE(""BOM:"" &amp; B644,""price"")"),4.08)</f>
        <v>4.08</v>
      </c>
      <c r="G644" s="8">
        <f t="shared" ref="G644:G649" ca="1" si="211">((F644-E644)/E644)*100</f>
        <v>-20.622568093385208</v>
      </c>
      <c r="H644" s="12">
        <f t="shared" ref="H644:H650" si="212">D644*E644</f>
        <v>460281582.44</v>
      </c>
      <c r="I644" s="13">
        <f t="shared" ref="I644:I650" ca="1" si="213">D644*F644</f>
        <v>365359699.68000001</v>
      </c>
      <c r="J644" s="63"/>
      <c r="K644" s="8">
        <v>513010</v>
      </c>
      <c r="L644" s="8" t="s">
        <v>2674</v>
      </c>
      <c r="M644" s="12">
        <v>44646867</v>
      </c>
      <c r="N644" s="10" t="s">
        <v>44</v>
      </c>
      <c r="O644" s="10" t="s">
        <v>44</v>
      </c>
      <c r="P644" s="8"/>
      <c r="Q644" s="12"/>
      <c r="R644" s="13"/>
      <c r="S644" s="63"/>
      <c r="T644" s="8">
        <v>512408</v>
      </c>
      <c r="U644" s="8" t="s">
        <v>2675</v>
      </c>
      <c r="V644" s="12">
        <v>740600</v>
      </c>
      <c r="W644" s="8">
        <v>10.050000000000001</v>
      </c>
      <c r="X644" s="11">
        <f ca="1">IFERROR(__xludf.DUMMYFUNCTION("GOOGLEFINANCE(""BOM:"" &amp; T644,""price"")"),10.05)</f>
        <v>10.050000000000001</v>
      </c>
      <c r="Y644" s="8">
        <f t="shared" ca="1" si="207"/>
        <v>0</v>
      </c>
      <c r="Z644" s="12">
        <f t="shared" si="200"/>
        <v>7443030.0000000009</v>
      </c>
      <c r="AA644" s="13">
        <f t="shared" ca="1" si="201"/>
        <v>7443030.0000000009</v>
      </c>
      <c r="AB644" s="63"/>
      <c r="AC644" s="8">
        <v>532975</v>
      </c>
      <c r="AD644" s="8" t="s">
        <v>2676</v>
      </c>
      <c r="AE644" s="12">
        <v>23813477</v>
      </c>
      <c r="AF644" s="8">
        <v>7.98</v>
      </c>
      <c r="AG644" s="8">
        <f ca="1">IFERROR(__xludf.DUMMYFUNCTION("GOOGLEFINANCE(""BOM:"" &amp; AC644,""price"")"),14.23)</f>
        <v>14.23</v>
      </c>
      <c r="AH644" s="8">
        <f t="shared" ca="1" si="208"/>
        <v>78.320802005012524</v>
      </c>
      <c r="AI644" s="12">
        <f t="shared" si="209"/>
        <v>190031546.46000001</v>
      </c>
      <c r="AJ644" s="13">
        <f t="shared" ca="1" si="210"/>
        <v>338865777.71000004</v>
      </c>
    </row>
    <row r="645" spans="1:36" x14ac:dyDescent="0.25">
      <c r="A645" s="64"/>
      <c r="B645" s="14">
        <v>507747</v>
      </c>
      <c r="C645" s="14" t="s">
        <v>2677</v>
      </c>
      <c r="D645" s="15">
        <v>13968820</v>
      </c>
      <c r="E645" s="8">
        <v>1488.05</v>
      </c>
      <c r="F645" s="14">
        <f ca="1">IFERROR(__xludf.DUMMYFUNCTION("GOOGLEFINANCE(""BOM:"" &amp; B645,""price"")"),1490.95)</f>
        <v>1490.95</v>
      </c>
      <c r="G645" s="14">
        <f t="shared" ca="1" si="211"/>
        <v>0.1948859245321119</v>
      </c>
      <c r="H645" s="15">
        <f t="shared" si="212"/>
        <v>20786302601</v>
      </c>
      <c r="I645" s="16">
        <f t="shared" ca="1" si="213"/>
        <v>20826812179</v>
      </c>
      <c r="J645" s="63"/>
      <c r="K645" s="8">
        <v>504961</v>
      </c>
      <c r="L645" s="8" t="s">
        <v>2678</v>
      </c>
      <c r="M645" s="12">
        <v>9918889</v>
      </c>
      <c r="N645" s="10">
        <v>97</v>
      </c>
      <c r="O645" s="10">
        <f ca="1">IFERROR(__xludf.DUMMYFUNCTION("GOOGLEFINANCE(""BOM:"" &amp; K645,""price"")"),90.9)</f>
        <v>90.9</v>
      </c>
      <c r="P645" s="8">
        <f t="shared" ref="P645:P652" ca="1" si="214">((O645-N645)/N645)*100</f>
        <v>-6.2886597938144275</v>
      </c>
      <c r="Q645" s="12">
        <f t="shared" ref="Q645:Q652" si="215">M645*N645</f>
        <v>962132233</v>
      </c>
      <c r="R645" s="13">
        <f t="shared" ref="R645:R652" ca="1" si="216">M645*O645</f>
        <v>901627010.10000002</v>
      </c>
      <c r="S645" s="63"/>
      <c r="T645" s="8">
        <v>507808</v>
      </c>
      <c r="U645" s="8" t="s">
        <v>2679</v>
      </c>
      <c r="V645" s="12">
        <v>1113485</v>
      </c>
      <c r="W645" s="8">
        <v>28.26</v>
      </c>
      <c r="X645" s="11">
        <f ca="1">IFERROR(__xludf.DUMMYFUNCTION("GOOGLEFINANCE(""BOM:"" &amp; T645,""price"")"),26.6)</f>
        <v>26.6</v>
      </c>
      <c r="Y645" s="8">
        <f t="shared" ca="1" si="207"/>
        <v>-5.8740268931351736</v>
      </c>
      <c r="Z645" s="12">
        <f t="shared" si="200"/>
        <v>31467086.100000001</v>
      </c>
      <c r="AA645" s="13">
        <f t="shared" ca="1" si="201"/>
        <v>29618701</v>
      </c>
      <c r="AB645" s="63"/>
      <c r="AC645" s="8">
        <v>532351</v>
      </c>
      <c r="AD645" s="8" t="s">
        <v>2680</v>
      </c>
      <c r="AE645" s="12">
        <v>162592042</v>
      </c>
      <c r="AF645" s="8">
        <v>10.99</v>
      </c>
      <c r="AG645" s="8">
        <f ca="1">IFERROR(__xludf.DUMMYFUNCTION("GOOGLEFINANCE(""BOM:"" &amp; AC645,""price"")"),8.1)</f>
        <v>8.1</v>
      </c>
      <c r="AH645" s="8">
        <f t="shared" ca="1" si="208"/>
        <v>-26.296633303002736</v>
      </c>
      <c r="AI645" s="12">
        <f t="shared" si="209"/>
        <v>1786886541.5799999</v>
      </c>
      <c r="AJ645" s="13">
        <f t="shared" ca="1" si="210"/>
        <v>1316995540.2</v>
      </c>
    </row>
    <row r="646" spans="1:36" x14ac:dyDescent="0.25">
      <c r="A646" s="62" t="s">
        <v>2681</v>
      </c>
      <c r="B646" s="6">
        <v>543451</v>
      </c>
      <c r="C646" s="6" t="s">
        <v>2682</v>
      </c>
      <c r="D646" s="7">
        <v>121403075</v>
      </c>
      <c r="E646" s="6">
        <v>87.2</v>
      </c>
      <c r="F646" s="8">
        <f ca="1">IFERROR(__xludf.DUMMYFUNCTION("GOOGLEFINANCE(""BOM:"" &amp; B646,""price"")"),67.72)</f>
        <v>67.72</v>
      </c>
      <c r="G646" s="8">
        <f t="shared" ca="1" si="211"/>
        <v>-22.339449541284406</v>
      </c>
      <c r="H646" s="7">
        <f t="shared" si="212"/>
        <v>10586348140</v>
      </c>
      <c r="I646" s="9">
        <f t="shared" ca="1" si="213"/>
        <v>8221416239</v>
      </c>
      <c r="J646" s="63"/>
      <c r="K646" s="8">
        <v>532804</v>
      </c>
      <c r="L646" s="8" t="s">
        <v>2683</v>
      </c>
      <c r="M646" s="12">
        <v>24461683</v>
      </c>
      <c r="N646" s="10">
        <v>1902.2</v>
      </c>
      <c r="O646" s="10">
        <f ca="1">IFERROR(__xludf.DUMMYFUNCTION("GOOGLEFINANCE(""BOM:"" &amp; K646,""price"")"),1974.45)</f>
        <v>1974.45</v>
      </c>
      <c r="P646" s="8">
        <f t="shared" ca="1" si="214"/>
        <v>3.798233624224582</v>
      </c>
      <c r="Q646" s="12">
        <f t="shared" si="215"/>
        <v>46531013402.599998</v>
      </c>
      <c r="R646" s="13">
        <f t="shared" ca="1" si="216"/>
        <v>48298369999.349998</v>
      </c>
      <c r="S646" s="63"/>
      <c r="T646" s="8">
        <v>530459</v>
      </c>
      <c r="U646" s="8" t="s">
        <v>2684</v>
      </c>
      <c r="V646" s="12">
        <v>7538390</v>
      </c>
      <c r="W646" s="8">
        <v>32.69</v>
      </c>
      <c r="X646" s="11">
        <f ca="1">IFERROR(__xludf.DUMMYFUNCTION("GOOGLEFINANCE(""BOM:"" &amp; T646,""price"")"),29.85)</f>
        <v>29.85</v>
      </c>
      <c r="Y646" s="8">
        <f t="shared" ca="1" si="207"/>
        <v>-8.687672070969704</v>
      </c>
      <c r="Z646" s="12">
        <f t="shared" si="200"/>
        <v>246429969.09999999</v>
      </c>
      <c r="AA646" s="13">
        <f t="shared" ca="1" si="201"/>
        <v>225020941.5</v>
      </c>
      <c r="AB646" s="63"/>
      <c r="AC646" s="8">
        <v>532406</v>
      </c>
      <c r="AD646" s="8" t="s">
        <v>2685</v>
      </c>
      <c r="AE646" s="12">
        <v>241497060</v>
      </c>
      <c r="AF646" s="8">
        <v>112.95</v>
      </c>
      <c r="AG646" s="8">
        <f ca="1">IFERROR(__xludf.DUMMYFUNCTION("GOOGLEFINANCE(""BOM:"" &amp; AC646,""price"")"),99)</f>
        <v>99</v>
      </c>
      <c r="AH646" s="8">
        <f t="shared" ca="1" si="208"/>
        <v>-12.350597609561754</v>
      </c>
      <c r="AI646" s="12">
        <f t="shared" si="209"/>
        <v>27277092927</v>
      </c>
      <c r="AJ646" s="13">
        <f t="shared" ca="1" si="210"/>
        <v>23908208940</v>
      </c>
    </row>
    <row r="647" spans="1:36" x14ac:dyDescent="0.25">
      <c r="A647" s="63"/>
      <c r="B647" s="8">
        <v>531082</v>
      </c>
      <c r="C647" s="8" t="s">
        <v>2686</v>
      </c>
      <c r="D647" s="12">
        <v>142469500</v>
      </c>
      <c r="E647" s="8">
        <v>18.8</v>
      </c>
      <c r="F647" s="8">
        <f ca="1">IFERROR(__xludf.DUMMYFUNCTION("GOOGLEFINANCE(""BOM:"" &amp; B647,""price"")"),17.75)</f>
        <v>17.75</v>
      </c>
      <c r="G647" s="8">
        <f t="shared" ca="1" si="211"/>
        <v>-5.5851063829787275</v>
      </c>
      <c r="H647" s="12">
        <f t="shared" si="212"/>
        <v>2678426600</v>
      </c>
      <c r="I647" s="13">
        <f t="shared" ca="1" si="213"/>
        <v>2528833625</v>
      </c>
      <c r="J647" s="63"/>
      <c r="K647" s="8">
        <v>513540</v>
      </c>
      <c r="L647" s="8" t="s">
        <v>2687</v>
      </c>
      <c r="M647" s="12">
        <v>2770900</v>
      </c>
      <c r="N647" s="10">
        <v>16.71</v>
      </c>
      <c r="O647" s="10">
        <f ca="1">IFERROR(__xludf.DUMMYFUNCTION("GOOGLEFINANCE(""BOM:"" &amp; K647,""price"")"),14.4)</f>
        <v>14.4</v>
      </c>
      <c r="P647" s="8">
        <f t="shared" ca="1" si="214"/>
        <v>-13.824057450628368</v>
      </c>
      <c r="Q647" s="12">
        <f t="shared" si="215"/>
        <v>46301739</v>
      </c>
      <c r="R647" s="13">
        <f t="shared" ca="1" si="216"/>
        <v>39900960</v>
      </c>
      <c r="S647" s="63"/>
      <c r="T647" s="8">
        <v>532090</v>
      </c>
      <c r="U647" s="8" t="s">
        <v>2688</v>
      </c>
      <c r="V647" s="12">
        <v>104094758</v>
      </c>
      <c r="W647" s="8" t="s">
        <v>44</v>
      </c>
      <c r="X647" s="11" t="s">
        <v>44</v>
      </c>
      <c r="Y647" s="8"/>
      <c r="Z647" s="12"/>
      <c r="AA647" s="13"/>
      <c r="AB647" s="63"/>
      <c r="AC647" s="8">
        <v>500060</v>
      </c>
      <c r="AD647" s="8" t="s">
        <v>2689</v>
      </c>
      <c r="AE647" s="12">
        <v>29214268</v>
      </c>
      <c r="AF647" s="8">
        <v>293.14999999999998</v>
      </c>
      <c r="AG647" s="8">
        <f ca="1">IFERROR(__xludf.DUMMYFUNCTION("GOOGLEFINANCE(""BOM:"" &amp; AC647,""price"")"),228.9)</f>
        <v>228.9</v>
      </c>
      <c r="AH647" s="8">
        <f t="shared" ca="1" si="208"/>
        <v>-21.917107282960934</v>
      </c>
      <c r="AI647" s="12">
        <f t="shared" si="209"/>
        <v>8564162664.1999998</v>
      </c>
      <c r="AJ647" s="13">
        <f t="shared" ca="1" si="210"/>
        <v>6687145945.1999998</v>
      </c>
    </row>
    <row r="648" spans="1:36" x14ac:dyDescent="0.25">
      <c r="A648" s="63"/>
      <c r="B648" s="8">
        <v>501622</v>
      </c>
      <c r="C648" s="8" t="s">
        <v>2690</v>
      </c>
      <c r="D648" s="12">
        <v>844150</v>
      </c>
      <c r="E648" s="8">
        <v>59.03</v>
      </c>
      <c r="F648" s="8">
        <f ca="1">IFERROR(__xludf.DUMMYFUNCTION("GOOGLEFINANCE(""BOM:"" &amp; B648,""price"")"),102.6)</f>
        <v>102.6</v>
      </c>
      <c r="G648" s="8">
        <f t="shared" ca="1" si="211"/>
        <v>73.809927155683539</v>
      </c>
      <c r="H648" s="12">
        <f t="shared" si="212"/>
        <v>49830174.5</v>
      </c>
      <c r="I648" s="13">
        <f t="shared" ca="1" si="213"/>
        <v>86609790</v>
      </c>
      <c r="J648" s="63"/>
      <c r="K648" s="8">
        <v>513063</v>
      </c>
      <c r="L648" s="8" t="s">
        <v>2691</v>
      </c>
      <c r="M648" s="12">
        <v>4706120</v>
      </c>
      <c r="N648" s="10">
        <v>35.700000000000003</v>
      </c>
      <c r="O648" s="10">
        <f ca="1">IFERROR(__xludf.DUMMYFUNCTION("GOOGLEFINANCE(""BOM:"" &amp; K648,""price"")"),31.12)</f>
        <v>31.12</v>
      </c>
      <c r="P648" s="8">
        <f t="shared" ca="1" si="214"/>
        <v>-12.829131652661069</v>
      </c>
      <c r="Q648" s="12">
        <f t="shared" si="215"/>
        <v>168008484</v>
      </c>
      <c r="R648" s="13">
        <f t="shared" ca="1" si="216"/>
        <v>146454454.40000001</v>
      </c>
      <c r="S648" s="63"/>
      <c r="T648" s="8">
        <v>514175</v>
      </c>
      <c r="U648" s="8" t="s">
        <v>2692</v>
      </c>
      <c r="V648" s="12">
        <v>21974705</v>
      </c>
      <c r="W648" s="8">
        <v>67.5</v>
      </c>
      <c r="X648" s="11">
        <f ca="1">IFERROR(__xludf.DUMMYFUNCTION("GOOGLEFINANCE(""BOM:"" &amp; T648,""price"")"),75.1)</f>
        <v>75.099999999999994</v>
      </c>
      <c r="Y648" s="8">
        <f t="shared" ref="Y648:Y674" ca="1" si="217">((X648-W648)/W648)*100</f>
        <v>11.259259259259251</v>
      </c>
      <c r="Z648" s="12">
        <f t="shared" ref="Z648:Z674" si="218">V648*W648</f>
        <v>1483292587.5</v>
      </c>
      <c r="AA648" s="13">
        <f t="shared" ref="AA648:AA674" ca="1" si="219">V648*X648</f>
        <v>1650300345.4999998</v>
      </c>
      <c r="AB648" s="63"/>
      <c r="AC648" s="8">
        <v>523610</v>
      </c>
      <c r="AD648" s="8" t="s">
        <v>2693</v>
      </c>
      <c r="AE648" s="12">
        <v>941225644</v>
      </c>
      <c r="AF648" s="8">
        <v>292.39999999999998</v>
      </c>
      <c r="AG648" s="8">
        <f ca="1">IFERROR(__xludf.DUMMYFUNCTION("GOOGLEFINANCE(""BOM:"" &amp; AC648,""price"")"),252.9)</f>
        <v>252.9</v>
      </c>
      <c r="AH648" s="8">
        <f t="shared" ca="1" si="208"/>
        <v>-13.508891928864561</v>
      </c>
      <c r="AI648" s="12">
        <f t="shared" si="209"/>
        <v>275214378305.59998</v>
      </c>
      <c r="AJ648" s="13">
        <f t="shared" ca="1" si="210"/>
        <v>238035965367.60001</v>
      </c>
    </row>
    <row r="649" spans="1:36" x14ac:dyDescent="0.25">
      <c r="A649" s="63"/>
      <c r="B649" s="8">
        <v>531017</v>
      </c>
      <c r="C649" s="8" t="s">
        <v>2694</v>
      </c>
      <c r="D649" s="12">
        <v>4151636</v>
      </c>
      <c r="E649" s="8">
        <v>22.2</v>
      </c>
      <c r="F649" s="8">
        <f ca="1">IFERROR(__xludf.DUMMYFUNCTION("GOOGLEFINANCE(""BOM:"" &amp; B649,""price"")"),19.51)</f>
        <v>19.510000000000002</v>
      </c>
      <c r="G649" s="8">
        <f t="shared" ca="1" si="211"/>
        <v>-12.117117117117107</v>
      </c>
      <c r="H649" s="12">
        <f t="shared" si="212"/>
        <v>92166319.200000003</v>
      </c>
      <c r="I649" s="13">
        <f t="shared" ca="1" si="213"/>
        <v>80998418.359999999</v>
      </c>
      <c r="J649" s="63"/>
      <c r="K649" s="8">
        <v>539798</v>
      </c>
      <c r="L649" s="8" t="s">
        <v>2695</v>
      </c>
      <c r="M649" s="12">
        <v>10006667</v>
      </c>
      <c r="N649" s="10">
        <v>7.36</v>
      </c>
      <c r="O649" s="10">
        <f ca="1">IFERROR(__xludf.DUMMYFUNCTION("GOOGLEFINANCE(""BOM:"" &amp; K649,""price"")"),6.29)</f>
        <v>6.29</v>
      </c>
      <c r="P649" s="8">
        <f t="shared" ca="1" si="214"/>
        <v>-14.538043478260873</v>
      </c>
      <c r="Q649" s="12">
        <f t="shared" si="215"/>
        <v>73649069.120000005</v>
      </c>
      <c r="R649" s="13">
        <f t="shared" ca="1" si="216"/>
        <v>62941935.43</v>
      </c>
      <c r="S649" s="63"/>
      <c r="T649" s="8">
        <v>516098</v>
      </c>
      <c r="U649" s="8" t="s">
        <v>2696</v>
      </c>
      <c r="V649" s="12">
        <v>19287082</v>
      </c>
      <c r="W649" s="8">
        <v>10.93</v>
      </c>
      <c r="X649" s="11">
        <f ca="1">IFERROR(__xludf.DUMMYFUNCTION("GOOGLEFINANCE(""BOM:"" &amp; T649,""price"")"),9.96)</f>
        <v>9.9600000000000009</v>
      </c>
      <c r="Y649" s="8">
        <f t="shared" ca="1" si="217"/>
        <v>-8.8746569075937689</v>
      </c>
      <c r="Z649" s="12">
        <f t="shared" si="218"/>
        <v>210807806.25999999</v>
      </c>
      <c r="AA649" s="13">
        <f t="shared" ca="1" si="219"/>
        <v>192099336.72000003</v>
      </c>
      <c r="AB649" s="63"/>
      <c r="AC649" s="8">
        <v>590041</v>
      </c>
      <c r="AD649" s="8" t="s">
        <v>2697</v>
      </c>
      <c r="AE649" s="12">
        <v>20052898</v>
      </c>
      <c r="AF649" s="8">
        <v>13.72</v>
      </c>
      <c r="AG649" s="8">
        <f ca="1">IFERROR(__xludf.DUMMYFUNCTION("GOOGLEFINANCE(""BOM:"" &amp; AC649,""price"")"),11.63)</f>
        <v>11.63</v>
      </c>
      <c r="AH649" s="8">
        <f t="shared" ca="1" si="208"/>
        <v>-15.233236151603496</v>
      </c>
      <c r="AI649" s="12">
        <f t="shared" si="209"/>
        <v>275125760.56</v>
      </c>
      <c r="AJ649" s="13">
        <f t="shared" ca="1" si="210"/>
        <v>233215203.74000001</v>
      </c>
    </row>
    <row r="650" spans="1:36" x14ac:dyDescent="0.25">
      <c r="A650" s="63"/>
      <c r="B650" s="8">
        <v>512195</v>
      </c>
      <c r="C650" s="8" t="s">
        <v>2698</v>
      </c>
      <c r="D650" s="12">
        <v>739250</v>
      </c>
      <c r="E650" s="8">
        <v>0</v>
      </c>
      <c r="F650" s="8">
        <f ca="1">IFERROR(__xludf.DUMMYFUNCTION("GOOGLEFINANCE(""BOM:"" &amp; B650,""price"")"),0)</f>
        <v>0</v>
      </c>
      <c r="G650" s="8">
        <v>0</v>
      </c>
      <c r="H650" s="12">
        <f t="shared" si="212"/>
        <v>0</v>
      </c>
      <c r="I650" s="13">
        <f t="shared" ca="1" si="213"/>
        <v>0</v>
      </c>
      <c r="J650" s="63"/>
      <c r="K650" s="8">
        <v>504605</v>
      </c>
      <c r="L650" s="8" t="s">
        <v>2699</v>
      </c>
      <c r="M650" s="12">
        <v>1861898</v>
      </c>
      <c r="N650" s="10">
        <v>3270.9</v>
      </c>
      <c r="O650" s="10">
        <f ca="1">IFERROR(__xludf.DUMMYFUNCTION("GOOGLEFINANCE(""BOM:"" &amp; K650,""price"")"),2996.85)</f>
        <v>2996.85</v>
      </c>
      <c r="P650" s="8">
        <f t="shared" ca="1" si="214"/>
        <v>-8.3784279556085526</v>
      </c>
      <c r="Q650" s="12">
        <f t="shared" si="215"/>
        <v>6090082168.1999998</v>
      </c>
      <c r="R650" s="13">
        <f t="shared" ca="1" si="216"/>
        <v>5579829021.3000002</v>
      </c>
      <c r="S650" s="63"/>
      <c r="T650" s="8">
        <v>530151</v>
      </c>
      <c r="U650" s="8" t="s">
        <v>2700</v>
      </c>
      <c r="V650" s="12">
        <v>18291932</v>
      </c>
      <c r="W650" s="8">
        <v>24.49</v>
      </c>
      <c r="X650" s="11">
        <f ca="1">IFERROR(__xludf.DUMMYFUNCTION("GOOGLEFINANCE(""BOM:"" &amp; T650,""price"")"),17.48)</f>
        <v>17.48</v>
      </c>
      <c r="Y650" s="8">
        <f t="shared" ca="1" si="217"/>
        <v>-28.623928133932207</v>
      </c>
      <c r="Z650" s="12">
        <f t="shared" si="218"/>
        <v>447969414.67999995</v>
      </c>
      <c r="AA650" s="13">
        <f t="shared" ca="1" si="219"/>
        <v>319742971.36000001</v>
      </c>
      <c r="AB650" s="63"/>
      <c r="AC650" s="8">
        <v>530135</v>
      </c>
      <c r="AD650" s="8" t="s">
        <v>2701</v>
      </c>
      <c r="AE650" s="12">
        <v>84673664</v>
      </c>
      <c r="AF650" s="8">
        <v>302.14999999999998</v>
      </c>
      <c r="AG650" s="8">
        <f ca="1">IFERROR(__xludf.DUMMYFUNCTION("GOOGLEFINANCE(""BOM:"" &amp; AC650,""price"")"),250.2)</f>
        <v>250.2</v>
      </c>
      <c r="AH650" s="8">
        <f t="shared" ca="1" si="208"/>
        <v>-17.193446963428759</v>
      </c>
      <c r="AI650" s="12">
        <f t="shared" si="209"/>
        <v>25584147577.599998</v>
      </c>
      <c r="AJ650" s="13">
        <f t="shared" ca="1" si="210"/>
        <v>21185350732.799999</v>
      </c>
    </row>
    <row r="651" spans="1:36" x14ac:dyDescent="0.25">
      <c r="A651" s="63"/>
      <c r="B651" s="8">
        <v>540621</v>
      </c>
      <c r="C651" s="8" t="s">
        <v>2702</v>
      </c>
      <c r="D651" s="12">
        <v>31656588</v>
      </c>
      <c r="E651" s="8" t="s">
        <v>60</v>
      </c>
      <c r="F651" s="8" t="s">
        <v>60</v>
      </c>
      <c r="G651" s="8"/>
      <c r="H651" s="12"/>
      <c r="I651" s="13"/>
      <c r="J651" s="63"/>
      <c r="K651" s="8">
        <v>538610</v>
      </c>
      <c r="L651" s="8" t="s">
        <v>2703</v>
      </c>
      <c r="M651" s="12">
        <v>14469700</v>
      </c>
      <c r="N651" s="10">
        <v>22.47</v>
      </c>
      <c r="O651" s="10">
        <f ca="1">IFERROR(__xludf.DUMMYFUNCTION("GOOGLEFINANCE(""BOM:"" &amp; K651,""price"")"),21.18)</f>
        <v>21.18</v>
      </c>
      <c r="P651" s="8">
        <f t="shared" ca="1" si="214"/>
        <v>-5.7409879839786351</v>
      </c>
      <c r="Q651" s="12">
        <f t="shared" si="215"/>
        <v>325134159</v>
      </c>
      <c r="R651" s="13">
        <f t="shared" ca="1" si="216"/>
        <v>306468246</v>
      </c>
      <c r="S651" s="63"/>
      <c r="T651" s="8">
        <v>514302</v>
      </c>
      <c r="U651" s="8" t="s">
        <v>2704</v>
      </c>
      <c r="V651" s="12">
        <v>4974980</v>
      </c>
      <c r="W651" s="8">
        <v>167.1</v>
      </c>
      <c r="X651" s="11">
        <f ca="1">IFERROR(__xludf.DUMMYFUNCTION("GOOGLEFINANCE(""BOM:"" &amp; T651,""price"")"),140.5)</f>
        <v>140.5</v>
      </c>
      <c r="Y651" s="8">
        <f t="shared" ca="1" si="217"/>
        <v>-15.918611609814478</v>
      </c>
      <c r="Z651" s="12">
        <f t="shared" si="218"/>
        <v>831319158</v>
      </c>
      <c r="AA651" s="13">
        <f t="shared" ca="1" si="219"/>
        <v>698984690</v>
      </c>
      <c r="AB651" s="63"/>
      <c r="AC651" s="8">
        <v>500346</v>
      </c>
      <c r="AD651" s="8" t="s">
        <v>2705</v>
      </c>
      <c r="AE651" s="12">
        <v>11546351</v>
      </c>
      <c r="AF651" s="8">
        <v>54.9</v>
      </c>
      <c r="AG651" s="8">
        <f ca="1">IFERROR(__xludf.DUMMYFUNCTION("GOOGLEFINANCE(""BOM:"" &amp; AC651,""price"")"),52.34)</f>
        <v>52.34</v>
      </c>
      <c r="AH651" s="8">
        <f t="shared" ca="1" si="208"/>
        <v>-4.6630236794171127</v>
      </c>
      <c r="AI651" s="12">
        <f t="shared" si="209"/>
        <v>633894669.89999998</v>
      </c>
      <c r="AJ651" s="13">
        <f t="shared" ca="1" si="210"/>
        <v>604336011.34000003</v>
      </c>
    </row>
    <row r="652" spans="1:36" x14ac:dyDescent="0.25">
      <c r="A652" s="63"/>
      <c r="B652" s="8">
        <v>512169</v>
      </c>
      <c r="C652" s="8" t="s">
        <v>2706</v>
      </c>
      <c r="D652" s="12">
        <v>3933500</v>
      </c>
      <c r="E652" s="8">
        <v>12.1</v>
      </c>
      <c r="F652" s="8">
        <f ca="1">IFERROR(__xludf.DUMMYFUNCTION("GOOGLEFINANCE(""BOM:"" &amp; B652,""price"")"),10.93)</f>
        <v>10.93</v>
      </c>
      <c r="G652" s="8">
        <f t="shared" ref="G652:G672" ca="1" si="220">((F652-E652)/E652)*100</f>
        <v>-9.6694214876033051</v>
      </c>
      <c r="H652" s="12">
        <f t="shared" ref="H652:H672" si="221">D652*E652</f>
        <v>47595350</v>
      </c>
      <c r="I652" s="13">
        <f t="shared" ref="I652:I672" ca="1" si="222">D652*F652</f>
        <v>42993155</v>
      </c>
      <c r="J652" s="63"/>
      <c r="K652" s="8">
        <v>517146</v>
      </c>
      <c r="L652" s="8" t="s">
        <v>2707</v>
      </c>
      <c r="M652" s="12">
        <v>303795760</v>
      </c>
      <c r="N652" s="10">
        <v>321.89999999999998</v>
      </c>
      <c r="O652" s="10">
        <f ca="1">IFERROR(__xludf.DUMMYFUNCTION("GOOGLEFINANCE(""BOM:"" &amp; K652,""price"")"),319)</f>
        <v>319</v>
      </c>
      <c r="P652" s="8">
        <f t="shared" ca="1" si="214"/>
        <v>-0.90090090090089392</v>
      </c>
      <c r="Q652" s="12">
        <f t="shared" si="215"/>
        <v>97791855144</v>
      </c>
      <c r="R652" s="13">
        <f t="shared" ca="1" si="216"/>
        <v>96910847440</v>
      </c>
      <c r="S652" s="63"/>
      <c r="T652" s="8">
        <v>506146</v>
      </c>
      <c r="U652" s="8" t="s">
        <v>2708</v>
      </c>
      <c r="V652" s="12">
        <v>292136028</v>
      </c>
      <c r="W652" s="8">
        <v>1.29</v>
      </c>
      <c r="X652" s="11">
        <f ca="1">IFERROR(__xludf.DUMMYFUNCTION("GOOGLEFINANCE(""BOM:"" &amp; T652,""price"")"),1.02)</f>
        <v>1.02</v>
      </c>
      <c r="Y652" s="8">
        <f t="shared" ca="1" si="217"/>
        <v>-20.930232558139537</v>
      </c>
      <c r="Z652" s="12">
        <f t="shared" si="218"/>
        <v>376855476.12</v>
      </c>
      <c r="AA652" s="13">
        <f t="shared" ca="1" si="219"/>
        <v>297978748.56</v>
      </c>
      <c r="AB652" s="63"/>
      <c r="AC652" s="8">
        <v>540595</v>
      </c>
      <c r="AD652" s="8" t="s">
        <v>2709</v>
      </c>
      <c r="AE652" s="12">
        <v>151306379</v>
      </c>
      <c r="AF652" s="8">
        <v>748.55</v>
      </c>
      <c r="AG652" s="8">
        <f ca="1">IFERROR(__xludf.DUMMYFUNCTION("GOOGLEFINANCE(""BOM:"" &amp; AC652,""price"")"),656.05)</f>
        <v>656.05</v>
      </c>
      <c r="AH652" s="8">
        <f t="shared" ca="1" si="208"/>
        <v>-12.357223966334915</v>
      </c>
      <c r="AI652" s="12">
        <f t="shared" si="209"/>
        <v>113260390000.45</v>
      </c>
      <c r="AJ652" s="13">
        <f t="shared" ca="1" si="210"/>
        <v>99264549942.949997</v>
      </c>
    </row>
    <row r="653" spans="1:36" x14ac:dyDescent="0.25">
      <c r="A653" s="63"/>
      <c r="B653" s="8">
        <v>543441</v>
      </c>
      <c r="C653" s="8" t="s">
        <v>2710</v>
      </c>
      <c r="D653" s="12">
        <v>153689188</v>
      </c>
      <c r="E653" s="8">
        <v>399.1</v>
      </c>
      <c r="F653" s="8">
        <f ca="1">IFERROR(__xludf.DUMMYFUNCTION("GOOGLEFINANCE(""BOM:"" &amp; B653,""price"")"),391.45)</f>
        <v>391.45</v>
      </c>
      <c r="G653" s="8">
        <f t="shared" ca="1" si="220"/>
        <v>-1.9168128288649544</v>
      </c>
      <c r="H653" s="12">
        <f t="shared" si="221"/>
        <v>61337354930.800003</v>
      </c>
      <c r="I653" s="13">
        <f t="shared" ca="1" si="222"/>
        <v>60161632642.599998</v>
      </c>
      <c r="J653" s="63"/>
      <c r="K653" s="8">
        <v>513216</v>
      </c>
      <c r="L653" s="8" t="s">
        <v>2711</v>
      </c>
      <c r="M653" s="12">
        <v>140899542</v>
      </c>
      <c r="N653" s="8" t="s">
        <v>60</v>
      </c>
      <c r="O653" s="8" t="s">
        <v>60</v>
      </c>
      <c r="P653" s="8"/>
      <c r="Q653" s="12"/>
      <c r="R653" s="13"/>
      <c r="S653" s="63"/>
      <c r="T653" s="8">
        <v>522122</v>
      </c>
      <c r="U653" s="8" t="s">
        <v>2712</v>
      </c>
      <c r="V653" s="12">
        <v>4322383</v>
      </c>
      <c r="W653" s="8">
        <v>1950</v>
      </c>
      <c r="X653" s="11">
        <f ca="1">IFERROR(__xludf.DUMMYFUNCTION("GOOGLEFINANCE(""BOM:"" &amp; T653,""price"")"),1870.5)</f>
        <v>1870.5</v>
      </c>
      <c r="Y653" s="8">
        <f t="shared" ca="1" si="217"/>
        <v>-4.0769230769230766</v>
      </c>
      <c r="Z653" s="12">
        <f t="shared" si="218"/>
        <v>8428646850</v>
      </c>
      <c r="AA653" s="13">
        <f t="shared" ca="1" si="219"/>
        <v>8085017401.5</v>
      </c>
      <c r="AB653" s="63"/>
      <c r="AC653" s="8">
        <v>523419</v>
      </c>
      <c r="AD653" s="8" t="s">
        <v>2713</v>
      </c>
      <c r="AE653" s="12">
        <v>14538198</v>
      </c>
      <c r="AF653" s="8">
        <v>12.56</v>
      </c>
      <c r="AG653" s="8">
        <f ca="1">IFERROR(__xludf.DUMMYFUNCTION("GOOGLEFINANCE(""BOM:"" &amp; AC653,""price"")"),10.4)</f>
        <v>10.4</v>
      </c>
      <c r="AH653" s="8">
        <f t="shared" ca="1" si="208"/>
        <v>-17.197452229299365</v>
      </c>
      <c r="AI653" s="12">
        <f t="shared" si="209"/>
        <v>182599766.88</v>
      </c>
      <c r="AJ653" s="13">
        <f t="shared" ca="1" si="210"/>
        <v>151197259.20000002</v>
      </c>
    </row>
    <row r="654" spans="1:36" x14ac:dyDescent="0.25">
      <c r="A654" s="63"/>
      <c r="B654" s="8">
        <v>531556</v>
      </c>
      <c r="C654" s="8" t="s">
        <v>2714</v>
      </c>
      <c r="D654" s="12">
        <v>39370375</v>
      </c>
      <c r="E654" s="8">
        <v>52</v>
      </c>
      <c r="F654" s="8">
        <f ca="1">IFERROR(__xludf.DUMMYFUNCTION("GOOGLEFINANCE(""BOM:"" &amp; B654,""price"")"),37.42)</f>
        <v>37.42</v>
      </c>
      <c r="G654" s="8">
        <f t="shared" ca="1" si="220"/>
        <v>-28.038461538461533</v>
      </c>
      <c r="H654" s="12">
        <f t="shared" si="221"/>
        <v>2047259500</v>
      </c>
      <c r="I654" s="13">
        <f t="shared" ca="1" si="222"/>
        <v>1473239432.5</v>
      </c>
      <c r="J654" s="63"/>
      <c r="K654" s="8">
        <v>513397</v>
      </c>
      <c r="L654" s="8" t="s">
        <v>2715</v>
      </c>
      <c r="M654" s="12">
        <v>4504193</v>
      </c>
      <c r="N654" s="10">
        <v>14.84</v>
      </c>
      <c r="O654" s="10">
        <f ca="1">IFERROR(__xludf.DUMMYFUNCTION("GOOGLEFINANCE(""BOM:"" &amp; K654,""price"")"),16.91)</f>
        <v>16.91</v>
      </c>
      <c r="P654" s="8">
        <f t="shared" ref="P654:P661" ca="1" si="223">((O654-N654)/N654)*100</f>
        <v>13.948787061994611</v>
      </c>
      <c r="Q654" s="12">
        <f t="shared" ref="Q654:Q695" si="224">M654*N654</f>
        <v>66842224.119999997</v>
      </c>
      <c r="R654" s="13">
        <f t="shared" ref="R654:R695" ca="1" si="225">M654*O654</f>
        <v>76165903.629999995</v>
      </c>
      <c r="S654" s="63"/>
      <c r="T654" s="8">
        <v>502986</v>
      </c>
      <c r="U654" s="8" t="s">
        <v>2716</v>
      </c>
      <c r="V654" s="12">
        <v>286242405</v>
      </c>
      <c r="W654" s="8">
        <v>429.65</v>
      </c>
      <c r="X654" s="11">
        <f ca="1">IFERROR(__xludf.DUMMYFUNCTION("GOOGLEFINANCE(""BOM:"" &amp; T654,""price"")"),445)</f>
        <v>445</v>
      </c>
      <c r="Y654" s="8">
        <f t="shared" ca="1" si="217"/>
        <v>3.5726754334923831</v>
      </c>
      <c r="Z654" s="12">
        <f t="shared" si="218"/>
        <v>122984049308.25</v>
      </c>
      <c r="AA654" s="13">
        <f t="shared" ca="1" si="219"/>
        <v>127377870225</v>
      </c>
      <c r="AB654" s="64"/>
      <c r="AC654" s="14">
        <v>526775</v>
      </c>
      <c r="AD654" s="14" t="s">
        <v>2717</v>
      </c>
      <c r="AE654" s="15">
        <v>7068965</v>
      </c>
      <c r="AF654" s="14">
        <v>414</v>
      </c>
      <c r="AG654" s="14">
        <f ca="1">IFERROR(__xludf.DUMMYFUNCTION("GOOGLEFINANCE(""BOM:"" &amp; AC654,""price"")"),361)</f>
        <v>361</v>
      </c>
      <c r="AH654" s="14">
        <f t="shared" ca="1" si="208"/>
        <v>-12.80193236714976</v>
      </c>
      <c r="AI654" s="15">
        <f t="shared" si="209"/>
        <v>2926551510</v>
      </c>
      <c r="AJ654" s="16">
        <f t="shared" ca="1" si="210"/>
        <v>2551896365</v>
      </c>
    </row>
    <row r="655" spans="1:36" x14ac:dyDescent="0.25">
      <c r="A655" s="63"/>
      <c r="B655" s="8">
        <v>531553</v>
      </c>
      <c r="C655" s="8" t="s">
        <v>2718</v>
      </c>
      <c r="D655" s="12">
        <v>5669200</v>
      </c>
      <c r="E655" s="8">
        <v>17.260000000000002</v>
      </c>
      <c r="F655" s="8">
        <f ca="1">IFERROR(__xludf.DUMMYFUNCTION("GOOGLEFINANCE(""BOM:"" &amp; B655,""price"")"),15.33)</f>
        <v>15.33</v>
      </c>
      <c r="G655" s="8">
        <f t="shared" ca="1" si="220"/>
        <v>-11.181923522595605</v>
      </c>
      <c r="H655" s="12">
        <f t="shared" si="221"/>
        <v>97850392.000000015</v>
      </c>
      <c r="I655" s="13">
        <f t="shared" ca="1" si="222"/>
        <v>86908836</v>
      </c>
      <c r="J655" s="63"/>
      <c r="K655" s="8">
        <v>513005</v>
      </c>
      <c r="L655" s="8" t="s">
        <v>2719</v>
      </c>
      <c r="M655" s="12">
        <v>3773434</v>
      </c>
      <c r="N655" s="10">
        <v>39.89</v>
      </c>
      <c r="O655" s="10">
        <f ca="1">IFERROR(__xludf.DUMMYFUNCTION("GOOGLEFINANCE(""BOM:"" &amp; K655,""price"")"),36.47)</f>
        <v>36.47</v>
      </c>
      <c r="P655" s="8">
        <f t="shared" ca="1" si="223"/>
        <v>-8.5735773376786195</v>
      </c>
      <c r="Q655" s="12">
        <f t="shared" si="224"/>
        <v>150522282.25999999</v>
      </c>
      <c r="R655" s="13">
        <f t="shared" ca="1" si="225"/>
        <v>137617137.97999999</v>
      </c>
      <c r="S655" s="63"/>
      <c r="T655" s="8">
        <v>532893</v>
      </c>
      <c r="U655" s="8" t="s">
        <v>2720</v>
      </c>
      <c r="V655" s="12">
        <v>38527390</v>
      </c>
      <c r="W655" s="8">
        <v>73</v>
      </c>
      <c r="X655" s="11">
        <f ca="1">IFERROR(__xludf.DUMMYFUNCTION("GOOGLEFINANCE(""BOM:"" &amp; T655,""price"")"),71.56)</f>
        <v>71.56</v>
      </c>
      <c r="Y655" s="8">
        <f t="shared" ca="1" si="217"/>
        <v>-1.9726027397260242</v>
      </c>
      <c r="Z655" s="12">
        <f t="shared" si="218"/>
        <v>2812499470</v>
      </c>
      <c r="AA655" s="13">
        <f t="shared" ca="1" si="219"/>
        <v>2757020028.4000001</v>
      </c>
      <c r="AB655" s="62" t="s">
        <v>2721</v>
      </c>
      <c r="AC655" s="6">
        <v>532454</v>
      </c>
      <c r="AD655" s="6" t="s">
        <v>2722</v>
      </c>
      <c r="AE655" s="7">
        <v>5884312515</v>
      </c>
      <c r="AF655" s="8">
        <v>1126.4000000000001</v>
      </c>
      <c r="AG655" s="8">
        <f ca="1">IFERROR(__xludf.DUMMYFUNCTION("GOOGLEFINANCE(""BOM:"" &amp; AC655,""price"")"),1236.2)</f>
        <v>1236.2</v>
      </c>
      <c r="AH655" s="8">
        <f t="shared" ca="1" si="208"/>
        <v>9.747869318181813</v>
      </c>
      <c r="AI655" s="7">
        <f t="shared" si="209"/>
        <v>6628089616896.001</v>
      </c>
      <c r="AJ655" s="9">
        <f t="shared" ca="1" si="210"/>
        <v>7274187131043</v>
      </c>
    </row>
    <row r="656" spans="1:36" x14ac:dyDescent="0.25">
      <c r="A656" s="63"/>
      <c r="B656" s="8">
        <v>517238</v>
      </c>
      <c r="C656" s="8" t="s">
        <v>2723</v>
      </c>
      <c r="D656" s="12">
        <v>2588780</v>
      </c>
      <c r="E656" s="8">
        <v>274.89999999999998</v>
      </c>
      <c r="F656" s="8">
        <f ca="1">IFERROR(__xludf.DUMMYFUNCTION("GOOGLEFINANCE(""BOM:"" &amp; B656,""price"")"),278)</f>
        <v>278</v>
      </c>
      <c r="G656" s="8">
        <f t="shared" ca="1" si="220"/>
        <v>1.1276827937431877</v>
      </c>
      <c r="H656" s="12">
        <f t="shared" si="221"/>
        <v>711655622</v>
      </c>
      <c r="I656" s="13">
        <f t="shared" ca="1" si="222"/>
        <v>719680840</v>
      </c>
      <c r="J656" s="63"/>
      <c r="K656" s="8">
        <v>543528</v>
      </c>
      <c r="L656" s="8" t="s">
        <v>2724</v>
      </c>
      <c r="M656" s="12">
        <v>20296110</v>
      </c>
      <c r="N656" s="10">
        <v>1900</v>
      </c>
      <c r="O656" s="10">
        <f ca="1">IFERROR(__xludf.DUMMYFUNCTION("GOOGLEFINANCE(""BOM:"" &amp; K656,""price"")"),1886.3)</f>
        <v>1886.3</v>
      </c>
      <c r="P656" s="8">
        <f t="shared" ca="1" si="223"/>
        <v>-0.72105263157894983</v>
      </c>
      <c r="Q656" s="12">
        <f t="shared" si="224"/>
        <v>38562609000</v>
      </c>
      <c r="R656" s="13">
        <f t="shared" ca="1" si="225"/>
        <v>38284552293</v>
      </c>
      <c r="S656" s="63"/>
      <c r="T656" s="8">
        <v>514162</v>
      </c>
      <c r="U656" s="8" t="s">
        <v>2725</v>
      </c>
      <c r="V656" s="12">
        <v>984707672</v>
      </c>
      <c r="W656" s="8">
        <v>155.5</v>
      </c>
      <c r="X656" s="11">
        <f ca="1">IFERROR(__xludf.DUMMYFUNCTION("GOOGLEFINANCE(""BOM:"" &amp; T656,""price"")"),137.65)</f>
        <v>137.65</v>
      </c>
      <c r="Y656" s="8">
        <f t="shared" ca="1" si="217"/>
        <v>-11.479099678456588</v>
      </c>
      <c r="Z656" s="12">
        <f t="shared" si="218"/>
        <v>153122042996</v>
      </c>
      <c r="AA656" s="13">
        <f t="shared" ca="1" si="219"/>
        <v>135545011050.8</v>
      </c>
      <c r="AB656" s="63"/>
      <c r="AC656" s="8">
        <v>538674</v>
      </c>
      <c r="AD656" s="8" t="s">
        <v>2726</v>
      </c>
      <c r="AE656" s="12">
        <v>3471050</v>
      </c>
      <c r="AF656" s="8">
        <v>5.05</v>
      </c>
      <c r="AG656" s="8">
        <f ca="1">IFERROR(__xludf.DUMMYFUNCTION("GOOGLEFINANCE(""BOM:"" &amp; AC656,""price"")"),5.38)</f>
        <v>5.38</v>
      </c>
      <c r="AH656" s="8">
        <f t="shared" ca="1" si="208"/>
        <v>6.534653465346536</v>
      </c>
      <c r="AI656" s="12">
        <f t="shared" si="209"/>
        <v>17528802.5</v>
      </c>
      <c r="AJ656" s="13">
        <f t="shared" ca="1" si="210"/>
        <v>18674249</v>
      </c>
    </row>
    <row r="657" spans="1:36" x14ac:dyDescent="0.25">
      <c r="A657" s="63"/>
      <c r="B657" s="8">
        <v>530581</v>
      </c>
      <c r="C657" s="8" t="s">
        <v>2727</v>
      </c>
      <c r="D657" s="12">
        <v>4097700</v>
      </c>
      <c r="E657" s="8">
        <v>5.84</v>
      </c>
      <c r="F657" s="8">
        <f ca="1">IFERROR(__xludf.DUMMYFUNCTION("GOOGLEFINANCE(""BOM:"" &amp; B657,""price"")"),4.75)</f>
        <v>4.75</v>
      </c>
      <c r="G657" s="8">
        <f t="shared" ca="1" si="220"/>
        <v>-18.664383561643831</v>
      </c>
      <c r="H657" s="12">
        <f t="shared" si="221"/>
        <v>23930568</v>
      </c>
      <c r="I657" s="13">
        <f t="shared" ca="1" si="222"/>
        <v>19464075</v>
      </c>
      <c r="J657" s="63"/>
      <c r="K657" s="8">
        <v>534392</v>
      </c>
      <c r="L657" s="8" t="s">
        <v>2728</v>
      </c>
      <c r="M657" s="12">
        <v>80562318</v>
      </c>
      <c r="N657" s="10">
        <v>209.35</v>
      </c>
      <c r="O657" s="10">
        <f ca="1">IFERROR(__xludf.DUMMYFUNCTION("GOOGLEFINANCE(""BOM:"" &amp; K657,""price"")"),212)</f>
        <v>212</v>
      </c>
      <c r="P657" s="8">
        <f t="shared" ca="1" si="223"/>
        <v>1.2658227848101293</v>
      </c>
      <c r="Q657" s="12">
        <f t="shared" si="224"/>
        <v>16865721273.299999</v>
      </c>
      <c r="R657" s="13">
        <f t="shared" ca="1" si="225"/>
        <v>17079211416</v>
      </c>
      <c r="S657" s="63"/>
      <c r="T657" s="8">
        <v>514470</v>
      </c>
      <c r="U657" s="8" t="s">
        <v>2729</v>
      </c>
      <c r="V657" s="12">
        <v>19807920</v>
      </c>
      <c r="W657" s="8">
        <v>88.95</v>
      </c>
      <c r="X657" s="11">
        <f ca="1">IFERROR(__xludf.DUMMYFUNCTION("GOOGLEFINANCE(""BOM:"" &amp; T657,""price"")"),74.89)</f>
        <v>74.89</v>
      </c>
      <c r="Y657" s="8">
        <f t="shared" ca="1" si="217"/>
        <v>-15.806632939853852</v>
      </c>
      <c r="Z657" s="12">
        <f t="shared" si="218"/>
        <v>1761914484</v>
      </c>
      <c r="AA657" s="13">
        <f t="shared" ca="1" si="219"/>
        <v>1483415128.8</v>
      </c>
      <c r="AB657" s="63"/>
      <c r="AC657" s="8">
        <v>532822</v>
      </c>
      <c r="AD657" s="8" t="s">
        <v>2730</v>
      </c>
      <c r="AE657" s="12">
        <v>32118838063</v>
      </c>
      <c r="AF657" s="8">
        <v>14.21</v>
      </c>
      <c r="AG657" s="8">
        <f ca="1">IFERROR(__xludf.DUMMYFUNCTION("GOOGLEFINANCE(""BOM:"" &amp; AC657,""price"")"),13.24)</f>
        <v>13.24</v>
      </c>
      <c r="AH657" s="8">
        <f t="shared" ca="1" si="208"/>
        <v>-6.8261787473610172</v>
      </c>
      <c r="AI657" s="12">
        <f t="shared" si="209"/>
        <v>456408688875.23004</v>
      </c>
      <c r="AJ657" s="13">
        <f t="shared" ca="1" si="210"/>
        <v>425253415954.12</v>
      </c>
    </row>
    <row r="658" spans="1:36" x14ac:dyDescent="0.25">
      <c r="A658" s="63"/>
      <c r="B658" s="8">
        <v>503681</v>
      </c>
      <c r="C658" s="8" t="s">
        <v>2731</v>
      </c>
      <c r="D658" s="12">
        <v>196750</v>
      </c>
      <c r="E658" s="8">
        <v>3.37</v>
      </c>
      <c r="F658" s="8">
        <f ca="1">IFERROR(__xludf.DUMMYFUNCTION("GOOGLEFINANCE(""BOM:"" &amp; B658,""price"")"),3.37)</f>
        <v>3.37</v>
      </c>
      <c r="G658" s="8">
        <f t="shared" ca="1" si="220"/>
        <v>0</v>
      </c>
      <c r="H658" s="12">
        <f t="shared" si="221"/>
        <v>663047.5</v>
      </c>
      <c r="I658" s="13">
        <f t="shared" ca="1" si="222"/>
        <v>663047.5</v>
      </c>
      <c r="J658" s="63"/>
      <c r="K658" s="8">
        <v>532144</v>
      </c>
      <c r="L658" s="8" t="s">
        <v>2732</v>
      </c>
      <c r="M658" s="12">
        <v>260679323</v>
      </c>
      <c r="N658" s="10">
        <v>529.04999999999995</v>
      </c>
      <c r="O658" s="10">
        <f ca="1">IFERROR(__xludf.DUMMYFUNCTION("GOOGLEFINANCE(""BOM:"" &amp; K658,""price"")"),513)</f>
        <v>513</v>
      </c>
      <c r="P658" s="8">
        <f t="shared" ca="1" si="223"/>
        <v>-3.0337397221434563</v>
      </c>
      <c r="Q658" s="12">
        <f t="shared" si="224"/>
        <v>137912395833.14999</v>
      </c>
      <c r="R658" s="13">
        <f t="shared" ca="1" si="225"/>
        <v>133728492699</v>
      </c>
      <c r="S658" s="63"/>
      <c r="T658" s="8">
        <v>507817</v>
      </c>
      <c r="U658" s="8" t="s">
        <v>2733</v>
      </c>
      <c r="V658" s="12">
        <v>2929163</v>
      </c>
      <c r="W658" s="8">
        <v>176.7</v>
      </c>
      <c r="X658" s="11">
        <f ca="1">IFERROR(__xludf.DUMMYFUNCTION("GOOGLEFINANCE(""BOM:"" &amp; T658,""price"")"),143.8)</f>
        <v>143.80000000000001</v>
      </c>
      <c r="Y658" s="8">
        <f t="shared" ca="1" si="217"/>
        <v>-18.619128466327094</v>
      </c>
      <c r="Z658" s="12">
        <f t="shared" si="218"/>
        <v>517583102.09999996</v>
      </c>
      <c r="AA658" s="13">
        <f t="shared" ca="1" si="219"/>
        <v>421213639.40000004</v>
      </c>
      <c r="AB658" s="63"/>
      <c r="AC658" s="8">
        <v>500108</v>
      </c>
      <c r="AD658" s="8" t="s">
        <v>2734</v>
      </c>
      <c r="AE658" s="12">
        <v>629927001</v>
      </c>
      <c r="AF658" s="8">
        <v>43.76</v>
      </c>
      <c r="AG658" s="8">
        <f ca="1">IFERROR(__xludf.DUMMYFUNCTION("GOOGLEFINANCE(""BOM:"" &amp; AC658,""price"")"),32.92)</f>
        <v>32.92</v>
      </c>
      <c r="AH658" s="8">
        <f t="shared" ca="1" si="208"/>
        <v>-24.771480804387561</v>
      </c>
      <c r="AI658" s="12">
        <f t="shared" si="209"/>
        <v>27565605563.759998</v>
      </c>
      <c r="AJ658" s="13">
        <f t="shared" ca="1" si="210"/>
        <v>20737196872.920002</v>
      </c>
    </row>
    <row r="659" spans="1:36" x14ac:dyDescent="0.25">
      <c r="A659" s="63"/>
      <c r="B659" s="8">
        <v>512441</v>
      </c>
      <c r="C659" s="8" t="s">
        <v>2735</v>
      </c>
      <c r="D659" s="12">
        <v>1597500</v>
      </c>
      <c r="E659" s="8">
        <v>15.01</v>
      </c>
      <c r="F659" s="8">
        <f ca="1">IFERROR(__xludf.DUMMYFUNCTION("GOOGLEFINANCE(""BOM:"" &amp; B659,""price"")"),12.93)</f>
        <v>12.93</v>
      </c>
      <c r="G659" s="8">
        <f t="shared" ca="1" si="220"/>
        <v>-13.857428381079281</v>
      </c>
      <c r="H659" s="12">
        <f t="shared" si="221"/>
        <v>23978475</v>
      </c>
      <c r="I659" s="13">
        <f t="shared" ca="1" si="222"/>
        <v>20655675</v>
      </c>
      <c r="J659" s="63"/>
      <c r="K659" s="8">
        <v>500365</v>
      </c>
      <c r="L659" s="8" t="s">
        <v>2736</v>
      </c>
      <c r="M659" s="12">
        <v>529118988</v>
      </c>
      <c r="N659" s="10">
        <v>37.229999999999997</v>
      </c>
      <c r="O659" s="10">
        <f ca="1">IFERROR(__xludf.DUMMYFUNCTION("GOOGLEFINANCE(""BOM:"" &amp; K659,""price"")"),31.42)</f>
        <v>31.42</v>
      </c>
      <c r="P659" s="8">
        <f t="shared" ca="1" si="223"/>
        <v>-15.60569433252752</v>
      </c>
      <c r="Q659" s="12">
        <f t="shared" si="224"/>
        <v>19699099923.239998</v>
      </c>
      <c r="R659" s="13">
        <f t="shared" ca="1" si="225"/>
        <v>16624918602.960001</v>
      </c>
      <c r="S659" s="63"/>
      <c r="T659" s="8">
        <v>523054</v>
      </c>
      <c r="U659" s="8" t="s">
        <v>2737</v>
      </c>
      <c r="V659" s="12">
        <v>660500</v>
      </c>
      <c r="W659" s="8">
        <v>887.3</v>
      </c>
      <c r="X659" s="11">
        <f ca="1">IFERROR(__xludf.DUMMYFUNCTION("GOOGLEFINANCE(""BOM:"" &amp; T659,""price"")"),796.7)</f>
        <v>796.7</v>
      </c>
      <c r="Y659" s="8">
        <f t="shared" ca="1" si="217"/>
        <v>-10.210751718697161</v>
      </c>
      <c r="Z659" s="12">
        <f t="shared" si="218"/>
        <v>586061650</v>
      </c>
      <c r="AA659" s="13">
        <f t="shared" ca="1" si="219"/>
        <v>526220350.00000006</v>
      </c>
      <c r="AB659" s="63"/>
      <c r="AC659" s="8">
        <v>511116</v>
      </c>
      <c r="AD659" s="8" t="s">
        <v>2738</v>
      </c>
      <c r="AE659" s="12">
        <v>611136388</v>
      </c>
      <c r="AF659" s="8">
        <v>2.27</v>
      </c>
      <c r="AG659" s="8">
        <f ca="1">IFERROR(__xludf.DUMMYFUNCTION("GOOGLEFINANCE(""BOM:"" &amp; AC659,""price"")"),1.95)</f>
        <v>1.95</v>
      </c>
      <c r="AH659" s="8">
        <f t="shared" ca="1" si="208"/>
        <v>-14.096916299559473</v>
      </c>
      <c r="AI659" s="12">
        <f t="shared" si="209"/>
        <v>1387279600.76</v>
      </c>
      <c r="AJ659" s="13">
        <f t="shared" ca="1" si="210"/>
        <v>1191715956.5999999</v>
      </c>
    </row>
    <row r="660" spans="1:36" x14ac:dyDescent="0.25">
      <c r="A660" s="63"/>
      <c r="B660" s="8">
        <v>530909</v>
      </c>
      <c r="C660" s="8" t="s">
        <v>2739</v>
      </c>
      <c r="D660" s="12">
        <v>2317200</v>
      </c>
      <c r="E660" s="8">
        <v>100.5</v>
      </c>
      <c r="F660" s="8">
        <f ca="1">IFERROR(__xludf.DUMMYFUNCTION("GOOGLEFINANCE(""BOM:"" &amp; B660,""price"")"),89.95)</f>
        <v>89.95</v>
      </c>
      <c r="G660" s="8">
        <f t="shared" ca="1" si="220"/>
        <v>-10.497512437810942</v>
      </c>
      <c r="H660" s="12">
        <f t="shared" si="221"/>
        <v>232878600</v>
      </c>
      <c r="I660" s="13">
        <f t="shared" ca="1" si="222"/>
        <v>208432140</v>
      </c>
      <c r="J660" s="63"/>
      <c r="K660" s="8">
        <v>504998</v>
      </c>
      <c r="L660" s="8" t="s">
        <v>2740</v>
      </c>
      <c r="M660" s="12">
        <v>978834</v>
      </c>
      <c r="N660" s="10">
        <v>0.44</v>
      </c>
      <c r="O660" s="10">
        <f ca="1">IFERROR(__xludf.DUMMYFUNCTION("GOOGLEFINANCE(""BOM:"" &amp; K660,""price"")"),0.44)</f>
        <v>0.44</v>
      </c>
      <c r="P660" s="8">
        <f t="shared" ca="1" si="223"/>
        <v>0</v>
      </c>
      <c r="Q660" s="12">
        <f t="shared" si="224"/>
        <v>430686.96</v>
      </c>
      <c r="R660" s="13">
        <f t="shared" ca="1" si="225"/>
        <v>430686.96</v>
      </c>
      <c r="S660" s="63"/>
      <c r="T660" s="8">
        <v>514266</v>
      </c>
      <c r="U660" s="8" t="s">
        <v>2741</v>
      </c>
      <c r="V660" s="12">
        <v>3808134</v>
      </c>
      <c r="W660" s="8">
        <v>86</v>
      </c>
      <c r="X660" s="11">
        <f ca="1">IFERROR(__xludf.DUMMYFUNCTION("GOOGLEFINANCE(""BOM:"" &amp; T660,""price"")"),73.4)</f>
        <v>73.400000000000006</v>
      </c>
      <c r="Y660" s="8">
        <f t="shared" ca="1" si="217"/>
        <v>-14.651162790697667</v>
      </c>
      <c r="Z660" s="12">
        <f t="shared" si="218"/>
        <v>327499524</v>
      </c>
      <c r="AA660" s="13">
        <f t="shared" ca="1" si="219"/>
        <v>279517035.60000002</v>
      </c>
      <c r="AB660" s="63"/>
      <c r="AC660" s="8">
        <v>532712</v>
      </c>
      <c r="AD660" s="8" t="s">
        <v>2742</v>
      </c>
      <c r="AE660" s="12">
        <v>2748471549</v>
      </c>
      <c r="AF660" s="8">
        <v>2.2200000000000002</v>
      </c>
      <c r="AG660" s="8">
        <f ca="1">IFERROR(__xludf.DUMMYFUNCTION("GOOGLEFINANCE(""BOM:"" &amp; AC660,""price"")"),1.82)</f>
        <v>1.82</v>
      </c>
      <c r="AH660" s="8">
        <f t="shared" ca="1" si="208"/>
        <v>-18.018018018018022</v>
      </c>
      <c r="AI660" s="12">
        <f t="shared" si="209"/>
        <v>6101606838.7800007</v>
      </c>
      <c r="AJ660" s="13">
        <f t="shared" ca="1" si="210"/>
        <v>5002218219.1800003</v>
      </c>
    </row>
    <row r="661" spans="1:36" x14ac:dyDescent="0.25">
      <c r="A661" s="63"/>
      <c r="B661" s="8">
        <v>531502</v>
      </c>
      <c r="C661" s="8" t="s">
        <v>2743</v>
      </c>
      <c r="D661" s="12">
        <v>19718334</v>
      </c>
      <c r="E661" s="8">
        <v>8</v>
      </c>
      <c r="F661" s="8">
        <f ca="1">IFERROR(__xludf.DUMMYFUNCTION("GOOGLEFINANCE(""BOM:"" &amp; B661,""price"")"),7.08)</f>
        <v>7.08</v>
      </c>
      <c r="G661" s="8">
        <f t="shared" ca="1" si="220"/>
        <v>-11.5</v>
      </c>
      <c r="H661" s="12">
        <f t="shared" si="221"/>
        <v>157746672</v>
      </c>
      <c r="I661" s="13">
        <f t="shared" ca="1" si="222"/>
        <v>139605804.72</v>
      </c>
      <c r="J661" s="63"/>
      <c r="K661" s="8">
        <v>531845</v>
      </c>
      <c r="L661" s="8" t="s">
        <v>2744</v>
      </c>
      <c r="M661" s="12">
        <v>141341998</v>
      </c>
      <c r="N661" s="10">
        <v>9.39</v>
      </c>
      <c r="O661" s="10">
        <f ca="1">IFERROR(__xludf.DUMMYFUNCTION("GOOGLEFINANCE(""BOM:"" &amp; K661,""price"")"),7.47)</f>
        <v>7.47</v>
      </c>
      <c r="P661" s="8">
        <f t="shared" ca="1" si="223"/>
        <v>-20.44728434504793</v>
      </c>
      <c r="Q661" s="12">
        <f t="shared" si="224"/>
        <v>1327201361.22</v>
      </c>
      <c r="R661" s="13">
        <f t="shared" ca="1" si="225"/>
        <v>1055824725.0599999</v>
      </c>
      <c r="S661" s="64"/>
      <c r="T661" s="14">
        <v>502850</v>
      </c>
      <c r="U661" s="14" t="s">
        <v>2745</v>
      </c>
      <c r="V661" s="15">
        <v>1390420</v>
      </c>
      <c r="W661" s="14">
        <v>12.52</v>
      </c>
      <c r="X661" s="26">
        <f ca="1">IFERROR(__xludf.DUMMYFUNCTION("GOOGLEFINANCE(""BOM:"" &amp; T661,""price"")"),12.52)</f>
        <v>12.52</v>
      </c>
      <c r="Y661" s="14">
        <f t="shared" ca="1" si="217"/>
        <v>0</v>
      </c>
      <c r="Z661" s="15">
        <f t="shared" si="218"/>
        <v>17408058.399999999</v>
      </c>
      <c r="AA661" s="16">
        <f t="shared" ca="1" si="219"/>
        <v>17408058.399999999</v>
      </c>
      <c r="AB661" s="63"/>
      <c r="AC661" s="8">
        <v>500483</v>
      </c>
      <c r="AD661" s="8" t="s">
        <v>2746</v>
      </c>
      <c r="AE661" s="12">
        <v>284918978</v>
      </c>
      <c r="AF661" s="8">
        <v>1914.75</v>
      </c>
      <c r="AG661" s="8">
        <f ca="1">IFERROR(__xludf.DUMMYFUNCTION("GOOGLEFINANCE(""BOM:"" &amp; AC661,""price"")"),2011.25)</f>
        <v>2011.25</v>
      </c>
      <c r="AH661" s="8">
        <f t="shared" ca="1" si="208"/>
        <v>5.0398224311267787</v>
      </c>
      <c r="AI661" s="12">
        <f t="shared" si="209"/>
        <v>545548613125.5</v>
      </c>
      <c r="AJ661" s="13">
        <f t="shared" ca="1" si="210"/>
        <v>573043294502.5</v>
      </c>
    </row>
    <row r="662" spans="1:36" x14ac:dyDescent="0.25">
      <c r="A662" s="63"/>
      <c r="B662" s="8">
        <v>542668</v>
      </c>
      <c r="C662" s="8" t="s">
        <v>2747</v>
      </c>
      <c r="D662" s="12">
        <v>2744000</v>
      </c>
      <c r="E662" s="8">
        <v>202</v>
      </c>
      <c r="F662" s="8">
        <f ca="1">IFERROR(__xludf.DUMMYFUNCTION("GOOGLEFINANCE(""BOM:"" &amp; B662,""price"")"),212.9)</f>
        <v>212.9</v>
      </c>
      <c r="G662" s="8">
        <f t="shared" ca="1" si="220"/>
        <v>5.3960396039603991</v>
      </c>
      <c r="H662" s="12">
        <f t="shared" si="221"/>
        <v>554288000</v>
      </c>
      <c r="I662" s="13">
        <f t="shared" ca="1" si="222"/>
        <v>584197600</v>
      </c>
      <c r="J662" s="64"/>
      <c r="K662" s="14">
        <v>506042</v>
      </c>
      <c r="L662" s="14" t="s">
        <v>2748</v>
      </c>
      <c r="M662" s="15">
        <v>285200</v>
      </c>
      <c r="N662" s="17">
        <v>0</v>
      </c>
      <c r="O662" s="17">
        <f ca="1">IFERROR(__xludf.DUMMYFUNCTION("GOOGLEFINANCE(""BOM:"" &amp; K662,""price"")"),0)</f>
        <v>0</v>
      </c>
      <c r="P662" s="14">
        <v>0</v>
      </c>
      <c r="Q662" s="15">
        <f t="shared" si="224"/>
        <v>0</v>
      </c>
      <c r="R662" s="16">
        <f t="shared" ca="1" si="225"/>
        <v>0</v>
      </c>
      <c r="S662" s="27" t="s">
        <v>2749</v>
      </c>
      <c r="T662" s="28">
        <v>539098</v>
      </c>
      <c r="U662" s="28" t="s">
        <v>2750</v>
      </c>
      <c r="V662" s="29">
        <v>8223000</v>
      </c>
      <c r="W662" s="14">
        <v>75</v>
      </c>
      <c r="X662" s="26">
        <f ca="1">IFERROR(__xludf.DUMMYFUNCTION("GOOGLEFINANCE(""BOM:"" &amp; T662,""price"")"),64.5)</f>
        <v>64.5</v>
      </c>
      <c r="Y662" s="14">
        <f t="shared" ca="1" si="217"/>
        <v>-14.000000000000002</v>
      </c>
      <c r="Z662" s="29">
        <f t="shared" si="218"/>
        <v>616725000</v>
      </c>
      <c r="AA662" s="30">
        <f t="shared" ca="1" si="219"/>
        <v>530383500</v>
      </c>
      <c r="AB662" s="64"/>
      <c r="AC662" s="14">
        <v>532371</v>
      </c>
      <c r="AD662" s="14" t="s">
        <v>2751</v>
      </c>
      <c r="AE662" s="15">
        <v>1952189912</v>
      </c>
      <c r="AF662" s="14">
        <v>86.92</v>
      </c>
      <c r="AG662" s="14">
        <f ca="1">IFERROR(__xludf.DUMMYFUNCTION("GOOGLEFINANCE(""BOM:"" &amp; AC662,""price"")"),73.96)</f>
        <v>73.959999999999994</v>
      </c>
      <c r="AH662" s="14">
        <f t="shared" ca="1" si="208"/>
        <v>-14.91026231017028</v>
      </c>
      <c r="AI662" s="15">
        <f t="shared" si="209"/>
        <v>169684347151.04001</v>
      </c>
      <c r="AJ662" s="16">
        <f t="shared" ca="1" si="210"/>
        <v>144383965891.51999</v>
      </c>
    </row>
    <row r="663" spans="1:36" x14ac:dyDescent="0.25">
      <c r="A663" s="63"/>
      <c r="B663" s="8">
        <v>530571</v>
      </c>
      <c r="C663" s="8" t="s">
        <v>2752</v>
      </c>
      <c r="D663" s="12">
        <v>7877401</v>
      </c>
      <c r="E663" s="8">
        <v>6.67</v>
      </c>
      <c r="F663" s="8">
        <f ca="1">IFERROR(__xludf.DUMMYFUNCTION("GOOGLEFINANCE(""BOM:"" &amp; B663,""price"")"),6.62)</f>
        <v>6.62</v>
      </c>
      <c r="G663" s="8">
        <f t="shared" ca="1" si="220"/>
        <v>-0.74962518740629414</v>
      </c>
      <c r="H663" s="12">
        <f t="shared" si="221"/>
        <v>52542264.670000002</v>
      </c>
      <c r="I663" s="13">
        <f t="shared" ca="1" si="222"/>
        <v>52148394.619999997</v>
      </c>
      <c r="J663" s="62" t="s">
        <v>2753</v>
      </c>
      <c r="K663" s="6">
        <v>532404</v>
      </c>
      <c r="L663" s="6" t="s">
        <v>2754</v>
      </c>
      <c r="M663" s="7">
        <v>9857800</v>
      </c>
      <c r="N663" s="10">
        <v>64.400000000000006</v>
      </c>
      <c r="O663" s="10">
        <f ca="1">IFERROR(__xludf.DUMMYFUNCTION("GOOGLEFINANCE(""BOM:"" &amp; K663,""price"")"),64)</f>
        <v>64</v>
      </c>
      <c r="P663" s="8">
        <f t="shared" ref="P663:P695" ca="1" si="226">((O663-N663)/N663)*100</f>
        <v>-0.62111801242236908</v>
      </c>
      <c r="Q663" s="7">
        <f t="shared" si="224"/>
        <v>634842320</v>
      </c>
      <c r="R663" s="9">
        <f t="shared" ca="1" si="225"/>
        <v>630899200</v>
      </c>
      <c r="S663" s="62" t="s">
        <v>2755</v>
      </c>
      <c r="T663" s="6">
        <v>539528</v>
      </c>
      <c r="U663" s="6" t="s">
        <v>2756</v>
      </c>
      <c r="V663" s="7">
        <v>3162650</v>
      </c>
      <c r="W663" s="8">
        <v>128.30000000000001</v>
      </c>
      <c r="X663" s="11">
        <f ca="1">IFERROR(__xludf.DUMMYFUNCTION("GOOGLEFINANCE(""BOM:"" &amp; T663,""price"")"),175.75)</f>
        <v>175.75</v>
      </c>
      <c r="Y663" s="8">
        <f t="shared" ca="1" si="217"/>
        <v>36.983632112236933</v>
      </c>
      <c r="Z663" s="7">
        <f t="shared" si="218"/>
        <v>405767995.00000006</v>
      </c>
      <c r="AA663" s="9">
        <f t="shared" ca="1" si="219"/>
        <v>555835737.5</v>
      </c>
      <c r="AB663" s="65" t="s">
        <v>2757</v>
      </c>
      <c r="AC663" s="6">
        <v>532775</v>
      </c>
      <c r="AD663" s="6" t="s">
        <v>2758</v>
      </c>
      <c r="AE663" s="7">
        <v>12528114588</v>
      </c>
      <c r="AF663" s="8">
        <v>2.06</v>
      </c>
      <c r="AG663" s="8">
        <f ca="1">IFERROR(__xludf.DUMMYFUNCTION("GOOGLEFINANCE(""BOM:"" &amp; AC663,""price"")"),1.6)</f>
        <v>1.6</v>
      </c>
      <c r="AH663" s="8">
        <f t="shared" ca="1" si="208"/>
        <v>-22.33009708737864</v>
      </c>
      <c r="AI663" s="7">
        <f t="shared" si="209"/>
        <v>25807916051.279999</v>
      </c>
      <c r="AJ663" s="9">
        <f t="shared" ca="1" si="210"/>
        <v>20044983340.799999</v>
      </c>
    </row>
    <row r="664" spans="1:36" x14ac:dyDescent="0.25">
      <c r="A664" s="63"/>
      <c r="B664" s="8">
        <v>533296</v>
      </c>
      <c r="C664" s="8" t="s">
        <v>2759</v>
      </c>
      <c r="D664" s="12">
        <v>57504056</v>
      </c>
      <c r="E664" s="8">
        <v>6.7</v>
      </c>
      <c r="F664" s="8">
        <f ca="1">IFERROR(__xludf.DUMMYFUNCTION("GOOGLEFINANCE(""BOM:"" &amp; B664,""price"")"),5.89)</f>
        <v>5.89</v>
      </c>
      <c r="G664" s="8">
        <f t="shared" ca="1" si="220"/>
        <v>-12.089552238805977</v>
      </c>
      <c r="H664" s="12">
        <f t="shared" si="221"/>
        <v>385277175.19999999</v>
      </c>
      <c r="I664" s="13">
        <f t="shared" ca="1" si="222"/>
        <v>338698889.83999997</v>
      </c>
      <c r="J664" s="63"/>
      <c r="K664" s="8">
        <v>530669</v>
      </c>
      <c r="L664" s="8" t="s">
        <v>2760</v>
      </c>
      <c r="M664" s="12">
        <v>1201200</v>
      </c>
      <c r="N664" s="10">
        <v>23.5</v>
      </c>
      <c r="O664" s="10">
        <f ca="1">IFERROR(__xludf.DUMMYFUNCTION("GOOGLEFINANCE(""BOM:"" &amp; K664,""price"")"),21.35)</f>
        <v>21.35</v>
      </c>
      <c r="P664" s="8">
        <f t="shared" ca="1" si="226"/>
        <v>-9.1489361702127603</v>
      </c>
      <c r="Q664" s="12">
        <f t="shared" si="224"/>
        <v>28228200</v>
      </c>
      <c r="R664" s="13">
        <f t="shared" ca="1" si="225"/>
        <v>25645620</v>
      </c>
      <c r="S664" s="63"/>
      <c r="T664" s="8">
        <v>519183</v>
      </c>
      <c r="U664" s="8" t="s">
        <v>2761</v>
      </c>
      <c r="V664" s="12">
        <v>107467090</v>
      </c>
      <c r="W664" s="8">
        <v>223.45</v>
      </c>
      <c r="X664" s="11">
        <f ca="1">IFERROR(__xludf.DUMMYFUNCTION("GOOGLEFINANCE(""BOM:"" &amp; T664,""price"")"),185.25)</f>
        <v>185.25</v>
      </c>
      <c r="Y664" s="8">
        <f t="shared" ca="1" si="217"/>
        <v>-17.09554710226001</v>
      </c>
      <c r="Z664" s="12">
        <f t="shared" si="218"/>
        <v>24013521260.5</v>
      </c>
      <c r="AA664" s="13">
        <f t="shared" ca="1" si="219"/>
        <v>19908278422.5</v>
      </c>
      <c r="AB664" s="63"/>
      <c r="AC664" s="8">
        <v>500183</v>
      </c>
      <c r="AD664" s="8" t="s">
        <v>2762</v>
      </c>
      <c r="AE664" s="12">
        <v>1377255589</v>
      </c>
      <c r="AF664" s="8">
        <v>108.45</v>
      </c>
      <c r="AG664" s="8">
        <f ca="1">IFERROR(__xludf.DUMMYFUNCTION("GOOGLEFINANCE(""BOM:"" &amp; AC664,""price"")"),91.9)</f>
        <v>91.9</v>
      </c>
      <c r="AH664" s="8">
        <f t="shared" ca="1" si="208"/>
        <v>-15.260488704472102</v>
      </c>
      <c r="AI664" s="12">
        <f t="shared" si="209"/>
        <v>149363368627.05002</v>
      </c>
      <c r="AJ664" s="13">
        <f t="shared" ca="1" si="210"/>
        <v>126569788629.10001</v>
      </c>
    </row>
    <row r="665" spans="1:36" x14ac:dyDescent="0.25">
      <c r="A665" s="63"/>
      <c r="B665" s="8">
        <v>508980</v>
      </c>
      <c r="C665" s="8" t="s">
        <v>2763</v>
      </c>
      <c r="D665" s="12">
        <v>16762163</v>
      </c>
      <c r="E665" s="8">
        <v>36.049999999999997</v>
      </c>
      <c r="F665" s="8">
        <f ca="1">IFERROR(__xludf.DUMMYFUNCTION("GOOGLEFINANCE(""BOM:"" &amp; B665,""price"")"),32.55)</f>
        <v>32.549999999999997</v>
      </c>
      <c r="G665" s="8">
        <f t="shared" ca="1" si="220"/>
        <v>-9.7087378640776709</v>
      </c>
      <c r="H665" s="12">
        <f t="shared" si="221"/>
        <v>604275976.14999998</v>
      </c>
      <c r="I665" s="13">
        <f t="shared" ca="1" si="222"/>
        <v>545608405.64999998</v>
      </c>
      <c r="J665" s="63"/>
      <c r="K665" s="8">
        <v>532172</v>
      </c>
      <c r="L665" s="8" t="s">
        <v>2764</v>
      </c>
      <c r="M665" s="12">
        <v>18130668</v>
      </c>
      <c r="N665" s="10">
        <v>17.399999999999999</v>
      </c>
      <c r="O665" s="10">
        <f ca="1">IFERROR(__xludf.DUMMYFUNCTION("GOOGLEFINANCE(""BOM:"" &amp; K665,""price"")"),15.23)</f>
        <v>15.23</v>
      </c>
      <c r="P665" s="8">
        <f t="shared" ca="1" si="226"/>
        <v>-12.471264367816081</v>
      </c>
      <c r="Q665" s="12">
        <f t="shared" si="224"/>
        <v>315473623.19999999</v>
      </c>
      <c r="R665" s="13">
        <f t="shared" ca="1" si="225"/>
        <v>276130073.63999999</v>
      </c>
      <c r="S665" s="63"/>
      <c r="T665" s="8">
        <v>511153</v>
      </c>
      <c r="U665" s="8" t="s">
        <v>2765</v>
      </c>
      <c r="V665" s="12">
        <v>2109580</v>
      </c>
      <c r="W665" s="8">
        <v>29.8</v>
      </c>
      <c r="X665" s="11">
        <f ca="1">IFERROR(__xludf.DUMMYFUNCTION("GOOGLEFINANCE(""BOM:"" &amp; T665,""price"")"),31.9)</f>
        <v>31.9</v>
      </c>
      <c r="Y665" s="8">
        <f t="shared" ca="1" si="217"/>
        <v>7.0469798657718048</v>
      </c>
      <c r="Z665" s="12">
        <f t="shared" si="218"/>
        <v>62865484</v>
      </c>
      <c r="AA665" s="13">
        <f t="shared" ca="1" si="219"/>
        <v>67295602</v>
      </c>
      <c r="AB665" s="63"/>
      <c r="AC665" s="8">
        <v>534816</v>
      </c>
      <c r="AD665" s="8" t="s">
        <v>2766</v>
      </c>
      <c r="AE665" s="12">
        <v>2694935790</v>
      </c>
      <c r="AF665" s="8">
        <v>263.14999999999998</v>
      </c>
      <c r="AG665" s="8">
        <f ca="1">IFERROR(__xludf.DUMMYFUNCTION("GOOGLEFINANCE(""BOM:"" &amp; AC665,""price"")"),291.15)</f>
        <v>291.14999999999998</v>
      </c>
      <c r="AH665" s="8">
        <f t="shared" ca="1" si="208"/>
        <v>10.640319209576287</v>
      </c>
      <c r="AI665" s="12">
        <f t="shared" si="209"/>
        <v>709172353138.49988</v>
      </c>
      <c r="AJ665" s="13">
        <f t="shared" ca="1" si="210"/>
        <v>784630555258.49988</v>
      </c>
    </row>
    <row r="666" spans="1:36" x14ac:dyDescent="0.25">
      <c r="A666" s="63"/>
      <c r="B666" s="8">
        <v>504397</v>
      </c>
      <c r="C666" s="8" t="s">
        <v>2767</v>
      </c>
      <c r="D666" s="12">
        <v>377895</v>
      </c>
      <c r="E666" s="8">
        <v>72.5</v>
      </c>
      <c r="F666" s="8">
        <f ca="1">IFERROR(__xludf.DUMMYFUNCTION("GOOGLEFINANCE(""BOM:"" &amp; B666,""price"")"),77.3)</f>
        <v>77.3</v>
      </c>
      <c r="G666" s="8">
        <f t="shared" ca="1" si="220"/>
        <v>6.6206896551724101</v>
      </c>
      <c r="H666" s="12">
        <f t="shared" si="221"/>
        <v>27397387.5</v>
      </c>
      <c r="I666" s="13">
        <f t="shared" ca="1" si="222"/>
        <v>29211283.5</v>
      </c>
      <c r="J666" s="63"/>
      <c r="K666" s="8">
        <v>532875</v>
      </c>
      <c r="L666" s="8" t="s">
        <v>2768</v>
      </c>
      <c r="M666" s="12">
        <v>52665422</v>
      </c>
      <c r="N666" s="10">
        <v>152.69999999999999</v>
      </c>
      <c r="O666" s="10">
        <f ca="1">IFERROR(__xludf.DUMMYFUNCTION("GOOGLEFINANCE(""BOM:"" &amp; K666,""price"")"),139.1)</f>
        <v>139.1</v>
      </c>
      <c r="P666" s="8">
        <f t="shared" ca="1" si="226"/>
        <v>-8.9063523248199044</v>
      </c>
      <c r="Q666" s="12">
        <f t="shared" si="224"/>
        <v>8042009939.3999996</v>
      </c>
      <c r="R666" s="13">
        <f t="shared" ca="1" si="225"/>
        <v>7325760200.1999998</v>
      </c>
      <c r="S666" s="63"/>
      <c r="T666" s="8">
        <v>540692</v>
      </c>
      <c r="U666" s="8" t="s">
        <v>2769</v>
      </c>
      <c r="V666" s="12">
        <v>31249990</v>
      </c>
      <c r="W666" s="8">
        <v>225.15</v>
      </c>
      <c r="X666" s="11">
        <f ca="1">IFERROR(__xludf.DUMMYFUNCTION("GOOGLEFINANCE(""BOM:"" &amp; T666,""price"")"),196.35)</f>
        <v>196.35</v>
      </c>
      <c r="Y666" s="8">
        <f t="shared" ca="1" si="217"/>
        <v>-12.791472351765496</v>
      </c>
      <c r="Z666" s="12">
        <f t="shared" si="218"/>
        <v>7035935248.5</v>
      </c>
      <c r="AA666" s="13">
        <f t="shared" ca="1" si="219"/>
        <v>6135935536.5</v>
      </c>
      <c r="AB666" s="63"/>
      <c r="AC666" s="8">
        <v>537259</v>
      </c>
      <c r="AD666" s="8" t="s">
        <v>2770</v>
      </c>
      <c r="AE666" s="12">
        <v>10482400</v>
      </c>
      <c r="AF666" s="8">
        <v>1186</v>
      </c>
      <c r="AG666" s="8">
        <f ca="1">IFERROR(__xludf.DUMMYFUNCTION("GOOGLEFINANCE(""BOM:"" &amp; AC666,""price"")"),1151.2)</f>
        <v>1151.2</v>
      </c>
      <c r="AH666" s="8">
        <f t="shared" ca="1" si="208"/>
        <v>-2.9342327150084282</v>
      </c>
      <c r="AI666" s="12">
        <f t="shared" si="209"/>
        <v>12432126400</v>
      </c>
      <c r="AJ666" s="13">
        <f t="shared" ca="1" si="210"/>
        <v>12067338880</v>
      </c>
    </row>
    <row r="667" spans="1:36" x14ac:dyDescent="0.25">
      <c r="A667" s="63"/>
      <c r="B667" s="8">
        <v>531137</v>
      </c>
      <c r="C667" s="8" t="s">
        <v>2771</v>
      </c>
      <c r="D667" s="12">
        <v>74251150</v>
      </c>
      <c r="E667" s="8">
        <v>1.1100000000000001</v>
      </c>
      <c r="F667" s="8">
        <f ca="1">IFERROR(__xludf.DUMMYFUNCTION("GOOGLEFINANCE(""BOM:"" &amp; B667,""price"")"),1.08)</f>
        <v>1.08</v>
      </c>
      <c r="G667" s="8">
        <f t="shared" ca="1" si="220"/>
        <v>-2.7027027027027049</v>
      </c>
      <c r="H667" s="12">
        <f t="shared" si="221"/>
        <v>82418776.5</v>
      </c>
      <c r="I667" s="13">
        <f t="shared" ca="1" si="222"/>
        <v>80191242</v>
      </c>
      <c r="J667" s="63"/>
      <c r="K667" s="8">
        <v>542752</v>
      </c>
      <c r="L667" s="8" t="s">
        <v>2772</v>
      </c>
      <c r="M667" s="12">
        <v>133250545</v>
      </c>
      <c r="N667" s="10">
        <v>1115.5999999999999</v>
      </c>
      <c r="O667" s="10">
        <f ca="1">IFERROR(__xludf.DUMMYFUNCTION("GOOGLEFINANCE(""BOM:"" &amp; K667,""price"")"),1040.05)</f>
        <v>1040.05</v>
      </c>
      <c r="P667" s="8">
        <f t="shared" ca="1" si="226"/>
        <v>-6.7721405521692324</v>
      </c>
      <c r="Q667" s="12">
        <f t="shared" si="224"/>
        <v>148654308002</v>
      </c>
      <c r="R667" s="13">
        <f t="shared" ca="1" si="225"/>
        <v>138587229327.25</v>
      </c>
      <c r="S667" s="63"/>
      <c r="T667" s="8">
        <v>519295</v>
      </c>
      <c r="U667" s="8" t="s">
        <v>2773</v>
      </c>
      <c r="V667" s="12">
        <v>7566788</v>
      </c>
      <c r="W667" s="8">
        <v>350.1</v>
      </c>
      <c r="X667" s="11">
        <f ca="1">IFERROR(__xludf.DUMMYFUNCTION("GOOGLEFINANCE(""BOM:"" &amp; T667,""price"")"),333.5)</f>
        <v>333.5</v>
      </c>
      <c r="Y667" s="8">
        <f t="shared" ca="1" si="217"/>
        <v>-4.741502427877756</v>
      </c>
      <c r="Z667" s="12">
        <f t="shared" si="218"/>
        <v>2649132478.8000002</v>
      </c>
      <c r="AA667" s="13">
        <f t="shared" ca="1" si="219"/>
        <v>2523523798</v>
      </c>
      <c r="AB667" s="64"/>
      <c r="AC667" s="14">
        <v>517015</v>
      </c>
      <c r="AD667" s="14" t="s">
        <v>2774</v>
      </c>
      <c r="AE667" s="15">
        <v>11675775</v>
      </c>
      <c r="AF667" s="14">
        <v>2416.75</v>
      </c>
      <c r="AG667" s="14">
        <f ca="1">IFERROR(__xludf.DUMMYFUNCTION("GOOGLEFINANCE(""BOM:"" &amp; AC667,""price"")"),2219)</f>
        <v>2219</v>
      </c>
      <c r="AH667" s="14">
        <f t="shared" ca="1" si="208"/>
        <v>-8.1824764663287475</v>
      </c>
      <c r="AI667" s="15">
        <f t="shared" si="209"/>
        <v>28217429231.25</v>
      </c>
      <c r="AJ667" s="16">
        <f t="shared" ca="1" si="210"/>
        <v>25908544725</v>
      </c>
    </row>
    <row r="668" spans="1:36" x14ac:dyDescent="0.25">
      <c r="A668" s="63"/>
      <c r="B668" s="8">
        <v>531360</v>
      </c>
      <c r="C668" s="8" t="s">
        <v>2775</v>
      </c>
      <c r="D668" s="12">
        <v>4487575</v>
      </c>
      <c r="E668" s="8">
        <v>20.8</v>
      </c>
      <c r="F668" s="8">
        <f ca="1">IFERROR(__xludf.DUMMYFUNCTION("GOOGLEFINANCE(""BOM:"" &amp; B668,""price"")"),20)</f>
        <v>20</v>
      </c>
      <c r="G668" s="8">
        <f t="shared" ca="1" si="220"/>
        <v>-3.8461538461538494</v>
      </c>
      <c r="H668" s="12">
        <f t="shared" si="221"/>
        <v>93341560</v>
      </c>
      <c r="I668" s="13">
        <f t="shared" ca="1" si="222"/>
        <v>89751500</v>
      </c>
      <c r="J668" s="63"/>
      <c r="K668" s="8">
        <v>539289</v>
      </c>
      <c r="L668" s="8" t="s">
        <v>2776</v>
      </c>
      <c r="M668" s="12">
        <v>71417861</v>
      </c>
      <c r="N668" s="10">
        <v>141</v>
      </c>
      <c r="O668" s="10">
        <f ca="1">IFERROR(__xludf.DUMMYFUNCTION("GOOGLEFINANCE(""BOM:"" &amp; K668,""price"")"),130)</f>
        <v>130</v>
      </c>
      <c r="P668" s="8">
        <f t="shared" ca="1" si="226"/>
        <v>-7.8014184397163122</v>
      </c>
      <c r="Q668" s="12">
        <f t="shared" si="224"/>
        <v>10069918401</v>
      </c>
      <c r="R668" s="13">
        <f t="shared" ca="1" si="225"/>
        <v>9284321930</v>
      </c>
      <c r="S668" s="63"/>
      <c r="T668" s="8">
        <v>501425</v>
      </c>
      <c r="U668" s="8" t="s">
        <v>2777</v>
      </c>
      <c r="V668" s="12">
        <v>63061688</v>
      </c>
      <c r="W668" s="8">
        <v>1716</v>
      </c>
      <c r="X668" s="11">
        <f ca="1">IFERROR(__xludf.DUMMYFUNCTION("GOOGLEFINANCE(""BOM:"" &amp; T668,""price"")"),1553.4)</f>
        <v>1553.4</v>
      </c>
      <c r="Y668" s="8">
        <f t="shared" ca="1" si="217"/>
        <v>-9.4755244755244696</v>
      </c>
      <c r="Z668" s="12">
        <f t="shared" si="218"/>
        <v>108213856608</v>
      </c>
      <c r="AA668" s="13">
        <f t="shared" ca="1" si="219"/>
        <v>97960026139.200012</v>
      </c>
      <c r="AB668" s="65" t="s">
        <v>2778</v>
      </c>
      <c r="AC668" s="6">
        <v>539126</v>
      </c>
      <c r="AD668" s="6" t="s">
        <v>2779</v>
      </c>
      <c r="AE668" s="7">
        <v>183446051</v>
      </c>
      <c r="AF668" s="8">
        <v>15.05</v>
      </c>
      <c r="AG668" s="8">
        <f ca="1">IFERROR(__xludf.DUMMYFUNCTION("GOOGLEFINANCE(""BOM:"" &amp; AC668,""price"")"),11.79)</f>
        <v>11.79</v>
      </c>
      <c r="AH668" s="8">
        <f t="shared" ca="1" si="208"/>
        <v>-21.661129568106322</v>
      </c>
      <c r="AI668" s="7">
        <f t="shared" si="209"/>
        <v>2760863067.5500002</v>
      </c>
      <c r="AJ668" s="9">
        <f t="shared" ca="1" si="210"/>
        <v>2162828941.29</v>
      </c>
    </row>
    <row r="669" spans="1:36" x14ac:dyDescent="0.25">
      <c r="A669" s="63"/>
      <c r="B669" s="8">
        <v>531737</v>
      </c>
      <c r="C669" s="8" t="s">
        <v>2780</v>
      </c>
      <c r="D669" s="12">
        <v>34490894</v>
      </c>
      <c r="E669" s="8">
        <v>1.1100000000000001</v>
      </c>
      <c r="F669" s="8">
        <f ca="1">IFERROR(__xludf.DUMMYFUNCTION("GOOGLEFINANCE(""BOM:"" &amp; B669,""price"")"),0.92)</f>
        <v>0.92</v>
      </c>
      <c r="G669" s="8">
        <f t="shared" ca="1" si="220"/>
        <v>-17.117117117117118</v>
      </c>
      <c r="H669" s="12">
        <f t="shared" si="221"/>
        <v>38284892.340000004</v>
      </c>
      <c r="I669" s="13">
        <f t="shared" ca="1" si="222"/>
        <v>31731622.48</v>
      </c>
      <c r="J669" s="63"/>
      <c r="K669" s="8">
        <v>532395</v>
      </c>
      <c r="L669" s="8" t="s">
        <v>2781</v>
      </c>
      <c r="M669" s="12">
        <v>37963597</v>
      </c>
      <c r="N669" s="10">
        <v>660.15</v>
      </c>
      <c r="O669" s="10">
        <f ca="1">IFERROR(__xludf.DUMMYFUNCTION("GOOGLEFINANCE(""BOM:"" &amp; K669,""price"")"),549)</f>
        <v>549</v>
      </c>
      <c r="P669" s="8">
        <f t="shared" ca="1" si="226"/>
        <v>-16.837082481254257</v>
      </c>
      <c r="Q669" s="12">
        <f t="shared" si="224"/>
        <v>25061668559.549999</v>
      </c>
      <c r="R669" s="13">
        <f t="shared" ca="1" si="225"/>
        <v>20842014753</v>
      </c>
      <c r="S669" s="63"/>
      <c r="T669" s="8">
        <v>543253</v>
      </c>
      <c r="U669" s="8" t="s">
        <v>2782</v>
      </c>
      <c r="V669" s="12">
        <v>58815325</v>
      </c>
      <c r="W669" s="8">
        <v>1095.45</v>
      </c>
      <c r="X669" s="11">
        <f ca="1">IFERROR(__xludf.DUMMYFUNCTION("GOOGLEFINANCE(""BOM:"" &amp; T669,""price"")"),1099)</f>
        <v>1099</v>
      </c>
      <c r="Y669" s="8">
        <f t="shared" ca="1" si="217"/>
        <v>0.32406773472088679</v>
      </c>
      <c r="Z669" s="12">
        <f t="shared" si="218"/>
        <v>64429247771.25</v>
      </c>
      <c r="AA669" s="13">
        <f t="shared" ca="1" si="219"/>
        <v>64638042175</v>
      </c>
      <c r="AB669" s="64"/>
      <c r="AC669" s="14">
        <v>532481</v>
      </c>
      <c r="AD669" s="14" t="s">
        <v>2783</v>
      </c>
      <c r="AE669" s="15">
        <v>185916851</v>
      </c>
      <c r="AF669" s="14">
        <v>10.32</v>
      </c>
      <c r="AG669" s="14">
        <f ca="1">IFERROR(__xludf.DUMMYFUNCTION("GOOGLEFINANCE(""BOM:"" &amp; AC669,""price"")"),7.41)</f>
        <v>7.41</v>
      </c>
      <c r="AH669" s="14">
        <f t="shared" ca="1" si="208"/>
        <v>-28.197674418604652</v>
      </c>
      <c r="AI669" s="15">
        <f t="shared" si="209"/>
        <v>1918661902.3200002</v>
      </c>
      <c r="AJ669" s="16">
        <f t="shared" ca="1" si="210"/>
        <v>1377643865.9100001</v>
      </c>
    </row>
    <row r="670" spans="1:36" x14ac:dyDescent="0.25">
      <c r="A670" s="63"/>
      <c r="B670" s="8">
        <v>503689</v>
      </c>
      <c r="C670" s="8" t="s">
        <v>2784</v>
      </c>
      <c r="D670" s="12">
        <v>238600</v>
      </c>
      <c r="E670" s="8">
        <v>3.2</v>
      </c>
      <c r="F670" s="8">
        <f ca="1">IFERROR(__xludf.DUMMYFUNCTION("GOOGLEFINANCE(""BOM:"" &amp; B670,""price"")"),3.2)</f>
        <v>3.2</v>
      </c>
      <c r="G670" s="8">
        <f t="shared" ca="1" si="220"/>
        <v>0</v>
      </c>
      <c r="H670" s="12">
        <f t="shared" si="221"/>
        <v>763520</v>
      </c>
      <c r="I670" s="13">
        <f t="shared" ca="1" si="222"/>
        <v>763520</v>
      </c>
      <c r="J670" s="63"/>
      <c r="K670" s="8">
        <v>532694</v>
      </c>
      <c r="L670" s="8" t="s">
        <v>2785</v>
      </c>
      <c r="M670" s="12">
        <v>34048649</v>
      </c>
      <c r="N670" s="10">
        <v>22.56</v>
      </c>
      <c r="O670" s="10">
        <f ca="1">IFERROR(__xludf.DUMMYFUNCTION("GOOGLEFINANCE(""BOM:"" &amp; K670,""price"")"),17.74)</f>
        <v>17.739999999999998</v>
      </c>
      <c r="P670" s="8">
        <f t="shared" ca="1" si="226"/>
        <v>-21.365248226950357</v>
      </c>
      <c r="Q670" s="12">
        <f t="shared" si="224"/>
        <v>768137521.43999994</v>
      </c>
      <c r="R670" s="13">
        <f t="shared" ca="1" si="225"/>
        <v>604023033.25999999</v>
      </c>
      <c r="S670" s="63"/>
      <c r="T670" s="8">
        <v>519500</v>
      </c>
      <c r="U670" s="8" t="s">
        <v>2786</v>
      </c>
      <c r="V670" s="12">
        <v>12729084</v>
      </c>
      <c r="W670" s="8">
        <v>13.74</v>
      </c>
      <c r="X670" s="11">
        <f ca="1">IFERROR(__xludf.DUMMYFUNCTION("GOOGLEFINANCE(""BOM:"" &amp; T670,""price"")"),12.3)</f>
        <v>12.3</v>
      </c>
      <c r="Y670" s="8">
        <f t="shared" ca="1" si="217"/>
        <v>-10.480349344978162</v>
      </c>
      <c r="Z670" s="12">
        <f t="shared" si="218"/>
        <v>174897614.16</v>
      </c>
      <c r="AA670" s="13">
        <f t="shared" ca="1" si="219"/>
        <v>156567733.20000002</v>
      </c>
      <c r="AB670" s="65" t="s">
        <v>2787</v>
      </c>
      <c r="AC670" s="6">
        <v>540073</v>
      </c>
      <c r="AD670" s="6" t="s">
        <v>2788</v>
      </c>
      <c r="AE670" s="7">
        <v>204528608</v>
      </c>
      <c r="AF670" s="8">
        <v>374.6</v>
      </c>
      <c r="AG670" s="8">
        <f ca="1">IFERROR(__xludf.DUMMYFUNCTION("GOOGLEFINANCE(""BOM:"" &amp; AC670,""price"")"),314.15)</f>
        <v>314.14999999999998</v>
      </c>
      <c r="AH670" s="8">
        <f t="shared" ca="1" si="208"/>
        <v>-16.137213027229055</v>
      </c>
      <c r="AI670" s="7">
        <f t="shared" si="209"/>
        <v>76616416556.800003</v>
      </c>
      <c r="AJ670" s="9">
        <f t="shared" ca="1" si="210"/>
        <v>64252662203.199997</v>
      </c>
    </row>
    <row r="671" spans="1:36" x14ac:dyDescent="0.25">
      <c r="A671" s="63"/>
      <c r="B671" s="8">
        <v>530055</v>
      </c>
      <c r="C671" s="8" t="s">
        <v>2789</v>
      </c>
      <c r="D671" s="12">
        <v>2346400</v>
      </c>
      <c r="E671" s="8">
        <v>69.989999999999995</v>
      </c>
      <c r="F671" s="8">
        <f ca="1">IFERROR(__xludf.DUMMYFUNCTION("GOOGLEFINANCE(""BOM:"" &amp; B671,""price"")"),60.01)</f>
        <v>60.01</v>
      </c>
      <c r="G671" s="8">
        <f t="shared" ca="1" si="220"/>
        <v>-14.259179882840403</v>
      </c>
      <c r="H671" s="12">
        <f t="shared" si="221"/>
        <v>164224536</v>
      </c>
      <c r="I671" s="13">
        <f t="shared" ca="1" si="222"/>
        <v>140807464</v>
      </c>
      <c r="J671" s="63"/>
      <c r="K671" s="8">
        <v>500463</v>
      </c>
      <c r="L671" s="8" t="s">
        <v>2790</v>
      </c>
      <c r="M671" s="12">
        <v>166098010</v>
      </c>
      <c r="N671" s="10">
        <v>262.8</v>
      </c>
      <c r="O671" s="10">
        <f ca="1">IFERROR(__xludf.DUMMYFUNCTION("GOOGLEFINANCE(""BOM:"" &amp; K671,""price"")"),220.35)</f>
        <v>220.35</v>
      </c>
      <c r="P671" s="8">
        <f t="shared" ca="1" si="226"/>
        <v>-16.152968036529685</v>
      </c>
      <c r="Q671" s="12">
        <f t="shared" si="224"/>
        <v>43650557028</v>
      </c>
      <c r="R671" s="13">
        <f t="shared" ca="1" si="225"/>
        <v>36599696503.5</v>
      </c>
      <c r="S671" s="63"/>
      <c r="T671" s="8">
        <v>500825</v>
      </c>
      <c r="U671" s="8" t="s">
        <v>2791</v>
      </c>
      <c r="V671" s="12">
        <v>238284356</v>
      </c>
      <c r="W671" s="8">
        <v>4912.95</v>
      </c>
      <c r="X671" s="11">
        <f ca="1">IFERROR(__xludf.DUMMYFUNCTION("GOOGLEFINANCE(""BOM:"" &amp; T671,""price"")"),4889.75)</f>
        <v>4889.75</v>
      </c>
      <c r="Y671" s="8">
        <f t="shared" ca="1" si="217"/>
        <v>-0.4722213741234863</v>
      </c>
      <c r="Z671" s="12">
        <f t="shared" si="218"/>
        <v>1170679126810.2</v>
      </c>
      <c r="AA671" s="13">
        <f t="shared" ca="1" si="219"/>
        <v>1165150929751</v>
      </c>
      <c r="AB671" s="63"/>
      <c r="AC671" s="8">
        <v>543272</v>
      </c>
      <c r="AD671" s="8" t="s">
        <v>2792</v>
      </c>
      <c r="AE671" s="12">
        <v>217289898</v>
      </c>
      <c r="AF671" s="8">
        <v>48.91</v>
      </c>
      <c r="AG671" s="8">
        <f ca="1">IFERROR(__xludf.DUMMYFUNCTION("GOOGLEFINANCE(""BOM:"" &amp; AC671,""price"")"),42.89)</f>
        <v>42.89</v>
      </c>
      <c r="AH671" s="8">
        <f t="shared" ca="1" si="208"/>
        <v>-12.308321406665296</v>
      </c>
      <c r="AI671" s="12">
        <f t="shared" si="209"/>
        <v>10627648911.179998</v>
      </c>
      <c r="AJ671" s="13">
        <f t="shared" ca="1" si="210"/>
        <v>9319563725.2199993</v>
      </c>
    </row>
    <row r="672" spans="1:36" x14ac:dyDescent="0.25">
      <c r="A672" s="63"/>
      <c r="B672" s="8">
        <v>511194</v>
      </c>
      <c r="C672" s="8" t="s">
        <v>2793</v>
      </c>
      <c r="D672" s="12">
        <v>10808902</v>
      </c>
      <c r="E672" s="8">
        <v>50.64</v>
      </c>
      <c r="F672" s="8">
        <f ca="1">IFERROR(__xludf.DUMMYFUNCTION("GOOGLEFINANCE(""BOM:"" &amp; B672,""price"")"),37.45)</f>
        <v>37.450000000000003</v>
      </c>
      <c r="G672" s="8">
        <f t="shared" ca="1" si="220"/>
        <v>-26.046603475513425</v>
      </c>
      <c r="H672" s="12">
        <f t="shared" si="221"/>
        <v>547362797.27999997</v>
      </c>
      <c r="I672" s="13">
        <f t="shared" ca="1" si="222"/>
        <v>404793379.90000004</v>
      </c>
      <c r="J672" s="63"/>
      <c r="K672" s="8">
        <v>532368</v>
      </c>
      <c r="L672" s="8" t="s">
        <v>2794</v>
      </c>
      <c r="M672" s="12">
        <v>1180681295</v>
      </c>
      <c r="N672" s="10">
        <v>17.68</v>
      </c>
      <c r="O672" s="10">
        <f ca="1">IFERROR(__xludf.DUMMYFUNCTION("GOOGLEFINANCE(""BOM:"" &amp; K672,""price"")"),13.78)</f>
        <v>13.78</v>
      </c>
      <c r="P672" s="8">
        <f t="shared" ca="1" si="226"/>
        <v>-22.058823529411768</v>
      </c>
      <c r="Q672" s="12">
        <f t="shared" si="224"/>
        <v>20874445295.599998</v>
      </c>
      <c r="R672" s="13">
        <f t="shared" ca="1" si="225"/>
        <v>16269788245.099998</v>
      </c>
      <c r="S672" s="63"/>
      <c r="T672" s="8">
        <v>519475</v>
      </c>
      <c r="U672" s="8" t="s">
        <v>2795</v>
      </c>
      <c r="V672" s="12">
        <v>3737557</v>
      </c>
      <c r="W672" s="8">
        <v>90</v>
      </c>
      <c r="X672" s="11">
        <f ca="1">IFERROR(__xludf.DUMMYFUNCTION("GOOGLEFINANCE(""BOM:"" &amp; T672,""price"")"),83)</f>
        <v>83</v>
      </c>
      <c r="Y672" s="8">
        <f t="shared" ca="1" si="217"/>
        <v>-7.7777777777777777</v>
      </c>
      <c r="Z672" s="12">
        <f t="shared" si="218"/>
        <v>336380130</v>
      </c>
      <c r="AA672" s="13">
        <f t="shared" ca="1" si="219"/>
        <v>310217231</v>
      </c>
      <c r="AB672" s="63"/>
      <c r="AC672" s="8">
        <v>542830</v>
      </c>
      <c r="AD672" s="8" t="s">
        <v>2796</v>
      </c>
      <c r="AE672" s="12">
        <v>799992340</v>
      </c>
      <c r="AF672" s="8">
        <v>929.05</v>
      </c>
      <c r="AG672" s="8">
        <f ca="1">IFERROR(__xludf.DUMMYFUNCTION("GOOGLEFINANCE(""BOM:"" &amp; AC672,""price"")"),928.9)</f>
        <v>928.9</v>
      </c>
      <c r="AH672" s="8">
        <f t="shared" ca="1" si="208"/>
        <v>-1.6145524998652093E-2</v>
      </c>
      <c r="AI672" s="12">
        <f t="shared" si="209"/>
        <v>743232883477</v>
      </c>
      <c r="AJ672" s="13">
        <f t="shared" ca="1" si="210"/>
        <v>743112884626</v>
      </c>
    </row>
    <row r="673" spans="1:36" x14ac:dyDescent="0.25">
      <c r="A673" s="63"/>
      <c r="B673" s="8">
        <v>531343</v>
      </c>
      <c r="C673" s="8" t="s">
        <v>2797</v>
      </c>
      <c r="D673" s="12">
        <v>2700350</v>
      </c>
      <c r="E673" s="8" t="s">
        <v>44</v>
      </c>
      <c r="F673" s="8" t="s">
        <v>44</v>
      </c>
      <c r="G673" s="8"/>
      <c r="H673" s="12"/>
      <c r="I673" s="13"/>
      <c r="J673" s="63"/>
      <c r="K673" s="8">
        <v>539122</v>
      </c>
      <c r="L673" s="8" t="s">
        <v>2798</v>
      </c>
      <c r="M673" s="12">
        <v>17672757</v>
      </c>
      <c r="N673" s="10">
        <v>75.900000000000006</v>
      </c>
      <c r="O673" s="10" t="str">
        <f ca="1">IFERROR(__xludf.DUMMYFUNCTION("GOOGLEFINANCE(""BOM:"" &amp; K673,""price"")"),"#N/A")</f>
        <v>#N/A</v>
      </c>
      <c r="P673" s="8" t="e">
        <f t="shared" ca="1" si="226"/>
        <v>#VALUE!</v>
      </c>
      <c r="Q673" s="12">
        <f t="shared" si="224"/>
        <v>1341362256.3000002</v>
      </c>
      <c r="R673" s="13" t="e">
        <f t="shared" ca="1" si="225"/>
        <v>#VALUE!</v>
      </c>
      <c r="S673" s="63"/>
      <c r="T673" s="8">
        <v>540681</v>
      </c>
      <c r="U673" s="8" t="s">
        <v>2799</v>
      </c>
      <c r="V673" s="12">
        <v>5160000</v>
      </c>
      <c r="W673" s="8">
        <v>32.93</v>
      </c>
      <c r="X673" s="11">
        <f ca="1">IFERROR(__xludf.DUMMYFUNCTION("GOOGLEFINANCE(""BOM:"" &amp; T673,""price"")"),25.5)</f>
        <v>25.5</v>
      </c>
      <c r="Y673" s="8">
        <f t="shared" ca="1" si="217"/>
        <v>-22.563012450652899</v>
      </c>
      <c r="Z673" s="12">
        <f t="shared" si="218"/>
        <v>169918800</v>
      </c>
      <c r="AA673" s="13">
        <f t="shared" ca="1" si="219"/>
        <v>131580000</v>
      </c>
      <c r="AB673" s="63"/>
      <c r="AC673" s="8">
        <v>500213</v>
      </c>
      <c r="AD673" s="8" t="s">
        <v>2800</v>
      </c>
      <c r="AE673" s="12">
        <v>7837093</v>
      </c>
      <c r="AF673" s="8">
        <v>614.70000000000005</v>
      </c>
      <c r="AG673" s="8">
        <f ca="1">IFERROR(__xludf.DUMMYFUNCTION("GOOGLEFINANCE(""BOM:"" &amp; AC673,""price"")"),594)</f>
        <v>594</v>
      </c>
      <c r="AH673" s="8">
        <f t="shared" ca="1" si="208"/>
        <v>-3.3674963396778987</v>
      </c>
      <c r="AI673" s="12">
        <f t="shared" si="209"/>
        <v>4817461067.1000004</v>
      </c>
      <c r="AJ673" s="13">
        <f t="shared" ca="1" si="210"/>
        <v>4655233242</v>
      </c>
    </row>
    <row r="674" spans="1:36" x14ac:dyDescent="0.25">
      <c r="A674" s="63"/>
      <c r="B674" s="8">
        <v>503639</v>
      </c>
      <c r="C674" s="8" t="s">
        <v>2801</v>
      </c>
      <c r="D674" s="12">
        <v>346680</v>
      </c>
      <c r="E674" s="8">
        <v>9.5500000000000007</v>
      </c>
      <c r="F674" s="8">
        <f ca="1">IFERROR(__xludf.DUMMYFUNCTION("GOOGLEFINANCE(""BOM:"" &amp; B674,""price"")"),9.55)</f>
        <v>9.5500000000000007</v>
      </c>
      <c r="G674" s="8">
        <f t="shared" ref="G674:G678" ca="1" si="227">((F674-E674)/E674)*100</f>
        <v>0</v>
      </c>
      <c r="H674" s="12">
        <f t="shared" ref="H674:H789" si="228">D674*E674</f>
        <v>3310794.0000000005</v>
      </c>
      <c r="I674" s="13">
        <f t="shared" ref="I674:I789" ca="1" si="229">D674*F674</f>
        <v>3310794.0000000005</v>
      </c>
      <c r="J674" s="63"/>
      <c r="K674" s="8">
        <v>534758</v>
      </c>
      <c r="L674" s="8" t="s">
        <v>2802</v>
      </c>
      <c r="M674" s="12">
        <v>28033779</v>
      </c>
      <c r="N674" s="10">
        <v>1054.4000000000001</v>
      </c>
      <c r="O674" s="10">
        <f ca="1">IFERROR(__xludf.DUMMYFUNCTION("GOOGLEFINANCE(""BOM:"" &amp; K674,""price"")"),1266.85)</f>
        <v>1266.8499999999999</v>
      </c>
      <c r="P674" s="8">
        <f t="shared" ca="1" si="226"/>
        <v>20.14889984825491</v>
      </c>
      <c r="Q674" s="12">
        <f t="shared" si="224"/>
        <v>29558816577.600002</v>
      </c>
      <c r="R674" s="13">
        <f t="shared" ca="1" si="225"/>
        <v>35514592926.149994</v>
      </c>
      <c r="S674" s="63"/>
      <c r="T674" s="8">
        <v>532783</v>
      </c>
      <c r="U674" s="8" t="s">
        <v>2803</v>
      </c>
      <c r="V674" s="12">
        <v>318804181</v>
      </c>
      <c r="W674" s="8">
        <v>176.05</v>
      </c>
      <c r="X674" s="11">
        <f ca="1">IFERROR(__xludf.DUMMYFUNCTION("GOOGLEFINANCE(""BOM:"" &amp; T674,""price"")"),188.35)</f>
        <v>188.35</v>
      </c>
      <c r="Y674" s="8">
        <f t="shared" ca="1" si="217"/>
        <v>6.9866515194546892</v>
      </c>
      <c r="Z674" s="12">
        <f t="shared" si="218"/>
        <v>56125476065.050003</v>
      </c>
      <c r="AA674" s="13">
        <f t="shared" ca="1" si="219"/>
        <v>60046767491.349998</v>
      </c>
      <c r="AB674" s="63"/>
      <c r="AC674" s="8">
        <v>543541</v>
      </c>
      <c r="AD674" s="8" t="s">
        <v>2804</v>
      </c>
      <c r="AE674" s="12">
        <v>1530000</v>
      </c>
      <c r="AF674" s="8">
        <v>31.59</v>
      </c>
      <c r="AG674" s="8">
        <f ca="1">IFERROR(__xludf.DUMMYFUNCTION("GOOGLEFINANCE(""BOM:"" &amp; AC674,""price"")"),25.51)</f>
        <v>25.51</v>
      </c>
      <c r="AH674" s="8">
        <f t="shared" ca="1" si="208"/>
        <v>-19.246597024374797</v>
      </c>
      <c r="AI674" s="12">
        <f t="shared" si="209"/>
        <v>48332700</v>
      </c>
      <c r="AJ674" s="13">
        <f t="shared" ca="1" si="210"/>
        <v>39030300</v>
      </c>
    </row>
    <row r="675" spans="1:36" x14ac:dyDescent="0.25">
      <c r="A675" s="63"/>
      <c r="B675" s="8">
        <v>512025</v>
      </c>
      <c r="C675" s="8" t="s">
        <v>2805</v>
      </c>
      <c r="D675" s="12">
        <v>187300</v>
      </c>
      <c r="E675" s="8">
        <v>146</v>
      </c>
      <c r="F675" s="8">
        <f ca="1">IFERROR(__xludf.DUMMYFUNCTION("GOOGLEFINANCE(""BOM:"" &amp; B675,""price"")"),146)</f>
        <v>146</v>
      </c>
      <c r="G675" s="8">
        <f t="shared" ca="1" si="227"/>
        <v>0</v>
      </c>
      <c r="H675" s="12">
        <f t="shared" si="228"/>
        <v>27345800</v>
      </c>
      <c r="I675" s="13">
        <f t="shared" ca="1" si="229"/>
        <v>27345800</v>
      </c>
      <c r="J675" s="63"/>
      <c r="K675" s="8">
        <v>512379</v>
      </c>
      <c r="L675" s="8" t="s">
        <v>2806</v>
      </c>
      <c r="M675" s="12">
        <v>303072002</v>
      </c>
      <c r="N675" s="10">
        <v>21.22</v>
      </c>
      <c r="O675" s="10">
        <f ca="1">IFERROR(__xludf.DUMMYFUNCTION("GOOGLEFINANCE(""BOM:"" &amp; K675,""price"")"),14.18)</f>
        <v>14.18</v>
      </c>
      <c r="P675" s="8">
        <f t="shared" ca="1" si="226"/>
        <v>-33.17624882186616</v>
      </c>
      <c r="Q675" s="12">
        <f t="shared" si="224"/>
        <v>6431187882.4399996</v>
      </c>
      <c r="R675" s="13">
        <f t="shared" ca="1" si="225"/>
        <v>4297560988.3599997</v>
      </c>
      <c r="S675" s="63"/>
      <c r="T675" s="8">
        <v>519588</v>
      </c>
      <c r="U675" s="8" t="s">
        <v>2807</v>
      </c>
      <c r="V675" s="12">
        <v>49683611</v>
      </c>
      <c r="W675" s="8" t="s">
        <v>60</v>
      </c>
      <c r="X675" s="8" t="s">
        <v>60</v>
      </c>
      <c r="Y675" s="8"/>
      <c r="Z675" s="12"/>
      <c r="AA675" s="13"/>
      <c r="AB675" s="63"/>
      <c r="AC675" s="8">
        <v>500413</v>
      </c>
      <c r="AD675" s="8" t="s">
        <v>2808</v>
      </c>
      <c r="AE675" s="12">
        <v>468282816</v>
      </c>
      <c r="AF675" s="8">
        <v>160.19999999999999</v>
      </c>
      <c r="AG675" s="8">
        <f ca="1">IFERROR(__xludf.DUMMYFUNCTION("GOOGLEFINANCE(""BOM:"" &amp; AC675,""price"")"),167.4)</f>
        <v>167.4</v>
      </c>
      <c r="AH675" s="8">
        <f t="shared" ca="1" si="208"/>
        <v>4.4943820224719211</v>
      </c>
      <c r="AI675" s="12">
        <f t="shared" si="209"/>
        <v>75018907123.199997</v>
      </c>
      <c r="AJ675" s="13">
        <f t="shared" ca="1" si="210"/>
        <v>78390543398.400009</v>
      </c>
    </row>
    <row r="676" spans="1:36" x14ac:dyDescent="0.25">
      <c r="A676" s="63"/>
      <c r="B676" s="8">
        <v>541983</v>
      </c>
      <c r="C676" s="8" t="s">
        <v>2809</v>
      </c>
      <c r="D676" s="12">
        <v>11380169</v>
      </c>
      <c r="E676" s="8">
        <v>30</v>
      </c>
      <c r="F676" s="8">
        <f ca="1">IFERROR(__xludf.DUMMYFUNCTION("GOOGLEFINANCE(""BOM:"" &amp; B676,""price"")"),31.18)</f>
        <v>31.18</v>
      </c>
      <c r="G676" s="8">
        <f t="shared" ca="1" si="227"/>
        <v>3.9333333333333322</v>
      </c>
      <c r="H676" s="12">
        <f t="shared" si="228"/>
        <v>341405070</v>
      </c>
      <c r="I676" s="13">
        <f t="shared" ca="1" si="229"/>
        <v>354833669.42000002</v>
      </c>
      <c r="J676" s="63"/>
      <c r="K676" s="8">
        <v>532175</v>
      </c>
      <c r="L676" s="8" t="s">
        <v>2810</v>
      </c>
      <c r="M676" s="12">
        <v>109747335</v>
      </c>
      <c r="N676" s="10">
        <v>2032</v>
      </c>
      <c r="O676" s="10">
        <f ca="1">IFERROR(__xludf.DUMMYFUNCTION("GOOGLEFINANCE(""BOM:"" &amp; K676,""price"")"),1993.6)</f>
        <v>1993.6</v>
      </c>
      <c r="P676" s="8">
        <f t="shared" ca="1" si="226"/>
        <v>-1.8897637795275635</v>
      </c>
      <c r="Q676" s="12">
        <f t="shared" si="224"/>
        <v>223006584720</v>
      </c>
      <c r="R676" s="13">
        <f t="shared" ca="1" si="225"/>
        <v>218792287056</v>
      </c>
      <c r="S676" s="63"/>
      <c r="T676" s="8">
        <v>540724</v>
      </c>
      <c r="U676" s="8" t="s">
        <v>2811</v>
      </c>
      <c r="V676" s="12">
        <v>23452073</v>
      </c>
      <c r="W676" s="8">
        <v>1111.3499999999999</v>
      </c>
      <c r="X676" s="11">
        <f ca="1">IFERROR(__xludf.DUMMYFUNCTION("GOOGLEFINANCE(""BOM:"" &amp; T676,""price"")"),917.9)</f>
        <v>917.9</v>
      </c>
      <c r="Y676" s="8">
        <f t="shared" ref="Y676:Y749" ca="1" si="230">((X676-W676)/W676)*100</f>
        <v>-17.406757547127363</v>
      </c>
      <c r="Z676" s="12">
        <f t="shared" ref="Z676:Z749" si="231">V676*W676</f>
        <v>26063461328.549999</v>
      </c>
      <c r="AA676" s="13">
        <f t="shared" ref="AA676:AA749" ca="1" si="232">V676*X676</f>
        <v>21526657806.700001</v>
      </c>
      <c r="AB676" s="64"/>
      <c r="AC676" s="14">
        <v>538521</v>
      </c>
      <c r="AD676" s="14" t="s">
        <v>2812</v>
      </c>
      <c r="AE676" s="15">
        <v>3064200</v>
      </c>
      <c r="AF676" s="14">
        <v>39.49</v>
      </c>
      <c r="AG676" s="14">
        <f ca="1">IFERROR(__xludf.DUMMYFUNCTION("GOOGLEFINANCE(""BOM:"" &amp; AC676,""price"")"),64.08)</f>
        <v>64.08</v>
      </c>
      <c r="AH676" s="14">
        <f t="shared" ca="1" si="208"/>
        <v>62.268928842744984</v>
      </c>
      <c r="AI676" s="15">
        <f t="shared" si="209"/>
        <v>121005258</v>
      </c>
      <c r="AJ676" s="16">
        <f t="shared" ca="1" si="210"/>
        <v>196353936</v>
      </c>
    </row>
    <row r="677" spans="1:36" x14ac:dyDescent="0.25">
      <c r="A677" s="63"/>
      <c r="B677" s="8">
        <v>539005</v>
      </c>
      <c r="C677" s="8" t="s">
        <v>2813</v>
      </c>
      <c r="D677" s="12">
        <v>2602900</v>
      </c>
      <c r="E677" s="8">
        <v>23</v>
      </c>
      <c r="F677" s="8">
        <f ca="1">IFERROR(__xludf.DUMMYFUNCTION("GOOGLEFINANCE(""BOM:"" &amp; B677,""price"")"),18.8)</f>
        <v>18.8</v>
      </c>
      <c r="G677" s="8">
        <f t="shared" ca="1" si="227"/>
        <v>-18.260869565217387</v>
      </c>
      <c r="H677" s="12">
        <f t="shared" si="228"/>
        <v>59866700</v>
      </c>
      <c r="I677" s="13">
        <f t="shared" ca="1" si="229"/>
        <v>48934520</v>
      </c>
      <c r="J677" s="63"/>
      <c r="K677" s="8">
        <v>532528</v>
      </c>
      <c r="L677" s="8" t="s">
        <v>2814</v>
      </c>
      <c r="M677" s="12">
        <v>58878205</v>
      </c>
      <c r="N677" s="10">
        <v>602.95000000000005</v>
      </c>
      <c r="O677" s="10">
        <f ca="1">IFERROR(__xludf.DUMMYFUNCTION("GOOGLEFINANCE(""BOM:"" &amp; K677,""price"")"),533.5)</f>
        <v>533.5</v>
      </c>
      <c r="P677" s="8">
        <f t="shared" ca="1" si="226"/>
        <v>-11.518368023882584</v>
      </c>
      <c r="Q677" s="12">
        <f t="shared" si="224"/>
        <v>35500613704.75</v>
      </c>
      <c r="R677" s="13">
        <f t="shared" ca="1" si="225"/>
        <v>31411522367.5</v>
      </c>
      <c r="S677" s="63"/>
      <c r="T677" s="8">
        <v>507552</v>
      </c>
      <c r="U677" s="8" t="s">
        <v>2815</v>
      </c>
      <c r="V677" s="12">
        <v>49392639</v>
      </c>
      <c r="W677" s="8">
        <v>154.05000000000001</v>
      </c>
      <c r="X677" s="11">
        <f ca="1">IFERROR(__xludf.DUMMYFUNCTION("GOOGLEFINANCE(""BOM:"" &amp; T677,""price"")"),130.15)</f>
        <v>130.15</v>
      </c>
      <c r="Y677" s="8">
        <f t="shared" ca="1" si="230"/>
        <v>-15.514443362544631</v>
      </c>
      <c r="Z677" s="12">
        <f t="shared" si="231"/>
        <v>7608936037.9500008</v>
      </c>
      <c r="AA677" s="13">
        <f t="shared" ca="1" si="232"/>
        <v>6428451965.8500004</v>
      </c>
      <c r="AB677" s="65" t="s">
        <v>2816</v>
      </c>
      <c r="AC677" s="6">
        <v>500495</v>
      </c>
      <c r="AD677" s="6" t="s">
        <v>2817</v>
      </c>
      <c r="AE677" s="7">
        <v>131011075</v>
      </c>
      <c r="AF677" s="8">
        <v>2898.45</v>
      </c>
      <c r="AG677" s="8">
        <f ca="1">IFERROR(__xludf.DUMMYFUNCTION("GOOGLEFINANCE(""BOM:"" &amp; AC677,""price"")"),2773.7)</f>
        <v>2773.7</v>
      </c>
      <c r="AH677" s="8">
        <f t="shared" ca="1" si="208"/>
        <v>-4.3040245648536288</v>
      </c>
      <c r="AI677" s="7">
        <f t="shared" si="209"/>
        <v>379729050333.75</v>
      </c>
      <c r="AJ677" s="9">
        <f t="shared" ca="1" si="210"/>
        <v>363385418727.5</v>
      </c>
    </row>
    <row r="678" spans="1:36" x14ac:dyDescent="0.25">
      <c r="A678" s="63"/>
      <c r="B678" s="8">
        <v>532154</v>
      </c>
      <c r="C678" s="8" t="s">
        <v>2818</v>
      </c>
      <c r="D678" s="12">
        <v>547367370</v>
      </c>
      <c r="E678" s="8">
        <v>0.87</v>
      </c>
      <c r="F678" s="8">
        <f ca="1">IFERROR(__xludf.DUMMYFUNCTION("GOOGLEFINANCE(""BOM:"" &amp; B678,""price"")"),0.69)</f>
        <v>0.69</v>
      </c>
      <c r="G678" s="8">
        <f t="shared" ca="1" si="227"/>
        <v>-20.689655172413797</v>
      </c>
      <c r="H678" s="12">
        <f t="shared" si="228"/>
        <v>476209611.89999998</v>
      </c>
      <c r="I678" s="13">
        <f t="shared" ca="1" si="229"/>
        <v>377683485.29999995</v>
      </c>
      <c r="J678" s="63"/>
      <c r="K678" s="8">
        <v>502820</v>
      </c>
      <c r="L678" s="8" t="s">
        <v>2819</v>
      </c>
      <c r="M678" s="12">
        <v>18201616</v>
      </c>
      <c r="N678" s="10">
        <v>82.97</v>
      </c>
      <c r="O678" s="10">
        <f ca="1">IFERROR(__xludf.DUMMYFUNCTION("GOOGLEFINANCE(""BOM:"" &amp; K678,""price"")"),73.16)</f>
        <v>73.16</v>
      </c>
      <c r="P678" s="8">
        <f t="shared" ca="1" si="226"/>
        <v>-11.823550680969028</v>
      </c>
      <c r="Q678" s="12">
        <f t="shared" si="224"/>
        <v>1510188079.52</v>
      </c>
      <c r="R678" s="13">
        <f t="shared" ca="1" si="225"/>
        <v>1331630226.5599999</v>
      </c>
      <c r="S678" s="63"/>
      <c r="T678" s="8">
        <v>506186</v>
      </c>
      <c r="U678" s="8" t="s">
        <v>2820</v>
      </c>
      <c r="V678" s="12">
        <v>44877383</v>
      </c>
      <c r="W678" s="8">
        <v>14.97</v>
      </c>
      <c r="X678" s="11">
        <f ca="1">IFERROR(__xludf.DUMMYFUNCTION("GOOGLEFINANCE(""BOM:"" &amp; T678,""price"")"),12.44)</f>
        <v>12.44</v>
      </c>
      <c r="Y678" s="8">
        <f t="shared" ca="1" si="230"/>
        <v>-16.900467601870414</v>
      </c>
      <c r="Z678" s="12">
        <f t="shared" si="231"/>
        <v>671814423.50999999</v>
      </c>
      <c r="AA678" s="13">
        <f t="shared" ca="1" si="232"/>
        <v>558274644.51999998</v>
      </c>
      <c r="AB678" s="64"/>
      <c r="AC678" s="14">
        <v>531266</v>
      </c>
      <c r="AD678" s="14" t="s">
        <v>2821</v>
      </c>
      <c r="AE678" s="15">
        <v>8532133</v>
      </c>
      <c r="AF678" s="14">
        <v>3268.1</v>
      </c>
      <c r="AG678" s="14">
        <f ca="1">IFERROR(__xludf.DUMMYFUNCTION("GOOGLEFINANCE(""BOM:"" &amp; AC678,""price"")"),3257.4)</f>
        <v>3257.4</v>
      </c>
      <c r="AH678" s="14">
        <f t="shared" ca="1" si="208"/>
        <v>-0.32740736207581833</v>
      </c>
      <c r="AI678" s="15">
        <f t="shared" si="209"/>
        <v>27883863857.299999</v>
      </c>
      <c r="AJ678" s="16">
        <f t="shared" ca="1" si="210"/>
        <v>27792570034.200001</v>
      </c>
    </row>
    <row r="679" spans="1:36" x14ac:dyDescent="0.25">
      <c r="A679" s="63"/>
      <c r="B679" s="8">
        <v>511060</v>
      </c>
      <c r="C679" s="8" t="s">
        <v>2822</v>
      </c>
      <c r="D679" s="12">
        <v>288650</v>
      </c>
      <c r="E679" s="8">
        <v>0</v>
      </c>
      <c r="F679" s="8">
        <f ca="1">IFERROR(__xludf.DUMMYFUNCTION("GOOGLEFINANCE(""BOM:"" &amp; B679,""price"")"),0)</f>
        <v>0</v>
      </c>
      <c r="G679" s="8">
        <v>0</v>
      </c>
      <c r="H679" s="12">
        <f t="shared" si="228"/>
        <v>0</v>
      </c>
      <c r="I679" s="13">
        <f t="shared" ca="1" si="229"/>
        <v>0</v>
      </c>
      <c r="J679" s="63"/>
      <c r="K679" s="8">
        <v>543462</v>
      </c>
      <c r="L679" s="8" t="s">
        <v>2823</v>
      </c>
      <c r="M679" s="12">
        <v>11041000</v>
      </c>
      <c r="N679" s="10">
        <v>133.19999999999999</v>
      </c>
      <c r="O679" s="10">
        <f ca="1">IFERROR(__xludf.DUMMYFUNCTION("GOOGLEFINANCE(""BOM:"" &amp; K679,""price"")"),102.5)</f>
        <v>102.5</v>
      </c>
      <c r="P679" s="8">
        <f t="shared" ca="1" si="226"/>
        <v>-23.048048048048042</v>
      </c>
      <c r="Q679" s="12">
        <f t="shared" si="224"/>
        <v>1470661199.9999998</v>
      </c>
      <c r="R679" s="13">
        <f t="shared" ca="1" si="225"/>
        <v>1131702500</v>
      </c>
      <c r="S679" s="63"/>
      <c r="T679" s="8">
        <v>538542</v>
      </c>
      <c r="U679" s="8" t="s">
        <v>2824</v>
      </c>
      <c r="V679" s="12">
        <v>2819200</v>
      </c>
      <c r="W679" s="8">
        <v>7.95</v>
      </c>
      <c r="X679" s="11">
        <f ca="1">IFERROR(__xludf.DUMMYFUNCTION("GOOGLEFINANCE(""BOM:"" &amp; T679,""price"")"),7.7)</f>
        <v>7.7</v>
      </c>
      <c r="Y679" s="8">
        <f t="shared" ca="1" si="230"/>
        <v>-3.1446540880503147</v>
      </c>
      <c r="Z679" s="12">
        <f t="shared" si="231"/>
        <v>22412640</v>
      </c>
      <c r="AA679" s="13">
        <f t="shared" ca="1" si="232"/>
        <v>21707840</v>
      </c>
      <c r="AB679" s="65" t="s">
        <v>2825</v>
      </c>
      <c r="AC679" s="6">
        <v>531041</v>
      </c>
      <c r="AD679" s="6" t="s">
        <v>2826</v>
      </c>
      <c r="AE679" s="7">
        <v>5998841</v>
      </c>
      <c r="AF679" s="8">
        <v>477.2</v>
      </c>
      <c r="AG679" s="8">
        <f ca="1">IFERROR(__xludf.DUMMYFUNCTION("GOOGLEFINANCE(""BOM:"" &amp; AC679,""price"")"),464.25)</f>
        <v>464.25</v>
      </c>
      <c r="AH679" s="8">
        <f t="shared" ca="1" si="208"/>
        <v>-2.7137468566638701</v>
      </c>
      <c r="AI679" s="7">
        <f t="shared" si="209"/>
        <v>2862646925.1999998</v>
      </c>
      <c r="AJ679" s="9">
        <f t="shared" ca="1" si="210"/>
        <v>2784961934.25</v>
      </c>
    </row>
    <row r="680" spans="1:36" x14ac:dyDescent="0.25">
      <c r="A680" s="63"/>
      <c r="B680" s="8">
        <v>540756</v>
      </c>
      <c r="C680" s="8" t="s">
        <v>2827</v>
      </c>
      <c r="D680" s="12">
        <v>4675129</v>
      </c>
      <c r="E680" s="8">
        <v>6.58</v>
      </c>
      <c r="F680" s="8">
        <f ca="1">IFERROR(__xludf.DUMMYFUNCTION("GOOGLEFINANCE(""BOM:"" &amp; B680,""price"")"),6.58)</f>
        <v>6.58</v>
      </c>
      <c r="G680" s="8">
        <f t="shared" ref="G680:G689" ca="1" si="233">((F680-E680)/E680)*100</f>
        <v>0</v>
      </c>
      <c r="H680" s="12">
        <f t="shared" si="228"/>
        <v>30762348.82</v>
      </c>
      <c r="I680" s="13">
        <f t="shared" ca="1" si="229"/>
        <v>30762348.82</v>
      </c>
      <c r="J680" s="63"/>
      <c r="K680" s="8">
        <v>517214</v>
      </c>
      <c r="L680" s="8" t="s">
        <v>2828</v>
      </c>
      <c r="M680" s="12">
        <v>230105281</v>
      </c>
      <c r="N680" s="10">
        <v>31.62</v>
      </c>
      <c r="O680" s="10">
        <f ca="1">IFERROR(__xludf.DUMMYFUNCTION("GOOGLEFINANCE(""BOM:"" &amp; K680,""price"")"),24.26)</f>
        <v>24.26</v>
      </c>
      <c r="P680" s="8">
        <f t="shared" ca="1" si="226"/>
        <v>-23.276407337128397</v>
      </c>
      <c r="Q680" s="12">
        <f t="shared" si="224"/>
        <v>7275928985.2200003</v>
      </c>
      <c r="R680" s="13">
        <f t="shared" ca="1" si="225"/>
        <v>5582354117.0600004</v>
      </c>
      <c r="S680" s="63"/>
      <c r="T680" s="8">
        <v>542935</v>
      </c>
      <c r="U680" s="8" t="s">
        <v>2829</v>
      </c>
      <c r="V680" s="12">
        <v>6001696</v>
      </c>
      <c r="W680" s="8">
        <v>39.71</v>
      </c>
      <c r="X680" s="11">
        <f ca="1">IFERROR(__xludf.DUMMYFUNCTION("GOOGLEFINANCE(""BOM:"" &amp; T680,""price"")"),39.71)</f>
        <v>39.71</v>
      </c>
      <c r="Y680" s="8">
        <f t="shared" ca="1" si="230"/>
        <v>0</v>
      </c>
      <c r="Z680" s="12">
        <f t="shared" si="231"/>
        <v>238327348.16</v>
      </c>
      <c r="AA680" s="13">
        <f t="shared" ca="1" si="232"/>
        <v>238327348.16</v>
      </c>
      <c r="AB680" s="64"/>
      <c r="AC680" s="14">
        <v>539402</v>
      </c>
      <c r="AD680" s="14" t="s">
        <v>2830</v>
      </c>
      <c r="AE680" s="15">
        <v>10520480</v>
      </c>
      <c r="AF680" s="14">
        <v>15.13</v>
      </c>
      <c r="AG680" s="8">
        <f ca="1">IFERROR(__xludf.DUMMYFUNCTION("GOOGLEFINANCE(""BOM:"" &amp; AC680,""price"")"),10.25)</f>
        <v>10.25</v>
      </c>
      <c r="AH680" s="14">
        <f t="shared" ca="1" si="208"/>
        <v>-32.253800396563122</v>
      </c>
      <c r="AI680" s="15">
        <f t="shared" si="209"/>
        <v>159174862.40000001</v>
      </c>
      <c r="AJ680" s="16">
        <f t="shared" ca="1" si="210"/>
        <v>107834920</v>
      </c>
    </row>
    <row r="681" spans="1:36" x14ac:dyDescent="0.25">
      <c r="A681" s="63"/>
      <c r="B681" s="8">
        <v>537784</v>
      </c>
      <c r="C681" s="8" t="s">
        <v>2831</v>
      </c>
      <c r="D681" s="12">
        <v>4350000</v>
      </c>
      <c r="E681" s="8">
        <v>17.100000000000001</v>
      </c>
      <c r="F681" s="8">
        <f ca="1">IFERROR(__xludf.DUMMYFUNCTION("GOOGLEFINANCE(""BOM:"" &amp; B681,""price"")"),17.1)</f>
        <v>17.100000000000001</v>
      </c>
      <c r="G681" s="8">
        <f t="shared" ca="1" si="233"/>
        <v>0</v>
      </c>
      <c r="H681" s="12">
        <f t="shared" si="228"/>
        <v>74385000</v>
      </c>
      <c r="I681" s="13">
        <f t="shared" ca="1" si="229"/>
        <v>74385000</v>
      </c>
      <c r="J681" s="63"/>
      <c r="K681" s="8">
        <v>532365</v>
      </c>
      <c r="L681" s="8" t="s">
        <v>2832</v>
      </c>
      <c r="M681" s="12">
        <v>11239680</v>
      </c>
      <c r="N681" s="10">
        <v>889</v>
      </c>
      <c r="O681" s="10">
        <f ca="1">IFERROR(__xludf.DUMMYFUNCTION("GOOGLEFINANCE(""BOM:"" &amp; K681,""price"")"),1023.65)</f>
        <v>1023.65</v>
      </c>
      <c r="P681" s="8">
        <f t="shared" ca="1" si="226"/>
        <v>15.146231721034868</v>
      </c>
      <c r="Q681" s="12">
        <f t="shared" si="224"/>
        <v>9992075520</v>
      </c>
      <c r="R681" s="13">
        <f t="shared" ca="1" si="225"/>
        <v>11505498432</v>
      </c>
      <c r="S681" s="63"/>
      <c r="T681" s="8">
        <v>519415</v>
      </c>
      <c r="U681" s="8" t="s">
        <v>2833</v>
      </c>
      <c r="V681" s="12">
        <v>3687135</v>
      </c>
      <c r="W681" s="8">
        <v>38.5</v>
      </c>
      <c r="X681" s="11">
        <f ca="1">IFERROR(__xludf.DUMMYFUNCTION("GOOGLEFINANCE(""BOM:"" &amp; T681,""price"")"),36.58)</f>
        <v>36.58</v>
      </c>
      <c r="Y681" s="8">
        <f t="shared" ca="1" si="230"/>
        <v>-4.9870129870129913</v>
      </c>
      <c r="Z681" s="12">
        <f t="shared" si="231"/>
        <v>141954697.5</v>
      </c>
      <c r="AA681" s="13">
        <f t="shared" ca="1" si="232"/>
        <v>134875398.29999998</v>
      </c>
      <c r="AB681" s="65" t="s">
        <v>2834</v>
      </c>
      <c r="AC681" s="6">
        <v>542012</v>
      </c>
      <c r="AD681" s="6" t="s">
        <v>2835</v>
      </c>
      <c r="AE681" s="7">
        <v>11500000</v>
      </c>
      <c r="AF681" s="8">
        <v>364.85</v>
      </c>
      <c r="AG681" s="6">
        <f ca="1">IFERROR(__xludf.DUMMYFUNCTION("GOOGLEFINANCE(""BOM:"" &amp; AC681,""price"")"),364.4)</f>
        <v>364.4</v>
      </c>
      <c r="AH681" s="8">
        <f t="shared" ca="1" si="208"/>
        <v>-0.12333835822942181</v>
      </c>
      <c r="AI681" s="7">
        <f t="shared" si="209"/>
        <v>4195775000.0000005</v>
      </c>
      <c r="AJ681" s="9">
        <f t="shared" ca="1" si="210"/>
        <v>4190599999.9999995</v>
      </c>
    </row>
    <row r="682" spans="1:36" x14ac:dyDescent="0.25">
      <c r="A682" s="63"/>
      <c r="B682" s="8">
        <v>506530</v>
      </c>
      <c r="C682" s="8" t="s">
        <v>2836</v>
      </c>
      <c r="D682" s="12">
        <v>1063890</v>
      </c>
      <c r="E682" s="8">
        <v>1089.9000000000001</v>
      </c>
      <c r="F682" s="8">
        <f ca="1">IFERROR(__xludf.DUMMYFUNCTION("GOOGLEFINANCE(""BOM:"" &amp; B682,""price"")"),1079.05)</f>
        <v>1079.05</v>
      </c>
      <c r="G682" s="8">
        <f t="shared" ca="1" si="233"/>
        <v>-0.99550417469493857</v>
      </c>
      <c r="H682" s="12">
        <f t="shared" si="228"/>
        <v>1159533711</v>
      </c>
      <c r="I682" s="13">
        <f t="shared" ca="1" si="229"/>
        <v>1147990504.5</v>
      </c>
      <c r="J682" s="63"/>
      <c r="K682" s="8">
        <v>543475</v>
      </c>
      <c r="L682" s="8" t="s">
        <v>2837</v>
      </c>
      <c r="M682" s="12">
        <v>1400000</v>
      </c>
      <c r="N682" s="10">
        <v>129.69999999999999</v>
      </c>
      <c r="O682" s="10">
        <f ca="1">IFERROR(__xludf.DUMMYFUNCTION("GOOGLEFINANCE(""BOM:"" &amp; K682,""price"")"),100)</f>
        <v>100</v>
      </c>
      <c r="P682" s="8">
        <f t="shared" ca="1" si="226"/>
        <v>-22.898997686969924</v>
      </c>
      <c r="Q682" s="12">
        <f t="shared" si="224"/>
        <v>181579999.99999997</v>
      </c>
      <c r="R682" s="13">
        <f t="shared" ca="1" si="225"/>
        <v>140000000</v>
      </c>
      <c r="S682" s="63"/>
      <c r="T682" s="8">
        <v>519421</v>
      </c>
      <c r="U682" s="8" t="s">
        <v>2838</v>
      </c>
      <c r="V682" s="12">
        <v>2928732</v>
      </c>
      <c r="W682" s="8">
        <v>1720</v>
      </c>
      <c r="X682" s="11">
        <f ca="1">IFERROR(__xludf.DUMMYFUNCTION("GOOGLEFINANCE(""BOM:"" &amp; T682,""price"")"),1623)</f>
        <v>1623</v>
      </c>
      <c r="Y682" s="8">
        <f t="shared" ca="1" si="230"/>
        <v>-5.6395348837209296</v>
      </c>
      <c r="Z682" s="12">
        <f t="shared" si="231"/>
        <v>5037419040</v>
      </c>
      <c r="AA682" s="13">
        <f t="shared" ca="1" si="232"/>
        <v>4753332036</v>
      </c>
      <c r="AB682" s="63"/>
      <c r="AC682" s="8">
        <v>539800</v>
      </c>
      <c r="AD682" s="8" t="s">
        <v>2839</v>
      </c>
      <c r="AE682" s="12">
        <v>10032210</v>
      </c>
      <c r="AF682" s="8">
        <v>6.77</v>
      </c>
      <c r="AG682" s="8">
        <f ca="1">IFERROR(__xludf.DUMMYFUNCTION("GOOGLEFINANCE(""BOM:"" &amp; AC682,""price"")"),6.3)</f>
        <v>6.3</v>
      </c>
      <c r="AH682" s="8">
        <f t="shared" ca="1" si="208"/>
        <v>-6.9423929098965997</v>
      </c>
      <c r="AI682" s="12">
        <f t="shared" si="209"/>
        <v>67918061.700000003</v>
      </c>
      <c r="AJ682" s="13">
        <f t="shared" ca="1" si="210"/>
        <v>63202923</v>
      </c>
    </row>
    <row r="683" spans="1:36" x14ac:dyDescent="0.25">
      <c r="A683" s="63"/>
      <c r="B683" s="8">
        <v>503669</v>
      </c>
      <c r="C683" s="8" t="s">
        <v>2840</v>
      </c>
      <c r="D683" s="12">
        <v>5492990</v>
      </c>
      <c r="E683" s="8">
        <v>32.409999999999997</v>
      </c>
      <c r="F683" s="8">
        <f ca="1">IFERROR(__xludf.DUMMYFUNCTION("GOOGLEFINANCE(""BOM:"" &amp; B683,""price"")"),26.07)</f>
        <v>26.07</v>
      </c>
      <c r="G683" s="8">
        <f t="shared" ca="1" si="233"/>
        <v>-19.561863622338773</v>
      </c>
      <c r="H683" s="12">
        <f t="shared" si="228"/>
        <v>178027805.89999998</v>
      </c>
      <c r="I683" s="13">
        <f t="shared" ca="1" si="229"/>
        <v>143202249.30000001</v>
      </c>
      <c r="J683" s="63"/>
      <c r="K683" s="8">
        <v>517477</v>
      </c>
      <c r="L683" s="8" t="s">
        <v>2841</v>
      </c>
      <c r="M683" s="12">
        <v>3877235</v>
      </c>
      <c r="N683" s="10">
        <v>359</v>
      </c>
      <c r="O683" s="10">
        <f ca="1">IFERROR(__xludf.DUMMYFUNCTION("GOOGLEFINANCE(""BOM:"" &amp; K683,""price"")"),330)</f>
        <v>330</v>
      </c>
      <c r="P683" s="8">
        <f t="shared" ca="1" si="226"/>
        <v>-8.0779944289693599</v>
      </c>
      <c r="Q683" s="12">
        <f t="shared" si="224"/>
        <v>1391927365</v>
      </c>
      <c r="R683" s="13">
        <f t="shared" ca="1" si="225"/>
        <v>1279487550</v>
      </c>
      <c r="S683" s="63"/>
      <c r="T683" s="8">
        <v>523475</v>
      </c>
      <c r="U683" s="8" t="s">
        <v>2842</v>
      </c>
      <c r="V683" s="12">
        <v>11856697</v>
      </c>
      <c r="W683" s="8">
        <v>332.05</v>
      </c>
      <c r="X683" s="11">
        <f ca="1">IFERROR(__xludf.DUMMYFUNCTION("GOOGLEFINANCE(""BOM:"" &amp; T683,""price"")"),345)</f>
        <v>345</v>
      </c>
      <c r="Y683" s="8">
        <f t="shared" ca="1" si="230"/>
        <v>3.9000150579731931</v>
      </c>
      <c r="Z683" s="12">
        <f t="shared" si="231"/>
        <v>3937016238.8499999</v>
      </c>
      <c r="AA683" s="13">
        <f t="shared" ca="1" si="232"/>
        <v>4090560465</v>
      </c>
      <c r="AB683" s="63"/>
      <c r="AC683" s="8">
        <v>524522</v>
      </c>
      <c r="AD683" s="8" t="s">
        <v>2843</v>
      </c>
      <c r="AE683" s="12">
        <v>7277740</v>
      </c>
      <c r="AF683" s="8">
        <v>45.15</v>
      </c>
      <c r="AG683" s="8">
        <f ca="1">IFERROR(__xludf.DUMMYFUNCTION("GOOGLEFINANCE(""BOM:"" &amp; AC683,""price"")"),46.52)</f>
        <v>46.52</v>
      </c>
      <c r="AH683" s="8">
        <f t="shared" ca="1" si="208"/>
        <v>3.0343300110742071</v>
      </c>
      <c r="AI683" s="12">
        <f t="shared" si="209"/>
        <v>328589961</v>
      </c>
      <c r="AJ683" s="13">
        <f t="shared" ca="1" si="210"/>
        <v>338560464.80000001</v>
      </c>
    </row>
    <row r="684" spans="1:36" x14ac:dyDescent="0.25">
      <c r="A684" s="63"/>
      <c r="B684" s="8">
        <v>512377</v>
      </c>
      <c r="C684" s="8" t="s">
        <v>2844</v>
      </c>
      <c r="D684" s="12">
        <v>877108</v>
      </c>
      <c r="E684" s="8">
        <v>3.84</v>
      </c>
      <c r="F684" s="8">
        <f ca="1">IFERROR(__xludf.DUMMYFUNCTION("GOOGLEFINANCE(""BOM:"" &amp; B684,""price"")"),3.84)</f>
        <v>3.84</v>
      </c>
      <c r="G684" s="8">
        <f t="shared" ca="1" si="233"/>
        <v>0</v>
      </c>
      <c r="H684" s="12">
        <f t="shared" si="228"/>
        <v>3368094.7199999997</v>
      </c>
      <c r="I684" s="13">
        <f t="shared" ca="1" si="229"/>
        <v>3368094.7199999997</v>
      </c>
      <c r="J684" s="63"/>
      <c r="K684" s="8">
        <v>543533</v>
      </c>
      <c r="L684" s="8" t="s">
        <v>2845</v>
      </c>
      <c r="M684" s="12">
        <v>78072371</v>
      </c>
      <c r="N684" s="10">
        <v>588.1</v>
      </c>
      <c r="O684" s="10">
        <f ca="1">IFERROR(__xludf.DUMMYFUNCTION("GOOGLEFINANCE(""BOM:"" &amp; K684,""price"")"),754.45)</f>
        <v>754.45</v>
      </c>
      <c r="P684" s="8">
        <f t="shared" ca="1" si="226"/>
        <v>28.28600578132971</v>
      </c>
      <c r="Q684" s="12">
        <f t="shared" si="224"/>
        <v>45914361385.099998</v>
      </c>
      <c r="R684" s="13">
        <f t="shared" ca="1" si="225"/>
        <v>58901700300.950005</v>
      </c>
      <c r="S684" s="63"/>
      <c r="T684" s="8">
        <v>519612</v>
      </c>
      <c r="U684" s="8" t="s">
        <v>2846</v>
      </c>
      <c r="V684" s="12">
        <v>3055662</v>
      </c>
      <c r="W684" s="8">
        <v>41</v>
      </c>
      <c r="X684" s="11">
        <f ca="1">IFERROR(__xludf.DUMMYFUNCTION("GOOGLEFINANCE(""BOM:"" &amp; T684,""price"")"),37)</f>
        <v>37</v>
      </c>
      <c r="Y684" s="8">
        <f t="shared" ca="1" si="230"/>
        <v>-9.7560975609756095</v>
      </c>
      <c r="Z684" s="12">
        <f t="shared" si="231"/>
        <v>125282142</v>
      </c>
      <c r="AA684" s="13">
        <f t="shared" ca="1" si="232"/>
        <v>113059494</v>
      </c>
      <c r="AB684" s="63"/>
      <c r="AC684" s="8">
        <v>506734</v>
      </c>
      <c r="AD684" s="8" t="s">
        <v>2847</v>
      </c>
      <c r="AE684" s="12">
        <v>6428738</v>
      </c>
      <c r="AF684" s="8">
        <v>188</v>
      </c>
      <c r="AG684" s="8">
        <f ca="1">IFERROR(__xludf.DUMMYFUNCTION("GOOGLEFINANCE(""BOM:"" &amp; AC684,""price"")"),175.9)</f>
        <v>175.9</v>
      </c>
      <c r="AH684" s="8">
        <f t="shared" ca="1" si="208"/>
        <v>-6.4361702127659539</v>
      </c>
      <c r="AI684" s="12">
        <f t="shared" si="209"/>
        <v>1208602744</v>
      </c>
      <c r="AJ684" s="13">
        <f t="shared" ca="1" si="210"/>
        <v>1130815014.2</v>
      </c>
    </row>
    <row r="685" spans="1:36" x14ac:dyDescent="0.25">
      <c r="A685" s="63"/>
      <c r="B685" s="8">
        <v>500267</v>
      </c>
      <c r="C685" s="8" t="s">
        <v>2848</v>
      </c>
      <c r="D685" s="12">
        <v>10260951</v>
      </c>
      <c r="E685" s="8">
        <v>336.85</v>
      </c>
      <c r="F685" s="8">
        <f ca="1">IFERROR(__xludf.DUMMYFUNCTION("GOOGLEFINANCE(""BOM:"" &amp; B685,""price"")"),296.65)</f>
        <v>296.64999999999998</v>
      </c>
      <c r="G685" s="8">
        <f t="shared" ca="1" si="233"/>
        <v>-11.934095294641544</v>
      </c>
      <c r="H685" s="12">
        <f t="shared" si="228"/>
        <v>3456401344.3500004</v>
      </c>
      <c r="I685" s="13">
        <f t="shared" ca="1" si="229"/>
        <v>3043911114.1499996</v>
      </c>
      <c r="J685" s="63"/>
      <c r="K685" s="8">
        <v>533121</v>
      </c>
      <c r="L685" s="8" t="s">
        <v>2849</v>
      </c>
      <c r="M685" s="12">
        <v>10252481</v>
      </c>
      <c r="N685" s="10">
        <v>1353.95</v>
      </c>
      <c r="O685" s="10">
        <f ca="1">IFERROR(__xludf.DUMMYFUNCTION("GOOGLEFINANCE(""BOM:"" &amp; K685,""price"")"),1210)</f>
        <v>1210</v>
      </c>
      <c r="P685" s="8">
        <f t="shared" ca="1" si="226"/>
        <v>-10.63185494294472</v>
      </c>
      <c r="Q685" s="12">
        <f t="shared" si="224"/>
        <v>13881346649.950001</v>
      </c>
      <c r="R685" s="13">
        <f t="shared" ca="1" si="225"/>
        <v>12405502010</v>
      </c>
      <c r="S685" s="63"/>
      <c r="T685" s="8">
        <v>539594</v>
      </c>
      <c r="U685" s="8" t="s">
        <v>2850</v>
      </c>
      <c r="V685" s="12">
        <v>999946451</v>
      </c>
      <c r="W685" s="8">
        <v>21.03</v>
      </c>
      <c r="X685" s="11">
        <f ca="1">IFERROR(__xludf.DUMMYFUNCTION("GOOGLEFINANCE(""BOM:"" &amp; T685,""price"")"),17.58)</f>
        <v>17.579999999999998</v>
      </c>
      <c r="Y685" s="8">
        <f t="shared" ca="1" si="230"/>
        <v>-16.405135520684748</v>
      </c>
      <c r="Z685" s="12">
        <f t="shared" si="231"/>
        <v>21028873864.530003</v>
      </c>
      <c r="AA685" s="13">
        <f t="shared" ca="1" si="232"/>
        <v>17579058608.579998</v>
      </c>
      <c r="AB685" s="63"/>
      <c r="AC685" s="8">
        <v>542232</v>
      </c>
      <c r="AD685" s="8" t="s">
        <v>2851</v>
      </c>
      <c r="AE685" s="12">
        <v>21322260</v>
      </c>
      <c r="AF685" s="8">
        <v>133.65</v>
      </c>
      <c r="AG685" s="8">
        <f ca="1">IFERROR(__xludf.DUMMYFUNCTION("GOOGLEFINANCE(""BOM:"" &amp; AC685,""price"")"),103)</f>
        <v>103</v>
      </c>
      <c r="AH685" s="8">
        <f t="shared" ca="1" si="208"/>
        <v>-22.93303404414516</v>
      </c>
      <c r="AI685" s="12">
        <f t="shared" si="209"/>
        <v>2849720049</v>
      </c>
      <c r="AJ685" s="13">
        <f t="shared" ca="1" si="210"/>
        <v>2196192780</v>
      </c>
    </row>
    <row r="686" spans="1:36" x14ac:dyDescent="0.25">
      <c r="A686" s="63"/>
      <c r="B686" s="8">
        <v>532105</v>
      </c>
      <c r="C686" s="8" t="s">
        <v>2852</v>
      </c>
      <c r="D686" s="12">
        <v>950760</v>
      </c>
      <c r="E686" s="8">
        <v>8.8699999999999992</v>
      </c>
      <c r="F686" s="8">
        <f ca="1">IFERROR(__xludf.DUMMYFUNCTION("GOOGLEFINANCE(""BOM:"" &amp; B686,""price"")"),8.87)</f>
        <v>8.8699999999999992</v>
      </c>
      <c r="G686" s="8">
        <f t="shared" ca="1" si="233"/>
        <v>0</v>
      </c>
      <c r="H686" s="12">
        <f t="shared" si="228"/>
        <v>8433241.1999999993</v>
      </c>
      <c r="I686" s="13">
        <f t="shared" ca="1" si="229"/>
        <v>8433241.1999999993</v>
      </c>
      <c r="J686" s="63"/>
      <c r="K686" s="8">
        <v>532666</v>
      </c>
      <c r="L686" s="8" t="s">
        <v>2853</v>
      </c>
      <c r="M686" s="12">
        <v>1709553100</v>
      </c>
      <c r="N686" s="10">
        <v>4.9400000000000004</v>
      </c>
      <c r="O686" s="10">
        <f ca="1">IFERROR(__xludf.DUMMYFUNCTION("GOOGLEFINANCE(""BOM:"" &amp; K686,""price"")"),3.66)</f>
        <v>3.66</v>
      </c>
      <c r="P686" s="8">
        <f t="shared" ca="1" si="226"/>
        <v>-25.910931174089068</v>
      </c>
      <c r="Q686" s="12">
        <f t="shared" si="224"/>
        <v>8445192314.000001</v>
      </c>
      <c r="R686" s="13">
        <f t="shared" ca="1" si="225"/>
        <v>6256964346</v>
      </c>
      <c r="S686" s="63"/>
      <c r="T686" s="8">
        <v>519287</v>
      </c>
      <c r="U686" s="8" t="s">
        <v>2854</v>
      </c>
      <c r="V686" s="12">
        <v>21593984</v>
      </c>
      <c r="W686" s="8">
        <v>33.299999999999997</v>
      </c>
      <c r="X686" s="11">
        <f ca="1">IFERROR(__xludf.DUMMYFUNCTION("GOOGLEFINANCE(""BOM:"" &amp; T686,""price"")"),30.23)</f>
        <v>30.23</v>
      </c>
      <c r="Y686" s="8">
        <f t="shared" ca="1" si="230"/>
        <v>-9.2192192192192106</v>
      </c>
      <c r="Z686" s="12">
        <f t="shared" si="231"/>
        <v>719079667.19999993</v>
      </c>
      <c r="AA686" s="13">
        <f t="shared" ca="1" si="232"/>
        <v>652786136.32000005</v>
      </c>
      <c r="AB686" s="63"/>
      <c r="AC686" s="8">
        <v>500429</v>
      </c>
      <c r="AD686" s="8" t="s">
        <v>2855</v>
      </c>
      <c r="AE686" s="12">
        <v>69116815</v>
      </c>
      <c r="AF686" s="8">
        <v>140.6</v>
      </c>
      <c r="AG686" s="8">
        <f ca="1">IFERROR(__xludf.DUMMYFUNCTION("GOOGLEFINANCE(""BOM:"" &amp; AC686,""price"")"),134.3)</f>
        <v>134.30000000000001</v>
      </c>
      <c r="AH686" s="8">
        <f t="shared" ca="1" si="208"/>
        <v>-4.4807965860597321</v>
      </c>
      <c r="AI686" s="12">
        <f t="shared" si="209"/>
        <v>9717824189</v>
      </c>
      <c r="AJ686" s="13">
        <f t="shared" ca="1" si="210"/>
        <v>9282388254.5</v>
      </c>
    </row>
    <row r="687" spans="1:36" x14ac:dyDescent="0.25">
      <c r="A687" s="63"/>
      <c r="B687" s="8">
        <v>538942</v>
      </c>
      <c r="C687" s="8" t="s">
        <v>2856</v>
      </c>
      <c r="D687" s="12">
        <v>102441390</v>
      </c>
      <c r="E687" s="8">
        <v>24</v>
      </c>
      <c r="F687" s="8">
        <f ca="1">IFERROR(__xludf.DUMMYFUNCTION("GOOGLEFINANCE(""BOM:"" &amp; B687,""price"")"),20.55)</f>
        <v>20.55</v>
      </c>
      <c r="G687" s="8">
        <f t="shared" ca="1" si="233"/>
        <v>-14.374999999999996</v>
      </c>
      <c r="H687" s="12">
        <f t="shared" si="228"/>
        <v>2458593360</v>
      </c>
      <c r="I687" s="13">
        <f t="shared" ca="1" si="229"/>
        <v>2105170564.5</v>
      </c>
      <c r="J687" s="63"/>
      <c r="K687" s="8">
        <v>532809</v>
      </c>
      <c r="L687" s="8" t="s">
        <v>2857</v>
      </c>
      <c r="M687" s="12">
        <v>696989697</v>
      </c>
      <c r="N687" s="10">
        <v>205.45</v>
      </c>
      <c r="O687" s="10">
        <f ca="1">IFERROR(__xludf.DUMMYFUNCTION("GOOGLEFINANCE(""BOM:"" &amp; K687,""price"")"),197.9)</f>
        <v>197.9</v>
      </c>
      <c r="P687" s="8">
        <f t="shared" ca="1" si="226"/>
        <v>-3.6748600632757285</v>
      </c>
      <c r="Q687" s="12">
        <f t="shared" si="224"/>
        <v>143196533248.64999</v>
      </c>
      <c r="R687" s="13">
        <f t="shared" ca="1" si="225"/>
        <v>137934261036.30002</v>
      </c>
      <c r="S687" s="63"/>
      <c r="T687" s="8">
        <v>519506</v>
      </c>
      <c r="U687" s="8" t="s">
        <v>2858</v>
      </c>
      <c r="V687" s="12">
        <v>3488845</v>
      </c>
      <c r="W687" s="8">
        <v>11.49</v>
      </c>
      <c r="X687" s="11">
        <f ca="1">IFERROR(__xludf.DUMMYFUNCTION("GOOGLEFINANCE(""BOM:"" &amp; T687,""price"")"),11.15)</f>
        <v>11.15</v>
      </c>
      <c r="Y687" s="8">
        <f t="shared" ca="1" si="230"/>
        <v>-2.9590948651000857</v>
      </c>
      <c r="Z687" s="12">
        <f t="shared" si="231"/>
        <v>40086829.049999997</v>
      </c>
      <c r="AA687" s="13">
        <f t="shared" ca="1" si="232"/>
        <v>38900621.75</v>
      </c>
      <c r="AB687" s="63"/>
      <c r="AC687" s="8">
        <v>524129</v>
      </c>
      <c r="AD687" s="8" t="s">
        <v>2859</v>
      </c>
      <c r="AE687" s="12">
        <v>17641655</v>
      </c>
      <c r="AF687" s="8">
        <v>386.55</v>
      </c>
      <c r="AG687" s="8">
        <f ca="1">IFERROR(__xludf.DUMMYFUNCTION("GOOGLEFINANCE(""BOM:"" &amp; AC687,""price"")"),317.45)</f>
        <v>317.45</v>
      </c>
      <c r="AH687" s="8">
        <f t="shared" ca="1" si="208"/>
        <v>-17.876083300995997</v>
      </c>
      <c r="AI687" s="12">
        <f t="shared" si="209"/>
        <v>6819381740.25</v>
      </c>
      <c r="AJ687" s="13">
        <f t="shared" ca="1" si="210"/>
        <v>5600343379.75</v>
      </c>
    </row>
    <row r="688" spans="1:36" x14ac:dyDescent="0.25">
      <c r="A688" s="63"/>
      <c r="B688" s="8">
        <v>512415</v>
      </c>
      <c r="C688" s="8" t="s">
        <v>2860</v>
      </c>
      <c r="D688" s="12">
        <v>190600</v>
      </c>
      <c r="E688" s="8">
        <v>3.1</v>
      </c>
      <c r="F688" s="8">
        <f ca="1">IFERROR(__xludf.DUMMYFUNCTION("GOOGLEFINANCE(""BOM:"" &amp; B688,""price"")"),3.1)</f>
        <v>3.1</v>
      </c>
      <c r="G688" s="8">
        <f t="shared" ca="1" si="233"/>
        <v>0</v>
      </c>
      <c r="H688" s="12">
        <f t="shared" si="228"/>
        <v>590860</v>
      </c>
      <c r="I688" s="13">
        <f t="shared" ca="1" si="229"/>
        <v>590860</v>
      </c>
      <c r="J688" s="63"/>
      <c r="K688" s="8">
        <v>506109</v>
      </c>
      <c r="L688" s="8" t="s">
        <v>2861</v>
      </c>
      <c r="M688" s="12">
        <v>31340674</v>
      </c>
      <c r="N688" s="10">
        <v>594.1</v>
      </c>
      <c r="O688" s="10">
        <f ca="1">IFERROR(__xludf.DUMMYFUNCTION("GOOGLEFINANCE(""BOM:"" &amp; K688,""price"")"),596)</f>
        <v>596</v>
      </c>
      <c r="P688" s="8">
        <f t="shared" ca="1" si="226"/>
        <v>0.31981147954889366</v>
      </c>
      <c r="Q688" s="12">
        <f t="shared" si="224"/>
        <v>18619494423.400002</v>
      </c>
      <c r="R688" s="13">
        <f t="shared" ca="1" si="225"/>
        <v>18679041704</v>
      </c>
      <c r="S688" s="63"/>
      <c r="T688" s="8">
        <v>500790</v>
      </c>
      <c r="U688" s="8" t="s">
        <v>2862</v>
      </c>
      <c r="V688" s="12">
        <v>960465100</v>
      </c>
      <c r="W688" s="8">
        <v>2599.65</v>
      </c>
      <c r="X688" s="11">
        <f ca="1">IFERROR(__xludf.DUMMYFUNCTION("GOOGLEFINANCE(""BOM:"" &amp; T688,""price"")"),2623.3)</f>
        <v>2623.3</v>
      </c>
      <c r="Y688" s="8">
        <f t="shared" ca="1" si="230"/>
        <v>0.90973784932587431</v>
      </c>
      <c r="Z688" s="12">
        <f t="shared" si="231"/>
        <v>2496873097215</v>
      </c>
      <c r="AA688" s="13">
        <f t="shared" ca="1" si="232"/>
        <v>2519588096830</v>
      </c>
      <c r="AB688" s="64"/>
      <c r="AC688" s="14">
        <v>539939</v>
      </c>
      <c r="AD688" s="14" t="s">
        <v>2863</v>
      </c>
      <c r="AE688" s="15">
        <v>10243425</v>
      </c>
      <c r="AF688" s="14">
        <v>66.39</v>
      </c>
      <c r="AG688" s="14">
        <f ca="1">IFERROR(__xludf.DUMMYFUNCTION("GOOGLEFINANCE(""BOM:"" &amp; AC688,""price"")"),56.01)</f>
        <v>56.01</v>
      </c>
      <c r="AH688" s="14">
        <f t="shared" ca="1" si="208"/>
        <v>-15.634884771802987</v>
      </c>
      <c r="AI688" s="15">
        <f t="shared" si="209"/>
        <v>680060985.75</v>
      </c>
      <c r="AJ688" s="16">
        <f t="shared" ca="1" si="210"/>
        <v>573734234.25</v>
      </c>
    </row>
    <row r="689" spans="1:36" x14ac:dyDescent="0.25">
      <c r="A689" s="63"/>
      <c r="B689" s="8">
        <v>511187</v>
      </c>
      <c r="C689" s="8" t="s">
        <v>2864</v>
      </c>
      <c r="D689" s="12">
        <v>42801675</v>
      </c>
      <c r="E689" s="8">
        <v>1.94</v>
      </c>
      <c r="F689" s="8">
        <f ca="1">IFERROR(__xludf.DUMMYFUNCTION("GOOGLEFINANCE(""BOM:"" &amp; B689,""price"")"),1.83)</f>
        <v>1.83</v>
      </c>
      <c r="G689" s="8">
        <f t="shared" ca="1" si="233"/>
        <v>-5.6701030927834992</v>
      </c>
      <c r="H689" s="12">
        <f t="shared" si="228"/>
        <v>83035249.5</v>
      </c>
      <c r="I689" s="13">
        <f t="shared" ca="1" si="229"/>
        <v>78327065.25</v>
      </c>
      <c r="J689" s="63"/>
      <c r="K689" s="8">
        <v>532951</v>
      </c>
      <c r="L689" s="8" t="s">
        <v>2865</v>
      </c>
      <c r="M689" s="12">
        <v>16586842</v>
      </c>
      <c r="N689" s="10">
        <v>185.25</v>
      </c>
      <c r="O689" s="10">
        <f ca="1">IFERROR(__xludf.DUMMYFUNCTION("GOOGLEFINANCE(""BOM:"" &amp; K689,""price"")"),125.5)</f>
        <v>125.5</v>
      </c>
      <c r="P689" s="8">
        <f t="shared" ca="1" si="226"/>
        <v>-32.253711201079618</v>
      </c>
      <c r="Q689" s="12">
        <f t="shared" si="224"/>
        <v>3072712480.5</v>
      </c>
      <c r="R689" s="13">
        <f t="shared" ca="1" si="225"/>
        <v>2081648671</v>
      </c>
      <c r="S689" s="63"/>
      <c r="T689" s="8">
        <v>541418</v>
      </c>
      <c r="U689" s="8" t="s">
        <v>2866</v>
      </c>
      <c r="V689" s="12">
        <v>11134500</v>
      </c>
      <c r="W689" s="8">
        <v>50.27</v>
      </c>
      <c r="X689" s="11">
        <f ca="1">IFERROR(__xludf.DUMMYFUNCTION("GOOGLEFINANCE(""BOM:"" &amp; T689,""price"")"),50.34)</f>
        <v>50.34</v>
      </c>
      <c r="Y689" s="8">
        <f t="shared" ca="1" si="230"/>
        <v>0.13924806047344396</v>
      </c>
      <c r="Z689" s="12">
        <f t="shared" si="231"/>
        <v>559731315</v>
      </c>
      <c r="AA689" s="13">
        <f t="shared" ca="1" si="232"/>
        <v>560510730</v>
      </c>
      <c r="AB689" s="65" t="s">
        <v>2867</v>
      </c>
      <c r="AC689" s="6">
        <v>512165</v>
      </c>
      <c r="AD689" s="6" t="s">
        <v>2868</v>
      </c>
      <c r="AE689" s="7">
        <v>13598415</v>
      </c>
      <c r="AF689" s="8">
        <v>139.9</v>
      </c>
      <c r="AG689" s="8">
        <f ca="1">IFERROR(__xludf.DUMMYFUNCTION("GOOGLEFINANCE(""BOM:"" &amp; AC689,""price"")"),115.9)</f>
        <v>115.9</v>
      </c>
      <c r="AH689" s="8">
        <f t="shared" ca="1" si="208"/>
        <v>-17.155110793423873</v>
      </c>
      <c r="AI689" s="7">
        <f t="shared" si="209"/>
        <v>1902418258.5</v>
      </c>
      <c r="AJ689" s="9">
        <f t="shared" ca="1" si="210"/>
        <v>1576056298.5</v>
      </c>
    </row>
    <row r="690" spans="1:36" x14ac:dyDescent="0.25">
      <c r="A690" s="63"/>
      <c r="B690" s="8">
        <v>512153</v>
      </c>
      <c r="C690" s="8" t="s">
        <v>2869</v>
      </c>
      <c r="D690" s="12">
        <v>808300</v>
      </c>
      <c r="E690" s="8">
        <v>2.2000000000000002</v>
      </c>
      <c r="F690" s="8">
        <f ca="1">IFERROR(__xludf.DUMMYFUNCTION("GOOGLEFINANCE(""BOM:"" &amp; B690,""price"")"),2.92)</f>
        <v>2.92</v>
      </c>
      <c r="G690" s="8">
        <v>0</v>
      </c>
      <c r="H690" s="12">
        <f t="shared" si="228"/>
        <v>1778260.0000000002</v>
      </c>
      <c r="I690" s="13">
        <f t="shared" ca="1" si="229"/>
        <v>2360236</v>
      </c>
      <c r="J690" s="63"/>
      <c r="K690" s="8">
        <v>532761</v>
      </c>
      <c r="L690" s="8" t="s">
        <v>2870</v>
      </c>
      <c r="M690" s="12">
        <v>12527380</v>
      </c>
      <c r="N690" s="10">
        <v>62.7</v>
      </c>
      <c r="O690" s="10">
        <f ca="1">IFERROR(__xludf.DUMMYFUNCTION("GOOGLEFINANCE(""BOM:"" &amp; K690,""price"")"),56.7)</f>
        <v>56.7</v>
      </c>
      <c r="P690" s="8">
        <f t="shared" ca="1" si="226"/>
        <v>-9.5693779904306222</v>
      </c>
      <c r="Q690" s="12">
        <f t="shared" si="224"/>
        <v>785466726</v>
      </c>
      <c r="R690" s="13">
        <f t="shared" ca="1" si="225"/>
        <v>710302446</v>
      </c>
      <c r="S690" s="63"/>
      <c r="T690" s="8">
        <v>540648</v>
      </c>
      <c r="U690" s="8" t="s">
        <v>2871</v>
      </c>
      <c r="V690" s="12">
        <v>9959397</v>
      </c>
      <c r="W690" s="8">
        <v>116.5</v>
      </c>
      <c r="X690" s="11">
        <f ca="1">IFERROR(__xludf.DUMMYFUNCTION("GOOGLEFINANCE(""BOM:"" &amp; T690,""price"")"),120.35)</f>
        <v>120.35</v>
      </c>
      <c r="Y690" s="8">
        <f t="shared" ca="1" si="230"/>
        <v>3.3047210300429133</v>
      </c>
      <c r="Z690" s="12">
        <f t="shared" si="231"/>
        <v>1160269750.5</v>
      </c>
      <c r="AA690" s="13">
        <f t="shared" ca="1" si="232"/>
        <v>1198613428.95</v>
      </c>
      <c r="AB690" s="63"/>
      <c r="AC690" s="8">
        <v>539011</v>
      </c>
      <c r="AD690" s="8" t="s">
        <v>2872</v>
      </c>
      <c r="AE690" s="12">
        <v>3550631</v>
      </c>
      <c r="AF690" s="8">
        <v>126.9</v>
      </c>
      <c r="AG690" s="8">
        <f ca="1">IFERROR(__xludf.DUMMYFUNCTION("GOOGLEFINANCE(""BOM:"" &amp; AC690,""price"")"),107.45)</f>
        <v>107.45</v>
      </c>
      <c r="AH690" s="8">
        <f t="shared" ca="1" si="208"/>
        <v>-15.327029156816394</v>
      </c>
      <c r="AI690" s="12">
        <f t="shared" si="209"/>
        <v>450575073.90000004</v>
      </c>
      <c r="AJ690" s="13">
        <f t="shared" ca="1" si="210"/>
        <v>381515300.94999999</v>
      </c>
    </row>
    <row r="691" spans="1:36" x14ac:dyDescent="0.25">
      <c r="A691" s="63"/>
      <c r="B691" s="8">
        <v>501343</v>
      </c>
      <c r="C691" s="8" t="s">
        <v>2873</v>
      </c>
      <c r="D691" s="12">
        <v>36829822</v>
      </c>
      <c r="E691" s="8">
        <v>38.049999999999997</v>
      </c>
      <c r="F691" s="8">
        <f ca="1">IFERROR(__xludf.DUMMYFUNCTION("GOOGLEFINANCE(""BOM:"" &amp; B691,""price"")"),30.5)</f>
        <v>30.5</v>
      </c>
      <c r="G691" s="8">
        <f t="shared" ref="G691:G696" ca="1" si="234">((F691-E691)/E691)*100</f>
        <v>-19.84231274638633</v>
      </c>
      <c r="H691" s="12">
        <f t="shared" si="228"/>
        <v>1401374727.0999999</v>
      </c>
      <c r="I691" s="13">
        <f t="shared" ca="1" si="229"/>
        <v>1123309571</v>
      </c>
      <c r="J691" s="63"/>
      <c r="K691" s="8">
        <v>539807</v>
      </c>
      <c r="L691" s="8" t="s">
        <v>2874</v>
      </c>
      <c r="M691" s="12">
        <v>2674432662</v>
      </c>
      <c r="N691" s="10">
        <v>36.25</v>
      </c>
      <c r="O691" s="10">
        <f ca="1">IFERROR(__xludf.DUMMYFUNCTION("GOOGLEFINANCE(""BOM:"" &amp; K691,""price"")"),34.12)</f>
        <v>34.119999999999997</v>
      </c>
      <c r="P691" s="8">
        <f t="shared" ca="1" si="226"/>
        <v>-5.8758620689655237</v>
      </c>
      <c r="Q691" s="12">
        <f t="shared" si="224"/>
        <v>96948183997.5</v>
      </c>
      <c r="R691" s="13">
        <f t="shared" ca="1" si="225"/>
        <v>91251642427.439987</v>
      </c>
      <c r="S691" s="63"/>
      <c r="T691" s="8">
        <v>526345</v>
      </c>
      <c r="U691" s="8" t="s">
        <v>2875</v>
      </c>
      <c r="V691" s="12">
        <v>13394337</v>
      </c>
      <c r="W691" s="8">
        <v>18.62</v>
      </c>
      <c r="X691" s="11">
        <f ca="1">IFERROR(__xludf.DUMMYFUNCTION("GOOGLEFINANCE(""BOM:"" &amp; T691,""price"")"),19.13)</f>
        <v>19.13</v>
      </c>
      <c r="Y691" s="8">
        <f t="shared" ca="1" si="230"/>
        <v>2.7389903329752845</v>
      </c>
      <c r="Z691" s="12">
        <f t="shared" si="231"/>
        <v>249402554.94000003</v>
      </c>
      <c r="AA691" s="13">
        <f t="shared" ca="1" si="232"/>
        <v>256233666.80999997</v>
      </c>
      <c r="AB691" s="63"/>
      <c r="AC691" s="8">
        <v>506180</v>
      </c>
      <c r="AD691" s="8" t="s">
        <v>2876</v>
      </c>
      <c r="AE691" s="12">
        <v>4568950</v>
      </c>
      <c r="AF691" s="8">
        <v>90.25</v>
      </c>
      <c r="AG691" s="8">
        <f ca="1">IFERROR(__xludf.DUMMYFUNCTION("GOOGLEFINANCE(""BOM:"" &amp; AC691,""price"")"),90.25)</f>
        <v>90.25</v>
      </c>
      <c r="AH691" s="8">
        <f t="shared" ca="1" si="208"/>
        <v>0</v>
      </c>
      <c r="AI691" s="12">
        <f t="shared" si="209"/>
        <v>412347737.5</v>
      </c>
      <c r="AJ691" s="13">
        <f t="shared" ca="1" si="210"/>
        <v>412347737.5</v>
      </c>
    </row>
    <row r="692" spans="1:36" x14ac:dyDescent="0.25">
      <c r="A692" s="63"/>
      <c r="B692" s="8">
        <v>505594</v>
      </c>
      <c r="C692" s="8" t="s">
        <v>2877</v>
      </c>
      <c r="D692" s="12">
        <v>1660550</v>
      </c>
      <c r="E692" s="8">
        <v>32.799999999999997</v>
      </c>
      <c r="F692" s="8">
        <f ca="1">IFERROR(__xludf.DUMMYFUNCTION("GOOGLEFINANCE(""BOM:"" &amp; B692,""price"")"),32.8)</f>
        <v>32.799999999999997</v>
      </c>
      <c r="G692" s="8">
        <f t="shared" ca="1" si="234"/>
        <v>0</v>
      </c>
      <c r="H692" s="12">
        <f t="shared" si="228"/>
        <v>54466039.999999993</v>
      </c>
      <c r="I692" s="13">
        <f t="shared" ca="1" si="229"/>
        <v>54466039.999999993</v>
      </c>
      <c r="J692" s="63"/>
      <c r="K692" s="8">
        <v>532774</v>
      </c>
      <c r="L692" s="8" t="s">
        <v>2878</v>
      </c>
      <c r="M692" s="12">
        <v>39577767</v>
      </c>
      <c r="N692" s="10">
        <v>107.25</v>
      </c>
      <c r="O692" s="10">
        <f ca="1">IFERROR(__xludf.DUMMYFUNCTION("GOOGLEFINANCE(""BOM:"" &amp; K692,""price"")"),105)</f>
        <v>105</v>
      </c>
      <c r="P692" s="8">
        <f t="shared" ca="1" si="226"/>
        <v>-2.0979020979020979</v>
      </c>
      <c r="Q692" s="12">
        <f t="shared" si="224"/>
        <v>4244715510.75</v>
      </c>
      <c r="R692" s="13">
        <f t="shared" ca="1" si="225"/>
        <v>4155665535</v>
      </c>
      <c r="S692" s="63"/>
      <c r="T692" s="8">
        <v>530617</v>
      </c>
      <c r="U692" s="8" t="s">
        <v>2879</v>
      </c>
      <c r="V692" s="12">
        <v>4272398</v>
      </c>
      <c r="W692" s="8">
        <v>68.5</v>
      </c>
      <c r="X692" s="11">
        <f ca="1">IFERROR(__xludf.DUMMYFUNCTION("GOOGLEFINANCE(""BOM:"" &amp; T692,""price"")"),68.25)</f>
        <v>68.25</v>
      </c>
      <c r="Y692" s="8">
        <f t="shared" ca="1" si="230"/>
        <v>-0.36496350364963503</v>
      </c>
      <c r="Z692" s="12">
        <f t="shared" si="231"/>
        <v>292659263</v>
      </c>
      <c r="AA692" s="13">
        <f t="shared" ca="1" si="232"/>
        <v>291591163.5</v>
      </c>
      <c r="AB692" s="63"/>
      <c r="AC692" s="8">
        <v>505693</v>
      </c>
      <c r="AD692" s="8" t="s">
        <v>2880</v>
      </c>
      <c r="AE692" s="12">
        <v>85523300</v>
      </c>
      <c r="AF692" s="8">
        <v>17.59</v>
      </c>
      <c r="AG692" s="8">
        <f ca="1">IFERROR(__xludf.DUMMYFUNCTION("GOOGLEFINANCE(""BOM:"" &amp; AC692,""price"")"),16.5)</f>
        <v>16.5</v>
      </c>
      <c r="AH692" s="8">
        <f t="shared" ca="1" si="208"/>
        <v>-6.1967026719727114</v>
      </c>
      <c r="AI692" s="12">
        <f t="shared" si="209"/>
        <v>1504354847</v>
      </c>
      <c r="AJ692" s="13">
        <f t="shared" ca="1" si="210"/>
        <v>1411134450</v>
      </c>
    </row>
    <row r="693" spans="1:36" x14ac:dyDescent="0.25">
      <c r="A693" s="63"/>
      <c r="B693" s="8">
        <v>505355</v>
      </c>
      <c r="C693" s="8" t="s">
        <v>2881</v>
      </c>
      <c r="D693" s="12">
        <v>69356820</v>
      </c>
      <c r="E693" s="8">
        <v>862.1</v>
      </c>
      <c r="F693" s="8">
        <f ca="1">IFERROR(__xludf.DUMMYFUNCTION("GOOGLEFINANCE(""BOM:"" &amp; B693,""price"")"),833.6)</f>
        <v>833.6</v>
      </c>
      <c r="G693" s="8">
        <f t="shared" ca="1" si="234"/>
        <v>-3.3058809882844216</v>
      </c>
      <c r="H693" s="12">
        <f t="shared" si="228"/>
        <v>59792514522</v>
      </c>
      <c r="I693" s="13">
        <f t="shared" ca="1" si="229"/>
        <v>57815845152</v>
      </c>
      <c r="J693" s="63"/>
      <c r="K693" s="8">
        <v>536868</v>
      </c>
      <c r="L693" s="8" t="s">
        <v>2882</v>
      </c>
      <c r="M693" s="12">
        <v>10166660</v>
      </c>
      <c r="N693" s="10">
        <v>10</v>
      </c>
      <c r="O693" s="10">
        <f ca="1">IFERROR(__xludf.DUMMYFUNCTION("GOOGLEFINANCE(""BOM:"" &amp; K693,""price"")"),8.36)</f>
        <v>8.36</v>
      </c>
      <c r="P693" s="8">
        <f t="shared" ca="1" si="226"/>
        <v>-16.400000000000006</v>
      </c>
      <c r="Q693" s="12">
        <f t="shared" si="224"/>
        <v>101666600</v>
      </c>
      <c r="R693" s="13">
        <f t="shared" ca="1" si="225"/>
        <v>84993277.599999994</v>
      </c>
      <c r="S693" s="63"/>
      <c r="T693" s="8">
        <v>526081</v>
      </c>
      <c r="U693" s="8" t="s">
        <v>2883</v>
      </c>
      <c r="V693" s="12">
        <v>2973100</v>
      </c>
      <c r="W693" s="8">
        <v>14.39</v>
      </c>
      <c r="X693" s="11">
        <f ca="1">IFERROR(__xludf.DUMMYFUNCTION("GOOGLEFINANCE(""BOM:"" &amp; T693,""price"")"),13.32)</f>
        <v>13.32</v>
      </c>
      <c r="Y693" s="8">
        <f t="shared" ca="1" si="230"/>
        <v>-7.4357192494788062</v>
      </c>
      <c r="Z693" s="12">
        <f t="shared" si="231"/>
        <v>42782909</v>
      </c>
      <c r="AA693" s="13">
        <f t="shared" ca="1" si="232"/>
        <v>39601692</v>
      </c>
      <c r="AB693" s="63"/>
      <c r="AC693" s="8">
        <v>531667</v>
      </c>
      <c r="AD693" s="8" t="s">
        <v>2884</v>
      </c>
      <c r="AE693" s="12">
        <v>7040428</v>
      </c>
      <c r="AF693" s="8">
        <v>46.2</v>
      </c>
      <c r="AG693" s="8">
        <f ca="1">IFERROR(__xludf.DUMMYFUNCTION("GOOGLEFINANCE(""BOM:"" &amp; AC693,""price"")"),46)</f>
        <v>46</v>
      </c>
      <c r="AH693" s="8">
        <f t="shared" ca="1" si="208"/>
        <v>-0.43290043290043906</v>
      </c>
      <c r="AI693" s="12">
        <f t="shared" si="209"/>
        <v>325267773.60000002</v>
      </c>
      <c r="AJ693" s="13">
        <f t="shared" ca="1" si="210"/>
        <v>323859688</v>
      </c>
    </row>
    <row r="694" spans="1:36" x14ac:dyDescent="0.25">
      <c r="A694" s="63"/>
      <c r="B694" s="8">
        <v>500307</v>
      </c>
      <c r="C694" s="8" t="s">
        <v>2885</v>
      </c>
      <c r="D694" s="12">
        <v>87596191</v>
      </c>
      <c r="E694" s="8">
        <v>431.4</v>
      </c>
      <c r="F694" s="8">
        <f ca="1">IFERROR(__xludf.DUMMYFUNCTION("GOOGLEFINANCE(""BOM:"" &amp; B694,""price"")"),426.5)</f>
        <v>426.5</v>
      </c>
      <c r="G694" s="8">
        <f t="shared" ca="1" si="234"/>
        <v>-1.1358368103847885</v>
      </c>
      <c r="H694" s="12">
        <f t="shared" si="228"/>
        <v>37788996797.400002</v>
      </c>
      <c r="I694" s="13">
        <f t="shared" ca="1" si="229"/>
        <v>37359775461.5</v>
      </c>
      <c r="J694" s="63"/>
      <c r="K694" s="8">
        <v>540735</v>
      </c>
      <c r="L694" s="8" t="s">
        <v>2886</v>
      </c>
      <c r="M694" s="12">
        <v>18821892</v>
      </c>
      <c r="N694" s="10">
        <v>129.85</v>
      </c>
      <c r="O694" s="10">
        <f ca="1">IFERROR(__xludf.DUMMYFUNCTION("GOOGLEFINANCE(""BOM:"" &amp; K694,""price"")"),114.5)</f>
        <v>114.5</v>
      </c>
      <c r="P694" s="8">
        <f t="shared" ca="1" si="226"/>
        <v>-11.821332306507506</v>
      </c>
      <c r="Q694" s="12">
        <f t="shared" si="224"/>
        <v>2444022676.1999998</v>
      </c>
      <c r="R694" s="13">
        <f t="shared" ca="1" si="225"/>
        <v>2155106634</v>
      </c>
      <c r="S694" s="63"/>
      <c r="T694" s="8">
        <v>519031</v>
      </c>
      <c r="U694" s="8" t="s">
        <v>2887</v>
      </c>
      <c r="V694" s="12">
        <v>509485</v>
      </c>
      <c r="W694" s="8">
        <v>190.3</v>
      </c>
      <c r="X694" s="11">
        <f ca="1">IFERROR(__xludf.DUMMYFUNCTION("GOOGLEFINANCE(""BOM:"" &amp; T694,""price"")"),244.5)</f>
        <v>244.5</v>
      </c>
      <c r="Y694" s="8">
        <f t="shared" ca="1" si="230"/>
        <v>28.481345244351019</v>
      </c>
      <c r="Z694" s="12">
        <f t="shared" si="231"/>
        <v>96954995.5</v>
      </c>
      <c r="AA694" s="13">
        <f t="shared" ca="1" si="232"/>
        <v>124569082.5</v>
      </c>
      <c r="AB694" s="64"/>
      <c r="AC694" s="14">
        <v>511736</v>
      </c>
      <c r="AD694" s="14" t="s">
        <v>2888</v>
      </c>
      <c r="AE694" s="15">
        <v>293694280</v>
      </c>
      <c r="AF694" s="14">
        <v>1.49</v>
      </c>
      <c r="AG694" s="14">
        <f ca="1">IFERROR(__xludf.DUMMYFUNCTION("GOOGLEFINANCE(""BOM:"" &amp; AC694,""price"")"),1.32)</f>
        <v>1.32</v>
      </c>
      <c r="AH694" s="14">
        <f t="shared" ca="1" si="208"/>
        <v>-11.409395973154357</v>
      </c>
      <c r="AI694" s="15">
        <f t="shared" si="209"/>
        <v>437604477.19999999</v>
      </c>
      <c r="AJ694" s="16">
        <f t="shared" ca="1" si="210"/>
        <v>387676449.60000002</v>
      </c>
    </row>
    <row r="695" spans="1:36" x14ac:dyDescent="0.25">
      <c r="A695" s="63"/>
      <c r="B695" s="8">
        <v>543194</v>
      </c>
      <c r="C695" s="8" t="s">
        <v>2889</v>
      </c>
      <c r="D695" s="12">
        <v>600198</v>
      </c>
      <c r="E695" s="8">
        <v>119</v>
      </c>
      <c r="F695" s="8">
        <f ca="1">IFERROR(__xludf.DUMMYFUNCTION("GOOGLEFINANCE(""BOM:"" &amp; B695,""price"")"),152.85)</f>
        <v>152.85</v>
      </c>
      <c r="G695" s="8">
        <f t="shared" ca="1" si="234"/>
        <v>28.445378151260499</v>
      </c>
      <c r="H695" s="12">
        <f t="shared" si="228"/>
        <v>71423562</v>
      </c>
      <c r="I695" s="13">
        <f t="shared" ca="1" si="229"/>
        <v>91740264.299999997</v>
      </c>
      <c r="J695" s="63"/>
      <c r="K695" s="8">
        <v>532341</v>
      </c>
      <c r="L695" s="8" t="s">
        <v>2890</v>
      </c>
      <c r="M695" s="12">
        <v>13154783</v>
      </c>
      <c r="N695" s="10">
        <v>303</v>
      </c>
      <c r="O695" s="10">
        <f ca="1">IFERROR(__xludf.DUMMYFUNCTION("GOOGLEFINANCE(""BOM:"" &amp; K695,""price"")"),270)</f>
        <v>270</v>
      </c>
      <c r="P695" s="8">
        <f t="shared" ca="1" si="226"/>
        <v>-10.891089108910892</v>
      </c>
      <c r="Q695" s="12">
        <f t="shared" si="224"/>
        <v>3985899249</v>
      </c>
      <c r="R695" s="13">
        <f t="shared" ca="1" si="225"/>
        <v>3551791410</v>
      </c>
      <c r="S695" s="63"/>
      <c r="T695" s="8">
        <v>531925</v>
      </c>
      <c r="U695" s="8" t="s">
        <v>2891</v>
      </c>
      <c r="V695" s="12">
        <v>29543810</v>
      </c>
      <c r="W695" s="8">
        <v>2.0299999999999998</v>
      </c>
      <c r="X695" s="11">
        <f ca="1">IFERROR(__xludf.DUMMYFUNCTION("GOOGLEFINANCE(""BOM:"" &amp; T695,""price"")"),1.62)</f>
        <v>1.62</v>
      </c>
      <c r="Y695" s="8">
        <f t="shared" ca="1" si="230"/>
        <v>-20.197044334975356</v>
      </c>
      <c r="Z695" s="12">
        <f t="shared" si="231"/>
        <v>59973934.299999997</v>
      </c>
      <c r="AA695" s="13">
        <f t="shared" ca="1" si="232"/>
        <v>47860972.200000003</v>
      </c>
      <c r="AB695" s="65" t="s">
        <v>2892</v>
      </c>
      <c r="AC695" s="6">
        <v>512599</v>
      </c>
      <c r="AD695" s="6" t="s">
        <v>2893</v>
      </c>
      <c r="AE695" s="7">
        <v>1139805609</v>
      </c>
      <c r="AF695" s="8">
        <v>3317.8</v>
      </c>
      <c r="AG695" s="8">
        <f ca="1">IFERROR(__xludf.DUMMYFUNCTION("GOOGLEFINANCE(""BOM:"" &amp; AC695,""price"")"),3193.55)</f>
        <v>3193.55</v>
      </c>
      <c r="AH695" s="8">
        <f t="shared" ca="1" si="208"/>
        <v>-3.7449514738682259</v>
      </c>
      <c r="AI695" s="7">
        <f t="shared" si="209"/>
        <v>3781647049540.2002</v>
      </c>
      <c r="AJ695" s="9">
        <f t="shared" ca="1" si="210"/>
        <v>3640026202621.9502</v>
      </c>
    </row>
    <row r="696" spans="1:36" x14ac:dyDescent="0.25">
      <c r="A696" s="63"/>
      <c r="B696" s="8">
        <v>512279</v>
      </c>
      <c r="C696" s="8" t="s">
        <v>2894</v>
      </c>
      <c r="D696" s="12">
        <v>3167330</v>
      </c>
      <c r="E696" s="8">
        <v>25</v>
      </c>
      <c r="F696" s="8">
        <f ca="1">IFERROR(__xludf.DUMMYFUNCTION("GOOGLEFINANCE(""BOM:"" &amp; B696,""price"")"),29.14)</f>
        <v>29.14</v>
      </c>
      <c r="G696" s="8">
        <f t="shared" ca="1" si="234"/>
        <v>16.560000000000002</v>
      </c>
      <c r="H696" s="12">
        <f t="shared" si="228"/>
        <v>79183250</v>
      </c>
      <c r="I696" s="13">
        <f t="shared" ca="1" si="229"/>
        <v>92295996.200000003</v>
      </c>
      <c r="J696" s="63"/>
      <c r="K696" s="8">
        <v>519319</v>
      </c>
      <c r="L696" s="8" t="s">
        <v>2895</v>
      </c>
      <c r="M696" s="12">
        <v>2029960</v>
      </c>
      <c r="N696" s="10" t="s">
        <v>44</v>
      </c>
      <c r="O696" s="10" t="s">
        <v>44</v>
      </c>
      <c r="P696" s="8"/>
      <c r="Q696" s="12"/>
      <c r="R696" s="13"/>
      <c r="S696" s="63"/>
      <c r="T696" s="8">
        <v>530735</v>
      </c>
      <c r="U696" s="8" t="s">
        <v>2896</v>
      </c>
      <c r="V696" s="12">
        <v>2588270</v>
      </c>
      <c r="W696" s="8">
        <v>30</v>
      </c>
      <c r="X696" s="11">
        <f ca="1">IFERROR(__xludf.DUMMYFUNCTION("GOOGLEFINANCE(""BOM:"" &amp; T696,""price"")"),31)</f>
        <v>31</v>
      </c>
      <c r="Y696" s="8">
        <f t="shared" ca="1" si="230"/>
        <v>3.3333333333333335</v>
      </c>
      <c r="Z696" s="12">
        <f t="shared" si="231"/>
        <v>77648100</v>
      </c>
      <c r="AA696" s="13">
        <f t="shared" ca="1" si="232"/>
        <v>80236370</v>
      </c>
      <c r="AB696" s="63"/>
      <c r="AC696" s="8">
        <v>524594</v>
      </c>
      <c r="AD696" s="8" t="s">
        <v>2897</v>
      </c>
      <c r="AE696" s="12">
        <v>4444493</v>
      </c>
      <c r="AF696" s="8">
        <v>136</v>
      </c>
      <c r="AG696" s="8">
        <f ca="1">IFERROR(__xludf.DUMMYFUNCTION("GOOGLEFINANCE(""BOM:"" &amp; AC696,""price"")"),120)</f>
        <v>120</v>
      </c>
      <c r="AH696" s="8">
        <f t="shared" ca="1" si="208"/>
        <v>-11.76470588235294</v>
      </c>
      <c r="AI696" s="12">
        <f t="shared" si="209"/>
        <v>604451048</v>
      </c>
      <c r="AJ696" s="13">
        <f t="shared" ca="1" si="210"/>
        <v>533339160</v>
      </c>
    </row>
    <row r="697" spans="1:36" x14ac:dyDescent="0.25">
      <c r="A697" s="63"/>
      <c r="B697" s="8">
        <v>509782</v>
      </c>
      <c r="C697" s="8" t="s">
        <v>2898</v>
      </c>
      <c r="D697" s="12">
        <v>199299</v>
      </c>
      <c r="E697" s="8">
        <v>0</v>
      </c>
      <c r="F697" s="8">
        <f ca="1">IFERROR(__xludf.DUMMYFUNCTION("GOOGLEFINANCE(""BOM:"" &amp; B697,""price"")"),0)</f>
        <v>0</v>
      </c>
      <c r="G697" s="8">
        <v>0</v>
      </c>
      <c r="H697" s="12">
        <f t="shared" si="228"/>
        <v>0</v>
      </c>
      <c r="I697" s="13">
        <f t="shared" ca="1" si="229"/>
        <v>0</v>
      </c>
      <c r="J697" s="63"/>
      <c r="K697" s="8">
        <v>517415</v>
      </c>
      <c r="L697" s="8" t="s">
        <v>2899</v>
      </c>
      <c r="M697" s="12">
        <v>55774000</v>
      </c>
      <c r="N697" s="10">
        <v>11.57</v>
      </c>
      <c r="O697" s="10">
        <f ca="1">IFERROR(__xludf.DUMMYFUNCTION("GOOGLEFINANCE(""BOM:"" &amp; K697,""price"")"),10.21)</f>
        <v>10.210000000000001</v>
      </c>
      <c r="P697" s="8">
        <f t="shared" ref="P697:P722" ca="1" si="235">((O697-N697)/N697)*100</f>
        <v>-11.754537597234222</v>
      </c>
      <c r="Q697" s="12">
        <f t="shared" ref="Q697:Q722" si="236">M697*N697</f>
        <v>645305180</v>
      </c>
      <c r="R697" s="13">
        <f t="shared" ref="R697:R722" ca="1" si="237">M697*O697</f>
        <v>569452540</v>
      </c>
      <c r="S697" s="63"/>
      <c r="T697" s="8">
        <v>519604</v>
      </c>
      <c r="U697" s="8" t="s">
        <v>2900</v>
      </c>
      <c r="V697" s="12">
        <v>2592480</v>
      </c>
      <c r="W697" s="8">
        <v>18.55</v>
      </c>
      <c r="X697" s="11">
        <f ca="1">IFERROR(__xludf.DUMMYFUNCTION("GOOGLEFINANCE(""BOM:"" &amp; T697,""price"")"),15.5)</f>
        <v>15.5</v>
      </c>
      <c r="Y697" s="8">
        <f t="shared" ca="1" si="230"/>
        <v>-16.44204851752022</v>
      </c>
      <c r="Z697" s="12">
        <f t="shared" si="231"/>
        <v>48090504</v>
      </c>
      <c r="AA697" s="13">
        <f t="shared" ca="1" si="232"/>
        <v>40183440</v>
      </c>
      <c r="AB697" s="64"/>
      <c r="AC697" s="14">
        <v>540492</v>
      </c>
      <c r="AD697" s="14" t="s">
        <v>2901</v>
      </c>
      <c r="AE697" s="15">
        <v>42697500</v>
      </c>
      <c r="AF697" s="14">
        <v>111.7</v>
      </c>
      <c r="AG697" s="14">
        <f ca="1">IFERROR(__xludf.DUMMYFUNCTION("GOOGLEFINANCE(""BOM:"" &amp; AC697,""price"")"),92.7)</f>
        <v>92.7</v>
      </c>
      <c r="AH697" s="14">
        <f t="shared" ca="1" si="208"/>
        <v>-17.009847806624887</v>
      </c>
      <c r="AI697" s="15">
        <f t="shared" si="209"/>
        <v>4769310750</v>
      </c>
      <c r="AJ697" s="16">
        <f t="shared" ca="1" si="210"/>
        <v>3958058250</v>
      </c>
    </row>
    <row r="698" spans="1:36" x14ac:dyDescent="0.25">
      <c r="A698" s="63"/>
      <c r="B698" s="8">
        <v>509099</v>
      </c>
      <c r="C698" s="8" t="s">
        <v>2902</v>
      </c>
      <c r="D698" s="12">
        <v>177499</v>
      </c>
      <c r="E698" s="8">
        <v>32.74</v>
      </c>
      <c r="F698" s="8">
        <f ca="1">IFERROR(__xludf.DUMMYFUNCTION("GOOGLEFINANCE(""BOM:"" &amp; B698,""price"")"),32.74)</f>
        <v>32.74</v>
      </c>
      <c r="G698" s="8">
        <f t="shared" ref="G698:G704" ca="1" si="238">((F698-E698)/E698)*100</f>
        <v>0</v>
      </c>
      <c r="H698" s="12">
        <f t="shared" si="228"/>
        <v>5811317.2600000007</v>
      </c>
      <c r="I698" s="13">
        <f t="shared" ca="1" si="229"/>
        <v>5811317.2600000007</v>
      </c>
      <c r="J698" s="63"/>
      <c r="K698" s="8">
        <v>540115</v>
      </c>
      <c r="L698" s="8" t="s">
        <v>2903</v>
      </c>
      <c r="M698" s="12">
        <v>105532917</v>
      </c>
      <c r="N698" s="10">
        <v>5298.95</v>
      </c>
      <c r="O698" s="10">
        <f ca="1">IFERROR(__xludf.DUMMYFUNCTION("GOOGLEFINANCE(""BOM:"" &amp; K698,""price"")"),5454.15)</f>
        <v>5454.15</v>
      </c>
      <c r="P698" s="8">
        <f t="shared" ca="1" si="235"/>
        <v>2.9288821370271436</v>
      </c>
      <c r="Q698" s="12">
        <f t="shared" si="236"/>
        <v>559213650537.15002</v>
      </c>
      <c r="R698" s="13">
        <f t="shared" ca="1" si="237"/>
        <v>575592359255.54993</v>
      </c>
      <c r="S698" s="63"/>
      <c r="T698" s="8">
        <v>540332</v>
      </c>
      <c r="U698" s="8" t="s">
        <v>2904</v>
      </c>
      <c r="V698" s="12">
        <v>5366775</v>
      </c>
      <c r="W698" s="8">
        <v>160</v>
      </c>
      <c r="X698" s="11">
        <f ca="1">IFERROR(__xludf.DUMMYFUNCTION("GOOGLEFINANCE(""BOM:"" &amp; T698,""price"")"),163.15)</f>
        <v>163.15</v>
      </c>
      <c r="Y698" s="8">
        <f t="shared" ca="1" si="230"/>
        <v>1.9687500000000036</v>
      </c>
      <c r="Z698" s="12">
        <f t="shared" si="231"/>
        <v>858684000</v>
      </c>
      <c r="AA698" s="13">
        <f t="shared" ca="1" si="232"/>
        <v>875589341.25</v>
      </c>
      <c r="AB698" s="65" t="s">
        <v>2905</v>
      </c>
      <c r="AC698" s="6">
        <v>539562</v>
      </c>
      <c r="AD698" s="6" t="s">
        <v>2906</v>
      </c>
      <c r="AE698" s="7">
        <v>14972499</v>
      </c>
      <c r="AF698" s="8">
        <v>30.68</v>
      </c>
      <c r="AG698" s="8">
        <f ca="1">IFERROR(__xludf.DUMMYFUNCTION("GOOGLEFINANCE(""BOM:"" &amp; AC698,""price"")"),25.2)</f>
        <v>25.2</v>
      </c>
      <c r="AH698" s="8">
        <f t="shared" ca="1" si="208"/>
        <v>-17.861799217731424</v>
      </c>
      <c r="AI698" s="7">
        <f t="shared" si="209"/>
        <v>459356269.31999999</v>
      </c>
      <c r="AJ698" s="9">
        <f t="shared" ca="1" si="210"/>
        <v>377306974.80000001</v>
      </c>
    </row>
    <row r="699" spans="1:36" x14ac:dyDescent="0.25">
      <c r="A699" s="63"/>
      <c r="B699" s="8">
        <v>532911</v>
      </c>
      <c r="C699" s="8" t="s">
        <v>2907</v>
      </c>
      <c r="D699" s="12">
        <v>13977428</v>
      </c>
      <c r="E699" s="8">
        <v>8.4</v>
      </c>
      <c r="F699" s="8">
        <f ca="1">IFERROR(__xludf.DUMMYFUNCTION("GOOGLEFINANCE(""BOM:"" &amp; B699,""price"")"),7.91)</f>
        <v>7.91</v>
      </c>
      <c r="G699" s="8">
        <f t="shared" ca="1" si="238"/>
        <v>-5.8333333333333357</v>
      </c>
      <c r="H699" s="12">
        <f t="shared" si="228"/>
        <v>117410395.2</v>
      </c>
      <c r="I699" s="13">
        <f t="shared" ca="1" si="229"/>
        <v>110561455.48</v>
      </c>
      <c r="J699" s="63"/>
      <c r="K699" s="8">
        <v>532307</v>
      </c>
      <c r="L699" s="8" t="s">
        <v>2908</v>
      </c>
      <c r="M699" s="12">
        <v>14029688</v>
      </c>
      <c r="N699" s="10">
        <v>5.7</v>
      </c>
      <c r="O699" s="10">
        <f ca="1">IFERROR(__xludf.DUMMYFUNCTION("GOOGLEFINANCE(""BOM:"" &amp; K699,""price"")"),4.31)</f>
        <v>4.3099999999999996</v>
      </c>
      <c r="P699" s="8">
        <f t="shared" ca="1" si="235"/>
        <v>-24.385964912280713</v>
      </c>
      <c r="Q699" s="12">
        <f t="shared" si="236"/>
        <v>79969221.600000009</v>
      </c>
      <c r="R699" s="13">
        <f t="shared" ca="1" si="237"/>
        <v>60467955.279999994</v>
      </c>
      <c r="S699" s="63"/>
      <c r="T699" s="8">
        <v>519091</v>
      </c>
      <c r="U699" s="8" t="s">
        <v>2909</v>
      </c>
      <c r="V699" s="12">
        <v>2538379</v>
      </c>
      <c r="W699" s="8">
        <v>13107</v>
      </c>
      <c r="X699" s="11">
        <f ca="1">IFERROR(__xludf.DUMMYFUNCTION("GOOGLEFINANCE(""BOM:"" &amp; T699,""price"")"),12209)</f>
        <v>12209</v>
      </c>
      <c r="Y699" s="8">
        <f t="shared" ca="1" si="230"/>
        <v>-6.8513008316166939</v>
      </c>
      <c r="Z699" s="12">
        <f t="shared" si="231"/>
        <v>33270533553</v>
      </c>
      <c r="AA699" s="13">
        <f t="shared" ca="1" si="232"/>
        <v>30991069211</v>
      </c>
      <c r="AB699" s="63"/>
      <c r="AC699" s="8">
        <v>542721</v>
      </c>
      <c r="AD699" s="8" t="s">
        <v>2910</v>
      </c>
      <c r="AE699" s="12">
        <v>14984721</v>
      </c>
      <c r="AF699" s="8">
        <v>43.77</v>
      </c>
      <c r="AG699" s="8">
        <f ca="1">IFERROR(__xludf.DUMMYFUNCTION("GOOGLEFINANCE(""BOM:"" &amp; AC699,""price"")"),37.81)</f>
        <v>37.81</v>
      </c>
      <c r="AH699" s="8">
        <f t="shared" ca="1" si="208"/>
        <v>-13.616632396618689</v>
      </c>
      <c r="AI699" s="12">
        <f t="shared" si="209"/>
        <v>655881238.17000008</v>
      </c>
      <c r="AJ699" s="13">
        <f t="shared" ca="1" si="210"/>
        <v>566572301.00999999</v>
      </c>
    </row>
    <row r="700" spans="1:36" x14ac:dyDescent="0.25">
      <c r="A700" s="63"/>
      <c r="B700" s="8">
        <v>501144</v>
      </c>
      <c r="C700" s="8" t="s">
        <v>2911</v>
      </c>
      <c r="D700" s="12">
        <v>76250</v>
      </c>
      <c r="E700" s="8">
        <v>33.950000000000003</v>
      </c>
      <c r="F700" s="8">
        <f ca="1">IFERROR(__xludf.DUMMYFUNCTION("GOOGLEFINANCE(""BOM:"" &amp; B700,""price"")"),43.84)</f>
        <v>43.84</v>
      </c>
      <c r="G700" s="8">
        <f t="shared" ca="1" si="238"/>
        <v>29.131075110456557</v>
      </c>
      <c r="H700" s="12">
        <f t="shared" si="228"/>
        <v>2588687.5</v>
      </c>
      <c r="I700" s="13">
        <f t="shared" ca="1" si="229"/>
        <v>3342800.0000000005</v>
      </c>
      <c r="J700" s="63"/>
      <c r="K700" s="8">
        <v>526263</v>
      </c>
      <c r="L700" s="8" t="s">
        <v>2912</v>
      </c>
      <c r="M700" s="12">
        <v>28132263</v>
      </c>
      <c r="N700" s="10">
        <v>217.5</v>
      </c>
      <c r="O700" s="10">
        <f ca="1">IFERROR(__xludf.DUMMYFUNCTION("GOOGLEFINANCE(""BOM:"" &amp; K700,""price"")"),180.05)</f>
        <v>180.05</v>
      </c>
      <c r="P700" s="8">
        <f t="shared" ca="1" si="235"/>
        <v>-17.218390804597696</v>
      </c>
      <c r="Q700" s="12">
        <f t="shared" si="236"/>
        <v>6118767202.5</v>
      </c>
      <c r="R700" s="13">
        <f t="shared" ca="1" si="237"/>
        <v>5065213953.1500006</v>
      </c>
      <c r="S700" s="63"/>
      <c r="T700" s="8">
        <v>526113</v>
      </c>
      <c r="U700" s="8" t="s">
        <v>2913</v>
      </c>
      <c r="V700" s="12">
        <v>3320300</v>
      </c>
      <c r="W700" s="8">
        <v>12.36</v>
      </c>
      <c r="X700" s="11">
        <f ca="1">IFERROR(__xludf.DUMMYFUNCTION("GOOGLEFINANCE(""BOM:"" &amp; T700,""price"")"),10.98)</f>
        <v>10.98</v>
      </c>
      <c r="Y700" s="8">
        <f t="shared" ca="1" si="230"/>
        <v>-11.165048543689313</v>
      </c>
      <c r="Z700" s="12">
        <f t="shared" si="231"/>
        <v>41038908</v>
      </c>
      <c r="AA700" s="13">
        <f t="shared" ca="1" si="232"/>
        <v>36456894</v>
      </c>
      <c r="AB700" s="63"/>
      <c r="AC700" s="8">
        <v>533108</v>
      </c>
      <c r="AD700" s="8" t="s">
        <v>2914</v>
      </c>
      <c r="AE700" s="12">
        <v>56514980</v>
      </c>
      <c r="AF700" s="8">
        <v>48.1</v>
      </c>
      <c r="AG700" s="8">
        <f ca="1">IFERROR(__xludf.DUMMYFUNCTION("GOOGLEFINANCE(""BOM:"" &amp; AC700,""price"")"),38.58)</f>
        <v>38.58</v>
      </c>
      <c r="AH700" s="8">
        <f t="shared" ca="1" si="208"/>
        <v>-19.792099792099798</v>
      </c>
      <c r="AI700" s="12">
        <f t="shared" si="209"/>
        <v>2718370538</v>
      </c>
      <c r="AJ700" s="13">
        <f t="shared" ca="1" si="210"/>
        <v>2180347928.4000001</v>
      </c>
    </row>
    <row r="701" spans="1:36" x14ac:dyDescent="0.25">
      <c r="A701" s="63"/>
      <c r="B701" s="8">
        <v>526481</v>
      </c>
      <c r="C701" s="8" t="s">
        <v>2915</v>
      </c>
      <c r="D701" s="12">
        <v>11343031</v>
      </c>
      <c r="E701" s="8">
        <v>37.5</v>
      </c>
      <c r="F701" s="8">
        <f ca="1">IFERROR(__xludf.DUMMYFUNCTION("GOOGLEFINANCE(""BOM:"" &amp; B701,""price"")"),31.79)</f>
        <v>31.79</v>
      </c>
      <c r="G701" s="8">
        <f t="shared" ca="1" si="238"/>
        <v>-15.226666666666668</v>
      </c>
      <c r="H701" s="12">
        <f t="shared" si="228"/>
        <v>425363662.5</v>
      </c>
      <c r="I701" s="13">
        <f t="shared" ca="1" si="229"/>
        <v>360594955.49000001</v>
      </c>
      <c r="J701" s="63"/>
      <c r="K701" s="8">
        <v>540900</v>
      </c>
      <c r="L701" s="8" t="s">
        <v>2916</v>
      </c>
      <c r="M701" s="12">
        <v>140092002</v>
      </c>
      <c r="N701" s="10">
        <v>832.75</v>
      </c>
      <c r="O701" s="10">
        <f ca="1">IFERROR(__xludf.DUMMYFUNCTION("GOOGLEFINANCE(""BOM:"" &amp; K701,""price"")"),793.35)</f>
        <v>793.35</v>
      </c>
      <c r="P701" s="8">
        <f t="shared" ca="1" si="235"/>
        <v>-4.7313119183428372</v>
      </c>
      <c r="Q701" s="12">
        <f t="shared" si="236"/>
        <v>116661614665.5</v>
      </c>
      <c r="R701" s="13">
        <f t="shared" ca="1" si="237"/>
        <v>111141989786.7</v>
      </c>
      <c r="S701" s="63"/>
      <c r="T701" s="8">
        <v>531676</v>
      </c>
      <c r="U701" s="8" t="s">
        <v>2917</v>
      </c>
      <c r="V701" s="12">
        <v>5032727</v>
      </c>
      <c r="W701" s="8">
        <v>14.17</v>
      </c>
      <c r="X701" s="11">
        <f ca="1">IFERROR(__xludf.DUMMYFUNCTION("GOOGLEFINANCE(""BOM:"" &amp; T701,""price"")"),13.2)</f>
        <v>13.2</v>
      </c>
      <c r="Y701" s="8">
        <f t="shared" ca="1" si="230"/>
        <v>-6.8454481298518042</v>
      </c>
      <c r="Z701" s="12">
        <f t="shared" si="231"/>
        <v>71313741.590000004</v>
      </c>
      <c r="AA701" s="13">
        <f t="shared" ca="1" si="232"/>
        <v>66431996.399999999</v>
      </c>
      <c r="AB701" s="63"/>
      <c r="AC701" s="8">
        <v>543372</v>
      </c>
      <c r="AD701" s="8" t="s">
        <v>2918</v>
      </c>
      <c r="AE701" s="12">
        <v>1828400</v>
      </c>
      <c r="AF701" s="8">
        <v>217</v>
      </c>
      <c r="AG701" s="8">
        <f ca="1">IFERROR(__xludf.DUMMYFUNCTION("GOOGLEFINANCE(""BOM:"" &amp; AC701,""price"")"),217)</f>
        <v>217</v>
      </c>
      <c r="AH701" s="8">
        <f t="shared" ca="1" si="208"/>
        <v>0</v>
      </c>
      <c r="AI701" s="12">
        <f t="shared" si="209"/>
        <v>396762800</v>
      </c>
      <c r="AJ701" s="13">
        <f t="shared" ca="1" si="210"/>
        <v>396762800</v>
      </c>
    </row>
    <row r="702" spans="1:36" x14ac:dyDescent="0.25">
      <c r="A702" s="63"/>
      <c r="B702" s="8">
        <v>509084</v>
      </c>
      <c r="C702" s="8" t="s">
        <v>2919</v>
      </c>
      <c r="D702" s="12">
        <v>1195289</v>
      </c>
      <c r="E702" s="8">
        <v>67.2</v>
      </c>
      <c r="F702" s="8">
        <f ca="1">IFERROR(__xludf.DUMMYFUNCTION("GOOGLEFINANCE(""BOM:"" &amp; B702,""price"")"),68.6)</f>
        <v>68.599999999999994</v>
      </c>
      <c r="G702" s="8">
        <f t="shared" ca="1" si="238"/>
        <v>2.0833333333333206</v>
      </c>
      <c r="H702" s="12">
        <f t="shared" si="228"/>
        <v>80323420.799999997</v>
      </c>
      <c r="I702" s="13">
        <f t="shared" ca="1" si="229"/>
        <v>81996825.399999991</v>
      </c>
      <c r="J702" s="63"/>
      <c r="K702" s="8">
        <v>540416</v>
      </c>
      <c r="L702" s="8" t="s">
        <v>2920</v>
      </c>
      <c r="M702" s="12">
        <v>3355900</v>
      </c>
      <c r="N702" s="10">
        <v>49.8</v>
      </c>
      <c r="O702" s="10">
        <f ca="1">IFERROR(__xludf.DUMMYFUNCTION("GOOGLEFINANCE(""BOM:"" &amp; K702,""price"")"),49.8)</f>
        <v>49.8</v>
      </c>
      <c r="P702" s="8">
        <f t="shared" ca="1" si="235"/>
        <v>0</v>
      </c>
      <c r="Q702" s="12">
        <f t="shared" si="236"/>
        <v>167123820</v>
      </c>
      <c r="R702" s="13">
        <f t="shared" ca="1" si="237"/>
        <v>167123820</v>
      </c>
      <c r="S702" s="63"/>
      <c r="T702" s="8">
        <v>523261</v>
      </c>
      <c r="U702" s="8" t="s">
        <v>2921</v>
      </c>
      <c r="V702" s="12">
        <v>13675771</v>
      </c>
      <c r="W702" s="8">
        <v>1783</v>
      </c>
      <c r="X702" s="11">
        <f ca="1">IFERROR(__xludf.DUMMYFUNCTION("GOOGLEFINANCE(""BOM:"" &amp; T702,""price"")"),1538.5)</f>
        <v>1538.5</v>
      </c>
      <c r="Y702" s="8">
        <f t="shared" ca="1" si="230"/>
        <v>-13.712843522153673</v>
      </c>
      <c r="Z702" s="12">
        <f t="shared" si="231"/>
        <v>24383899693</v>
      </c>
      <c r="AA702" s="13">
        <f t="shared" ca="1" si="232"/>
        <v>21040173683.5</v>
      </c>
      <c r="AB702" s="63"/>
      <c r="AC702" s="8">
        <v>540210</v>
      </c>
      <c r="AD702" s="8" t="s">
        <v>2922</v>
      </c>
      <c r="AE702" s="12">
        <v>22081095</v>
      </c>
      <c r="AF702" s="8">
        <v>16.239999999999998</v>
      </c>
      <c r="AG702" s="8">
        <f ca="1">IFERROR(__xludf.DUMMYFUNCTION("GOOGLEFINANCE(""BOM:"" &amp; AC702,""price"")"),14.5)</f>
        <v>14.5</v>
      </c>
      <c r="AH702" s="8">
        <f t="shared" ca="1" si="208"/>
        <v>-10.714285714285705</v>
      </c>
      <c r="AI702" s="12">
        <f t="shared" si="209"/>
        <v>358596982.79999995</v>
      </c>
      <c r="AJ702" s="13">
        <f t="shared" ca="1" si="210"/>
        <v>320175877.5</v>
      </c>
    </row>
    <row r="703" spans="1:36" x14ac:dyDescent="0.25">
      <c r="A703" s="63"/>
      <c r="B703" s="8">
        <v>511557</v>
      </c>
      <c r="C703" s="8" t="s">
        <v>2923</v>
      </c>
      <c r="D703" s="12">
        <v>5767400</v>
      </c>
      <c r="E703" s="8">
        <v>1.55</v>
      </c>
      <c r="F703" s="8">
        <f ca="1">IFERROR(__xludf.DUMMYFUNCTION("GOOGLEFINANCE(""BOM:"" &amp; B703,""price"")"),1.09)</f>
        <v>1.0900000000000001</v>
      </c>
      <c r="G703" s="8">
        <f t="shared" ca="1" si="238"/>
        <v>-29.677419354838708</v>
      </c>
      <c r="H703" s="12">
        <f t="shared" si="228"/>
        <v>8939470</v>
      </c>
      <c r="I703" s="13">
        <f t="shared" ca="1" si="229"/>
        <v>6286466</v>
      </c>
      <c r="J703" s="63"/>
      <c r="K703" s="8">
        <v>517536</v>
      </c>
      <c r="L703" s="8" t="s">
        <v>2924</v>
      </c>
      <c r="M703" s="12">
        <v>21899691</v>
      </c>
      <c r="N703" s="10">
        <v>535.75</v>
      </c>
      <c r="O703" s="10">
        <f ca="1">IFERROR(__xludf.DUMMYFUNCTION("GOOGLEFINANCE(""BOM:"" &amp; K703,""price"")"),446)</f>
        <v>446</v>
      </c>
      <c r="P703" s="8">
        <f t="shared" ca="1" si="235"/>
        <v>-16.752216518898742</v>
      </c>
      <c r="Q703" s="12">
        <f t="shared" si="236"/>
        <v>11732759453.25</v>
      </c>
      <c r="R703" s="13">
        <f t="shared" ca="1" si="237"/>
        <v>9767262186</v>
      </c>
      <c r="S703" s="64"/>
      <c r="T703" s="14">
        <v>531335</v>
      </c>
      <c r="U703" s="14" t="s">
        <v>2925</v>
      </c>
      <c r="V703" s="15">
        <v>63445377</v>
      </c>
      <c r="W703" s="14">
        <v>1562.8</v>
      </c>
      <c r="X703" s="26">
        <f ca="1">IFERROR(__xludf.DUMMYFUNCTION("GOOGLEFINANCE(""BOM:"" &amp; T703,""price"")"),1465)</f>
        <v>1465</v>
      </c>
      <c r="Y703" s="14">
        <f t="shared" ca="1" si="230"/>
        <v>-6.257998464294853</v>
      </c>
      <c r="Z703" s="15">
        <f t="shared" si="231"/>
        <v>99152435175.599991</v>
      </c>
      <c r="AA703" s="16">
        <f t="shared" ca="1" si="232"/>
        <v>92947477305</v>
      </c>
      <c r="AB703" s="63"/>
      <c r="AC703" s="8">
        <v>542206</v>
      </c>
      <c r="AD703" s="8" t="s">
        <v>2926</v>
      </c>
      <c r="AE703" s="12">
        <v>100137456</v>
      </c>
      <c r="AF703" s="8">
        <v>4.8899999999999997</v>
      </c>
      <c r="AG703" s="8">
        <f ca="1">IFERROR(__xludf.DUMMYFUNCTION("GOOGLEFINANCE(""BOM:"" &amp; AC703,""price"")"),4.32)</f>
        <v>4.32</v>
      </c>
      <c r="AH703" s="8">
        <f t="shared" ca="1" si="208"/>
        <v>-11.656441717791399</v>
      </c>
      <c r="AI703" s="12">
        <f t="shared" si="209"/>
        <v>489672159.83999997</v>
      </c>
      <c r="AJ703" s="13">
        <f t="shared" ca="1" si="210"/>
        <v>432593809.92000002</v>
      </c>
    </row>
    <row r="704" spans="1:36" x14ac:dyDescent="0.25">
      <c r="A704" s="63"/>
      <c r="B704" s="8">
        <v>509220</v>
      </c>
      <c r="C704" s="8" t="s">
        <v>2927</v>
      </c>
      <c r="D704" s="12">
        <v>131593018</v>
      </c>
      <c r="E704" s="8">
        <v>45.06</v>
      </c>
      <c r="F704" s="8">
        <f ca="1">IFERROR(__xludf.DUMMYFUNCTION("GOOGLEFINANCE(""BOM:"" &amp; B704,""price"")"),39.05)</f>
        <v>39.049999999999997</v>
      </c>
      <c r="G704" s="8">
        <f t="shared" ca="1" si="238"/>
        <v>-13.337771859742576</v>
      </c>
      <c r="H704" s="12">
        <f t="shared" si="228"/>
        <v>5929581391.0799999</v>
      </c>
      <c r="I704" s="13">
        <f t="shared" ca="1" si="229"/>
        <v>5138707352.8999996</v>
      </c>
      <c r="J704" s="63"/>
      <c r="K704" s="8">
        <v>532521</v>
      </c>
      <c r="L704" s="8" t="s">
        <v>2928</v>
      </c>
      <c r="M704" s="12">
        <v>9722889</v>
      </c>
      <c r="N704" s="10">
        <v>172.15</v>
      </c>
      <c r="O704" s="10">
        <f ca="1">IFERROR(__xludf.DUMMYFUNCTION("GOOGLEFINANCE(""BOM:"" &amp; K704,""price"")"),119)</f>
        <v>119</v>
      </c>
      <c r="P704" s="8">
        <f t="shared" ca="1" si="235"/>
        <v>-30.874237583502762</v>
      </c>
      <c r="Q704" s="12">
        <f t="shared" si="236"/>
        <v>1673795341.3500001</v>
      </c>
      <c r="R704" s="13">
        <f t="shared" ca="1" si="237"/>
        <v>1157023791</v>
      </c>
      <c r="S704" s="62" t="s">
        <v>2929</v>
      </c>
      <c r="T704" s="6">
        <v>500187</v>
      </c>
      <c r="U704" s="6" t="s">
        <v>2930</v>
      </c>
      <c r="V704" s="7">
        <v>64159550</v>
      </c>
      <c r="W704" s="8">
        <v>884.05</v>
      </c>
      <c r="X704" s="11">
        <f ca="1">IFERROR(__xludf.DUMMYFUNCTION("GOOGLEFINANCE(""BOM:"" &amp; T704,""price"")"),726.1)</f>
        <v>726.1</v>
      </c>
      <c r="Y704" s="8">
        <f t="shared" ca="1" si="230"/>
        <v>-17.866636502460263</v>
      </c>
      <c r="Z704" s="7">
        <f t="shared" si="231"/>
        <v>56720250177.5</v>
      </c>
      <c r="AA704" s="9">
        <f t="shared" ca="1" si="232"/>
        <v>46586249255</v>
      </c>
      <c r="AB704" s="63"/>
      <c r="AC704" s="8">
        <v>538730</v>
      </c>
      <c r="AD704" s="8" t="s">
        <v>2931</v>
      </c>
      <c r="AE704" s="12">
        <v>129973030</v>
      </c>
      <c r="AF704" s="8">
        <v>520.75</v>
      </c>
      <c r="AG704" s="8">
        <f ca="1">IFERROR(__xludf.DUMMYFUNCTION("GOOGLEFINANCE(""BOM:"" &amp; AC704,""price"")"),475)</f>
        <v>475</v>
      </c>
      <c r="AH704" s="8">
        <f t="shared" ca="1" si="208"/>
        <v>-8.785405664906385</v>
      </c>
      <c r="AI704" s="12">
        <f t="shared" si="209"/>
        <v>67683455372.5</v>
      </c>
      <c r="AJ704" s="13">
        <f t="shared" ca="1" si="210"/>
        <v>61737189250</v>
      </c>
    </row>
    <row r="705" spans="1:36" x14ac:dyDescent="0.25">
      <c r="A705" s="63"/>
      <c r="B705" s="8">
        <v>512461</v>
      </c>
      <c r="C705" s="8" t="s">
        <v>2932</v>
      </c>
      <c r="D705" s="12">
        <v>77800</v>
      </c>
      <c r="E705" s="8">
        <v>0</v>
      </c>
      <c r="F705" s="8">
        <f ca="1">IFERROR(__xludf.DUMMYFUNCTION("GOOGLEFINANCE(""BOM:"" &amp; B705,""price"")"),0)</f>
        <v>0</v>
      </c>
      <c r="G705" s="8">
        <v>0</v>
      </c>
      <c r="H705" s="12">
        <f t="shared" si="228"/>
        <v>0</v>
      </c>
      <c r="I705" s="13">
        <f t="shared" ca="1" si="229"/>
        <v>0</v>
      </c>
      <c r="J705" s="63"/>
      <c r="K705" s="8">
        <v>517119</v>
      </c>
      <c r="L705" s="8" t="s">
        <v>2933</v>
      </c>
      <c r="M705" s="12">
        <v>19638779</v>
      </c>
      <c r="N705" s="10">
        <v>21.28</v>
      </c>
      <c r="O705" s="10">
        <f ca="1">IFERROR(__xludf.DUMMYFUNCTION("GOOGLEFINANCE(""BOM:"" &amp; K705,""price"")"),35.52)</f>
        <v>35.520000000000003</v>
      </c>
      <c r="P705" s="8">
        <f t="shared" ca="1" si="235"/>
        <v>66.917293233082702</v>
      </c>
      <c r="Q705" s="12">
        <f t="shared" si="236"/>
        <v>417913217.12</v>
      </c>
      <c r="R705" s="13">
        <f t="shared" ca="1" si="237"/>
        <v>697569430.08000004</v>
      </c>
      <c r="S705" s="63"/>
      <c r="T705" s="8">
        <v>532828</v>
      </c>
      <c r="U705" s="8" t="s">
        <v>2934</v>
      </c>
      <c r="V705" s="12">
        <v>19166651</v>
      </c>
      <c r="W705" s="8">
        <v>59</v>
      </c>
      <c r="X705" s="11">
        <f ca="1">IFERROR(__xludf.DUMMYFUNCTION("GOOGLEFINANCE(""BOM:"" &amp; T705,""price"")"),57.85)</f>
        <v>57.85</v>
      </c>
      <c r="Y705" s="8">
        <f t="shared" ca="1" si="230"/>
        <v>-1.949152542372879</v>
      </c>
      <c r="Z705" s="12">
        <f t="shared" si="231"/>
        <v>1130832409</v>
      </c>
      <c r="AA705" s="13">
        <f t="shared" ca="1" si="232"/>
        <v>1108790760.3500001</v>
      </c>
      <c r="AB705" s="63"/>
      <c r="AC705" s="8">
        <v>521222</v>
      </c>
      <c r="AD705" s="8" t="s">
        <v>2935</v>
      </c>
      <c r="AE705" s="12">
        <v>4689100</v>
      </c>
      <c r="AF705" s="8">
        <v>44.13</v>
      </c>
      <c r="AG705" s="8">
        <f ca="1">IFERROR(__xludf.DUMMYFUNCTION("GOOGLEFINANCE(""BOM:"" &amp; AC705,""price"")"),51.51)</f>
        <v>51.51</v>
      </c>
      <c r="AH705" s="8">
        <f t="shared" ca="1" si="208"/>
        <v>16.723317471108079</v>
      </c>
      <c r="AI705" s="12">
        <f t="shared" si="209"/>
        <v>206929983</v>
      </c>
      <c r="AJ705" s="13">
        <f t="shared" ca="1" si="210"/>
        <v>241535541</v>
      </c>
    </row>
    <row r="706" spans="1:36" x14ac:dyDescent="0.25">
      <c r="A706" s="63"/>
      <c r="B706" s="8">
        <v>501351</v>
      </c>
      <c r="C706" s="8" t="s">
        <v>2936</v>
      </c>
      <c r="D706" s="12">
        <v>1307220</v>
      </c>
      <c r="E706" s="8">
        <v>105</v>
      </c>
      <c r="F706" s="8">
        <f ca="1">IFERROR(__xludf.DUMMYFUNCTION("GOOGLEFINANCE(""BOM:"" &amp; B706,""price"")"),99.75)</f>
        <v>99.75</v>
      </c>
      <c r="G706" s="8">
        <f t="shared" ref="G706:G716" ca="1" si="239">((F706-E706)/E706)*100</f>
        <v>-5</v>
      </c>
      <c r="H706" s="12">
        <f t="shared" si="228"/>
        <v>137258100</v>
      </c>
      <c r="I706" s="13">
        <f t="shared" ca="1" si="229"/>
        <v>130395195</v>
      </c>
      <c r="J706" s="63"/>
      <c r="K706" s="8">
        <v>530951</v>
      </c>
      <c r="L706" s="8" t="s">
        <v>2937</v>
      </c>
      <c r="M706" s="12">
        <v>6649973</v>
      </c>
      <c r="N706" s="10">
        <v>140.65</v>
      </c>
      <c r="O706" s="10">
        <f ca="1">IFERROR(__xludf.DUMMYFUNCTION("GOOGLEFINANCE(""BOM:"" &amp; K706,""price"")"),138.4)</f>
        <v>138.4</v>
      </c>
      <c r="P706" s="8">
        <f t="shared" ca="1" si="235"/>
        <v>-1.5997156061144686</v>
      </c>
      <c r="Q706" s="12">
        <f t="shared" si="236"/>
        <v>935318702.45000005</v>
      </c>
      <c r="R706" s="13">
        <f t="shared" ca="1" si="237"/>
        <v>920356263.20000005</v>
      </c>
      <c r="S706" s="63"/>
      <c r="T706" s="8">
        <v>542865</v>
      </c>
      <c r="U706" s="8" t="s">
        <v>2938</v>
      </c>
      <c r="V706" s="12">
        <v>10823000</v>
      </c>
      <c r="W706" s="8">
        <v>21.93</v>
      </c>
      <c r="X706" s="11">
        <f ca="1">IFERROR(__xludf.DUMMYFUNCTION("GOOGLEFINANCE(""BOM:"" &amp; T706,""price"")"),18.88)</f>
        <v>18.88</v>
      </c>
      <c r="Y706" s="8">
        <f t="shared" ca="1" si="230"/>
        <v>-13.90788873689011</v>
      </c>
      <c r="Z706" s="12">
        <f t="shared" si="231"/>
        <v>237348390</v>
      </c>
      <c r="AA706" s="13">
        <f t="shared" ca="1" si="232"/>
        <v>204338240</v>
      </c>
      <c r="AB706" s="63"/>
      <c r="AC706" s="8">
        <v>530017</v>
      </c>
      <c r="AD706" s="8" t="s">
        <v>2939</v>
      </c>
      <c r="AE706" s="12">
        <v>37967117</v>
      </c>
      <c r="AF706" s="8">
        <v>22.77</v>
      </c>
      <c r="AG706" s="8">
        <f ca="1">IFERROR(__xludf.DUMMYFUNCTION("GOOGLEFINANCE(""BOM:"" &amp; AC706,""price"")"),22.85)</f>
        <v>22.85</v>
      </c>
      <c r="AH706" s="8">
        <f t="shared" ca="1" si="208"/>
        <v>0.35133948177427249</v>
      </c>
      <c r="AI706" s="12">
        <f t="shared" si="209"/>
        <v>864511254.09000003</v>
      </c>
      <c r="AJ706" s="13">
        <f t="shared" ca="1" si="210"/>
        <v>867548623.45000005</v>
      </c>
    </row>
    <row r="707" spans="1:36" x14ac:dyDescent="0.25">
      <c r="A707" s="63"/>
      <c r="B707" s="8">
        <v>540843</v>
      </c>
      <c r="C707" s="8" t="s">
        <v>2940</v>
      </c>
      <c r="D707" s="12">
        <v>3060000</v>
      </c>
      <c r="E707" s="8">
        <v>126</v>
      </c>
      <c r="F707" s="8">
        <f ca="1">IFERROR(__xludf.DUMMYFUNCTION("GOOGLEFINANCE(""BOM:"" &amp; B707,""price"")"),132.3)</f>
        <v>132.30000000000001</v>
      </c>
      <c r="G707" s="8">
        <f t="shared" ca="1" si="239"/>
        <v>5.0000000000000089</v>
      </c>
      <c r="H707" s="12">
        <f t="shared" si="228"/>
        <v>385560000</v>
      </c>
      <c r="I707" s="13">
        <f t="shared" ca="1" si="229"/>
        <v>404838000.00000006</v>
      </c>
      <c r="J707" s="63"/>
      <c r="K707" s="8">
        <v>540590</v>
      </c>
      <c r="L707" s="8" t="s">
        <v>2941</v>
      </c>
      <c r="M707" s="12">
        <v>11375000</v>
      </c>
      <c r="N707" s="10">
        <v>123</v>
      </c>
      <c r="O707" s="10">
        <f ca="1">IFERROR(__xludf.DUMMYFUNCTION("GOOGLEFINANCE(""BOM:"" &amp; K707,""price"")"),100.3)</f>
        <v>100.3</v>
      </c>
      <c r="P707" s="8">
        <f t="shared" ca="1" si="235"/>
        <v>-18.45528455284553</v>
      </c>
      <c r="Q707" s="12">
        <f t="shared" si="236"/>
        <v>1399125000</v>
      </c>
      <c r="R707" s="13">
        <f t="shared" ca="1" si="237"/>
        <v>1140912500</v>
      </c>
      <c r="S707" s="63"/>
      <c r="T707" s="8">
        <v>516064</v>
      </c>
      <c r="U707" s="8" t="s">
        <v>2942</v>
      </c>
      <c r="V707" s="12">
        <v>13989521</v>
      </c>
      <c r="W707" s="8">
        <v>403.4</v>
      </c>
      <c r="X707" s="11">
        <f ca="1">IFERROR(__xludf.DUMMYFUNCTION("GOOGLEFINANCE(""BOM:"" &amp; T707,""price"")"),382.7)</f>
        <v>382.7</v>
      </c>
      <c r="Y707" s="8">
        <f t="shared" ca="1" si="230"/>
        <v>-5.1313832424392638</v>
      </c>
      <c r="Z707" s="12">
        <f t="shared" si="231"/>
        <v>5643372771.3999996</v>
      </c>
      <c r="AA707" s="13">
        <f t="shared" ca="1" si="232"/>
        <v>5353789686.6999998</v>
      </c>
      <c r="AB707" s="63"/>
      <c r="AC707" s="8">
        <v>532651</v>
      </c>
      <c r="AD707" s="8" t="s">
        <v>2943</v>
      </c>
      <c r="AE707" s="12">
        <v>28129405</v>
      </c>
      <c r="AF707" s="8">
        <v>66.66</v>
      </c>
      <c r="AG707" s="8">
        <f ca="1">IFERROR(__xludf.DUMMYFUNCTION("GOOGLEFINANCE(""BOM:"" &amp; AC707,""price"")"),53.21)</f>
        <v>53.21</v>
      </c>
      <c r="AH707" s="8">
        <f t="shared" ca="1" si="208"/>
        <v>-20.177017701770172</v>
      </c>
      <c r="AI707" s="12">
        <f t="shared" si="209"/>
        <v>1875106137.3</v>
      </c>
      <c r="AJ707" s="13">
        <f t="shared" ca="1" si="210"/>
        <v>1496765640.05</v>
      </c>
    </row>
    <row r="708" spans="1:36" x14ac:dyDescent="0.25">
      <c r="A708" s="63"/>
      <c r="B708" s="8">
        <v>530917</v>
      </c>
      <c r="C708" s="8" t="s">
        <v>2944</v>
      </c>
      <c r="D708" s="12">
        <v>163000</v>
      </c>
      <c r="E708" s="8">
        <v>13.3</v>
      </c>
      <c r="F708" s="8">
        <f ca="1">IFERROR(__xludf.DUMMYFUNCTION("GOOGLEFINANCE(""BOM:"" &amp; B708,""price"")"),12.61)</f>
        <v>12.61</v>
      </c>
      <c r="G708" s="8">
        <f t="shared" ca="1" si="239"/>
        <v>-5.1879699248120392</v>
      </c>
      <c r="H708" s="12">
        <f t="shared" si="228"/>
        <v>2167900</v>
      </c>
      <c r="I708" s="13">
        <f t="shared" ca="1" si="229"/>
        <v>2055430</v>
      </c>
      <c r="J708" s="63"/>
      <c r="K708" s="8">
        <v>500366</v>
      </c>
      <c r="L708" s="8" t="s">
        <v>2945</v>
      </c>
      <c r="M708" s="12">
        <v>164220751</v>
      </c>
      <c r="N708" s="10">
        <v>4.0599999999999996</v>
      </c>
      <c r="O708" s="10">
        <f ca="1">IFERROR(__xludf.DUMMYFUNCTION("GOOGLEFINANCE(""BOM:"" &amp; K708,""price"")"),4.82)</f>
        <v>4.82</v>
      </c>
      <c r="P708" s="8">
        <f t="shared" ca="1" si="235"/>
        <v>18.719211822660117</v>
      </c>
      <c r="Q708" s="12">
        <f t="shared" si="236"/>
        <v>666736249.05999994</v>
      </c>
      <c r="R708" s="13">
        <f t="shared" ca="1" si="237"/>
        <v>791544019.82000005</v>
      </c>
      <c r="S708" s="63"/>
      <c r="T708" s="8">
        <v>539982</v>
      </c>
      <c r="U708" s="8" t="s">
        <v>2946</v>
      </c>
      <c r="V708" s="12">
        <v>11097109</v>
      </c>
      <c r="W708" s="8">
        <v>7.26</v>
      </c>
      <c r="X708" s="11">
        <f ca="1">IFERROR(__xludf.DUMMYFUNCTION("GOOGLEFINANCE(""BOM:"" &amp; T708,""price"")"),6.1)</f>
        <v>6.1</v>
      </c>
      <c r="Y708" s="8">
        <f t="shared" ca="1" si="230"/>
        <v>-15.977961432506889</v>
      </c>
      <c r="Z708" s="12">
        <f t="shared" si="231"/>
        <v>80565011.340000004</v>
      </c>
      <c r="AA708" s="13">
        <f t="shared" ca="1" si="232"/>
        <v>67692364.899999991</v>
      </c>
      <c r="AB708" s="64"/>
      <c r="AC708" s="14">
        <v>523011</v>
      </c>
      <c r="AD708" s="14" t="s">
        <v>2947</v>
      </c>
      <c r="AE708" s="15">
        <v>15444315</v>
      </c>
      <c r="AF708" s="14">
        <v>108.55</v>
      </c>
      <c r="AG708" s="14">
        <f ca="1">IFERROR(__xludf.DUMMYFUNCTION("GOOGLEFINANCE(""BOM:"" &amp; AC708,""price"")"),110.9)</f>
        <v>110.9</v>
      </c>
      <c r="AH708" s="14">
        <f t="shared" ca="1" si="208"/>
        <v>2.1649009672961848</v>
      </c>
      <c r="AI708" s="15">
        <f t="shared" si="209"/>
        <v>1676480393.25</v>
      </c>
      <c r="AJ708" s="16">
        <f t="shared" ca="1" si="210"/>
        <v>1712774533.5</v>
      </c>
    </row>
    <row r="709" spans="1:36" x14ac:dyDescent="0.25">
      <c r="A709" s="63"/>
      <c r="B709" s="8">
        <v>534597</v>
      </c>
      <c r="C709" s="8" t="s">
        <v>2948</v>
      </c>
      <c r="D709" s="12">
        <v>1382184490</v>
      </c>
      <c r="E709" s="8">
        <v>82.87</v>
      </c>
      <c r="F709" s="8">
        <f ca="1">IFERROR(__xludf.DUMMYFUNCTION("GOOGLEFINANCE(""BOM:"" &amp; B709,""price"")"),69.15)</f>
        <v>69.150000000000006</v>
      </c>
      <c r="G709" s="8">
        <f t="shared" ca="1" si="239"/>
        <v>-16.556051647158199</v>
      </c>
      <c r="H709" s="12">
        <f t="shared" si="228"/>
        <v>114541628686.3</v>
      </c>
      <c r="I709" s="13">
        <f t="shared" ca="1" si="229"/>
        <v>95578057483.500015</v>
      </c>
      <c r="J709" s="63"/>
      <c r="K709" s="8">
        <v>532735</v>
      </c>
      <c r="L709" s="8" t="s">
        <v>2949</v>
      </c>
      <c r="M709" s="12">
        <v>118083005</v>
      </c>
      <c r="N709" s="10">
        <v>466.6</v>
      </c>
      <c r="O709" s="10">
        <f ca="1">IFERROR(__xludf.DUMMYFUNCTION("GOOGLEFINANCE(""BOM:"" &amp; K709,""price"")"),438)</f>
        <v>438</v>
      </c>
      <c r="P709" s="8">
        <f t="shared" ca="1" si="235"/>
        <v>-6.1294470638662713</v>
      </c>
      <c r="Q709" s="12">
        <f t="shared" si="236"/>
        <v>55097530133</v>
      </c>
      <c r="R709" s="13">
        <f t="shared" ca="1" si="237"/>
        <v>51720356190</v>
      </c>
      <c r="S709" s="63"/>
      <c r="T709" s="8">
        <v>523186</v>
      </c>
      <c r="U709" s="8" t="s">
        <v>2950</v>
      </c>
      <c r="V709" s="12">
        <v>843887</v>
      </c>
      <c r="W709" s="8">
        <v>224</v>
      </c>
      <c r="X709" s="11">
        <f ca="1">IFERROR(__xludf.DUMMYFUNCTION("GOOGLEFINANCE(""BOM:"" &amp; T709,""price"")"),220)</f>
        <v>220</v>
      </c>
      <c r="Y709" s="8">
        <f t="shared" ca="1" si="230"/>
        <v>-1.7857142857142856</v>
      </c>
      <c r="Z709" s="12">
        <f t="shared" si="231"/>
        <v>189030688</v>
      </c>
      <c r="AA709" s="13">
        <f t="shared" ca="1" si="232"/>
        <v>185655140</v>
      </c>
      <c r="AB709" s="65" t="s">
        <v>2951</v>
      </c>
      <c r="AC709" s="6">
        <v>543319</v>
      </c>
      <c r="AD709" s="6" t="s">
        <v>2952</v>
      </c>
      <c r="AE709" s="7">
        <v>8164800</v>
      </c>
      <c r="AF709" s="8">
        <v>8</v>
      </c>
      <c r="AG709" s="8">
        <f ca="1">IFERROR(__xludf.DUMMYFUNCTION("GOOGLEFINANCE(""BOM:"" &amp; AC709,""price"")"),9.11)</f>
        <v>9.11</v>
      </c>
      <c r="AH709" s="8">
        <f t="shared" ca="1" si="208"/>
        <v>13.874999999999993</v>
      </c>
      <c r="AI709" s="7">
        <f t="shared" si="209"/>
        <v>65318400</v>
      </c>
      <c r="AJ709" s="9">
        <f t="shared" ca="1" si="210"/>
        <v>74381328</v>
      </c>
    </row>
    <row r="710" spans="1:36" x14ac:dyDescent="0.25">
      <c r="A710" s="63"/>
      <c r="B710" s="8">
        <v>509020</v>
      </c>
      <c r="C710" s="8" t="s">
        <v>2953</v>
      </c>
      <c r="D710" s="12">
        <v>171307241</v>
      </c>
      <c r="E710" s="8">
        <v>12.8</v>
      </c>
      <c r="F710" s="8">
        <f ca="1">IFERROR(__xludf.DUMMYFUNCTION("GOOGLEFINANCE(""BOM:"" &amp; B710,""price"")"),12.26)</f>
        <v>12.26</v>
      </c>
      <c r="G710" s="8">
        <f t="shared" ca="1" si="239"/>
        <v>-4.2187500000000071</v>
      </c>
      <c r="H710" s="12">
        <f t="shared" si="228"/>
        <v>2192732684.8000002</v>
      </c>
      <c r="I710" s="13">
        <f t="shared" ca="1" si="229"/>
        <v>2100226774.6599998</v>
      </c>
      <c r="J710" s="63"/>
      <c r="K710" s="8">
        <v>532663</v>
      </c>
      <c r="L710" s="8" t="s">
        <v>2954</v>
      </c>
      <c r="M710" s="12">
        <v>14877734</v>
      </c>
      <c r="N710" s="10">
        <v>1699.35</v>
      </c>
      <c r="O710" s="10">
        <f ca="1">IFERROR(__xludf.DUMMYFUNCTION("GOOGLEFINANCE(""BOM:"" &amp; K710,""price"")"),1503.95)</f>
        <v>1503.95</v>
      </c>
      <c r="P710" s="8">
        <f t="shared" ca="1" si="235"/>
        <v>-11.498514137758548</v>
      </c>
      <c r="Q710" s="12">
        <f t="shared" si="236"/>
        <v>25282477272.899998</v>
      </c>
      <c r="R710" s="13">
        <f t="shared" ca="1" si="237"/>
        <v>22375368049.299999</v>
      </c>
      <c r="S710" s="63"/>
      <c r="T710" s="8">
        <v>539447</v>
      </c>
      <c r="U710" s="8" t="s">
        <v>2955</v>
      </c>
      <c r="V710" s="12">
        <v>35040804</v>
      </c>
      <c r="W710" s="8">
        <v>42.14</v>
      </c>
      <c r="X710" s="11">
        <f ca="1">IFERROR(__xludf.DUMMYFUNCTION("GOOGLEFINANCE(""BOM:"" &amp; T710,""price"")"),35.32)</f>
        <v>35.32</v>
      </c>
      <c r="Y710" s="8">
        <f t="shared" ca="1" si="230"/>
        <v>-16.184148077835786</v>
      </c>
      <c r="Z710" s="12">
        <f t="shared" si="231"/>
        <v>1476619480.5599999</v>
      </c>
      <c r="AA710" s="13">
        <f t="shared" ca="1" si="232"/>
        <v>1237641197.28</v>
      </c>
      <c r="AB710" s="63"/>
      <c r="AC710" s="8">
        <v>538563</v>
      </c>
      <c r="AD710" s="8" t="s">
        <v>2956</v>
      </c>
      <c r="AE710" s="12">
        <v>3487985</v>
      </c>
      <c r="AF710" s="8">
        <v>6.01</v>
      </c>
      <c r="AG710" s="8">
        <f ca="1">IFERROR(__xludf.DUMMYFUNCTION("GOOGLEFINANCE(""BOM:"" &amp; AC710,""price"")"),6.95)</f>
        <v>6.95</v>
      </c>
      <c r="AH710" s="8">
        <f t="shared" ca="1" si="208"/>
        <v>15.640599001663901</v>
      </c>
      <c r="AI710" s="12">
        <f t="shared" si="209"/>
        <v>20962789.849999998</v>
      </c>
      <c r="AJ710" s="13">
        <f t="shared" ca="1" si="210"/>
        <v>24241495.75</v>
      </c>
    </row>
    <row r="711" spans="1:36" x14ac:dyDescent="0.25">
      <c r="A711" s="63"/>
      <c r="B711" s="8">
        <v>531931</v>
      </c>
      <c r="C711" s="8" t="s">
        <v>2957</v>
      </c>
      <c r="D711" s="12">
        <v>1975500</v>
      </c>
      <c r="E711" s="8">
        <v>147.69999999999999</v>
      </c>
      <c r="F711" s="8">
        <f ca="1">IFERROR(__xludf.DUMMYFUNCTION("GOOGLEFINANCE(""BOM:"" &amp; B711,""price"")"),145.1)</f>
        <v>145.1</v>
      </c>
      <c r="G711" s="8">
        <f t="shared" ca="1" si="239"/>
        <v>-1.7603249830737946</v>
      </c>
      <c r="H711" s="12">
        <f t="shared" si="228"/>
        <v>291781350</v>
      </c>
      <c r="I711" s="13">
        <f t="shared" ca="1" si="229"/>
        <v>286645050</v>
      </c>
      <c r="J711" s="63"/>
      <c r="K711" s="8">
        <v>526544</v>
      </c>
      <c r="L711" s="8" t="s">
        <v>2958</v>
      </c>
      <c r="M711" s="12">
        <v>67916859</v>
      </c>
      <c r="N711" s="10">
        <v>5.5</v>
      </c>
      <c r="O711" s="10">
        <f ca="1">IFERROR(__xludf.DUMMYFUNCTION("GOOGLEFINANCE(""BOM:"" &amp; K711,""price"")"),6.4)</f>
        <v>6.4</v>
      </c>
      <c r="P711" s="8">
        <f t="shared" ca="1" si="235"/>
        <v>16.36363636363637</v>
      </c>
      <c r="Q711" s="12">
        <f t="shared" si="236"/>
        <v>373542724.5</v>
      </c>
      <c r="R711" s="13">
        <f t="shared" ca="1" si="237"/>
        <v>434667897.60000002</v>
      </c>
      <c r="S711" s="63"/>
      <c r="T711" s="8">
        <v>539043</v>
      </c>
      <c r="U711" s="8" t="s">
        <v>2959</v>
      </c>
      <c r="V711" s="12">
        <v>65533020</v>
      </c>
      <c r="W711" s="8">
        <v>2.2799999999999998</v>
      </c>
      <c r="X711" s="11">
        <f ca="1">IFERROR(__xludf.DUMMYFUNCTION("GOOGLEFINANCE(""BOM:"" &amp; T711,""price"")"),1.88)</f>
        <v>1.88</v>
      </c>
      <c r="Y711" s="8">
        <f t="shared" ca="1" si="230"/>
        <v>-17.543859649122805</v>
      </c>
      <c r="Z711" s="12">
        <f t="shared" si="231"/>
        <v>149415285.59999999</v>
      </c>
      <c r="AA711" s="13">
        <f t="shared" ca="1" si="232"/>
        <v>123202077.59999999</v>
      </c>
      <c r="AB711" s="63"/>
      <c r="AC711" s="8">
        <v>538351</v>
      </c>
      <c r="AD711" s="8" t="s">
        <v>2960</v>
      </c>
      <c r="AE711" s="12">
        <v>12777906</v>
      </c>
      <c r="AF711" s="8">
        <v>6.45</v>
      </c>
      <c r="AG711" s="8">
        <f ca="1">IFERROR(__xludf.DUMMYFUNCTION("GOOGLEFINANCE(""BOM:"" &amp; AC711,""price"")"),5.5)</f>
        <v>5.5</v>
      </c>
      <c r="AH711" s="8">
        <f t="shared" ca="1" si="208"/>
        <v>-14.728682170542637</v>
      </c>
      <c r="AI711" s="12">
        <f t="shared" si="209"/>
        <v>82417493.700000003</v>
      </c>
      <c r="AJ711" s="13">
        <f t="shared" ca="1" si="210"/>
        <v>70278483</v>
      </c>
    </row>
    <row r="712" spans="1:36" x14ac:dyDescent="0.25">
      <c r="A712" s="63"/>
      <c r="B712" s="8">
        <v>530025</v>
      </c>
      <c r="C712" s="8" t="s">
        <v>2961</v>
      </c>
      <c r="D712" s="12">
        <v>4745540</v>
      </c>
      <c r="E712" s="8">
        <v>21.93</v>
      </c>
      <c r="F712" s="8">
        <f ca="1">IFERROR(__xludf.DUMMYFUNCTION("GOOGLEFINANCE(""BOM:"" &amp; B712,""price"")"),25.13)</f>
        <v>25.13</v>
      </c>
      <c r="G712" s="8">
        <f t="shared" ca="1" si="239"/>
        <v>14.591883264933877</v>
      </c>
      <c r="H712" s="12">
        <f t="shared" si="228"/>
        <v>104069692.2</v>
      </c>
      <c r="I712" s="13">
        <f t="shared" ca="1" si="229"/>
        <v>119255420.19999999</v>
      </c>
      <c r="J712" s="63"/>
      <c r="K712" s="8">
        <v>512161</v>
      </c>
      <c r="L712" s="8" t="s">
        <v>2962</v>
      </c>
      <c r="M712" s="12">
        <v>33410431</v>
      </c>
      <c r="N712" s="10">
        <v>59.19</v>
      </c>
      <c r="O712" s="10">
        <f ca="1">IFERROR(__xludf.DUMMYFUNCTION("GOOGLEFINANCE(""BOM:"" &amp; K712,""price"")"),36.64)</f>
        <v>36.64</v>
      </c>
      <c r="P712" s="8">
        <f t="shared" ca="1" si="235"/>
        <v>-38.097651630342959</v>
      </c>
      <c r="Q712" s="12">
        <f t="shared" si="236"/>
        <v>1977563410.8899999</v>
      </c>
      <c r="R712" s="13">
        <f t="shared" ca="1" si="237"/>
        <v>1224158191.8399999</v>
      </c>
      <c r="S712" s="63"/>
      <c r="T712" s="8">
        <v>543435</v>
      </c>
      <c r="U712" s="8" t="s">
        <v>2963</v>
      </c>
      <c r="V712" s="12">
        <v>2480980</v>
      </c>
      <c r="W712" s="8">
        <v>182</v>
      </c>
      <c r="X712" s="11">
        <f ca="1">IFERROR(__xludf.DUMMYFUNCTION("GOOGLEFINANCE(""BOM:"" &amp; T712,""price"")"),185)</f>
        <v>185</v>
      </c>
      <c r="Y712" s="8">
        <f t="shared" ca="1" si="230"/>
        <v>1.6483516483516485</v>
      </c>
      <c r="Z712" s="12">
        <f t="shared" si="231"/>
        <v>451538360</v>
      </c>
      <c r="AA712" s="13">
        <f t="shared" ca="1" si="232"/>
        <v>458981300</v>
      </c>
      <c r="AB712" s="63"/>
      <c r="AC712" s="8">
        <v>537492</v>
      </c>
      <c r="AD712" s="8" t="s">
        <v>2964</v>
      </c>
      <c r="AE712" s="12">
        <v>11309800</v>
      </c>
      <c r="AF712" s="8" t="s">
        <v>44</v>
      </c>
      <c r="AG712" s="8" t="s">
        <v>44</v>
      </c>
      <c r="AH712" s="8"/>
      <c r="AI712" s="12"/>
      <c r="AJ712" s="13"/>
    </row>
    <row r="713" spans="1:36" x14ac:dyDescent="0.25">
      <c r="A713" s="63"/>
      <c r="B713" s="8">
        <v>531893</v>
      </c>
      <c r="C713" s="8" t="s">
        <v>2965</v>
      </c>
      <c r="D713" s="12">
        <v>114148859</v>
      </c>
      <c r="E713" s="8">
        <v>1.32</v>
      </c>
      <c r="F713" s="8">
        <f ca="1">IFERROR(__xludf.DUMMYFUNCTION("GOOGLEFINANCE(""BOM:"" &amp; B713,""price"")"),1.18)</f>
        <v>1.18</v>
      </c>
      <c r="G713" s="8">
        <f t="shared" ca="1" si="239"/>
        <v>-10.606060606060614</v>
      </c>
      <c r="H713" s="12">
        <f t="shared" si="228"/>
        <v>150676493.88</v>
      </c>
      <c r="I713" s="13">
        <f t="shared" ca="1" si="229"/>
        <v>134695653.62</v>
      </c>
      <c r="J713" s="63"/>
      <c r="K713" s="8">
        <v>543525</v>
      </c>
      <c r="L713" s="8" t="s">
        <v>2966</v>
      </c>
      <c r="M713" s="12">
        <v>12681000</v>
      </c>
      <c r="N713" s="10">
        <v>699.95</v>
      </c>
      <c r="O713" s="10">
        <f ca="1">IFERROR(__xludf.DUMMYFUNCTION("GOOGLEFINANCE(""BOM:"" &amp; K713,""price"")"),650)</f>
        <v>650</v>
      </c>
      <c r="P713" s="8">
        <f t="shared" ca="1" si="235"/>
        <v>-7.1362240160011483</v>
      </c>
      <c r="Q713" s="12">
        <f t="shared" si="236"/>
        <v>8876065950</v>
      </c>
      <c r="R713" s="13">
        <f t="shared" ca="1" si="237"/>
        <v>8242650000</v>
      </c>
      <c r="S713" s="63"/>
      <c r="T713" s="8">
        <v>539986</v>
      </c>
      <c r="U713" s="8" t="s">
        <v>2967</v>
      </c>
      <c r="V713" s="12">
        <v>13317400</v>
      </c>
      <c r="W713" s="8">
        <v>81.05</v>
      </c>
      <c r="X713" s="11">
        <f ca="1">IFERROR(__xludf.DUMMYFUNCTION("GOOGLEFINANCE(""BOM:"" &amp; T713,""price"")"),62.26)</f>
        <v>62.26</v>
      </c>
      <c r="Y713" s="8">
        <f t="shared" ca="1" si="230"/>
        <v>-23.183220234423196</v>
      </c>
      <c r="Z713" s="12">
        <f t="shared" si="231"/>
        <v>1079375270</v>
      </c>
      <c r="AA713" s="13">
        <f t="shared" ca="1" si="232"/>
        <v>829141324</v>
      </c>
      <c r="AB713" s="63"/>
      <c r="AC713" s="8">
        <v>542524</v>
      </c>
      <c r="AD713" s="8" t="s">
        <v>2968</v>
      </c>
      <c r="AE713" s="12">
        <v>1843334</v>
      </c>
      <c r="AF713" s="8">
        <v>39.9</v>
      </c>
      <c r="AG713" s="8">
        <f ca="1">IFERROR(__xludf.DUMMYFUNCTION("GOOGLEFINANCE(""BOM:"" &amp; AC713,""price"")"),44.34)</f>
        <v>44.34</v>
      </c>
      <c r="AH713" s="8">
        <f ca="1">((AG713-AF713)/AF713)*100</f>
        <v>11.127819548872193</v>
      </c>
      <c r="AI713" s="12">
        <f t="shared" ref="AI713:AI738" si="240">AE713*AF713</f>
        <v>73549026.599999994</v>
      </c>
      <c r="AJ713" s="13">
        <f t="shared" ref="AJ713:AJ738" ca="1" si="241">AE713*AG713</f>
        <v>81733429.560000002</v>
      </c>
    </row>
    <row r="714" spans="1:36" x14ac:dyDescent="0.25">
      <c r="A714" s="63"/>
      <c r="B714" s="8">
        <v>542725</v>
      </c>
      <c r="C714" s="8" t="s">
        <v>2969</v>
      </c>
      <c r="D714" s="12">
        <v>317460000</v>
      </c>
      <c r="E714" s="8">
        <v>23.24</v>
      </c>
      <c r="F714" s="8">
        <f ca="1">IFERROR(__xludf.DUMMYFUNCTION("GOOGLEFINANCE(""BOM:"" &amp; B714,""price"")"),20.23)</f>
        <v>20.23</v>
      </c>
      <c r="G714" s="8">
        <f t="shared" ca="1" si="239"/>
        <v>-12.951807228915655</v>
      </c>
      <c r="H714" s="12">
        <f t="shared" si="228"/>
        <v>7377770399.999999</v>
      </c>
      <c r="I714" s="13">
        <f t="shared" ca="1" si="229"/>
        <v>6422215800</v>
      </c>
      <c r="J714" s="63"/>
      <c r="K714" s="8">
        <v>511447</v>
      </c>
      <c r="L714" s="8" t="s">
        <v>2970</v>
      </c>
      <c r="M714" s="12">
        <v>126247000</v>
      </c>
      <c r="N714" s="10">
        <v>4.96</v>
      </c>
      <c r="O714" s="10">
        <f ca="1">IFERROR(__xludf.DUMMYFUNCTION("GOOGLEFINANCE(""BOM:"" &amp; K714,""price"")"),2.7)</f>
        <v>2.7</v>
      </c>
      <c r="P714" s="8">
        <f t="shared" ca="1" si="235"/>
        <v>-45.564516129032256</v>
      </c>
      <c r="Q714" s="12">
        <f t="shared" si="236"/>
        <v>626185120</v>
      </c>
      <c r="R714" s="13">
        <f t="shared" ca="1" si="237"/>
        <v>340866900</v>
      </c>
      <c r="S714" s="63"/>
      <c r="T714" s="8">
        <v>508814</v>
      </c>
      <c r="U714" s="8" t="s">
        <v>2971</v>
      </c>
      <c r="V714" s="12">
        <v>26795721</v>
      </c>
      <c r="W714" s="8">
        <v>522.9</v>
      </c>
      <c r="X714" s="11">
        <f ca="1">IFERROR(__xludf.DUMMYFUNCTION("GOOGLEFINANCE(""BOM:"" &amp; T714,""price"")"),502)</f>
        <v>502</v>
      </c>
      <c r="Y714" s="8">
        <f t="shared" ca="1" si="230"/>
        <v>-3.9969401415184507</v>
      </c>
      <c r="Z714" s="12">
        <f t="shared" si="231"/>
        <v>14011482510.9</v>
      </c>
      <c r="AA714" s="13">
        <f t="shared" ca="1" si="232"/>
        <v>13451451942</v>
      </c>
      <c r="AB714" s="63"/>
      <c r="AC714" s="8">
        <v>506120</v>
      </c>
      <c r="AD714" s="8" t="s">
        <v>2972</v>
      </c>
      <c r="AE714" s="12">
        <v>200000</v>
      </c>
      <c r="AF714" s="8">
        <v>0</v>
      </c>
      <c r="AG714" s="8">
        <f ca="1">IFERROR(__xludf.DUMMYFUNCTION("GOOGLEFINANCE(""BOM:"" &amp; AC714,""price"")"),0)</f>
        <v>0</v>
      </c>
      <c r="AH714" s="8">
        <v>0</v>
      </c>
      <c r="AI714" s="12">
        <f t="shared" si="240"/>
        <v>0</v>
      </c>
      <c r="AJ714" s="13">
        <f t="shared" ca="1" si="241"/>
        <v>0</v>
      </c>
    </row>
    <row r="715" spans="1:36" x14ac:dyDescent="0.25">
      <c r="A715" s="63"/>
      <c r="B715" s="8">
        <v>538875</v>
      </c>
      <c r="C715" s="8" t="s">
        <v>2973</v>
      </c>
      <c r="D715" s="12">
        <v>8191200</v>
      </c>
      <c r="E715" s="8">
        <v>15</v>
      </c>
      <c r="F715" s="8">
        <f ca="1">IFERROR(__xludf.DUMMYFUNCTION("GOOGLEFINANCE(""BOM:"" &amp; B715,""price"")"),17)</f>
        <v>17</v>
      </c>
      <c r="G715" s="8">
        <f t="shared" ca="1" si="239"/>
        <v>13.333333333333334</v>
      </c>
      <c r="H715" s="12">
        <f t="shared" si="228"/>
        <v>122868000</v>
      </c>
      <c r="I715" s="13">
        <f t="shared" ca="1" si="229"/>
        <v>139250400</v>
      </c>
      <c r="J715" s="63"/>
      <c r="K715" s="8">
        <v>533982</v>
      </c>
      <c r="L715" s="8" t="s">
        <v>2974</v>
      </c>
      <c r="M715" s="12">
        <v>12457402</v>
      </c>
      <c r="N715" s="10">
        <v>59.36</v>
      </c>
      <c r="O715" s="10">
        <f ca="1">IFERROR(__xludf.DUMMYFUNCTION("GOOGLEFINANCE(""BOM:"" &amp; K715,""price"")"),45.67)</f>
        <v>45.67</v>
      </c>
      <c r="P715" s="8">
        <f t="shared" ca="1" si="235"/>
        <v>-23.062668463611857</v>
      </c>
      <c r="Q715" s="12">
        <f t="shared" si="236"/>
        <v>739471382.72000003</v>
      </c>
      <c r="R715" s="13">
        <f t="shared" ca="1" si="237"/>
        <v>568929549.34000003</v>
      </c>
      <c r="S715" s="63"/>
      <c r="T715" s="8">
        <v>533161</v>
      </c>
      <c r="U715" s="8" t="s">
        <v>2975</v>
      </c>
      <c r="V715" s="12">
        <v>17690240</v>
      </c>
      <c r="W715" s="8">
        <v>107</v>
      </c>
      <c r="X715" s="11">
        <f ca="1">IFERROR(__xludf.DUMMYFUNCTION("GOOGLEFINANCE(""BOM:"" &amp; T715,""price"")"),89)</f>
        <v>89</v>
      </c>
      <c r="Y715" s="8">
        <f t="shared" ca="1" si="230"/>
        <v>-16.822429906542055</v>
      </c>
      <c r="Z715" s="12">
        <f t="shared" si="231"/>
        <v>1892855680</v>
      </c>
      <c r="AA715" s="13">
        <f t="shared" ca="1" si="232"/>
        <v>1574431360</v>
      </c>
      <c r="AB715" s="63"/>
      <c r="AC715" s="8">
        <v>512008</v>
      </c>
      <c r="AD715" s="8" t="s">
        <v>2976</v>
      </c>
      <c r="AE715" s="12">
        <v>2388850</v>
      </c>
      <c r="AF715" s="8">
        <v>419.9</v>
      </c>
      <c r="AG715" s="8">
        <f ca="1">IFERROR(__xludf.DUMMYFUNCTION("GOOGLEFINANCE(""BOM:"" &amp; AC715,""price"")"),333)</f>
        <v>333</v>
      </c>
      <c r="AH715" s="8">
        <f t="shared" ref="AH715:AH723" ca="1" si="242">((AG715-AF715)/AF715)*100</f>
        <v>-20.695403667539885</v>
      </c>
      <c r="AI715" s="12">
        <f t="shared" si="240"/>
        <v>1003078115</v>
      </c>
      <c r="AJ715" s="13">
        <f t="shared" ca="1" si="241"/>
        <v>795487050</v>
      </c>
    </row>
    <row r="716" spans="1:36" x14ac:dyDescent="0.25">
      <c r="A716" s="63"/>
      <c r="B716" s="8">
        <v>532083</v>
      </c>
      <c r="C716" s="8" t="s">
        <v>2977</v>
      </c>
      <c r="D716" s="12">
        <v>9763600</v>
      </c>
      <c r="E716" s="8">
        <v>3.13</v>
      </c>
      <c r="F716" s="8">
        <f ca="1">IFERROR(__xludf.DUMMYFUNCTION("GOOGLEFINANCE(""BOM:"" &amp; B716,""price"")"),3.13)</f>
        <v>3.13</v>
      </c>
      <c r="G716" s="8">
        <f t="shared" ca="1" si="239"/>
        <v>0</v>
      </c>
      <c r="H716" s="12">
        <f t="shared" si="228"/>
        <v>30560068</v>
      </c>
      <c r="I716" s="13">
        <f t="shared" ca="1" si="229"/>
        <v>30560068</v>
      </c>
      <c r="J716" s="63"/>
      <c r="K716" s="8">
        <v>502893</v>
      </c>
      <c r="L716" s="8" t="s">
        <v>2978</v>
      </c>
      <c r="M716" s="12">
        <v>1793170</v>
      </c>
      <c r="N716" s="10">
        <v>55.82</v>
      </c>
      <c r="O716" s="10">
        <f ca="1">IFERROR(__xludf.DUMMYFUNCTION("GOOGLEFINANCE(""BOM:"" &amp; K716,""price"")"),56)</f>
        <v>56</v>
      </c>
      <c r="P716" s="8">
        <f t="shared" ca="1" si="235"/>
        <v>0.32246506628448535</v>
      </c>
      <c r="Q716" s="12">
        <f t="shared" si="236"/>
        <v>100094749.40000001</v>
      </c>
      <c r="R716" s="13">
        <f t="shared" ca="1" si="237"/>
        <v>100417520</v>
      </c>
      <c r="S716" s="63"/>
      <c r="T716" s="8">
        <v>500135</v>
      </c>
      <c r="U716" s="8" t="s">
        <v>2979</v>
      </c>
      <c r="V716" s="12">
        <v>314372022</v>
      </c>
      <c r="W716" s="8">
        <v>189.65</v>
      </c>
      <c r="X716" s="11">
        <f ca="1">IFERROR(__xludf.DUMMYFUNCTION("GOOGLEFINANCE(""BOM:"" &amp; T716,""price"")"),178.1)</f>
        <v>178.1</v>
      </c>
      <c r="Y716" s="8">
        <f t="shared" ca="1" si="230"/>
        <v>-6.0901660954389722</v>
      </c>
      <c r="Z716" s="12">
        <f t="shared" si="231"/>
        <v>59620653972.300003</v>
      </c>
      <c r="AA716" s="13">
        <f t="shared" ca="1" si="232"/>
        <v>55989657118.199997</v>
      </c>
      <c r="AB716" s="63"/>
      <c r="AC716" s="8">
        <v>526241</v>
      </c>
      <c r="AD716" s="8" t="s">
        <v>2980</v>
      </c>
      <c r="AE716" s="12">
        <v>46478638</v>
      </c>
      <c r="AF716" s="8">
        <v>15.28</v>
      </c>
      <c r="AG716" s="8">
        <f ca="1">IFERROR(__xludf.DUMMYFUNCTION("GOOGLEFINANCE(""BOM:"" &amp; AC716,""price"")"),13.87)</f>
        <v>13.87</v>
      </c>
      <c r="AH716" s="8">
        <f t="shared" ca="1" si="242"/>
        <v>-9.2277486910994764</v>
      </c>
      <c r="AI716" s="12">
        <f t="shared" si="240"/>
        <v>710193588.63999999</v>
      </c>
      <c r="AJ716" s="13">
        <f t="shared" ca="1" si="241"/>
        <v>644658709.05999994</v>
      </c>
    </row>
    <row r="717" spans="1:36" x14ac:dyDescent="0.25">
      <c r="A717" s="63"/>
      <c r="B717" s="8">
        <v>503696</v>
      </c>
      <c r="C717" s="8" t="s">
        <v>2981</v>
      </c>
      <c r="D717" s="12">
        <v>207550</v>
      </c>
      <c r="E717" s="8">
        <v>0</v>
      </c>
      <c r="F717" s="8">
        <f ca="1">IFERROR(__xludf.DUMMYFUNCTION("GOOGLEFINANCE(""BOM:"" &amp; B717,""price"")"),0)</f>
        <v>0</v>
      </c>
      <c r="G717" s="8">
        <v>0</v>
      </c>
      <c r="H717" s="12">
        <f t="shared" si="228"/>
        <v>0</v>
      </c>
      <c r="I717" s="13">
        <f t="shared" ca="1" si="229"/>
        <v>0</v>
      </c>
      <c r="J717" s="63"/>
      <c r="K717" s="8">
        <v>532402</v>
      </c>
      <c r="L717" s="8" t="s">
        <v>2982</v>
      </c>
      <c r="M717" s="12">
        <v>31049789</v>
      </c>
      <c r="N717" s="10">
        <v>7.99</v>
      </c>
      <c r="O717" s="10">
        <f ca="1">IFERROR(__xludf.DUMMYFUNCTION("GOOGLEFINANCE(""BOM:"" &amp; K717,""price"")"),7.47)</f>
        <v>7.47</v>
      </c>
      <c r="P717" s="8">
        <f t="shared" ca="1" si="235"/>
        <v>-6.508135168961207</v>
      </c>
      <c r="Q717" s="12">
        <f t="shared" si="236"/>
        <v>248087814.11000001</v>
      </c>
      <c r="R717" s="13">
        <f t="shared" ca="1" si="237"/>
        <v>231941923.82999998</v>
      </c>
      <c r="S717" s="63"/>
      <c r="T717" s="8">
        <v>500136</v>
      </c>
      <c r="U717" s="8" t="s">
        <v>2983</v>
      </c>
      <c r="V717" s="12">
        <v>82659002</v>
      </c>
      <c r="W717" s="8">
        <v>106.05</v>
      </c>
      <c r="X717" s="11">
        <f ca="1">IFERROR(__xludf.DUMMYFUNCTION("GOOGLEFINANCE(""BOM:"" &amp; T717,""price"")"),85.3)</f>
        <v>85.3</v>
      </c>
      <c r="Y717" s="8">
        <f t="shared" ca="1" si="230"/>
        <v>-19.566242338519565</v>
      </c>
      <c r="Z717" s="12">
        <f t="shared" si="231"/>
        <v>8765987162.1000004</v>
      </c>
      <c r="AA717" s="13">
        <f t="shared" ca="1" si="232"/>
        <v>7050812870.5999994</v>
      </c>
      <c r="AB717" s="63"/>
      <c r="AC717" s="8">
        <v>519383</v>
      </c>
      <c r="AD717" s="8" t="s">
        <v>2984</v>
      </c>
      <c r="AE717" s="12">
        <v>22149227</v>
      </c>
      <c r="AF717" s="8">
        <v>48</v>
      </c>
      <c r="AG717" s="8">
        <f ca="1">IFERROR(__xludf.DUMMYFUNCTION("GOOGLEFINANCE(""BOM:"" &amp; AC717,""price"")"),42.2)</f>
        <v>42.2</v>
      </c>
      <c r="AH717" s="8">
        <f t="shared" ca="1" si="242"/>
        <v>-12.083333333333329</v>
      </c>
      <c r="AI717" s="12">
        <f t="shared" si="240"/>
        <v>1063162896</v>
      </c>
      <c r="AJ717" s="13">
        <f t="shared" ca="1" si="241"/>
        <v>934697379.4000001</v>
      </c>
    </row>
    <row r="718" spans="1:36" x14ac:dyDescent="0.25">
      <c r="A718" s="63"/>
      <c r="B718" s="8">
        <v>532007</v>
      </c>
      <c r="C718" s="8" t="s">
        <v>2985</v>
      </c>
      <c r="D718" s="12">
        <v>9051300</v>
      </c>
      <c r="E718" s="8">
        <v>20.100000000000001</v>
      </c>
      <c r="F718" s="8">
        <f ca="1">IFERROR(__xludf.DUMMYFUNCTION("GOOGLEFINANCE(""BOM:"" &amp; B718,""price"")"),14.5)</f>
        <v>14.5</v>
      </c>
      <c r="G718" s="8">
        <f ca="1">((F718-E718)/E718)*100</f>
        <v>-27.86069651741294</v>
      </c>
      <c r="H718" s="12">
        <f t="shared" si="228"/>
        <v>181931130</v>
      </c>
      <c r="I718" s="13">
        <f t="shared" ca="1" si="229"/>
        <v>131243850</v>
      </c>
      <c r="J718" s="63"/>
      <c r="K718" s="8">
        <v>511431</v>
      </c>
      <c r="L718" s="8" t="s">
        <v>2986</v>
      </c>
      <c r="M718" s="12">
        <v>1058152766</v>
      </c>
      <c r="N718" s="10">
        <v>25.1</v>
      </c>
      <c r="O718" s="10">
        <f ca="1">IFERROR(__xludf.DUMMYFUNCTION("GOOGLEFINANCE(""BOM:"" &amp; K718,""price"")"),19.85)</f>
        <v>19.850000000000001</v>
      </c>
      <c r="P718" s="8">
        <f t="shared" ca="1" si="235"/>
        <v>-20.916334661354579</v>
      </c>
      <c r="Q718" s="12">
        <f t="shared" si="236"/>
        <v>26559634426.600002</v>
      </c>
      <c r="R718" s="13">
        <f t="shared" ca="1" si="237"/>
        <v>21004332405.100002</v>
      </c>
      <c r="S718" s="63"/>
      <c r="T718" s="8">
        <v>542666</v>
      </c>
      <c r="U718" s="8" t="s">
        <v>2987</v>
      </c>
      <c r="V718" s="12">
        <v>21998832</v>
      </c>
      <c r="W718" s="8">
        <v>11.74</v>
      </c>
      <c r="X718" s="11">
        <f ca="1">IFERROR(__xludf.DUMMYFUNCTION("GOOGLEFINANCE(""BOM:"" &amp; T718,""price"")"),9.5)</f>
        <v>9.5</v>
      </c>
      <c r="Y718" s="8">
        <f t="shared" ca="1" si="230"/>
        <v>-19.080068143100512</v>
      </c>
      <c r="Z718" s="12">
        <f t="shared" si="231"/>
        <v>258266287.68000001</v>
      </c>
      <c r="AA718" s="13">
        <f t="shared" ca="1" si="232"/>
        <v>208988904</v>
      </c>
      <c r="AB718" s="63"/>
      <c r="AC718" s="8">
        <v>523896</v>
      </c>
      <c r="AD718" s="8" t="s">
        <v>2988</v>
      </c>
      <c r="AE718" s="12">
        <v>1908880</v>
      </c>
      <c r="AF718" s="8">
        <v>30.79</v>
      </c>
      <c r="AG718" s="8">
        <f ca="1">IFERROR(__xludf.DUMMYFUNCTION("GOOGLEFINANCE(""BOM:"" &amp; AC718,""price"")"),27.99)</f>
        <v>27.99</v>
      </c>
      <c r="AH718" s="8">
        <f t="shared" ca="1" si="242"/>
        <v>-9.0938616433907136</v>
      </c>
      <c r="AI718" s="12">
        <f t="shared" si="240"/>
        <v>58774415.199999996</v>
      </c>
      <c r="AJ718" s="13">
        <f t="shared" ca="1" si="241"/>
        <v>53429551.199999996</v>
      </c>
    </row>
    <row r="719" spans="1:36" x14ac:dyDescent="0.25">
      <c r="A719" s="63"/>
      <c r="B719" s="8">
        <v>512060</v>
      </c>
      <c r="C719" s="8" t="s">
        <v>2989</v>
      </c>
      <c r="D719" s="12">
        <v>3150344</v>
      </c>
      <c r="E719" s="8">
        <v>0</v>
      </c>
      <c r="F719" s="8">
        <f ca="1">IFERROR(__xludf.DUMMYFUNCTION("GOOGLEFINANCE(""BOM:"" &amp; B719,""price"")"),0)</f>
        <v>0</v>
      </c>
      <c r="G719" s="8">
        <v>0</v>
      </c>
      <c r="H719" s="12">
        <f t="shared" si="228"/>
        <v>0</v>
      </c>
      <c r="I719" s="13">
        <f t="shared" ca="1" si="229"/>
        <v>0</v>
      </c>
      <c r="J719" s="63"/>
      <c r="K719" s="8">
        <v>533056</v>
      </c>
      <c r="L719" s="8" t="s">
        <v>2990</v>
      </c>
      <c r="M719" s="12">
        <v>22359265</v>
      </c>
      <c r="N719" s="10">
        <v>56.7</v>
      </c>
      <c r="O719" s="10">
        <f ca="1">IFERROR(__xludf.DUMMYFUNCTION("GOOGLEFINANCE(""BOM:"" &amp; K719,""price"")"),47.27)</f>
        <v>47.27</v>
      </c>
      <c r="P719" s="8">
        <f t="shared" ca="1" si="235"/>
        <v>-16.631393298059962</v>
      </c>
      <c r="Q719" s="12">
        <f t="shared" si="236"/>
        <v>1267770325.5</v>
      </c>
      <c r="R719" s="13">
        <f t="shared" ca="1" si="237"/>
        <v>1056922456.5500001</v>
      </c>
      <c r="S719" s="63"/>
      <c r="T719" s="8">
        <v>526965</v>
      </c>
      <c r="U719" s="8" t="s">
        <v>2991</v>
      </c>
      <c r="V719" s="12">
        <v>4288500</v>
      </c>
      <c r="W719" s="8">
        <v>127.55</v>
      </c>
      <c r="X719" s="11">
        <f ca="1">IFERROR(__xludf.DUMMYFUNCTION("GOOGLEFINANCE(""BOM:"" &amp; T719,""price"")"),101)</f>
        <v>101</v>
      </c>
      <c r="Y719" s="8">
        <f t="shared" ca="1" si="230"/>
        <v>-20.815366522932184</v>
      </c>
      <c r="Z719" s="12">
        <f t="shared" si="231"/>
        <v>546998175</v>
      </c>
      <c r="AA719" s="13">
        <f t="shared" ca="1" si="232"/>
        <v>433138500</v>
      </c>
      <c r="AB719" s="63"/>
      <c r="AC719" s="8">
        <v>512344</v>
      </c>
      <c r="AD719" s="8" t="s">
        <v>2992</v>
      </c>
      <c r="AE719" s="12">
        <v>12752576</v>
      </c>
      <c r="AF719" s="8">
        <v>4.38</v>
      </c>
      <c r="AG719" s="8">
        <f ca="1">IFERROR(__xludf.DUMMYFUNCTION("GOOGLEFINANCE(""BOM:"" &amp; AC719,""price"")"),4.52)</f>
        <v>4.5199999999999996</v>
      </c>
      <c r="AH719" s="8">
        <f t="shared" ca="1" si="242"/>
        <v>3.1963470319634633</v>
      </c>
      <c r="AI719" s="12">
        <f t="shared" si="240"/>
        <v>55856282.879999995</v>
      </c>
      <c r="AJ719" s="13">
        <f t="shared" ca="1" si="241"/>
        <v>57641643.519999996</v>
      </c>
    </row>
    <row r="720" spans="1:36" x14ac:dyDescent="0.25">
      <c r="A720" s="63"/>
      <c r="B720" s="8">
        <v>530907</v>
      </c>
      <c r="C720" s="8" t="s">
        <v>2993</v>
      </c>
      <c r="D720" s="12">
        <v>2354550</v>
      </c>
      <c r="E720" s="8">
        <v>30.92</v>
      </c>
      <c r="F720" s="8">
        <f ca="1">IFERROR(__xludf.DUMMYFUNCTION("GOOGLEFINANCE(""BOM:"" &amp; B720,""price"")"),24.5)</f>
        <v>24.5</v>
      </c>
      <c r="G720" s="8">
        <f t="shared" ref="G720:G730" ca="1" si="243">((F720-E720)/E720)*100</f>
        <v>-20.763260025873226</v>
      </c>
      <c r="H720" s="12">
        <f t="shared" si="228"/>
        <v>72802686</v>
      </c>
      <c r="I720" s="13">
        <f t="shared" ca="1" si="229"/>
        <v>57686475</v>
      </c>
      <c r="J720" s="64"/>
      <c r="K720" s="14">
        <v>532373</v>
      </c>
      <c r="L720" s="14" t="s">
        <v>2994</v>
      </c>
      <c r="M720" s="15">
        <v>35807630</v>
      </c>
      <c r="N720" s="17">
        <v>40.380000000000003</v>
      </c>
      <c r="O720" s="17">
        <f ca="1">IFERROR(__xludf.DUMMYFUNCTION("GOOGLEFINANCE(""BOM:"" &amp; K720,""price"")"),38.15)</f>
        <v>38.15</v>
      </c>
      <c r="P720" s="14">
        <f t="shared" ca="1" si="235"/>
        <v>-5.5225359088657848</v>
      </c>
      <c r="Q720" s="15">
        <f t="shared" si="236"/>
        <v>1445912099.4000001</v>
      </c>
      <c r="R720" s="16">
        <f t="shared" ca="1" si="237"/>
        <v>1366061084.5</v>
      </c>
      <c r="S720" s="63"/>
      <c r="T720" s="8">
        <v>523836</v>
      </c>
      <c r="U720" s="8" t="s">
        <v>2995</v>
      </c>
      <c r="V720" s="12">
        <v>3265466</v>
      </c>
      <c r="W720" s="8">
        <v>49.1</v>
      </c>
      <c r="X720" s="11">
        <f ca="1">IFERROR(__xludf.DUMMYFUNCTION("GOOGLEFINANCE(""BOM:"" &amp; T720,""price"")"),43.42)</f>
        <v>43.42</v>
      </c>
      <c r="Y720" s="8">
        <f t="shared" ca="1" si="230"/>
        <v>-11.568228105906313</v>
      </c>
      <c r="Z720" s="12">
        <f t="shared" si="231"/>
        <v>160334380.59999999</v>
      </c>
      <c r="AA720" s="13">
        <f t="shared" ca="1" si="232"/>
        <v>141786533.72</v>
      </c>
      <c r="AB720" s="63"/>
      <c r="AC720" s="8">
        <v>526662</v>
      </c>
      <c r="AD720" s="8" t="s">
        <v>2996</v>
      </c>
      <c r="AE720" s="12">
        <v>2582095</v>
      </c>
      <c r="AF720" s="8">
        <v>48.62</v>
      </c>
      <c r="AG720" s="8">
        <f ca="1">IFERROR(__xludf.DUMMYFUNCTION("GOOGLEFINANCE(""BOM:"" &amp; AC720,""price"")"),38.14)</f>
        <v>38.14</v>
      </c>
      <c r="AH720" s="8">
        <f t="shared" ca="1" si="242"/>
        <v>-21.554915672562728</v>
      </c>
      <c r="AI720" s="12">
        <f t="shared" si="240"/>
        <v>125541458.89999999</v>
      </c>
      <c r="AJ720" s="13">
        <f t="shared" ca="1" si="241"/>
        <v>98481103.299999997</v>
      </c>
    </row>
    <row r="721" spans="1:36" x14ac:dyDescent="0.25">
      <c r="A721" s="63"/>
      <c r="B721" s="8">
        <v>532029</v>
      </c>
      <c r="C721" s="8" t="s">
        <v>2997</v>
      </c>
      <c r="D721" s="12">
        <v>1404836320</v>
      </c>
      <c r="E721" s="8">
        <v>38.65</v>
      </c>
      <c r="F721" s="8">
        <f ca="1">IFERROR(__xludf.DUMMYFUNCTION("GOOGLEFINANCE(""BOM:"" &amp; B721,""price"")"),28.57)</f>
        <v>28.57</v>
      </c>
      <c r="G721" s="8">
        <f t="shared" ca="1" si="243"/>
        <v>-26.080206985769728</v>
      </c>
      <c r="H721" s="12">
        <f t="shared" si="228"/>
        <v>54296923768</v>
      </c>
      <c r="I721" s="13">
        <f t="shared" ca="1" si="229"/>
        <v>40136173662.400002</v>
      </c>
      <c r="J721" s="62" t="s">
        <v>2998</v>
      </c>
      <c r="K721" s="6">
        <v>532806</v>
      </c>
      <c r="L721" s="6" t="s">
        <v>2999</v>
      </c>
      <c r="M721" s="7">
        <v>19084163</v>
      </c>
      <c r="N721" s="10">
        <v>55.9</v>
      </c>
      <c r="O721" s="10">
        <f ca="1">IFERROR(__xludf.DUMMYFUNCTION("GOOGLEFINANCE(""BOM:"" &amp; K721,""price"")"),50.5)</f>
        <v>50.5</v>
      </c>
      <c r="P721" s="8">
        <f t="shared" ca="1" si="235"/>
        <v>-9.6601073345259376</v>
      </c>
      <c r="Q721" s="7">
        <f t="shared" si="236"/>
        <v>1066804711.6999999</v>
      </c>
      <c r="R721" s="9">
        <f t="shared" ca="1" si="237"/>
        <v>963750231.5</v>
      </c>
      <c r="S721" s="63"/>
      <c r="T721" s="8">
        <v>515147</v>
      </c>
      <c r="U721" s="8" t="s">
        <v>3000</v>
      </c>
      <c r="V721" s="12">
        <v>53073900</v>
      </c>
      <c r="W721" s="8">
        <v>169.5</v>
      </c>
      <c r="X721" s="11">
        <f ca="1">IFERROR(__xludf.DUMMYFUNCTION("GOOGLEFINANCE(""BOM:"" &amp; T721,""price"")"),147.6)</f>
        <v>147.6</v>
      </c>
      <c r="Y721" s="8">
        <f t="shared" ca="1" si="230"/>
        <v>-12.920353982300888</v>
      </c>
      <c r="Z721" s="12">
        <f t="shared" si="231"/>
        <v>8996026050</v>
      </c>
      <c r="AA721" s="13">
        <f t="shared" ca="1" si="232"/>
        <v>7833707640</v>
      </c>
      <c r="AB721" s="63"/>
      <c r="AC721" s="8">
        <v>526125</v>
      </c>
      <c r="AD721" s="8" t="s">
        <v>3001</v>
      </c>
      <c r="AE721" s="12">
        <v>6024600</v>
      </c>
      <c r="AF721" s="8">
        <v>207</v>
      </c>
      <c r="AG721" s="8">
        <f ca="1">IFERROR(__xludf.DUMMYFUNCTION("GOOGLEFINANCE(""BOM:"" &amp; AC721,""price"")"),180)</f>
        <v>180</v>
      </c>
      <c r="AH721" s="8">
        <f t="shared" ca="1" si="242"/>
        <v>-13.043478260869565</v>
      </c>
      <c r="AI721" s="12">
        <f t="shared" si="240"/>
        <v>1247092200</v>
      </c>
      <c r="AJ721" s="13">
        <f t="shared" ca="1" si="241"/>
        <v>1084428000</v>
      </c>
    </row>
    <row r="722" spans="1:36" x14ac:dyDescent="0.25">
      <c r="A722" s="63"/>
      <c r="B722" s="8">
        <v>540673</v>
      </c>
      <c r="C722" s="8" t="s">
        <v>3002</v>
      </c>
      <c r="D722" s="12">
        <v>146928464</v>
      </c>
      <c r="E722" s="8">
        <v>437.1</v>
      </c>
      <c r="F722" s="8">
        <f ca="1">IFERROR(__xludf.DUMMYFUNCTION("GOOGLEFINANCE(""BOM:"" &amp; B722,""price"")"),410)</f>
        <v>410</v>
      </c>
      <c r="G722" s="8">
        <f t="shared" ca="1" si="243"/>
        <v>-6.1999542438801232</v>
      </c>
      <c r="H722" s="12">
        <f t="shared" si="228"/>
        <v>64222431614.400002</v>
      </c>
      <c r="I722" s="13">
        <f t="shared" ca="1" si="229"/>
        <v>60240670240</v>
      </c>
      <c r="J722" s="63"/>
      <c r="K722" s="8">
        <v>539120</v>
      </c>
      <c r="L722" s="8" t="s">
        <v>3003</v>
      </c>
      <c r="M722" s="12">
        <v>4346821</v>
      </c>
      <c r="N722" s="10">
        <v>31</v>
      </c>
      <c r="O722" s="10">
        <f ca="1">IFERROR(__xludf.DUMMYFUNCTION("GOOGLEFINANCE(""BOM:"" &amp; K722,""price"")"),41.74)</f>
        <v>41.74</v>
      </c>
      <c r="P722" s="8">
        <f t="shared" ca="1" si="235"/>
        <v>34.645161290322584</v>
      </c>
      <c r="Q722" s="12">
        <f t="shared" si="236"/>
        <v>134751451</v>
      </c>
      <c r="R722" s="13">
        <f t="shared" ca="1" si="237"/>
        <v>181436308.54000002</v>
      </c>
      <c r="S722" s="63"/>
      <c r="T722" s="8">
        <v>530315</v>
      </c>
      <c r="U722" s="8" t="s">
        <v>3004</v>
      </c>
      <c r="V722" s="12">
        <v>10357224</v>
      </c>
      <c r="W722" s="8">
        <v>193.5</v>
      </c>
      <c r="X722" s="11">
        <f ca="1">IFERROR(__xludf.DUMMYFUNCTION("GOOGLEFINANCE(""BOM:"" &amp; T722,""price"")"),162)</f>
        <v>162</v>
      </c>
      <c r="Y722" s="8">
        <f t="shared" ca="1" si="230"/>
        <v>-16.279069767441861</v>
      </c>
      <c r="Z722" s="12">
        <f t="shared" si="231"/>
        <v>2004122844</v>
      </c>
      <c r="AA722" s="13">
        <f t="shared" ca="1" si="232"/>
        <v>1677870288</v>
      </c>
      <c r="AB722" s="63"/>
      <c r="AC722" s="8">
        <v>541702</v>
      </c>
      <c r="AD722" s="8" t="s">
        <v>3005</v>
      </c>
      <c r="AE722" s="12">
        <v>28720730</v>
      </c>
      <c r="AF722" s="8">
        <v>8.0299999999999994</v>
      </c>
      <c r="AG722" s="8">
        <f ca="1">IFERROR(__xludf.DUMMYFUNCTION("GOOGLEFINANCE(""BOM:"" &amp; AC722,""price"")"),6.09)</f>
        <v>6.09</v>
      </c>
      <c r="AH722" s="8">
        <f t="shared" ca="1" si="242"/>
        <v>-24.15940224159402</v>
      </c>
      <c r="AI722" s="12">
        <f t="shared" si="240"/>
        <v>230627461.89999998</v>
      </c>
      <c r="AJ722" s="13">
        <f t="shared" ca="1" si="241"/>
        <v>174909245.69999999</v>
      </c>
    </row>
    <row r="723" spans="1:36" x14ac:dyDescent="0.25">
      <c r="A723" s="63"/>
      <c r="B723" s="8">
        <v>531506</v>
      </c>
      <c r="C723" s="8" t="s">
        <v>3006</v>
      </c>
      <c r="D723" s="12">
        <v>4067800</v>
      </c>
      <c r="E723" s="8">
        <v>24.8</v>
      </c>
      <c r="F723" s="8">
        <f ca="1">IFERROR(__xludf.DUMMYFUNCTION("GOOGLEFINANCE(""BOM:"" &amp; B723,""price"")"),30.87)</f>
        <v>30.87</v>
      </c>
      <c r="G723" s="8">
        <f t="shared" ca="1" si="243"/>
        <v>24.475806451612904</v>
      </c>
      <c r="H723" s="12">
        <f t="shared" si="228"/>
        <v>100881440</v>
      </c>
      <c r="I723" s="13">
        <f t="shared" ca="1" si="229"/>
        <v>125572986</v>
      </c>
      <c r="J723" s="63"/>
      <c r="K723" s="8">
        <v>538789</v>
      </c>
      <c r="L723" s="8" t="s">
        <v>3007</v>
      </c>
      <c r="M723" s="12">
        <v>6225017</v>
      </c>
      <c r="N723" s="10" t="s">
        <v>60</v>
      </c>
      <c r="O723" s="10" t="s">
        <v>60</v>
      </c>
      <c r="P723" s="8"/>
      <c r="Q723" s="12"/>
      <c r="R723" s="13"/>
      <c r="S723" s="63"/>
      <c r="T723" s="8">
        <v>526217</v>
      </c>
      <c r="U723" s="8" t="s">
        <v>3008</v>
      </c>
      <c r="V723" s="12">
        <v>16873537</v>
      </c>
      <c r="W723" s="8">
        <v>227.95</v>
      </c>
      <c r="X723" s="11">
        <f ca="1">IFERROR(__xludf.DUMMYFUNCTION("GOOGLEFINANCE(""BOM:"" &amp; T723,""price"")"),196.95)</f>
        <v>196.95</v>
      </c>
      <c r="Y723" s="8">
        <f t="shared" ca="1" si="230"/>
        <v>-13.599473568765081</v>
      </c>
      <c r="Z723" s="12">
        <f t="shared" si="231"/>
        <v>3846322759.1499996</v>
      </c>
      <c r="AA723" s="13">
        <f t="shared" ca="1" si="232"/>
        <v>3323243112.1499996</v>
      </c>
      <c r="AB723" s="63"/>
      <c r="AC723" s="8">
        <v>519532</v>
      </c>
      <c r="AD723" s="8" t="s">
        <v>3009</v>
      </c>
      <c r="AE723" s="12">
        <v>19129870</v>
      </c>
      <c r="AF723" s="8">
        <v>15.29</v>
      </c>
      <c r="AG723" s="8">
        <f ca="1">IFERROR(__xludf.DUMMYFUNCTION("GOOGLEFINANCE(""BOM:"" &amp; AC723,""price"")"),13.98)</f>
        <v>13.98</v>
      </c>
      <c r="AH723" s="8">
        <f t="shared" ca="1" si="242"/>
        <v>-8.5676913015042437</v>
      </c>
      <c r="AI723" s="12">
        <f t="shared" si="240"/>
        <v>292495712.30000001</v>
      </c>
      <c r="AJ723" s="13">
        <f t="shared" ca="1" si="241"/>
        <v>267435582.59999999</v>
      </c>
    </row>
    <row r="724" spans="1:36" x14ac:dyDescent="0.25">
      <c r="A724" s="63"/>
      <c r="B724" s="8">
        <v>512014</v>
      </c>
      <c r="C724" s="8" t="s">
        <v>3010</v>
      </c>
      <c r="D724" s="12">
        <v>200740</v>
      </c>
      <c r="E724" s="8">
        <v>16.25</v>
      </c>
      <c r="F724" s="8">
        <f ca="1">IFERROR(__xludf.DUMMYFUNCTION("GOOGLEFINANCE(""BOM:"" &amp; B724,""price"")"),32.08)</f>
        <v>32.08</v>
      </c>
      <c r="G724" s="8">
        <f t="shared" ca="1" si="243"/>
        <v>97.41538461538461</v>
      </c>
      <c r="H724" s="12">
        <f t="shared" si="228"/>
        <v>3262025</v>
      </c>
      <c r="I724" s="13">
        <f t="shared" ca="1" si="229"/>
        <v>6439739.1999999993</v>
      </c>
      <c r="J724" s="63"/>
      <c r="K724" s="8">
        <v>526817</v>
      </c>
      <c r="L724" s="8" t="s">
        <v>3011</v>
      </c>
      <c r="M724" s="12">
        <v>5905912</v>
      </c>
      <c r="N724" s="10">
        <v>1363.5</v>
      </c>
      <c r="O724" s="10">
        <f ca="1">IFERROR(__xludf.DUMMYFUNCTION("GOOGLEFINANCE(""BOM:"" &amp; K724,""price"")"),1250)</f>
        <v>1250</v>
      </c>
      <c r="P724" s="8">
        <f t="shared" ref="P724:P749" ca="1" si="244">((O724-N724)/N724)*100</f>
        <v>-8.3241657499083246</v>
      </c>
      <c r="Q724" s="12">
        <f t="shared" ref="Q724:Q775" si="245">M724*N724</f>
        <v>8052711012</v>
      </c>
      <c r="R724" s="13">
        <f t="shared" ref="R724:R775" ca="1" si="246">M724*O724</f>
        <v>7382390000</v>
      </c>
      <c r="S724" s="63"/>
      <c r="T724" s="8">
        <v>526717</v>
      </c>
      <c r="U724" s="8" t="s">
        <v>3012</v>
      </c>
      <c r="V724" s="12">
        <v>10672931</v>
      </c>
      <c r="W724" s="8">
        <v>193.5</v>
      </c>
      <c r="X724" s="11">
        <f ca="1">IFERROR(__xludf.DUMMYFUNCTION("GOOGLEFINANCE(""BOM:"" &amp; T724,""price"")"),187.25)</f>
        <v>187.25</v>
      </c>
      <c r="Y724" s="8">
        <f t="shared" ca="1" si="230"/>
        <v>-3.229974160206718</v>
      </c>
      <c r="Z724" s="12">
        <f t="shared" si="231"/>
        <v>2065212148.5</v>
      </c>
      <c r="AA724" s="13">
        <f t="shared" ca="1" si="232"/>
        <v>1998506329.75</v>
      </c>
      <c r="AB724" s="63"/>
      <c r="AC724" s="8">
        <v>512433</v>
      </c>
      <c r="AD724" s="8" t="s">
        <v>3013</v>
      </c>
      <c r="AE724" s="12">
        <v>1679500</v>
      </c>
      <c r="AF724" s="8">
        <v>0</v>
      </c>
      <c r="AG724" s="8">
        <f ca="1">IFERROR(__xludf.DUMMYFUNCTION("GOOGLEFINANCE(""BOM:"" &amp; AC724,""price"")"),0)</f>
        <v>0</v>
      </c>
      <c r="AH724" s="8">
        <v>0</v>
      </c>
      <c r="AI724" s="12">
        <f t="shared" si="240"/>
        <v>0</v>
      </c>
      <c r="AJ724" s="13">
        <f t="shared" ca="1" si="241"/>
        <v>0</v>
      </c>
    </row>
    <row r="725" spans="1:36" x14ac:dyDescent="0.25">
      <c r="A725" s="63"/>
      <c r="B725" s="8">
        <v>530289</v>
      </c>
      <c r="C725" s="8" t="s">
        <v>3014</v>
      </c>
      <c r="D725" s="12">
        <v>5925900</v>
      </c>
      <c r="E725" s="8">
        <v>36.29</v>
      </c>
      <c r="F725" s="8">
        <f ca="1">IFERROR(__xludf.DUMMYFUNCTION("GOOGLEFINANCE(""BOM:"" &amp; B725,""price"")"),24.75)</f>
        <v>24.75</v>
      </c>
      <c r="G725" s="8">
        <f t="shared" ca="1" si="243"/>
        <v>-31.799393772389084</v>
      </c>
      <c r="H725" s="12">
        <f t="shared" si="228"/>
        <v>215050911</v>
      </c>
      <c r="I725" s="13">
        <f t="shared" ca="1" si="229"/>
        <v>146666025</v>
      </c>
      <c r="J725" s="63"/>
      <c r="K725" s="8">
        <v>542351</v>
      </c>
      <c r="L725" s="8" t="s">
        <v>3015</v>
      </c>
      <c r="M725" s="12">
        <v>5370269</v>
      </c>
      <c r="N725" s="10">
        <v>867</v>
      </c>
      <c r="O725" s="10">
        <f ca="1">IFERROR(__xludf.DUMMYFUNCTION("GOOGLEFINANCE(""BOM:"" &amp; K725,""price"")"),817.05)</f>
        <v>817.05</v>
      </c>
      <c r="P725" s="8">
        <f t="shared" ca="1" si="244"/>
        <v>-5.7612456747404899</v>
      </c>
      <c r="Q725" s="12">
        <f t="shared" si="245"/>
        <v>4656023223</v>
      </c>
      <c r="R725" s="13">
        <f t="shared" ca="1" si="246"/>
        <v>4387778286.4499998</v>
      </c>
      <c r="S725" s="63"/>
      <c r="T725" s="8">
        <v>509820</v>
      </c>
      <c r="U725" s="8" t="s">
        <v>3016</v>
      </c>
      <c r="V725" s="12">
        <v>75029611</v>
      </c>
      <c r="W725" s="8">
        <v>337.45</v>
      </c>
      <c r="X725" s="11">
        <f ca="1">IFERROR(__xludf.DUMMYFUNCTION("GOOGLEFINANCE(""BOM:"" &amp; T725,""price"")"),304.85)</f>
        <v>304.85000000000002</v>
      </c>
      <c r="Y725" s="8">
        <f t="shared" ca="1" si="230"/>
        <v>-9.6606904726626066</v>
      </c>
      <c r="Z725" s="12">
        <f t="shared" si="231"/>
        <v>25318742231.950001</v>
      </c>
      <c r="AA725" s="13">
        <f t="shared" ca="1" si="232"/>
        <v>22872776913.350002</v>
      </c>
      <c r="AB725" s="63"/>
      <c r="AC725" s="8">
        <v>512038</v>
      </c>
      <c r="AD725" s="8" t="s">
        <v>3017</v>
      </c>
      <c r="AE725" s="12">
        <v>493520</v>
      </c>
      <c r="AF725" s="8">
        <v>508.65</v>
      </c>
      <c r="AG725" s="8">
        <f ca="1">IFERROR(__xludf.DUMMYFUNCTION("GOOGLEFINANCE(""BOM:"" &amp; AC725,""price"")"),448)</f>
        <v>448</v>
      </c>
      <c r="AH725" s="8">
        <v>0</v>
      </c>
      <c r="AI725" s="12">
        <f t="shared" si="240"/>
        <v>251028948</v>
      </c>
      <c r="AJ725" s="13">
        <f t="shared" ca="1" si="241"/>
        <v>221096960</v>
      </c>
    </row>
    <row r="726" spans="1:36" x14ac:dyDescent="0.25">
      <c r="A726" s="63"/>
      <c r="B726" s="8">
        <v>524488</v>
      </c>
      <c r="C726" s="8" t="s">
        <v>3018</v>
      </c>
      <c r="D726" s="12">
        <v>143744135</v>
      </c>
      <c r="E726" s="8">
        <v>4.05</v>
      </c>
      <c r="F726" s="8">
        <f ca="1">IFERROR(__xludf.DUMMYFUNCTION("GOOGLEFINANCE(""BOM:"" &amp; B726,""price"")"),3)</f>
        <v>3</v>
      </c>
      <c r="G726" s="8">
        <f t="shared" ca="1" si="243"/>
        <v>-25.925925925925924</v>
      </c>
      <c r="H726" s="12">
        <f t="shared" si="228"/>
        <v>582163746.75</v>
      </c>
      <c r="I726" s="13">
        <f t="shared" ca="1" si="229"/>
        <v>431232405</v>
      </c>
      <c r="J726" s="64"/>
      <c r="K726" s="14">
        <v>526179</v>
      </c>
      <c r="L726" s="14" t="s">
        <v>3019</v>
      </c>
      <c r="M726" s="15">
        <v>10333844</v>
      </c>
      <c r="N726" s="17">
        <v>85.7</v>
      </c>
      <c r="O726" s="17">
        <f ca="1">IFERROR(__xludf.DUMMYFUNCTION("GOOGLEFINANCE(""BOM:"" &amp; K726,""price"")"),83.8)</f>
        <v>83.8</v>
      </c>
      <c r="P726" s="14">
        <f t="shared" ca="1" si="244"/>
        <v>-2.2170361726954559</v>
      </c>
      <c r="Q726" s="15">
        <f t="shared" si="245"/>
        <v>885610430.80000007</v>
      </c>
      <c r="R726" s="16">
        <f t="shared" ca="1" si="246"/>
        <v>865976127.19999993</v>
      </c>
      <c r="S726" s="63"/>
      <c r="T726" s="8">
        <v>523840</v>
      </c>
      <c r="U726" s="8" t="s">
        <v>3020</v>
      </c>
      <c r="V726" s="12">
        <v>20658790</v>
      </c>
      <c r="W726" s="8">
        <v>30.39</v>
      </c>
      <c r="X726" s="11">
        <f ca="1">IFERROR(__xludf.DUMMYFUNCTION("GOOGLEFINANCE(""BOM:"" &amp; T726,""price"")"),23.25)</f>
        <v>23.25</v>
      </c>
      <c r="Y726" s="8">
        <f t="shared" ca="1" si="230"/>
        <v>-23.49457058242843</v>
      </c>
      <c r="Z726" s="12">
        <f t="shared" si="231"/>
        <v>627820628.10000002</v>
      </c>
      <c r="AA726" s="13">
        <f t="shared" ca="1" si="232"/>
        <v>480316867.5</v>
      </c>
      <c r="AB726" s="63"/>
      <c r="AC726" s="8">
        <v>509009</v>
      </c>
      <c r="AD726" s="8" t="s">
        <v>3021</v>
      </c>
      <c r="AE726" s="12">
        <v>12719729</v>
      </c>
      <c r="AF726" s="8">
        <v>89.55</v>
      </c>
      <c r="AG726" s="8">
        <f ca="1">IFERROR(__xludf.DUMMYFUNCTION("GOOGLEFINANCE(""BOM:"" &amp; AC726,""price"")"),89)</f>
        <v>89</v>
      </c>
      <c r="AH726" s="8">
        <f t="shared" ref="AH726:AH728" ca="1" si="247">((AG726-AF726)/AF726)*100</f>
        <v>-0.61418202121719401</v>
      </c>
      <c r="AI726" s="12">
        <f t="shared" si="240"/>
        <v>1139051731.95</v>
      </c>
      <c r="AJ726" s="13">
        <f t="shared" ca="1" si="241"/>
        <v>1132055881</v>
      </c>
    </row>
    <row r="727" spans="1:36" x14ac:dyDescent="0.25">
      <c r="A727" s="63"/>
      <c r="B727" s="8">
        <v>503659</v>
      </c>
      <c r="C727" s="8" t="s">
        <v>3022</v>
      </c>
      <c r="D727" s="12">
        <v>876640</v>
      </c>
      <c r="E727" s="8">
        <v>63.57</v>
      </c>
      <c r="F727" s="8">
        <f ca="1">IFERROR(__xludf.DUMMYFUNCTION("GOOGLEFINANCE(""BOM:"" &amp; B727,""price"")"),58.08)</f>
        <v>58.08</v>
      </c>
      <c r="G727" s="8">
        <f t="shared" ca="1" si="243"/>
        <v>-8.6361491269466768</v>
      </c>
      <c r="H727" s="12">
        <f t="shared" si="228"/>
        <v>55728004.799999997</v>
      </c>
      <c r="I727" s="13">
        <f t="shared" ca="1" si="229"/>
        <v>50915251.199999996</v>
      </c>
      <c r="J727" s="62" t="s">
        <v>3023</v>
      </c>
      <c r="K727" s="6">
        <v>541771</v>
      </c>
      <c r="L727" s="6" t="s">
        <v>3024</v>
      </c>
      <c r="M727" s="7">
        <v>99024071</v>
      </c>
      <c r="N727" s="10">
        <v>2.08</v>
      </c>
      <c r="O727" s="10">
        <f ca="1">IFERROR(__xludf.DUMMYFUNCTION("GOOGLEFINANCE(""BOM:"" &amp; K727,""price"")"),2.61)</f>
        <v>2.61</v>
      </c>
      <c r="P727" s="8">
        <f t="shared" ca="1" si="244"/>
        <v>25.480769230769219</v>
      </c>
      <c r="Q727" s="7">
        <f t="shared" si="245"/>
        <v>205970067.68000001</v>
      </c>
      <c r="R727" s="9">
        <f t="shared" ca="1" si="246"/>
        <v>258452825.31</v>
      </c>
      <c r="S727" s="63"/>
      <c r="T727" s="8">
        <v>526001</v>
      </c>
      <c r="U727" s="8" t="s">
        <v>3025</v>
      </c>
      <c r="V727" s="12">
        <v>3571875</v>
      </c>
      <c r="W727" s="8">
        <v>6.56</v>
      </c>
      <c r="X727" s="11">
        <f ca="1">IFERROR(__xludf.DUMMYFUNCTION("GOOGLEFINANCE(""BOM:"" &amp; T727,""price"")"),5.12)</f>
        <v>5.12</v>
      </c>
      <c r="Y727" s="8">
        <f t="shared" ca="1" si="230"/>
        <v>-21.951219512195117</v>
      </c>
      <c r="Z727" s="12">
        <f t="shared" si="231"/>
        <v>23431500</v>
      </c>
      <c r="AA727" s="13">
        <f t="shared" ca="1" si="232"/>
        <v>18288000</v>
      </c>
      <c r="AB727" s="63"/>
      <c r="AC727" s="8">
        <v>512109</v>
      </c>
      <c r="AD727" s="8" t="s">
        <v>3026</v>
      </c>
      <c r="AE727" s="12">
        <v>1440500</v>
      </c>
      <c r="AF727" s="8">
        <v>25.38</v>
      </c>
      <c r="AG727" s="8">
        <f ca="1">IFERROR(__xludf.DUMMYFUNCTION("GOOGLEFINANCE(""BOM:"" &amp; AC727,""price"")"),25)</f>
        <v>25</v>
      </c>
      <c r="AH727" s="8">
        <f t="shared" ca="1" si="247"/>
        <v>-1.4972419227738338</v>
      </c>
      <c r="AI727" s="12">
        <f t="shared" si="240"/>
        <v>36559890</v>
      </c>
      <c r="AJ727" s="13">
        <f t="shared" ca="1" si="241"/>
        <v>36012500</v>
      </c>
    </row>
    <row r="728" spans="1:36" x14ac:dyDescent="0.25">
      <c r="A728" s="63"/>
      <c r="B728" s="8">
        <v>512271</v>
      </c>
      <c r="C728" s="8" t="s">
        <v>3027</v>
      </c>
      <c r="D728" s="12">
        <v>208000</v>
      </c>
      <c r="E728" s="8">
        <v>116.5</v>
      </c>
      <c r="F728" s="8">
        <f ca="1">IFERROR(__xludf.DUMMYFUNCTION("GOOGLEFINANCE(""BOM:"" &amp; B728,""price"")"),116.5)</f>
        <v>116.5</v>
      </c>
      <c r="G728" s="8">
        <f t="shared" ca="1" si="243"/>
        <v>0</v>
      </c>
      <c r="H728" s="12">
        <f t="shared" si="228"/>
        <v>24232000</v>
      </c>
      <c r="I728" s="13">
        <f t="shared" ca="1" si="229"/>
        <v>24232000</v>
      </c>
      <c r="J728" s="63"/>
      <c r="K728" s="8">
        <v>531673</v>
      </c>
      <c r="L728" s="8" t="s">
        <v>3028</v>
      </c>
      <c r="M728" s="12">
        <v>6185262</v>
      </c>
      <c r="N728" s="10">
        <v>13.13</v>
      </c>
      <c r="O728" s="10">
        <f ca="1">IFERROR(__xludf.DUMMYFUNCTION("GOOGLEFINANCE(""BOM:"" &amp; K728,""price"")"),9.71)</f>
        <v>9.7100000000000009</v>
      </c>
      <c r="P728" s="8">
        <f t="shared" ca="1" si="244"/>
        <v>-26.047220106626046</v>
      </c>
      <c r="Q728" s="12">
        <f t="shared" si="245"/>
        <v>81212490.060000002</v>
      </c>
      <c r="R728" s="13">
        <f t="shared" ca="1" si="246"/>
        <v>60058894.020000003</v>
      </c>
      <c r="S728" s="63"/>
      <c r="T728" s="8">
        <v>500227</v>
      </c>
      <c r="U728" s="8" t="s">
        <v>3029</v>
      </c>
      <c r="V728" s="12">
        <v>43587486</v>
      </c>
      <c r="W728" s="8">
        <v>561.25</v>
      </c>
      <c r="X728" s="11">
        <f ca="1">IFERROR(__xludf.DUMMYFUNCTION("GOOGLEFINANCE(""BOM:"" &amp; T728,""price"")"),452.35)</f>
        <v>452.35</v>
      </c>
      <c r="Y728" s="8">
        <f t="shared" ca="1" si="230"/>
        <v>-19.403118040089083</v>
      </c>
      <c r="Z728" s="12">
        <f t="shared" si="231"/>
        <v>24463476517.5</v>
      </c>
      <c r="AA728" s="13">
        <f t="shared" ca="1" si="232"/>
        <v>19716799292.100002</v>
      </c>
      <c r="AB728" s="63"/>
      <c r="AC728" s="8">
        <v>512063</v>
      </c>
      <c r="AD728" s="8" t="s">
        <v>3030</v>
      </c>
      <c r="AE728" s="12">
        <v>245000</v>
      </c>
      <c r="AF728" s="8">
        <v>22.35</v>
      </c>
      <c r="AG728" s="8">
        <f ca="1">IFERROR(__xludf.DUMMYFUNCTION("GOOGLEFINANCE(""BOM:"" &amp; AC728,""price"")"),22.35)</f>
        <v>22.35</v>
      </c>
      <c r="AH728" s="8">
        <f t="shared" ca="1" si="247"/>
        <v>0</v>
      </c>
      <c r="AI728" s="12">
        <f t="shared" si="240"/>
        <v>5475750</v>
      </c>
      <c r="AJ728" s="13">
        <f t="shared" ca="1" si="241"/>
        <v>5475750</v>
      </c>
    </row>
    <row r="729" spans="1:36" x14ac:dyDescent="0.25">
      <c r="A729" s="63"/>
      <c r="B729" s="8">
        <v>532262</v>
      </c>
      <c r="C729" s="8" t="s">
        <v>3031</v>
      </c>
      <c r="D729" s="12">
        <v>887686</v>
      </c>
      <c r="E729" s="8">
        <v>1400</v>
      </c>
      <c r="F729" s="8">
        <f ca="1">IFERROR(__xludf.DUMMYFUNCTION("GOOGLEFINANCE(""BOM:"" &amp; B729,""price"")"),1325)</f>
        <v>1325</v>
      </c>
      <c r="G729" s="8">
        <f t="shared" ca="1" si="243"/>
        <v>-5.3571428571428568</v>
      </c>
      <c r="H729" s="12">
        <f t="shared" si="228"/>
        <v>1242760400</v>
      </c>
      <c r="I729" s="13">
        <f t="shared" ca="1" si="229"/>
        <v>1176183950</v>
      </c>
      <c r="J729" s="63"/>
      <c r="K729" s="8">
        <v>526666</v>
      </c>
      <c r="L729" s="8" t="s">
        <v>3032</v>
      </c>
      <c r="M729" s="12">
        <v>12110208</v>
      </c>
      <c r="N729" s="10">
        <v>332.35</v>
      </c>
      <c r="O729" s="10">
        <f ca="1">IFERROR(__xludf.DUMMYFUNCTION("GOOGLEFINANCE(""BOM:"" &amp; K729,""price"")"),256.95)</f>
        <v>256.95</v>
      </c>
      <c r="P729" s="8">
        <f t="shared" ca="1" si="244"/>
        <v>-22.686926432977291</v>
      </c>
      <c r="Q729" s="12">
        <f t="shared" si="245"/>
        <v>4024827628.8000002</v>
      </c>
      <c r="R729" s="13">
        <f t="shared" ca="1" si="246"/>
        <v>3111717945.5999999</v>
      </c>
      <c r="S729" s="63"/>
      <c r="T729" s="8">
        <v>516078</v>
      </c>
      <c r="U729" s="8" t="s">
        <v>3033</v>
      </c>
      <c r="V729" s="12">
        <v>7816143</v>
      </c>
      <c r="W729" s="8">
        <v>44</v>
      </c>
      <c r="X729" s="11">
        <f ca="1">IFERROR(__xludf.DUMMYFUNCTION("GOOGLEFINANCE(""BOM:"" &amp; T729,""price"")"),38.22)</f>
        <v>38.22</v>
      </c>
      <c r="Y729" s="8">
        <f t="shared" ca="1" si="230"/>
        <v>-13.136363636363638</v>
      </c>
      <c r="Z729" s="12">
        <f t="shared" si="231"/>
        <v>343910292</v>
      </c>
      <c r="AA729" s="13">
        <f t="shared" ca="1" si="232"/>
        <v>298732985.45999998</v>
      </c>
      <c r="AB729" s="63"/>
      <c r="AC729" s="8">
        <v>512261</v>
      </c>
      <c r="AD729" s="8" t="s">
        <v>3034</v>
      </c>
      <c r="AE729" s="12">
        <v>236900</v>
      </c>
      <c r="AF729" s="8">
        <v>0</v>
      </c>
      <c r="AG729" s="8">
        <f ca="1">IFERROR(__xludf.DUMMYFUNCTION("GOOGLEFINANCE(""BOM:"" &amp; AC729,""price"")"),0)</f>
        <v>0</v>
      </c>
      <c r="AH729" s="8">
        <v>0</v>
      </c>
      <c r="AI729" s="12">
        <f t="shared" si="240"/>
        <v>0</v>
      </c>
      <c r="AJ729" s="13">
        <f t="shared" ca="1" si="241"/>
        <v>0</v>
      </c>
    </row>
    <row r="730" spans="1:36" x14ac:dyDescent="0.25">
      <c r="A730" s="63"/>
      <c r="B730" s="8">
        <v>539658</v>
      </c>
      <c r="C730" s="8" t="s">
        <v>3035</v>
      </c>
      <c r="D730" s="12">
        <v>17095718</v>
      </c>
      <c r="E730" s="8">
        <v>2979.25</v>
      </c>
      <c r="F730" s="8">
        <f ca="1">IFERROR(__xludf.DUMMYFUNCTION("GOOGLEFINANCE(""BOM:"" &amp; B730,""price"")"),2739)</f>
        <v>2739</v>
      </c>
      <c r="G730" s="8">
        <f t="shared" ca="1" si="243"/>
        <v>-8.0641100948225226</v>
      </c>
      <c r="H730" s="12">
        <f t="shared" si="228"/>
        <v>50932417851.5</v>
      </c>
      <c r="I730" s="13">
        <f t="shared" ca="1" si="229"/>
        <v>46825171602</v>
      </c>
      <c r="J730" s="63"/>
      <c r="K730" s="8">
        <v>532829</v>
      </c>
      <c r="L730" s="8" t="s">
        <v>3036</v>
      </c>
      <c r="M730" s="12">
        <v>13678799</v>
      </c>
      <c r="N730" s="10">
        <v>134.55000000000001</v>
      </c>
      <c r="O730" s="10">
        <f ca="1">IFERROR(__xludf.DUMMYFUNCTION("GOOGLEFINANCE(""BOM:"" &amp; K730,""price"")"),125.5)</f>
        <v>125.5</v>
      </c>
      <c r="P730" s="8">
        <f t="shared" ca="1" si="244"/>
        <v>-6.7261241174284727</v>
      </c>
      <c r="Q730" s="12">
        <f t="shared" si="245"/>
        <v>1840482405.45</v>
      </c>
      <c r="R730" s="13">
        <f t="shared" ca="1" si="246"/>
        <v>1716689274.5</v>
      </c>
      <c r="S730" s="63"/>
      <c r="T730" s="8">
        <v>504840</v>
      </c>
      <c r="U730" s="8" t="s">
        <v>3037</v>
      </c>
      <c r="V730" s="12">
        <v>914434</v>
      </c>
      <c r="W730" s="8">
        <v>2236.9499999999998</v>
      </c>
      <c r="X730" s="11">
        <f ca="1">IFERROR(__xludf.DUMMYFUNCTION("GOOGLEFINANCE(""BOM:"" &amp; T730,""price"")"),1924.75)</f>
        <v>1924.75</v>
      </c>
      <c r="Y730" s="8">
        <f t="shared" ca="1" si="230"/>
        <v>-13.956503274547927</v>
      </c>
      <c r="Z730" s="12">
        <f t="shared" si="231"/>
        <v>2045543136.3</v>
      </c>
      <c r="AA730" s="13">
        <f t="shared" ca="1" si="232"/>
        <v>1760056841.5</v>
      </c>
      <c r="AB730" s="63"/>
      <c r="AC730" s="8">
        <v>539834</v>
      </c>
      <c r="AD730" s="8" t="s">
        <v>3038</v>
      </c>
      <c r="AE730" s="12">
        <v>15702700</v>
      </c>
      <c r="AF730" s="8">
        <v>36.700000000000003</v>
      </c>
      <c r="AG730" s="8">
        <f ca="1">IFERROR(__xludf.DUMMYFUNCTION("GOOGLEFINANCE(""BOM:"" &amp; AC730,""price"")"),33.33)</f>
        <v>33.33</v>
      </c>
      <c r="AH730" s="8">
        <f t="shared" ref="AH730:AH738" ca="1" si="248">((AG730-AF730)/AF730)*100</f>
        <v>-9.1825613079019188</v>
      </c>
      <c r="AI730" s="12">
        <f t="shared" si="240"/>
        <v>576289090</v>
      </c>
      <c r="AJ730" s="13">
        <f t="shared" ca="1" si="241"/>
        <v>523370991</v>
      </c>
    </row>
    <row r="731" spans="1:36" x14ac:dyDescent="0.25">
      <c r="A731" s="63"/>
      <c r="B731" s="8">
        <v>512157</v>
      </c>
      <c r="C731" s="8" t="s">
        <v>3039</v>
      </c>
      <c r="D731" s="12">
        <v>219010</v>
      </c>
      <c r="E731" s="8">
        <v>0</v>
      </c>
      <c r="F731" s="8">
        <f ca="1">IFERROR(__xludf.DUMMYFUNCTION("GOOGLEFINANCE(""BOM:"" &amp; B731,""price"")"),0)</f>
        <v>0</v>
      </c>
      <c r="G731" s="8">
        <v>0</v>
      </c>
      <c r="H731" s="12">
        <f t="shared" si="228"/>
        <v>0</v>
      </c>
      <c r="I731" s="13">
        <f t="shared" ca="1" si="229"/>
        <v>0</v>
      </c>
      <c r="J731" s="63"/>
      <c r="K731" s="8">
        <v>522249</v>
      </c>
      <c r="L731" s="8" t="s">
        <v>3040</v>
      </c>
      <c r="M731" s="12">
        <v>43432686</v>
      </c>
      <c r="N731" s="10">
        <v>510.9</v>
      </c>
      <c r="O731" s="10">
        <f ca="1">IFERROR(__xludf.DUMMYFUNCTION("GOOGLEFINANCE(""BOM:"" &amp; K731,""price"")"),455.2)</f>
        <v>455.2</v>
      </c>
      <c r="P731" s="8">
        <f t="shared" ca="1" si="244"/>
        <v>-10.902329222939908</v>
      </c>
      <c r="Q731" s="12">
        <f t="shared" si="245"/>
        <v>22189759277.399998</v>
      </c>
      <c r="R731" s="13">
        <f t="shared" ca="1" si="246"/>
        <v>19770558667.200001</v>
      </c>
      <c r="S731" s="63"/>
      <c r="T731" s="8">
        <v>507779</v>
      </c>
      <c r="U731" s="8" t="s">
        <v>3041</v>
      </c>
      <c r="V731" s="12">
        <v>20957574</v>
      </c>
      <c r="W731" s="8">
        <v>104.8</v>
      </c>
      <c r="X731" s="11">
        <f ca="1">IFERROR(__xludf.DUMMYFUNCTION("GOOGLEFINANCE(""BOM:"" &amp; T731,""price"")"),90)</f>
        <v>90</v>
      </c>
      <c r="Y731" s="8">
        <f t="shared" ca="1" si="230"/>
        <v>-14.122137404580151</v>
      </c>
      <c r="Z731" s="12">
        <f t="shared" si="231"/>
        <v>2196353755.1999998</v>
      </c>
      <c r="AA731" s="13">
        <f t="shared" ca="1" si="232"/>
        <v>1886181660</v>
      </c>
      <c r="AB731" s="63"/>
      <c r="AC731" s="8">
        <v>532645</v>
      </c>
      <c r="AD731" s="8" t="s">
        <v>3042</v>
      </c>
      <c r="AE731" s="12">
        <v>13919365</v>
      </c>
      <c r="AF731" s="8">
        <v>2.76</v>
      </c>
      <c r="AG731" s="8">
        <f ca="1">IFERROR(__xludf.DUMMYFUNCTION("GOOGLEFINANCE(""BOM:"" &amp; AC731,""price"")"),3.16)</f>
        <v>3.16</v>
      </c>
      <c r="AH731" s="8">
        <f t="shared" ca="1" si="248"/>
        <v>14.49275362318842</v>
      </c>
      <c r="AI731" s="12">
        <f t="shared" si="240"/>
        <v>38417447.399999999</v>
      </c>
      <c r="AJ731" s="13">
        <f t="shared" ca="1" si="241"/>
        <v>43985193.399999999</v>
      </c>
    </row>
    <row r="732" spans="1:36" x14ac:dyDescent="0.25">
      <c r="A732" s="63"/>
      <c r="B732" s="8">
        <v>509003</v>
      </c>
      <c r="C732" s="8" t="s">
        <v>3043</v>
      </c>
      <c r="D732" s="12">
        <v>4502400</v>
      </c>
      <c r="E732" s="8">
        <v>0.13</v>
      </c>
      <c r="F732" s="8">
        <f ca="1">IFERROR(__xludf.DUMMYFUNCTION("GOOGLEFINANCE(""BOM:"" &amp; B732,""price"")"),0.13)</f>
        <v>0.13</v>
      </c>
      <c r="G732" s="8">
        <f ca="1">((F732-E732)/E732)*100</f>
        <v>0</v>
      </c>
      <c r="H732" s="12">
        <f t="shared" si="228"/>
        <v>585312</v>
      </c>
      <c r="I732" s="13">
        <f t="shared" ca="1" si="229"/>
        <v>585312</v>
      </c>
      <c r="J732" s="63"/>
      <c r="K732" s="8">
        <v>526642</v>
      </c>
      <c r="L732" s="8" t="s">
        <v>3044</v>
      </c>
      <c r="M732" s="12">
        <v>137783303</v>
      </c>
      <c r="N732" s="10">
        <v>50.55</v>
      </c>
      <c r="O732" s="10">
        <f ca="1">IFERROR(__xludf.DUMMYFUNCTION("GOOGLEFINANCE(""BOM:"" &amp; K732,""price"")"),42.93)</f>
        <v>42.93</v>
      </c>
      <c r="P732" s="8">
        <f t="shared" ca="1" si="244"/>
        <v>-15.074183976261125</v>
      </c>
      <c r="Q732" s="12">
        <f t="shared" si="245"/>
        <v>6964945966.6499996</v>
      </c>
      <c r="R732" s="13">
        <f t="shared" ca="1" si="246"/>
        <v>5915037197.79</v>
      </c>
      <c r="S732" s="63"/>
      <c r="T732" s="8">
        <v>540078</v>
      </c>
      <c r="U732" s="8" t="s">
        <v>3045</v>
      </c>
      <c r="V732" s="12">
        <v>12072600</v>
      </c>
      <c r="W732" s="8">
        <v>171.95</v>
      </c>
      <c r="X732" s="11">
        <f ca="1">IFERROR(__xludf.DUMMYFUNCTION("GOOGLEFINANCE(""BOM:"" &amp; T732,""price"")"),146.1)</f>
        <v>146.1</v>
      </c>
      <c r="Y732" s="8">
        <f t="shared" ca="1" si="230"/>
        <v>-15.033439953474845</v>
      </c>
      <c r="Z732" s="12">
        <f t="shared" si="231"/>
        <v>2075883569.9999998</v>
      </c>
      <c r="AA732" s="13">
        <f t="shared" ca="1" si="232"/>
        <v>1763806860</v>
      </c>
      <c r="AB732" s="63"/>
      <c r="AC732" s="8">
        <v>531029</v>
      </c>
      <c r="AD732" s="8" t="s">
        <v>3046</v>
      </c>
      <c r="AE732" s="12">
        <v>2304380</v>
      </c>
      <c r="AF732" s="8">
        <v>8.02</v>
      </c>
      <c r="AG732" s="8">
        <f ca="1">IFERROR(__xludf.DUMMYFUNCTION("GOOGLEFINANCE(""BOM:"" &amp; AC732,""price"")"),8.82)</f>
        <v>8.82</v>
      </c>
      <c r="AH732" s="8">
        <f t="shared" ca="1" si="248"/>
        <v>9.9750623441396602</v>
      </c>
      <c r="AI732" s="12">
        <f t="shared" si="240"/>
        <v>18481127.599999998</v>
      </c>
      <c r="AJ732" s="13">
        <f t="shared" ca="1" si="241"/>
        <v>20324631.600000001</v>
      </c>
    </row>
    <row r="733" spans="1:36" x14ac:dyDescent="0.25">
      <c r="A733" s="63"/>
      <c r="B733" s="8">
        <v>512117</v>
      </c>
      <c r="C733" s="8" t="s">
        <v>3047</v>
      </c>
      <c r="D733" s="12">
        <v>517050</v>
      </c>
      <c r="E733" s="8">
        <v>0</v>
      </c>
      <c r="F733" s="8">
        <f ca="1">IFERROR(__xludf.DUMMYFUNCTION("GOOGLEFINANCE(""BOM:"" &amp; B733,""price"")"),0)</f>
        <v>0</v>
      </c>
      <c r="G733" s="8">
        <v>0</v>
      </c>
      <c r="H733" s="12">
        <f t="shared" si="228"/>
        <v>0</v>
      </c>
      <c r="I733" s="13">
        <f t="shared" ca="1" si="229"/>
        <v>0</v>
      </c>
      <c r="J733" s="63"/>
      <c r="K733" s="8">
        <v>523242</v>
      </c>
      <c r="L733" s="8" t="s">
        <v>3048</v>
      </c>
      <c r="M733" s="12">
        <v>11187296</v>
      </c>
      <c r="N733" s="10">
        <v>15.31</v>
      </c>
      <c r="O733" s="10">
        <f ca="1">IFERROR(__xludf.DUMMYFUNCTION("GOOGLEFINANCE(""BOM:"" &amp; K733,""price"")"),14.96)</f>
        <v>14.96</v>
      </c>
      <c r="P733" s="8">
        <f t="shared" ca="1" si="244"/>
        <v>-2.2860875244937926</v>
      </c>
      <c r="Q733" s="12">
        <f t="shared" si="245"/>
        <v>171277501.76000002</v>
      </c>
      <c r="R733" s="13">
        <f t="shared" ca="1" si="246"/>
        <v>167361948.16</v>
      </c>
      <c r="S733" s="63"/>
      <c r="T733" s="8">
        <v>533080</v>
      </c>
      <c r="U733" s="8" t="s">
        <v>3049</v>
      </c>
      <c r="V733" s="12">
        <v>32997130</v>
      </c>
      <c r="W733" s="8">
        <v>845.8</v>
      </c>
      <c r="X733" s="11">
        <f ca="1">IFERROR(__xludf.DUMMYFUNCTION("GOOGLEFINANCE(""BOM:"" &amp; T733,""price"")"),778)</f>
        <v>778</v>
      </c>
      <c r="Y733" s="8">
        <f t="shared" ca="1" si="230"/>
        <v>-8.0160794514069469</v>
      </c>
      <c r="Z733" s="12">
        <f t="shared" si="231"/>
        <v>27908972554</v>
      </c>
      <c r="AA733" s="13">
        <f t="shared" ca="1" si="232"/>
        <v>25671767140</v>
      </c>
      <c r="AB733" s="63"/>
      <c r="AC733" s="8">
        <v>524723</v>
      </c>
      <c r="AD733" s="8" t="s">
        <v>3050</v>
      </c>
      <c r="AE733" s="12">
        <v>235300</v>
      </c>
      <c r="AF733" s="8">
        <v>21.95</v>
      </c>
      <c r="AG733" s="8">
        <f ca="1">IFERROR(__xludf.DUMMYFUNCTION("GOOGLEFINANCE(""BOM:"" &amp; AC733,""price"")"),24.19)</f>
        <v>24.19</v>
      </c>
      <c r="AH733" s="8">
        <f t="shared" ca="1" si="248"/>
        <v>10.205011389521649</v>
      </c>
      <c r="AI733" s="12">
        <f t="shared" si="240"/>
        <v>5164835</v>
      </c>
      <c r="AJ733" s="13">
        <f t="shared" ca="1" si="241"/>
        <v>5691907</v>
      </c>
    </row>
    <row r="734" spans="1:36" x14ac:dyDescent="0.25">
      <c r="A734" s="63"/>
      <c r="B734" s="8">
        <v>512511</v>
      </c>
      <c r="C734" s="8" t="s">
        <v>3051</v>
      </c>
      <c r="D734" s="12">
        <v>74100</v>
      </c>
      <c r="E734" s="8">
        <v>1.03</v>
      </c>
      <c r="F734" s="8">
        <f ca="1">IFERROR(__xludf.DUMMYFUNCTION("GOOGLEFINANCE(""BOM:"" &amp; B734,""price"")"),1.03)</f>
        <v>1.03</v>
      </c>
      <c r="G734" s="8">
        <f t="shared" ref="G734:G740" ca="1" si="249">((F734-E734)/E734)*100</f>
        <v>0</v>
      </c>
      <c r="H734" s="12">
        <f t="shared" si="228"/>
        <v>76323</v>
      </c>
      <c r="I734" s="13">
        <f t="shared" ca="1" si="229"/>
        <v>76323</v>
      </c>
      <c r="J734" s="63"/>
      <c r="K734" s="8">
        <v>523283</v>
      </c>
      <c r="L734" s="8" t="s">
        <v>3052</v>
      </c>
      <c r="M734" s="12">
        <v>10100961</v>
      </c>
      <c r="N734" s="10">
        <v>220.8</v>
      </c>
      <c r="O734" s="10">
        <f ca="1">IFERROR(__xludf.DUMMYFUNCTION("GOOGLEFINANCE(""BOM:"" &amp; K734,""price"")"),197)</f>
        <v>197</v>
      </c>
      <c r="P734" s="8">
        <f t="shared" ca="1" si="244"/>
        <v>-10.778985507246382</v>
      </c>
      <c r="Q734" s="12">
        <f t="shared" si="245"/>
        <v>2230292188.8000002</v>
      </c>
      <c r="R734" s="13">
        <f t="shared" ca="1" si="246"/>
        <v>1989889317</v>
      </c>
      <c r="S734" s="63"/>
      <c r="T734" s="8">
        <v>526143</v>
      </c>
      <c r="U734" s="8" t="s">
        <v>3053</v>
      </c>
      <c r="V734" s="12">
        <v>10444735</v>
      </c>
      <c r="W734" s="8">
        <v>16.63</v>
      </c>
      <c r="X734" s="11">
        <f ca="1">IFERROR(__xludf.DUMMYFUNCTION("GOOGLEFINANCE(""BOM:"" &amp; T734,""price"")"),15.5)</f>
        <v>15.5</v>
      </c>
      <c r="Y734" s="8">
        <f t="shared" ca="1" si="230"/>
        <v>-6.7949488875526098</v>
      </c>
      <c r="Z734" s="12">
        <f t="shared" si="231"/>
        <v>173695943.04999998</v>
      </c>
      <c r="AA734" s="13">
        <f t="shared" ca="1" si="232"/>
        <v>161893392.5</v>
      </c>
      <c r="AB734" s="63"/>
      <c r="AC734" s="8">
        <v>535620</v>
      </c>
      <c r="AD734" s="8" t="s">
        <v>3054</v>
      </c>
      <c r="AE734" s="12">
        <v>2973937</v>
      </c>
      <c r="AF734" s="8">
        <v>219</v>
      </c>
      <c r="AG734" s="8">
        <f ca="1">IFERROR(__xludf.DUMMYFUNCTION("GOOGLEFINANCE(""BOM:"" &amp; AC734,""price"")"),208.05)</f>
        <v>208.05</v>
      </c>
      <c r="AH734" s="8">
        <f t="shared" ca="1" si="248"/>
        <v>-4.9999999999999947</v>
      </c>
      <c r="AI734" s="12">
        <f t="shared" si="240"/>
        <v>651292203</v>
      </c>
      <c r="AJ734" s="13">
        <f t="shared" ca="1" si="241"/>
        <v>618727592.85000002</v>
      </c>
    </row>
    <row r="735" spans="1:36" x14ac:dyDescent="0.25">
      <c r="A735" s="63"/>
      <c r="B735" s="8">
        <v>531334</v>
      </c>
      <c r="C735" s="8" t="s">
        <v>3055</v>
      </c>
      <c r="D735" s="12">
        <v>2210300</v>
      </c>
      <c r="E735" s="8">
        <v>24.3</v>
      </c>
      <c r="F735" s="8">
        <f ca="1">IFERROR(__xludf.DUMMYFUNCTION("GOOGLEFINANCE(""BOM:"" &amp; B735,""price"")"),28.1)</f>
        <v>28.1</v>
      </c>
      <c r="G735" s="8">
        <f t="shared" ca="1" si="249"/>
        <v>15.637860082304531</v>
      </c>
      <c r="H735" s="12">
        <f t="shared" si="228"/>
        <v>53710290</v>
      </c>
      <c r="I735" s="13">
        <f t="shared" ca="1" si="229"/>
        <v>62109430</v>
      </c>
      <c r="J735" s="63"/>
      <c r="K735" s="8">
        <v>523842</v>
      </c>
      <c r="L735" s="8" t="s">
        <v>3056</v>
      </c>
      <c r="M735" s="12">
        <v>38431310</v>
      </c>
      <c r="N735" s="10">
        <v>10.35</v>
      </c>
      <c r="O735" s="10">
        <f ca="1">IFERROR(__xludf.DUMMYFUNCTION("GOOGLEFINANCE(""BOM:"" &amp; K735,""price"")"),8.57)</f>
        <v>8.57</v>
      </c>
      <c r="P735" s="8">
        <f t="shared" ca="1" si="244"/>
        <v>-17.198067632850236</v>
      </c>
      <c r="Q735" s="12">
        <f t="shared" si="245"/>
        <v>397764058.5</v>
      </c>
      <c r="R735" s="13">
        <f t="shared" ca="1" si="246"/>
        <v>329356326.69999999</v>
      </c>
      <c r="S735" s="63"/>
      <c r="T735" s="8">
        <v>523391</v>
      </c>
      <c r="U735" s="8" t="s">
        <v>3057</v>
      </c>
      <c r="V735" s="12">
        <v>23751842</v>
      </c>
      <c r="W735" s="8">
        <v>200.45</v>
      </c>
      <c r="X735" s="11">
        <f ca="1">IFERROR(__xludf.DUMMYFUNCTION("GOOGLEFINANCE(""BOM:"" &amp; T735,""price"")"),177.3)</f>
        <v>177.3</v>
      </c>
      <c r="Y735" s="8">
        <f t="shared" ca="1" si="230"/>
        <v>-11.549014716886994</v>
      </c>
      <c r="Z735" s="12">
        <f t="shared" si="231"/>
        <v>4761056728.8999996</v>
      </c>
      <c r="AA735" s="13">
        <f t="shared" ca="1" si="232"/>
        <v>4211201586.6000004</v>
      </c>
      <c r="AB735" s="63"/>
      <c r="AC735" s="8">
        <v>539546</v>
      </c>
      <c r="AD735" s="8" t="s">
        <v>3058</v>
      </c>
      <c r="AE735" s="12">
        <v>7165690</v>
      </c>
      <c r="AF735" s="8">
        <v>45.99</v>
      </c>
      <c r="AG735" s="8">
        <f ca="1">IFERROR(__xludf.DUMMYFUNCTION("GOOGLEFINANCE(""BOM:"" &amp; AC735,""price"")"),45.25)</f>
        <v>45.25</v>
      </c>
      <c r="AH735" s="8">
        <f t="shared" ca="1" si="248"/>
        <v>-1.6090454446618874</v>
      </c>
      <c r="AI735" s="12">
        <f t="shared" si="240"/>
        <v>329550083.10000002</v>
      </c>
      <c r="AJ735" s="13">
        <f t="shared" ca="1" si="241"/>
        <v>324247472.5</v>
      </c>
    </row>
    <row r="736" spans="1:36" x14ac:dyDescent="0.25">
      <c r="A736" s="63"/>
      <c r="B736" s="8">
        <v>512064</v>
      </c>
      <c r="C736" s="8" t="s">
        <v>3059</v>
      </c>
      <c r="D736" s="12">
        <v>1688750</v>
      </c>
      <c r="E736" s="8">
        <v>94</v>
      </c>
      <c r="F736" s="8">
        <f ca="1">IFERROR(__xludf.DUMMYFUNCTION("GOOGLEFINANCE(""BOM:"" &amp; B736,""price"")"),97.98)</f>
        <v>97.98</v>
      </c>
      <c r="G736" s="8">
        <f t="shared" ca="1" si="249"/>
        <v>4.234042553191494</v>
      </c>
      <c r="H736" s="12">
        <f t="shared" si="228"/>
        <v>158742500</v>
      </c>
      <c r="I736" s="13">
        <f t="shared" ca="1" si="229"/>
        <v>165463725</v>
      </c>
      <c r="J736" s="63"/>
      <c r="K736" s="8">
        <v>526431</v>
      </c>
      <c r="L736" s="8" t="s">
        <v>3060</v>
      </c>
      <c r="M736" s="12">
        <v>2667600</v>
      </c>
      <c r="N736" s="10">
        <v>18.100000000000001</v>
      </c>
      <c r="O736" s="10">
        <f ca="1">IFERROR(__xludf.DUMMYFUNCTION("GOOGLEFINANCE(""BOM:"" &amp; K736,""price"")"),13.26)</f>
        <v>13.26</v>
      </c>
      <c r="P736" s="8">
        <f t="shared" ca="1" si="244"/>
        <v>-26.740331491712716</v>
      </c>
      <c r="Q736" s="12">
        <f t="shared" si="245"/>
        <v>48283560.000000007</v>
      </c>
      <c r="R736" s="13">
        <f t="shared" ca="1" si="246"/>
        <v>35372376</v>
      </c>
      <c r="S736" s="63"/>
      <c r="T736" s="8">
        <v>513121</v>
      </c>
      <c r="U736" s="8" t="s">
        <v>3061</v>
      </c>
      <c r="V736" s="12">
        <v>156584059</v>
      </c>
      <c r="W736" s="8">
        <v>39.18</v>
      </c>
      <c r="X736" s="11">
        <f ca="1">IFERROR(__xludf.DUMMYFUNCTION("GOOGLEFINANCE(""BOM:"" &amp; T736,""price"")"),36.97)</f>
        <v>36.97</v>
      </c>
      <c r="Y736" s="8">
        <f t="shared" ca="1" si="230"/>
        <v>-5.6406329760081695</v>
      </c>
      <c r="Z736" s="12">
        <f t="shared" si="231"/>
        <v>6134963431.6199999</v>
      </c>
      <c r="AA736" s="13">
        <f t="shared" ca="1" si="232"/>
        <v>5788912661.2299995</v>
      </c>
      <c r="AB736" s="63"/>
      <c r="AC736" s="8">
        <v>501430</v>
      </c>
      <c r="AD736" s="8" t="s">
        <v>3062</v>
      </c>
      <c r="AE736" s="12">
        <v>373009</v>
      </c>
      <c r="AF736" s="8">
        <v>1629.8</v>
      </c>
      <c r="AG736" s="8">
        <f ca="1">IFERROR(__xludf.DUMMYFUNCTION("GOOGLEFINANCE(""BOM:"" &amp; AC736,""price"")"),1409)</f>
        <v>1409</v>
      </c>
      <c r="AH736" s="8">
        <f t="shared" ca="1" si="248"/>
        <v>-13.54767456129586</v>
      </c>
      <c r="AI736" s="12">
        <f t="shared" si="240"/>
        <v>607930068.19999993</v>
      </c>
      <c r="AJ736" s="13">
        <f t="shared" ca="1" si="241"/>
        <v>525569681</v>
      </c>
    </row>
    <row r="737" spans="1:36" x14ac:dyDescent="0.25">
      <c r="A737" s="63"/>
      <c r="B737" s="8">
        <v>503675</v>
      </c>
      <c r="C737" s="8" t="s">
        <v>3063</v>
      </c>
      <c r="D737" s="12">
        <v>47117750</v>
      </c>
      <c r="E737" s="8">
        <v>0.93</v>
      </c>
      <c r="F737" s="8">
        <f ca="1">IFERROR(__xludf.DUMMYFUNCTION("GOOGLEFINANCE(""BOM:"" &amp; B737,""price"")"),0.85)</f>
        <v>0.85</v>
      </c>
      <c r="G737" s="8">
        <f t="shared" ca="1" si="249"/>
        <v>-8.6021505376344169</v>
      </c>
      <c r="H737" s="12">
        <f t="shared" si="228"/>
        <v>43819507.5</v>
      </c>
      <c r="I737" s="13">
        <f t="shared" ca="1" si="229"/>
        <v>40050087.5</v>
      </c>
      <c r="J737" s="64"/>
      <c r="K737" s="14">
        <v>512553</v>
      </c>
      <c r="L737" s="14" t="s">
        <v>3064</v>
      </c>
      <c r="M737" s="15">
        <v>5364735</v>
      </c>
      <c r="N737" s="17">
        <v>187.05</v>
      </c>
      <c r="O737" s="17">
        <f ca="1">IFERROR(__xludf.DUMMYFUNCTION("GOOGLEFINANCE(""BOM:"" &amp; K737,""price"")"),169)</f>
        <v>169</v>
      </c>
      <c r="P737" s="14">
        <f t="shared" ca="1" si="244"/>
        <v>-9.6498262496658693</v>
      </c>
      <c r="Q737" s="15">
        <f t="shared" si="245"/>
        <v>1003473681.7500001</v>
      </c>
      <c r="R737" s="16">
        <f t="shared" ca="1" si="246"/>
        <v>906640215</v>
      </c>
      <c r="S737" s="63"/>
      <c r="T737" s="8">
        <v>526325</v>
      </c>
      <c r="U737" s="8" t="s">
        <v>3065</v>
      </c>
      <c r="V737" s="12">
        <v>9964835</v>
      </c>
      <c r="W737" s="8">
        <v>92.86</v>
      </c>
      <c r="X737" s="11">
        <f ca="1">IFERROR(__xludf.DUMMYFUNCTION("GOOGLEFINANCE(""BOM:"" &amp; T737,""price"")"),75.02)</f>
        <v>75.02</v>
      </c>
      <c r="Y737" s="8">
        <f t="shared" ca="1" si="230"/>
        <v>-19.211716562567311</v>
      </c>
      <c r="Z737" s="12">
        <f t="shared" si="231"/>
        <v>925334578.10000002</v>
      </c>
      <c r="AA737" s="13">
        <f t="shared" ca="1" si="232"/>
        <v>747561921.69999993</v>
      </c>
      <c r="AB737" s="63"/>
      <c r="AC737" s="8">
        <v>531158</v>
      </c>
      <c r="AD737" s="8" t="s">
        <v>3066</v>
      </c>
      <c r="AE737" s="12">
        <v>4924529</v>
      </c>
      <c r="AF737" s="8">
        <v>24.16</v>
      </c>
      <c r="AG737" s="8">
        <f ca="1">IFERROR(__xludf.DUMMYFUNCTION("GOOGLEFINANCE(""BOM:"" &amp; AC737,""price"")"),20.28)</f>
        <v>20.28</v>
      </c>
      <c r="AH737" s="8">
        <f t="shared" ca="1" si="248"/>
        <v>-16.059602649006617</v>
      </c>
      <c r="AI737" s="12">
        <f t="shared" si="240"/>
        <v>118976620.64</v>
      </c>
      <c r="AJ737" s="13">
        <f t="shared" ca="1" si="241"/>
        <v>99869448.120000005</v>
      </c>
    </row>
    <row r="738" spans="1:36" x14ac:dyDescent="0.25">
      <c r="A738" s="63"/>
      <c r="B738" s="8">
        <v>533520</v>
      </c>
      <c r="C738" s="8" t="s">
        <v>3067</v>
      </c>
      <c r="D738" s="12">
        <v>89310149</v>
      </c>
      <c r="E738" s="8">
        <v>9.82</v>
      </c>
      <c r="F738" s="8">
        <f ca="1">IFERROR(__xludf.DUMMYFUNCTION("GOOGLEFINANCE(""BOM:"" &amp; B738,""price"")"),9.41)</f>
        <v>9.41</v>
      </c>
      <c r="G738" s="8">
        <f t="shared" ca="1" si="249"/>
        <v>-4.1751527494908363</v>
      </c>
      <c r="H738" s="12">
        <f t="shared" si="228"/>
        <v>877025663.18000007</v>
      </c>
      <c r="I738" s="13">
        <f t="shared" ca="1" si="229"/>
        <v>840408502.09000003</v>
      </c>
      <c r="J738" s="62" t="s">
        <v>3068</v>
      </c>
      <c r="K738" s="6">
        <v>532212</v>
      </c>
      <c r="L738" s="6" t="s">
        <v>3069</v>
      </c>
      <c r="M738" s="7">
        <v>33621296</v>
      </c>
      <c r="N738" s="10">
        <v>39.25</v>
      </c>
      <c r="O738" s="10">
        <f ca="1">IFERROR(__xludf.DUMMYFUNCTION("GOOGLEFINANCE(""BOM:"" &amp; K738,""price"")"),29.5)</f>
        <v>29.5</v>
      </c>
      <c r="P738" s="8">
        <f t="shared" ca="1" si="244"/>
        <v>-24.840764331210192</v>
      </c>
      <c r="Q738" s="7">
        <f t="shared" si="245"/>
        <v>1319635868</v>
      </c>
      <c r="R738" s="9">
        <f t="shared" ca="1" si="246"/>
        <v>991828232</v>
      </c>
      <c r="S738" s="63"/>
      <c r="T738" s="8">
        <v>531280</v>
      </c>
      <c r="U738" s="8" t="s">
        <v>3070</v>
      </c>
      <c r="V738" s="12">
        <v>5242541</v>
      </c>
      <c r="W738" s="8">
        <v>9</v>
      </c>
      <c r="X738" s="11">
        <f ca="1">IFERROR(__xludf.DUMMYFUNCTION("GOOGLEFINANCE(""BOM:"" &amp; T738,""price"")"),8.28)</f>
        <v>8.2799999999999994</v>
      </c>
      <c r="Y738" s="8">
        <f t="shared" ca="1" si="230"/>
        <v>-8.0000000000000071</v>
      </c>
      <c r="Z738" s="12">
        <f t="shared" si="231"/>
        <v>47182869</v>
      </c>
      <c r="AA738" s="13">
        <f t="shared" ca="1" si="232"/>
        <v>43408239.479999997</v>
      </c>
      <c r="AB738" s="63"/>
      <c r="AC738" s="8">
        <v>539991</v>
      </c>
      <c r="AD738" s="8" t="s">
        <v>3071</v>
      </c>
      <c r="AE738" s="12">
        <v>12426900</v>
      </c>
      <c r="AF738" s="8">
        <v>127</v>
      </c>
      <c r="AG738" s="8">
        <f ca="1">IFERROR(__xludf.DUMMYFUNCTION("GOOGLEFINANCE(""BOM:"" &amp; AC738,""price"")"),107.9)</f>
        <v>107.9</v>
      </c>
      <c r="AH738" s="8">
        <f t="shared" ca="1" si="248"/>
        <v>-15.039370078740152</v>
      </c>
      <c r="AI738" s="12">
        <f t="shared" si="240"/>
        <v>1578216300</v>
      </c>
      <c r="AJ738" s="13">
        <f t="shared" ca="1" si="241"/>
        <v>1340862510</v>
      </c>
    </row>
    <row r="739" spans="1:36" x14ac:dyDescent="0.25">
      <c r="A739" s="63"/>
      <c r="B739" s="8">
        <v>523650</v>
      </c>
      <c r="C739" s="8" t="s">
        <v>3072</v>
      </c>
      <c r="D739" s="12">
        <v>4403550</v>
      </c>
      <c r="E739" s="8">
        <v>29.45</v>
      </c>
      <c r="F739" s="8">
        <f ca="1">IFERROR(__xludf.DUMMYFUNCTION("GOOGLEFINANCE(""BOM:"" &amp; B739,""price"")"),20.59)</f>
        <v>20.59</v>
      </c>
      <c r="G739" s="8">
        <f t="shared" ca="1" si="249"/>
        <v>-30.084889643463498</v>
      </c>
      <c r="H739" s="12">
        <f t="shared" si="228"/>
        <v>129684547.5</v>
      </c>
      <c r="I739" s="13">
        <f t="shared" ca="1" si="229"/>
        <v>90669094.5</v>
      </c>
      <c r="J739" s="63"/>
      <c r="K739" s="8">
        <v>530545</v>
      </c>
      <c r="L739" s="8" t="s">
        <v>3073</v>
      </c>
      <c r="M739" s="12">
        <v>4101262</v>
      </c>
      <c r="N739" s="10">
        <v>253.1</v>
      </c>
      <c r="O739" s="10">
        <f ca="1">IFERROR(__xludf.DUMMYFUNCTION("GOOGLEFINANCE(""BOM:"" &amp; K739,""price"")"),241.95)</f>
        <v>241.95</v>
      </c>
      <c r="P739" s="8">
        <f t="shared" ca="1" si="244"/>
        <v>-4.4053733702094053</v>
      </c>
      <c r="Q739" s="12">
        <f t="shared" si="245"/>
        <v>1038029412.1999999</v>
      </c>
      <c r="R739" s="13">
        <f t="shared" ca="1" si="246"/>
        <v>992300340.89999998</v>
      </c>
      <c r="S739" s="63"/>
      <c r="T739" s="8">
        <v>531397</v>
      </c>
      <c r="U739" s="8" t="s">
        <v>3074</v>
      </c>
      <c r="V739" s="12">
        <v>4543180</v>
      </c>
      <c r="W739" s="8">
        <v>15.56</v>
      </c>
      <c r="X739" s="11">
        <f ca="1">IFERROR(__xludf.DUMMYFUNCTION("GOOGLEFINANCE(""BOM:"" &amp; T739,""price"")"),17.5)</f>
        <v>17.5</v>
      </c>
      <c r="Y739" s="8">
        <f t="shared" ca="1" si="230"/>
        <v>12.467866323907453</v>
      </c>
      <c r="Z739" s="12">
        <f t="shared" si="231"/>
        <v>70691880.799999997</v>
      </c>
      <c r="AA739" s="13">
        <f t="shared" ca="1" si="232"/>
        <v>79505650</v>
      </c>
      <c r="AB739" s="63"/>
      <c r="AC739" s="8">
        <v>539600</v>
      </c>
      <c r="AD739" s="8" t="s">
        <v>3075</v>
      </c>
      <c r="AE739" s="12">
        <v>3189000</v>
      </c>
      <c r="AF739" s="8" t="s">
        <v>60</v>
      </c>
      <c r="AG739" s="8" t="s">
        <v>60</v>
      </c>
      <c r="AH739" s="8"/>
      <c r="AI739" s="12"/>
      <c r="AJ739" s="13"/>
    </row>
    <row r="740" spans="1:36" x14ac:dyDescent="0.25">
      <c r="A740" s="63"/>
      <c r="B740" s="8">
        <v>530697</v>
      </c>
      <c r="C740" s="8" t="s">
        <v>3076</v>
      </c>
      <c r="D740" s="12">
        <v>6137570</v>
      </c>
      <c r="E740" s="8">
        <v>45.89</v>
      </c>
      <c r="F740" s="8">
        <f ca="1">IFERROR(__xludf.DUMMYFUNCTION("GOOGLEFINANCE(""BOM:"" &amp; B740,""price"")"),41.5)</f>
        <v>41.5</v>
      </c>
      <c r="G740" s="8">
        <f t="shared" ca="1" si="249"/>
        <v>-9.5663543255611252</v>
      </c>
      <c r="H740" s="12">
        <f t="shared" si="228"/>
        <v>281653087.30000001</v>
      </c>
      <c r="I740" s="13">
        <f t="shared" ca="1" si="229"/>
        <v>254709155</v>
      </c>
      <c r="J740" s="63"/>
      <c r="K740" s="8">
        <v>526415</v>
      </c>
      <c r="L740" s="8" t="s">
        <v>3077</v>
      </c>
      <c r="M740" s="12">
        <v>283533000</v>
      </c>
      <c r="N740" s="10">
        <v>19.29</v>
      </c>
      <c r="O740" s="10">
        <f ca="1">IFERROR(__xludf.DUMMYFUNCTION("GOOGLEFINANCE(""BOM:"" &amp; K740,""price"")"),13.85)</f>
        <v>13.85</v>
      </c>
      <c r="P740" s="8">
        <f t="shared" ca="1" si="244"/>
        <v>-28.201140487299121</v>
      </c>
      <c r="Q740" s="12">
        <f t="shared" si="245"/>
        <v>5469351570</v>
      </c>
      <c r="R740" s="13">
        <f t="shared" ca="1" si="246"/>
        <v>3926932050</v>
      </c>
      <c r="S740" s="63"/>
      <c r="T740" s="8">
        <v>524051</v>
      </c>
      <c r="U740" s="8" t="s">
        <v>3078</v>
      </c>
      <c r="V740" s="12">
        <v>31186609</v>
      </c>
      <c r="W740" s="8">
        <v>875.7</v>
      </c>
      <c r="X740" s="11">
        <f ca="1">IFERROR(__xludf.DUMMYFUNCTION("GOOGLEFINANCE(""BOM:"" &amp; T740,""price"")"),766.4)</f>
        <v>766.4</v>
      </c>
      <c r="Y740" s="8">
        <f t="shared" ca="1" si="230"/>
        <v>-12.481443416695221</v>
      </c>
      <c r="Z740" s="12">
        <f t="shared" si="231"/>
        <v>27310113501.300003</v>
      </c>
      <c r="AA740" s="13">
        <f t="shared" ca="1" si="232"/>
        <v>23901417137.599998</v>
      </c>
      <c r="AB740" s="63"/>
      <c r="AC740" s="8">
        <v>542627</v>
      </c>
      <c r="AD740" s="8" t="s">
        <v>3079</v>
      </c>
      <c r="AE740" s="12">
        <v>3184417</v>
      </c>
      <c r="AF740" s="8">
        <v>39</v>
      </c>
      <c r="AG740" s="8">
        <f ca="1">IFERROR(__xludf.DUMMYFUNCTION("GOOGLEFINANCE(""BOM:"" &amp; AC740,""price"")"),37.7)</f>
        <v>37.700000000000003</v>
      </c>
      <c r="AH740" s="8">
        <f t="shared" ref="AH740:AH744" ca="1" si="250">((AG740-AF740)/AF740)*100</f>
        <v>-3.3333333333333264</v>
      </c>
      <c r="AI740" s="12">
        <f t="shared" ref="AI740:AI749" si="251">AE740*AF740</f>
        <v>124192263</v>
      </c>
      <c r="AJ740" s="13">
        <f t="shared" ref="AJ740:AJ749" ca="1" si="252">AE740*AG740</f>
        <v>120052520.90000001</v>
      </c>
    </row>
    <row r="741" spans="1:36" x14ac:dyDescent="0.25">
      <c r="A741" s="63"/>
      <c r="B741" s="8">
        <v>505520</v>
      </c>
      <c r="C741" s="8" t="s">
        <v>3080</v>
      </c>
      <c r="D741" s="12">
        <v>181898</v>
      </c>
      <c r="E741" s="8">
        <v>2.1</v>
      </c>
      <c r="F741" s="8">
        <f ca="1">IFERROR(__xludf.DUMMYFUNCTION("GOOGLEFINANCE(""BOM:"" &amp; B741,""price"")"),2.1)</f>
        <v>2.1</v>
      </c>
      <c r="G741" s="8">
        <v>0</v>
      </c>
      <c r="H741" s="12">
        <f t="shared" si="228"/>
        <v>381985.8</v>
      </c>
      <c r="I741" s="13">
        <f t="shared" ca="1" si="229"/>
        <v>381985.8</v>
      </c>
      <c r="J741" s="64"/>
      <c r="K741" s="14">
        <v>534190</v>
      </c>
      <c r="L741" s="14" t="s">
        <v>3081</v>
      </c>
      <c r="M741" s="15">
        <v>16027869</v>
      </c>
      <c r="N741" s="17">
        <v>4.16</v>
      </c>
      <c r="O741" s="17">
        <f ca="1">IFERROR(__xludf.DUMMYFUNCTION("GOOGLEFINANCE(""BOM:"" &amp; K741,""price"")"),2.71)</f>
        <v>2.71</v>
      </c>
      <c r="P741" s="14">
        <f t="shared" ca="1" si="244"/>
        <v>-34.855769230769234</v>
      </c>
      <c r="Q741" s="15">
        <f t="shared" si="245"/>
        <v>66675935.039999999</v>
      </c>
      <c r="R741" s="16">
        <f t="shared" ca="1" si="246"/>
        <v>43435524.990000002</v>
      </c>
      <c r="S741" s="63"/>
      <c r="T741" s="8">
        <v>539354</v>
      </c>
      <c r="U741" s="8" t="s">
        <v>3082</v>
      </c>
      <c r="V741" s="12">
        <v>8845100</v>
      </c>
      <c r="W741" s="8">
        <v>52.9</v>
      </c>
      <c r="X741" s="11">
        <f ca="1">IFERROR(__xludf.DUMMYFUNCTION("GOOGLEFINANCE(""BOM:"" &amp; T741,""price"")"),48.49)</f>
        <v>48.49</v>
      </c>
      <c r="Y741" s="8">
        <f t="shared" ca="1" si="230"/>
        <v>-8.3364839319470647</v>
      </c>
      <c r="Z741" s="12">
        <f t="shared" si="231"/>
        <v>467905790</v>
      </c>
      <c r="AA741" s="13">
        <f t="shared" ca="1" si="232"/>
        <v>428898899</v>
      </c>
      <c r="AB741" s="63"/>
      <c r="AC741" s="8">
        <v>530309</v>
      </c>
      <c r="AD741" s="8" t="s">
        <v>3083</v>
      </c>
      <c r="AE741" s="12">
        <v>3621994</v>
      </c>
      <c r="AF741" s="8">
        <v>30</v>
      </c>
      <c r="AG741" s="8">
        <f ca="1">IFERROR(__xludf.DUMMYFUNCTION("GOOGLEFINANCE(""BOM:"" &amp; AC741,""price"")"),26.31)</f>
        <v>26.31</v>
      </c>
      <c r="AH741" s="8">
        <f t="shared" ca="1" si="250"/>
        <v>-12.300000000000004</v>
      </c>
      <c r="AI741" s="12">
        <f t="shared" si="251"/>
        <v>108659820</v>
      </c>
      <c r="AJ741" s="13">
        <f t="shared" ca="1" si="252"/>
        <v>95294662.140000001</v>
      </c>
    </row>
    <row r="742" spans="1:36" x14ac:dyDescent="0.25">
      <c r="A742" s="63"/>
      <c r="B742" s="8">
        <v>505585</v>
      </c>
      <c r="C742" s="8" t="s">
        <v>3084</v>
      </c>
      <c r="D742" s="12">
        <v>1666990</v>
      </c>
      <c r="E742" s="8">
        <v>13.46</v>
      </c>
      <c r="F742" s="8">
        <f ca="1">IFERROR(__xludf.DUMMYFUNCTION("GOOGLEFINANCE(""BOM:"" &amp; B742,""price"")"),13.46)</f>
        <v>13.46</v>
      </c>
      <c r="G742" s="8">
        <f t="shared" ref="G742:G743" ca="1" si="253">((F742-E742)/E742)*100</f>
        <v>0</v>
      </c>
      <c r="H742" s="12">
        <f t="shared" si="228"/>
        <v>22437685.400000002</v>
      </c>
      <c r="I742" s="13">
        <f t="shared" ca="1" si="229"/>
        <v>22437685.400000002</v>
      </c>
      <c r="J742" s="62" t="s">
        <v>3085</v>
      </c>
      <c r="K742" s="6">
        <v>540691</v>
      </c>
      <c r="L742" s="6" t="s">
        <v>3086</v>
      </c>
      <c r="M742" s="7">
        <v>2388849562</v>
      </c>
      <c r="N742" s="10">
        <v>187</v>
      </c>
      <c r="O742" s="10">
        <f ca="1">IFERROR(__xludf.DUMMYFUNCTION("GOOGLEFINANCE(""BOM:"" &amp; K742,""price"")"),175.7)</f>
        <v>175.7</v>
      </c>
      <c r="P742" s="8">
        <f t="shared" ca="1" si="244"/>
        <v>-6.042780748663108</v>
      </c>
      <c r="Q742" s="7">
        <f t="shared" si="245"/>
        <v>446714868094</v>
      </c>
      <c r="R742" s="9">
        <f t="shared" ca="1" si="246"/>
        <v>419720868043.39996</v>
      </c>
      <c r="S742" s="63"/>
      <c r="T742" s="8">
        <v>526494</v>
      </c>
      <c r="U742" s="8" t="s">
        <v>3087</v>
      </c>
      <c r="V742" s="12">
        <v>6000997</v>
      </c>
      <c r="W742" s="8">
        <v>14.01</v>
      </c>
      <c r="X742" s="11">
        <f ca="1">IFERROR(__xludf.DUMMYFUNCTION("GOOGLEFINANCE(""BOM:"" &amp; T742,""price"")"),14.52)</f>
        <v>14.52</v>
      </c>
      <c r="Y742" s="8">
        <f t="shared" ca="1" si="230"/>
        <v>3.6402569593147733</v>
      </c>
      <c r="Z742" s="12">
        <f t="shared" si="231"/>
        <v>84073967.969999999</v>
      </c>
      <c r="AA742" s="13">
        <f t="shared" ca="1" si="232"/>
        <v>87134476.439999998</v>
      </c>
      <c r="AB742" s="63"/>
      <c r="AC742" s="8">
        <v>540829</v>
      </c>
      <c r="AD742" s="8" t="s">
        <v>3088</v>
      </c>
      <c r="AE742" s="12">
        <v>1642860</v>
      </c>
      <c r="AF742" s="8">
        <v>9.36</v>
      </c>
      <c r="AG742" s="8">
        <f ca="1">IFERROR(__xludf.DUMMYFUNCTION("GOOGLEFINANCE(""BOM:"" &amp; AC742,""price"")"),7.01)</f>
        <v>7.01</v>
      </c>
      <c r="AH742" s="8">
        <f t="shared" ca="1" si="250"/>
        <v>-25.106837606837608</v>
      </c>
      <c r="AI742" s="12">
        <f t="shared" si="251"/>
        <v>15377169.6</v>
      </c>
      <c r="AJ742" s="13">
        <f t="shared" ca="1" si="252"/>
        <v>11516448.6</v>
      </c>
    </row>
    <row r="743" spans="1:36" x14ac:dyDescent="0.25">
      <c r="A743" s="63"/>
      <c r="B743" s="8">
        <v>509046</v>
      </c>
      <c r="C743" s="8" t="s">
        <v>3089</v>
      </c>
      <c r="D743" s="12">
        <v>5095700</v>
      </c>
      <c r="E743" s="8">
        <v>13.09</v>
      </c>
      <c r="F743" s="8">
        <f ca="1">IFERROR(__xludf.DUMMYFUNCTION("GOOGLEFINANCE(""BOM:"" &amp; B743,""price"")"),13.09)</f>
        <v>13.09</v>
      </c>
      <c r="G743" s="8">
        <f t="shared" ca="1" si="253"/>
        <v>0</v>
      </c>
      <c r="H743" s="12">
        <f t="shared" si="228"/>
        <v>66702713</v>
      </c>
      <c r="I743" s="13">
        <f t="shared" ca="1" si="229"/>
        <v>66702713</v>
      </c>
      <c r="J743" s="63"/>
      <c r="K743" s="8">
        <v>540777</v>
      </c>
      <c r="L743" s="8" t="s">
        <v>3090</v>
      </c>
      <c r="M743" s="12">
        <v>2113171558</v>
      </c>
      <c r="N743" s="10">
        <v>589.95000000000005</v>
      </c>
      <c r="O743" s="10">
        <f ca="1">IFERROR(__xludf.DUMMYFUNCTION("GOOGLEFINANCE(""BOM:"" &amp; K743,""price"")"),634.2)</f>
        <v>634.20000000000005</v>
      </c>
      <c r="P743" s="8">
        <f t="shared" ca="1" si="244"/>
        <v>7.5006356470887354</v>
      </c>
      <c r="Q743" s="12">
        <f t="shared" si="245"/>
        <v>1246665560642.1001</v>
      </c>
      <c r="R743" s="13">
        <f t="shared" ca="1" si="246"/>
        <v>1340173402083.6001</v>
      </c>
      <c r="S743" s="63"/>
      <c r="T743" s="8">
        <v>530281</v>
      </c>
      <c r="U743" s="8" t="s">
        <v>3091</v>
      </c>
      <c r="V743" s="12">
        <v>2545868</v>
      </c>
      <c r="W743" s="8">
        <v>19.309999999999999</v>
      </c>
      <c r="X743" s="11">
        <f ca="1">IFERROR(__xludf.DUMMYFUNCTION("GOOGLEFINANCE(""BOM:"" &amp; T743,""price"")"),21.26)</f>
        <v>21.26</v>
      </c>
      <c r="Y743" s="8">
        <f t="shared" ca="1" si="230"/>
        <v>10.098394614189555</v>
      </c>
      <c r="Z743" s="12">
        <f t="shared" si="231"/>
        <v>49160711.079999998</v>
      </c>
      <c r="AA743" s="13">
        <f t="shared" ca="1" si="232"/>
        <v>54125153.680000007</v>
      </c>
      <c r="AB743" s="63"/>
      <c r="AC743" s="8">
        <v>512301</v>
      </c>
      <c r="AD743" s="8" t="s">
        <v>3092</v>
      </c>
      <c r="AE743" s="12">
        <v>6112450</v>
      </c>
      <c r="AF743" s="8">
        <v>9.06</v>
      </c>
      <c r="AG743" s="8">
        <f ca="1">IFERROR(__xludf.DUMMYFUNCTION("GOOGLEFINANCE(""BOM:"" &amp; AC743,""price"")"),7.6)</f>
        <v>7.6</v>
      </c>
      <c r="AH743" s="8">
        <f t="shared" ca="1" si="250"/>
        <v>-16.114790286975726</v>
      </c>
      <c r="AI743" s="12">
        <f t="shared" si="251"/>
        <v>55378797</v>
      </c>
      <c r="AJ743" s="13">
        <f t="shared" ca="1" si="252"/>
        <v>46454620</v>
      </c>
    </row>
    <row r="744" spans="1:36" x14ac:dyDescent="0.25">
      <c r="A744" s="63"/>
      <c r="B744" s="8">
        <v>512303</v>
      </c>
      <c r="C744" s="8" t="s">
        <v>3093</v>
      </c>
      <c r="D744" s="12">
        <v>1580900</v>
      </c>
      <c r="E744" s="8">
        <v>0</v>
      </c>
      <c r="F744" s="8">
        <f ca="1">IFERROR(__xludf.DUMMYFUNCTION("GOOGLEFINANCE(""BOM:"" &amp; B744,""price"")"),0)</f>
        <v>0</v>
      </c>
      <c r="G744" s="8">
        <v>0</v>
      </c>
      <c r="H744" s="12">
        <f t="shared" si="228"/>
        <v>0</v>
      </c>
      <c r="I744" s="13">
        <f t="shared" ca="1" si="229"/>
        <v>0</v>
      </c>
      <c r="J744" s="63"/>
      <c r="K744" s="8">
        <v>540133</v>
      </c>
      <c r="L744" s="8" t="s">
        <v>3094</v>
      </c>
      <c r="M744" s="12">
        <v>1437473665</v>
      </c>
      <c r="N744" s="10">
        <v>538.75</v>
      </c>
      <c r="O744" s="10">
        <f ca="1">IFERROR(__xludf.DUMMYFUNCTION("GOOGLEFINANCE(""BOM:"" &amp; K744,""price"")"),607.5)</f>
        <v>607.5</v>
      </c>
      <c r="P744" s="8">
        <f t="shared" ca="1" si="244"/>
        <v>12.761020881670534</v>
      </c>
      <c r="Q744" s="12">
        <f t="shared" si="245"/>
        <v>774438937018.75</v>
      </c>
      <c r="R744" s="13">
        <f t="shared" ca="1" si="246"/>
        <v>873265251487.5</v>
      </c>
      <c r="S744" s="63"/>
      <c r="T744" s="8">
        <v>524502</v>
      </c>
      <c r="U744" s="8" t="s">
        <v>3095</v>
      </c>
      <c r="V744" s="12">
        <v>8844992</v>
      </c>
      <c r="W744" s="8">
        <v>59.33</v>
      </c>
      <c r="X744" s="11">
        <f ca="1">IFERROR(__xludf.DUMMYFUNCTION("GOOGLEFINANCE(""BOM:"" &amp; T744,""price"")"),54.06)</f>
        <v>54.06</v>
      </c>
      <c r="Y744" s="8">
        <f t="shared" ca="1" si="230"/>
        <v>-8.8825214899713405</v>
      </c>
      <c r="Z744" s="12">
        <f t="shared" si="231"/>
        <v>524773375.36000001</v>
      </c>
      <c r="AA744" s="13">
        <f t="shared" ca="1" si="232"/>
        <v>478160267.52000004</v>
      </c>
      <c r="AB744" s="63"/>
      <c r="AC744" s="8">
        <v>531775</v>
      </c>
      <c r="AD744" s="8" t="s">
        <v>3096</v>
      </c>
      <c r="AE744" s="12">
        <v>9229000</v>
      </c>
      <c r="AF744" s="8">
        <v>0.6</v>
      </c>
      <c r="AG744" s="8">
        <f ca="1">IFERROR(__xludf.DUMMYFUNCTION("GOOGLEFINANCE(""BOM:"" &amp; AC744,""price"")"),0.6)</f>
        <v>0.6</v>
      </c>
      <c r="AH744" s="8">
        <f t="shared" ca="1" si="250"/>
        <v>0</v>
      </c>
      <c r="AI744" s="12">
        <f t="shared" si="251"/>
        <v>5537400</v>
      </c>
      <c r="AJ744" s="13">
        <f t="shared" ca="1" si="252"/>
        <v>5537400</v>
      </c>
    </row>
    <row r="745" spans="1:36" x14ac:dyDescent="0.25">
      <c r="A745" s="63"/>
      <c r="B745" s="8">
        <v>504356</v>
      </c>
      <c r="C745" s="8" t="s">
        <v>3097</v>
      </c>
      <c r="D745" s="12">
        <v>4906700</v>
      </c>
      <c r="E745" s="8">
        <v>9.49</v>
      </c>
      <c r="F745" s="8">
        <f ca="1">IFERROR(__xludf.DUMMYFUNCTION("GOOGLEFINANCE(""BOM:"" &amp; B745,""price"")"),9.51)</f>
        <v>9.51</v>
      </c>
      <c r="G745" s="8">
        <f ca="1">((F745-E745)/E745)*100</f>
        <v>0.21074815595363092</v>
      </c>
      <c r="H745" s="12">
        <f t="shared" si="228"/>
        <v>46564583</v>
      </c>
      <c r="I745" s="13">
        <f t="shared" ca="1" si="229"/>
        <v>46662717</v>
      </c>
      <c r="J745" s="63"/>
      <c r="K745" s="8">
        <v>543526</v>
      </c>
      <c r="L745" s="8" t="s">
        <v>3098</v>
      </c>
      <c r="M745" s="12">
        <v>6324997701</v>
      </c>
      <c r="N745" s="10">
        <v>1029.55</v>
      </c>
      <c r="O745" s="10">
        <f ca="1">IFERROR(__xludf.DUMMYFUNCTION("GOOGLEFINANCE(""BOM:"" &amp; K745,""price"")"),914.6)</f>
        <v>914.6</v>
      </c>
      <c r="P745" s="8">
        <f t="shared" ca="1" si="244"/>
        <v>-11.165072118886886</v>
      </c>
      <c r="Q745" s="12">
        <f t="shared" si="245"/>
        <v>6511901383064.5498</v>
      </c>
      <c r="R745" s="13">
        <f t="shared" ca="1" si="246"/>
        <v>5784842897334.6006</v>
      </c>
      <c r="S745" s="63"/>
      <c r="T745" s="8">
        <v>530111</v>
      </c>
      <c r="U745" s="8" t="s">
        <v>3099</v>
      </c>
      <c r="V745" s="12">
        <v>4477384</v>
      </c>
      <c r="W745" s="8">
        <v>28.2</v>
      </c>
      <c r="X745" s="11">
        <f ca="1">IFERROR(__xludf.DUMMYFUNCTION("GOOGLEFINANCE(""BOM:"" &amp; T745,""price"")"),23.04)</f>
        <v>23.04</v>
      </c>
      <c r="Y745" s="8">
        <f t="shared" ca="1" si="230"/>
        <v>-18.297872340425535</v>
      </c>
      <c r="Z745" s="12">
        <f t="shared" si="231"/>
        <v>126262228.8</v>
      </c>
      <c r="AA745" s="13">
        <f t="shared" ca="1" si="232"/>
        <v>103158927.36</v>
      </c>
      <c r="AB745" s="63"/>
      <c r="AC745" s="8">
        <v>512213</v>
      </c>
      <c r="AD745" s="8" t="s">
        <v>3100</v>
      </c>
      <c r="AE745" s="12">
        <v>525380</v>
      </c>
      <c r="AF745" s="8">
        <v>0</v>
      </c>
      <c r="AG745" s="8">
        <f ca="1">IFERROR(__xludf.DUMMYFUNCTION("GOOGLEFINANCE(""BOM:"" &amp; AC745,""price"")"),0)</f>
        <v>0</v>
      </c>
      <c r="AH745" s="8">
        <v>0</v>
      </c>
      <c r="AI745" s="12">
        <f t="shared" si="251"/>
        <v>0</v>
      </c>
      <c r="AJ745" s="13">
        <f t="shared" ca="1" si="252"/>
        <v>0</v>
      </c>
    </row>
    <row r="746" spans="1:36" x14ac:dyDescent="0.25">
      <c r="A746" s="63"/>
      <c r="B746" s="8">
        <v>512004</v>
      </c>
      <c r="C746" s="8" t="s">
        <v>3101</v>
      </c>
      <c r="D746" s="12">
        <v>745000</v>
      </c>
      <c r="E746" s="8">
        <v>0</v>
      </c>
      <c r="F746" s="8">
        <f ca="1">IFERROR(__xludf.DUMMYFUNCTION("GOOGLEFINANCE(""BOM:"" &amp; B746,""price"")"),0)</f>
        <v>0</v>
      </c>
      <c r="G746" s="8">
        <v>0</v>
      </c>
      <c r="H746" s="12">
        <f t="shared" si="228"/>
        <v>0</v>
      </c>
      <c r="I746" s="13">
        <f t="shared" ca="1" si="229"/>
        <v>0</v>
      </c>
      <c r="J746" s="63"/>
      <c r="K746" s="8">
        <v>500271</v>
      </c>
      <c r="L746" s="8" t="s">
        <v>3102</v>
      </c>
      <c r="M746" s="12">
        <v>344341696</v>
      </c>
      <c r="N746" s="10">
        <v>968.1</v>
      </c>
      <c r="O746" s="10">
        <f ca="1">IFERROR(__xludf.DUMMYFUNCTION("GOOGLEFINANCE(""BOM:"" &amp; K746,""price"")"),1004.85)</f>
        <v>1004.85</v>
      </c>
      <c r="P746" s="8">
        <f t="shared" ca="1" si="244"/>
        <v>3.7960954446854664</v>
      </c>
      <c r="Q746" s="12">
        <f t="shared" si="245"/>
        <v>333357195897.60004</v>
      </c>
      <c r="R746" s="13">
        <f t="shared" ca="1" si="246"/>
        <v>346011753225.60004</v>
      </c>
      <c r="S746" s="63"/>
      <c r="T746" s="8">
        <v>543285</v>
      </c>
      <c r="U746" s="8" t="s">
        <v>3103</v>
      </c>
      <c r="V746" s="12">
        <v>5246000</v>
      </c>
      <c r="W746" s="8">
        <v>168.75</v>
      </c>
      <c r="X746" s="11">
        <f ca="1">IFERROR(__xludf.DUMMYFUNCTION("GOOGLEFINANCE(""BOM:"" &amp; T746,""price"")"),123.3)</f>
        <v>123.3</v>
      </c>
      <c r="Y746" s="8">
        <f t="shared" ca="1" si="230"/>
        <v>-26.933333333333337</v>
      </c>
      <c r="Z746" s="12">
        <f t="shared" si="231"/>
        <v>885262500</v>
      </c>
      <c r="AA746" s="13">
        <f t="shared" ca="1" si="232"/>
        <v>646831800</v>
      </c>
      <c r="AB746" s="63"/>
      <c r="AC746" s="8">
        <v>523844</v>
      </c>
      <c r="AD746" s="8" t="s">
        <v>3104</v>
      </c>
      <c r="AE746" s="12">
        <v>4478943</v>
      </c>
      <c r="AF746" s="8">
        <v>31.83</v>
      </c>
      <c r="AG746" s="8">
        <f ca="1">IFERROR(__xludf.DUMMYFUNCTION("GOOGLEFINANCE(""BOM:"" &amp; AC746,""price"")"),45.3)</f>
        <v>45.3</v>
      </c>
      <c r="AH746" s="8">
        <f t="shared" ref="AH746:AH749" ca="1" si="254">((AG746-AF746)/AF746)*100</f>
        <v>42.318567389255421</v>
      </c>
      <c r="AI746" s="12">
        <f t="shared" si="251"/>
        <v>142564755.69</v>
      </c>
      <c r="AJ746" s="13">
        <f t="shared" ca="1" si="252"/>
        <v>202896117.89999998</v>
      </c>
    </row>
    <row r="747" spans="1:36" x14ac:dyDescent="0.25">
      <c r="A747" s="63"/>
      <c r="B747" s="8">
        <v>512245</v>
      </c>
      <c r="C747" s="8" t="s">
        <v>3105</v>
      </c>
      <c r="D747" s="12">
        <v>945100</v>
      </c>
      <c r="E747" s="8">
        <v>0</v>
      </c>
      <c r="F747" s="8">
        <f ca="1">IFERROR(__xludf.DUMMYFUNCTION("GOOGLEFINANCE(""BOM:"" &amp; B747,""price"")"),0)</f>
        <v>0</v>
      </c>
      <c r="G747" s="8">
        <v>0</v>
      </c>
      <c r="H747" s="12">
        <f t="shared" si="228"/>
        <v>0</v>
      </c>
      <c r="I747" s="13">
        <f t="shared" ca="1" si="229"/>
        <v>0</v>
      </c>
      <c r="J747" s="64"/>
      <c r="K747" s="14">
        <v>540719</v>
      </c>
      <c r="L747" s="14" t="s">
        <v>3106</v>
      </c>
      <c r="M747" s="15">
        <v>1000478770</v>
      </c>
      <c r="N747" s="17">
        <v>1542.5</v>
      </c>
      <c r="O747" s="17">
        <f ca="1">IFERROR(__xludf.DUMMYFUNCTION("GOOGLEFINANCE(""BOM:"" &amp; K747,""price"")"),1497.5)</f>
        <v>1497.5</v>
      </c>
      <c r="P747" s="14">
        <f t="shared" ca="1" si="244"/>
        <v>-2.9173419773095626</v>
      </c>
      <c r="Q747" s="15">
        <f t="shared" si="245"/>
        <v>1543238502725</v>
      </c>
      <c r="R747" s="16">
        <f t="shared" ca="1" si="246"/>
        <v>1498216958075</v>
      </c>
      <c r="S747" s="63"/>
      <c r="T747" s="8">
        <v>538707</v>
      </c>
      <c r="U747" s="8" t="s">
        <v>3107</v>
      </c>
      <c r="V747" s="12">
        <v>3195983</v>
      </c>
      <c r="W747" s="8">
        <v>36.4</v>
      </c>
      <c r="X747" s="11">
        <f ca="1">IFERROR(__xludf.DUMMYFUNCTION("GOOGLEFINANCE(""BOM:"" &amp; T747,""price"")"),34.13)</f>
        <v>34.130000000000003</v>
      </c>
      <c r="Y747" s="8">
        <f t="shared" ca="1" si="230"/>
        <v>-6.2362637362637257</v>
      </c>
      <c r="Z747" s="12">
        <f t="shared" si="231"/>
        <v>116333781.19999999</v>
      </c>
      <c r="AA747" s="13">
        <f t="shared" ca="1" si="232"/>
        <v>109078899.79000001</v>
      </c>
      <c r="AB747" s="63"/>
      <c r="AC747" s="8">
        <v>531067</v>
      </c>
      <c r="AD747" s="8" t="s">
        <v>3108</v>
      </c>
      <c r="AE747" s="12">
        <v>2194750</v>
      </c>
      <c r="AF747" s="8">
        <v>133.80000000000001</v>
      </c>
      <c r="AG747" s="8">
        <f ca="1">IFERROR(__xludf.DUMMYFUNCTION("GOOGLEFINANCE(""BOM:"" &amp; AC747,""price"")"),129.5)</f>
        <v>129.5</v>
      </c>
      <c r="AH747" s="8">
        <f t="shared" ca="1" si="254"/>
        <v>-3.2137518684603967</v>
      </c>
      <c r="AI747" s="12">
        <f t="shared" si="251"/>
        <v>293657550</v>
      </c>
      <c r="AJ747" s="13">
        <f t="shared" ca="1" si="252"/>
        <v>284220125</v>
      </c>
    </row>
    <row r="748" spans="1:36" x14ac:dyDescent="0.25">
      <c r="A748" s="63"/>
      <c r="B748" s="8">
        <v>512062</v>
      </c>
      <c r="C748" s="8" t="s">
        <v>3109</v>
      </c>
      <c r="D748" s="12">
        <v>984350</v>
      </c>
      <c r="E748" s="8">
        <v>9.99</v>
      </c>
      <c r="F748" s="8">
        <f ca="1">IFERROR(__xludf.DUMMYFUNCTION("GOOGLEFINANCE(""BOM:"" &amp; B748,""price"")"),9.99)</f>
        <v>9.99</v>
      </c>
      <c r="G748" s="8">
        <f ca="1">((F748-E748)/E748)*100</f>
        <v>0</v>
      </c>
      <c r="H748" s="12">
        <f t="shared" si="228"/>
        <v>9833656.5</v>
      </c>
      <c r="I748" s="13">
        <f t="shared" ca="1" si="229"/>
        <v>9833656.5</v>
      </c>
      <c r="J748" s="62" t="s">
        <v>3110</v>
      </c>
      <c r="K748" s="6">
        <v>532749</v>
      </c>
      <c r="L748" s="6" t="s">
        <v>3111</v>
      </c>
      <c r="M748" s="7">
        <v>982521016</v>
      </c>
      <c r="N748" s="10">
        <v>85.2</v>
      </c>
      <c r="O748" s="10">
        <f ca="1">IFERROR(__xludf.DUMMYFUNCTION("GOOGLEFINANCE(""BOM:"" &amp; K748,""price"")"),71.62)</f>
        <v>71.62</v>
      </c>
      <c r="P748" s="8">
        <f t="shared" ca="1" si="244"/>
        <v>-15.938967136150231</v>
      </c>
      <c r="Q748" s="7">
        <f t="shared" si="245"/>
        <v>83710790563.199997</v>
      </c>
      <c r="R748" s="9">
        <f t="shared" ca="1" si="246"/>
        <v>70368155165.919998</v>
      </c>
      <c r="S748" s="63"/>
      <c r="T748" s="8">
        <v>533608</v>
      </c>
      <c r="U748" s="8" t="s">
        <v>3112</v>
      </c>
      <c r="V748" s="12">
        <v>16074644</v>
      </c>
      <c r="W748" s="8">
        <v>155.65</v>
      </c>
      <c r="X748" s="11">
        <f ca="1">IFERROR(__xludf.DUMMYFUNCTION("GOOGLEFINANCE(""BOM:"" &amp; T748,""price"")"),148.95)</f>
        <v>148.94999999999999</v>
      </c>
      <c r="Y748" s="8">
        <f t="shared" ca="1" si="230"/>
        <v>-4.3045293928686261</v>
      </c>
      <c r="Z748" s="12">
        <f t="shared" si="231"/>
        <v>2502018338.5999999</v>
      </c>
      <c r="AA748" s="13">
        <f t="shared" ca="1" si="232"/>
        <v>2394318223.7999997</v>
      </c>
      <c r="AB748" s="63"/>
      <c r="AC748" s="8">
        <v>509472</v>
      </c>
      <c r="AD748" s="8" t="s">
        <v>3113</v>
      </c>
      <c r="AE748" s="12">
        <v>2487076</v>
      </c>
      <c r="AF748" s="8">
        <v>453</v>
      </c>
      <c r="AG748" s="8">
        <f ca="1">IFERROR(__xludf.DUMMYFUNCTION("GOOGLEFINANCE(""BOM:"" &amp; AC748,""price"")"),430)</f>
        <v>430</v>
      </c>
      <c r="AH748" s="8">
        <f t="shared" ca="1" si="254"/>
        <v>-5.0772626931567331</v>
      </c>
      <c r="AI748" s="12">
        <f t="shared" si="251"/>
        <v>1126645428</v>
      </c>
      <c r="AJ748" s="13">
        <f t="shared" ca="1" si="252"/>
        <v>1069442680</v>
      </c>
    </row>
    <row r="749" spans="1:36" x14ac:dyDescent="0.25">
      <c r="A749" s="64"/>
      <c r="B749" s="14">
        <v>506190</v>
      </c>
      <c r="C749" s="14" t="s">
        <v>3114</v>
      </c>
      <c r="D749" s="15">
        <v>173500</v>
      </c>
      <c r="E749" s="8">
        <v>0</v>
      </c>
      <c r="F749" s="14">
        <f ca="1">IFERROR(__xludf.DUMMYFUNCTION("GOOGLEFINANCE(""BOM:"" &amp; B749,""price"")"),0)</f>
        <v>0</v>
      </c>
      <c r="G749" s="14">
        <v>0</v>
      </c>
      <c r="H749" s="15">
        <f t="shared" si="228"/>
        <v>0</v>
      </c>
      <c r="I749" s="16">
        <f t="shared" ca="1" si="229"/>
        <v>0</v>
      </c>
      <c r="J749" s="63"/>
      <c r="K749" s="8">
        <v>506074</v>
      </c>
      <c r="L749" s="8" t="s">
        <v>3115</v>
      </c>
      <c r="M749" s="12">
        <v>261755039</v>
      </c>
      <c r="N749" s="10">
        <v>9.25</v>
      </c>
      <c r="O749" s="10">
        <f ca="1">IFERROR(__xludf.DUMMYFUNCTION("GOOGLEFINANCE(""BOM:"" &amp; K749,""price"")"),6.25)</f>
        <v>6.25</v>
      </c>
      <c r="P749" s="8">
        <f t="shared" ca="1" si="244"/>
        <v>-32.432432432432435</v>
      </c>
      <c r="Q749" s="12">
        <f t="shared" si="245"/>
        <v>2421234110.75</v>
      </c>
      <c r="R749" s="13">
        <f t="shared" ca="1" si="246"/>
        <v>1635968993.75</v>
      </c>
      <c r="S749" s="63"/>
      <c r="T749" s="8">
        <v>523021</v>
      </c>
      <c r="U749" s="8" t="s">
        <v>3116</v>
      </c>
      <c r="V749" s="12">
        <v>7093552</v>
      </c>
      <c r="W749" s="8">
        <v>46.5</v>
      </c>
      <c r="X749" s="11">
        <f ca="1">IFERROR(__xludf.DUMMYFUNCTION("GOOGLEFINANCE(""BOM:"" &amp; T749,""price"")"),46.7)</f>
        <v>46.7</v>
      </c>
      <c r="Y749" s="8">
        <f t="shared" ca="1" si="230"/>
        <v>0.43010752688172649</v>
      </c>
      <c r="Z749" s="12">
        <f t="shared" si="231"/>
        <v>329850168</v>
      </c>
      <c r="AA749" s="13">
        <f t="shared" ca="1" si="232"/>
        <v>331268878.40000004</v>
      </c>
      <c r="AB749" s="63"/>
      <c r="AC749" s="8">
        <v>540361</v>
      </c>
      <c r="AD749" s="8" t="s">
        <v>3117</v>
      </c>
      <c r="AE749" s="12">
        <v>59779000</v>
      </c>
      <c r="AF749" s="8">
        <v>6.89</v>
      </c>
      <c r="AG749" s="8">
        <f ca="1">IFERROR(__xludf.DUMMYFUNCTION("GOOGLEFINANCE(""BOM:"" &amp; AC749,""price"")"),4.61)</f>
        <v>4.6100000000000003</v>
      </c>
      <c r="AH749" s="8">
        <f t="shared" ca="1" si="254"/>
        <v>-33.091436865021763</v>
      </c>
      <c r="AI749" s="12">
        <f t="shared" si="251"/>
        <v>411877310</v>
      </c>
      <c r="AJ749" s="13">
        <f t="shared" ca="1" si="252"/>
        <v>275581190</v>
      </c>
    </row>
    <row r="750" spans="1:36" x14ac:dyDescent="0.25">
      <c r="A750" s="62" t="s">
        <v>3118</v>
      </c>
      <c r="B750" s="6">
        <v>500696</v>
      </c>
      <c r="C750" s="6" t="s">
        <v>3119</v>
      </c>
      <c r="D750" s="7">
        <v>2324878232</v>
      </c>
      <c r="E750" s="6">
        <v>2412.85</v>
      </c>
      <c r="F750" s="8">
        <f ca="1">IFERROR(__xludf.DUMMYFUNCTION("GOOGLEFINANCE(""BOM:"" &amp; B750,""price"")"),2268.25)</f>
        <v>2268.25</v>
      </c>
      <c r="G750" s="8">
        <f t="shared" ref="G750:G789" ca="1" si="255">((F750-E750)/E750)*100</f>
        <v>-5.9929129452721854</v>
      </c>
      <c r="H750" s="7">
        <f t="shared" si="228"/>
        <v>5609582442081.2002</v>
      </c>
      <c r="I750" s="9">
        <f t="shared" ca="1" si="229"/>
        <v>5273405049734</v>
      </c>
      <c r="J750" s="63"/>
      <c r="K750" s="8">
        <v>512277</v>
      </c>
      <c r="L750" s="8" t="s">
        <v>3120</v>
      </c>
      <c r="M750" s="12">
        <v>309400</v>
      </c>
      <c r="N750" s="10">
        <v>34.79</v>
      </c>
      <c r="O750" s="10">
        <f ca="1">IFERROR(__xludf.DUMMYFUNCTION("GOOGLEFINANCE(""BOM:"" &amp; K750,""price"")"),51.34)</f>
        <v>51.34</v>
      </c>
      <c r="P750" s="8">
        <v>0</v>
      </c>
      <c r="Q750" s="12">
        <f t="shared" si="245"/>
        <v>10764026</v>
      </c>
      <c r="R750" s="13">
        <f t="shared" ca="1" si="246"/>
        <v>15884596.000000002</v>
      </c>
      <c r="S750" s="63"/>
      <c r="T750" s="8">
        <v>532692</v>
      </c>
      <c r="U750" s="8" t="s">
        <v>3121</v>
      </c>
      <c r="V750" s="12">
        <v>91293140</v>
      </c>
      <c r="W750" s="8" t="s">
        <v>44</v>
      </c>
      <c r="X750" s="8" t="s">
        <v>44</v>
      </c>
      <c r="Y750" s="8"/>
      <c r="Z750" s="12"/>
      <c r="AA750" s="13"/>
      <c r="AB750" s="63"/>
      <c r="AC750" s="8">
        <v>539197</v>
      </c>
      <c r="AD750" s="8" t="s">
        <v>3122</v>
      </c>
      <c r="AE750" s="12">
        <v>69637377</v>
      </c>
      <c r="AF750" s="8" t="s">
        <v>44</v>
      </c>
      <c r="AG750" s="8" t="s">
        <v>44</v>
      </c>
      <c r="AH750" s="8"/>
      <c r="AI750" s="12"/>
      <c r="AJ750" s="13"/>
    </row>
    <row r="751" spans="1:36" x14ac:dyDescent="0.25">
      <c r="A751" s="63"/>
      <c r="B751" s="8">
        <v>519126</v>
      </c>
      <c r="C751" s="8" t="s">
        <v>3123</v>
      </c>
      <c r="D751" s="12">
        <v>109541075</v>
      </c>
      <c r="E751" s="8">
        <v>514.1</v>
      </c>
      <c r="F751" s="8">
        <f ca="1">IFERROR(__xludf.DUMMYFUNCTION("GOOGLEFINANCE(""BOM:"" &amp; B751,""price"")"),474.45)</f>
        <v>474.45</v>
      </c>
      <c r="G751" s="8">
        <f t="shared" ca="1" si="255"/>
        <v>-7.7125072943007256</v>
      </c>
      <c r="H751" s="12">
        <f t="shared" si="228"/>
        <v>56315066657.5</v>
      </c>
      <c r="I751" s="13">
        <f t="shared" ca="1" si="229"/>
        <v>51971763033.75</v>
      </c>
      <c r="J751" s="63"/>
      <c r="K751" s="8">
        <v>526612</v>
      </c>
      <c r="L751" s="8" t="s">
        <v>3124</v>
      </c>
      <c r="M751" s="12">
        <v>23683722</v>
      </c>
      <c r="N751" s="10">
        <v>5898.65</v>
      </c>
      <c r="O751" s="10">
        <f ca="1">IFERROR(__xludf.DUMMYFUNCTION("GOOGLEFINANCE(""BOM:"" &amp; K751,""price"")"),6190)</f>
        <v>6190</v>
      </c>
      <c r="P751" s="8">
        <f t="shared" ref="P751:P775" ca="1" si="256">((O751-N751)/N751)*100</f>
        <v>4.9392657642002895</v>
      </c>
      <c r="Q751" s="12">
        <f t="shared" si="245"/>
        <v>139701986775.29999</v>
      </c>
      <c r="R751" s="13">
        <f t="shared" ca="1" si="246"/>
        <v>146602239180</v>
      </c>
      <c r="S751" s="63"/>
      <c r="T751" s="8">
        <v>502448</v>
      </c>
      <c r="U751" s="8" t="s">
        <v>3125</v>
      </c>
      <c r="V751" s="12">
        <v>248807240</v>
      </c>
      <c r="W751" s="8">
        <v>1.55</v>
      </c>
      <c r="X751" s="11">
        <f ca="1">IFERROR(__xludf.DUMMYFUNCTION("GOOGLEFINANCE(""BOM:"" &amp; T751,""price"")"),1.52)</f>
        <v>1.52</v>
      </c>
      <c r="Y751" s="8">
        <f t="shared" ref="Y751:Y756" ca="1" si="257">((X751-W751)/W751)*100</f>
        <v>-1.9354838709677438</v>
      </c>
      <c r="Z751" s="12">
        <f t="shared" ref="Z751:Z756" si="258">V751*W751</f>
        <v>385651222</v>
      </c>
      <c r="AA751" s="13">
        <f t="shared" ref="AA751:AA756" ca="1" si="259">V751*X751</f>
        <v>378187004.80000001</v>
      </c>
      <c r="AB751" s="63"/>
      <c r="AC751" s="8">
        <v>531585</v>
      </c>
      <c r="AD751" s="8" t="s">
        <v>3126</v>
      </c>
      <c r="AE751" s="12">
        <v>4819300</v>
      </c>
      <c r="AF751" s="8">
        <v>8.35</v>
      </c>
      <c r="AG751" s="8">
        <f ca="1">IFERROR(__xludf.DUMMYFUNCTION("GOOGLEFINANCE(""BOM:"" &amp; AC751,""price"")"),7.3)</f>
        <v>7.3</v>
      </c>
      <c r="AH751" s="8">
        <f t="shared" ref="AH751:AH770" ca="1" si="260">((AG751-AF751)/AF751)*100</f>
        <v>-12.574850299401197</v>
      </c>
      <c r="AI751" s="12">
        <f t="shared" ref="AI751:AI770" si="261">AE751*AF751</f>
        <v>40241155</v>
      </c>
      <c r="AJ751" s="13">
        <f t="shared" ref="AJ751:AJ770" ca="1" si="262">AE751*AG751</f>
        <v>35180890</v>
      </c>
    </row>
    <row r="752" spans="1:36" x14ac:dyDescent="0.25">
      <c r="A752" s="64"/>
      <c r="B752" s="14">
        <v>500875</v>
      </c>
      <c r="C752" s="14" t="s">
        <v>3127</v>
      </c>
      <c r="D752" s="15">
        <v>10600724422</v>
      </c>
      <c r="E752" s="8">
        <v>409.5</v>
      </c>
      <c r="F752" s="14">
        <f ca="1">IFERROR(__xludf.DUMMYFUNCTION("GOOGLEFINANCE(""BOM:"" &amp; B752,""price"")"),428.55)</f>
        <v>428.55</v>
      </c>
      <c r="G752" s="14">
        <f t="shared" ca="1" si="255"/>
        <v>4.652014652014655</v>
      </c>
      <c r="H752" s="15">
        <f t="shared" si="228"/>
        <v>4340996650809</v>
      </c>
      <c r="I752" s="16">
        <f t="shared" ca="1" si="229"/>
        <v>4542940451048.1006</v>
      </c>
      <c r="J752" s="63"/>
      <c r="K752" s="8">
        <v>531977</v>
      </c>
      <c r="L752" s="8" t="s">
        <v>3128</v>
      </c>
      <c r="M752" s="12">
        <v>96956970</v>
      </c>
      <c r="N752" s="10">
        <v>6.74</v>
      </c>
      <c r="O752" s="10">
        <f ca="1">IFERROR(__xludf.DUMMYFUNCTION("GOOGLEFINANCE(""BOM:"" &amp; K752,""price"")"),8.25)</f>
        <v>8.25</v>
      </c>
      <c r="P752" s="8">
        <f t="shared" ca="1" si="256"/>
        <v>22.403560830860531</v>
      </c>
      <c r="Q752" s="12">
        <f t="shared" si="245"/>
        <v>653489977.80000007</v>
      </c>
      <c r="R752" s="13">
        <f t="shared" ca="1" si="246"/>
        <v>799895002.5</v>
      </c>
      <c r="S752" s="63"/>
      <c r="T752" s="8">
        <v>526137</v>
      </c>
      <c r="U752" s="8" t="s">
        <v>3129</v>
      </c>
      <c r="V752" s="12">
        <v>8818051</v>
      </c>
      <c r="W752" s="8">
        <v>118.6</v>
      </c>
      <c r="X752" s="11">
        <v>118.6</v>
      </c>
      <c r="Y752" s="8">
        <f t="shared" si="257"/>
        <v>0</v>
      </c>
      <c r="Z752" s="12">
        <f t="shared" si="258"/>
        <v>1045820848.5999999</v>
      </c>
      <c r="AA752" s="13">
        <f t="shared" si="259"/>
        <v>1045820848.5999999</v>
      </c>
      <c r="AB752" s="63"/>
      <c r="AC752" s="8">
        <v>542155</v>
      </c>
      <c r="AD752" s="8" t="s">
        <v>3130</v>
      </c>
      <c r="AE752" s="12">
        <v>9867290</v>
      </c>
      <c r="AF752" s="8">
        <v>3.24</v>
      </c>
      <c r="AG752" s="8">
        <f ca="1">IFERROR(__xludf.DUMMYFUNCTION("GOOGLEFINANCE(""BOM:"" &amp; AC752,""price"")"),2.65)</f>
        <v>2.65</v>
      </c>
      <c r="AH752" s="8">
        <f t="shared" ca="1" si="260"/>
        <v>-18.209876543209884</v>
      </c>
      <c r="AI752" s="12">
        <f t="shared" si="261"/>
        <v>31970019.600000001</v>
      </c>
      <c r="AJ752" s="13">
        <f t="shared" ca="1" si="262"/>
        <v>26148318.5</v>
      </c>
    </row>
    <row r="753" spans="1:36" x14ac:dyDescent="0.25">
      <c r="A753" s="62" t="s">
        <v>3131</v>
      </c>
      <c r="B753" s="6">
        <v>543211</v>
      </c>
      <c r="C753" s="6" t="s">
        <v>3132</v>
      </c>
      <c r="D753" s="7">
        <v>14183358</v>
      </c>
      <c r="E753" s="6">
        <v>44.21</v>
      </c>
      <c r="F753" s="8">
        <f ca="1">IFERROR(__xludf.DUMMYFUNCTION("GOOGLEFINANCE(""BOM:"" &amp; B753,""price"")"),34.92)</f>
        <v>34.92</v>
      </c>
      <c r="G753" s="8">
        <f t="shared" ca="1" si="255"/>
        <v>-21.013345396969012</v>
      </c>
      <c r="H753" s="7">
        <f t="shared" si="228"/>
        <v>627046257.18000007</v>
      </c>
      <c r="I753" s="9">
        <f t="shared" ca="1" si="229"/>
        <v>495282861.36000001</v>
      </c>
      <c r="J753" s="63"/>
      <c r="K753" s="8">
        <v>531344</v>
      </c>
      <c r="L753" s="8" t="s">
        <v>3133</v>
      </c>
      <c r="M753" s="12">
        <v>609292992</v>
      </c>
      <c r="N753" s="10">
        <v>979.5</v>
      </c>
      <c r="O753" s="10">
        <f ca="1">IFERROR(__xludf.DUMMYFUNCTION("GOOGLEFINANCE(""BOM:"" &amp; K753,""price"")"),882.2)</f>
        <v>882.2</v>
      </c>
      <c r="P753" s="8">
        <f t="shared" ca="1" si="256"/>
        <v>-9.9336396120469583</v>
      </c>
      <c r="Q753" s="12">
        <f t="shared" si="245"/>
        <v>596802485664</v>
      </c>
      <c r="R753" s="13">
        <f t="shared" ca="1" si="246"/>
        <v>537518277542.40002</v>
      </c>
      <c r="S753" s="63"/>
      <c r="T753" s="8">
        <v>532310</v>
      </c>
      <c r="U753" s="8" t="s">
        <v>3134</v>
      </c>
      <c r="V753" s="12">
        <v>59967717</v>
      </c>
      <c r="W753" s="8">
        <v>27.86</v>
      </c>
      <c r="X753" s="11">
        <f ca="1">IFERROR(__xludf.DUMMYFUNCTION("GOOGLEFINANCE(""BOM:"" &amp; T753,""price"")"),23.16)</f>
        <v>23.16</v>
      </c>
      <c r="Y753" s="8">
        <f t="shared" ca="1" si="257"/>
        <v>-16.870064608758074</v>
      </c>
      <c r="Z753" s="12">
        <f t="shared" si="258"/>
        <v>1670700595.6199999</v>
      </c>
      <c r="AA753" s="13">
        <f t="shared" ca="1" si="259"/>
        <v>1388852325.72</v>
      </c>
      <c r="AB753" s="63"/>
      <c r="AC753" s="8">
        <v>512485</v>
      </c>
      <c r="AD753" s="8" t="s">
        <v>3135</v>
      </c>
      <c r="AE753" s="12">
        <v>4379050</v>
      </c>
      <c r="AF753" s="8">
        <v>77</v>
      </c>
      <c r="AG753" s="8">
        <f ca="1">IFERROR(__xludf.DUMMYFUNCTION("GOOGLEFINANCE(""BOM:"" &amp; AC753,""price"")"),62)</f>
        <v>62</v>
      </c>
      <c r="AH753" s="8">
        <f t="shared" ca="1" si="260"/>
        <v>-19.480519480519483</v>
      </c>
      <c r="AI753" s="12">
        <f t="shared" si="261"/>
        <v>337186850</v>
      </c>
      <c r="AJ753" s="13">
        <f t="shared" ca="1" si="262"/>
        <v>271501100</v>
      </c>
    </row>
    <row r="754" spans="1:36" x14ac:dyDescent="0.25">
      <c r="A754" s="64"/>
      <c r="B754" s="14">
        <v>500295</v>
      </c>
      <c r="C754" s="14" t="s">
        <v>3136</v>
      </c>
      <c r="D754" s="15">
        <v>3708586681</v>
      </c>
      <c r="E754" s="8">
        <v>271.7</v>
      </c>
      <c r="F754" s="14">
        <f ca="1">IFERROR(__xludf.DUMMYFUNCTION("GOOGLEFINANCE(""BOM:"" &amp; B754,""price"")"),271.65)</f>
        <v>271.64999999999998</v>
      </c>
      <c r="G754" s="14">
        <f t="shared" ca="1" si="255"/>
        <v>-1.8402649981601536E-2</v>
      </c>
      <c r="H754" s="15">
        <f t="shared" si="228"/>
        <v>1007623001227.7</v>
      </c>
      <c r="I754" s="16">
        <f t="shared" ca="1" si="229"/>
        <v>1007437571893.6499</v>
      </c>
      <c r="J754" s="63"/>
      <c r="K754" s="8">
        <v>540597</v>
      </c>
      <c r="L754" s="8" t="s">
        <v>3137</v>
      </c>
      <c r="M754" s="12">
        <v>1034000</v>
      </c>
      <c r="N754" s="10">
        <v>9.82</v>
      </c>
      <c r="O754" s="10">
        <f ca="1">IFERROR(__xludf.DUMMYFUNCTION("GOOGLEFINANCE(""BOM:"" &amp; K754,""price"")"),10.31)</f>
        <v>10.31</v>
      </c>
      <c r="P754" s="8">
        <f t="shared" ca="1" si="256"/>
        <v>4.9898167006110006</v>
      </c>
      <c r="Q754" s="12">
        <f t="shared" si="245"/>
        <v>10153880</v>
      </c>
      <c r="R754" s="13">
        <f t="shared" ca="1" si="246"/>
        <v>10660540</v>
      </c>
      <c r="S754" s="63"/>
      <c r="T754" s="8">
        <v>512453</v>
      </c>
      <c r="U754" s="8" t="s">
        <v>3138</v>
      </c>
      <c r="V754" s="12">
        <v>8707000</v>
      </c>
      <c r="W754" s="8">
        <v>610</v>
      </c>
      <c r="X754" s="11">
        <f ca="1">IFERROR(__xludf.DUMMYFUNCTION("GOOGLEFINANCE(""BOM:"" &amp; T754,""price"")"),519.8)</f>
        <v>519.79999999999995</v>
      </c>
      <c r="Y754" s="8">
        <f t="shared" ca="1" si="257"/>
        <v>-14.786885245901646</v>
      </c>
      <c r="Z754" s="12">
        <f t="shared" si="258"/>
        <v>5311270000</v>
      </c>
      <c r="AA754" s="13">
        <f t="shared" ca="1" si="259"/>
        <v>4525898600</v>
      </c>
      <c r="AB754" s="63"/>
      <c r="AC754" s="8">
        <v>526971</v>
      </c>
      <c r="AD754" s="8" t="s">
        <v>3139</v>
      </c>
      <c r="AE754" s="12">
        <v>5914824</v>
      </c>
      <c r="AF754" s="8">
        <v>231.15</v>
      </c>
      <c r="AG754" s="8">
        <f ca="1">IFERROR(__xludf.DUMMYFUNCTION("GOOGLEFINANCE(""BOM:"" &amp; AC754,""price"")"),195.2)</f>
        <v>195.2</v>
      </c>
      <c r="AH754" s="8">
        <f t="shared" ca="1" si="260"/>
        <v>-15.552671425481297</v>
      </c>
      <c r="AI754" s="12">
        <f t="shared" si="261"/>
        <v>1367211567.6000001</v>
      </c>
      <c r="AJ754" s="13">
        <f t="shared" ca="1" si="262"/>
        <v>1154573644.8</v>
      </c>
    </row>
    <row r="755" spans="1:36" x14ac:dyDescent="0.25">
      <c r="A755" s="62" t="s">
        <v>3140</v>
      </c>
      <c r="B755" s="6">
        <v>540146</v>
      </c>
      <c r="C755" s="6" t="s">
        <v>3141</v>
      </c>
      <c r="D755" s="7">
        <v>14633887</v>
      </c>
      <c r="E755" s="6">
        <v>138</v>
      </c>
      <c r="F755" s="8">
        <f ca="1">IFERROR(__xludf.DUMMYFUNCTION("GOOGLEFINANCE(""BOM:"" &amp; B755,""price"")"),96.6)</f>
        <v>96.6</v>
      </c>
      <c r="G755" s="8">
        <f t="shared" ca="1" si="255"/>
        <v>-30.000000000000004</v>
      </c>
      <c r="H755" s="7">
        <f t="shared" si="228"/>
        <v>2019476406</v>
      </c>
      <c r="I755" s="9">
        <f t="shared" ca="1" si="229"/>
        <v>1413633484.1999998</v>
      </c>
      <c r="J755" s="63"/>
      <c r="K755" s="8">
        <v>526737</v>
      </c>
      <c r="L755" s="8" t="s">
        <v>3142</v>
      </c>
      <c r="M755" s="12">
        <v>5267900</v>
      </c>
      <c r="N755" s="10">
        <v>3.13</v>
      </c>
      <c r="O755" s="10">
        <f ca="1">IFERROR(__xludf.DUMMYFUNCTION("GOOGLEFINANCE(""BOM:"" &amp; K755,""price"")"),2.98)</f>
        <v>2.98</v>
      </c>
      <c r="P755" s="8">
        <f t="shared" ca="1" si="256"/>
        <v>-4.792332268370604</v>
      </c>
      <c r="Q755" s="12">
        <f t="shared" si="245"/>
        <v>16488527</v>
      </c>
      <c r="R755" s="13">
        <f t="shared" ca="1" si="246"/>
        <v>15698342</v>
      </c>
      <c r="S755" s="63"/>
      <c r="T755" s="8">
        <v>530931</v>
      </c>
      <c r="U755" s="8" t="s">
        <v>3143</v>
      </c>
      <c r="V755" s="12">
        <v>5503179</v>
      </c>
      <c r="W755" s="8">
        <v>10.67</v>
      </c>
      <c r="X755" s="11">
        <f ca="1">IFERROR(__xludf.DUMMYFUNCTION("GOOGLEFINANCE(""BOM:"" &amp; T755,""price"")"),11)</f>
        <v>11</v>
      </c>
      <c r="Y755" s="8">
        <f t="shared" ca="1" si="257"/>
        <v>3.0927835051546402</v>
      </c>
      <c r="Z755" s="12">
        <f t="shared" si="258"/>
        <v>58718919.93</v>
      </c>
      <c r="AA755" s="13">
        <f t="shared" ca="1" si="259"/>
        <v>60534969</v>
      </c>
      <c r="AB755" s="63"/>
      <c r="AC755" s="8">
        <v>543516</v>
      </c>
      <c r="AD755" s="8" t="s">
        <v>3144</v>
      </c>
      <c r="AE755" s="12">
        <v>4256000</v>
      </c>
      <c r="AF755" s="8">
        <v>22.45</v>
      </c>
      <c r="AG755" s="8">
        <f ca="1">IFERROR(__xludf.DUMMYFUNCTION("GOOGLEFINANCE(""BOM:"" &amp; AC755,""price"")"),18.85)</f>
        <v>18.850000000000001</v>
      </c>
      <c r="AH755" s="8">
        <f t="shared" ca="1" si="260"/>
        <v>-16.035634743875267</v>
      </c>
      <c r="AI755" s="12">
        <f t="shared" si="261"/>
        <v>95547200</v>
      </c>
      <c r="AJ755" s="13">
        <f t="shared" ca="1" si="262"/>
        <v>80225600</v>
      </c>
    </row>
    <row r="756" spans="1:36" x14ac:dyDescent="0.25">
      <c r="A756" s="63"/>
      <c r="B756" s="8">
        <v>540376</v>
      </c>
      <c r="C756" s="8" t="s">
        <v>3145</v>
      </c>
      <c r="D756" s="12">
        <v>635287401</v>
      </c>
      <c r="E756" s="8">
        <v>3884.95</v>
      </c>
      <c r="F756" s="8">
        <f ca="1">IFERROR(__xludf.DUMMYFUNCTION("GOOGLEFINANCE(""BOM:"" &amp; B756,""price"")"),4529.35)</f>
        <v>4529.3500000000004</v>
      </c>
      <c r="G756" s="8">
        <f t="shared" ca="1" si="255"/>
        <v>16.587086062883706</v>
      </c>
      <c r="H756" s="12">
        <f t="shared" si="228"/>
        <v>2468059788514.9497</v>
      </c>
      <c r="I756" s="13">
        <f t="shared" ca="1" si="229"/>
        <v>2877438989719.3501</v>
      </c>
      <c r="J756" s="63"/>
      <c r="K756" s="8">
        <v>543529</v>
      </c>
      <c r="L756" s="8" t="s">
        <v>3146</v>
      </c>
      <c r="M756" s="12">
        <v>724503153</v>
      </c>
      <c r="N756" s="10">
        <v>466.8</v>
      </c>
      <c r="O756" s="10">
        <f ca="1">IFERROR(__xludf.DUMMYFUNCTION("GOOGLEFINANCE(""BOM:"" &amp; K756,""price"")"),445.4)</f>
        <v>445.4</v>
      </c>
      <c r="P756" s="8">
        <f t="shared" ca="1" si="256"/>
        <v>-4.584404455869759</v>
      </c>
      <c r="Q756" s="12">
        <f t="shared" si="245"/>
        <v>338198071820.40002</v>
      </c>
      <c r="R756" s="13">
        <f t="shared" ca="1" si="246"/>
        <v>322693704346.20001</v>
      </c>
      <c r="S756" s="63"/>
      <c r="T756" s="8">
        <v>523301</v>
      </c>
      <c r="U756" s="8" t="s">
        <v>3147</v>
      </c>
      <c r="V756" s="12">
        <v>8891650</v>
      </c>
      <c r="W756" s="8">
        <v>2199</v>
      </c>
      <c r="X756" s="11">
        <f ca="1">IFERROR(__xludf.DUMMYFUNCTION("GOOGLEFINANCE(""BOM:"" &amp; T756,""price"")"),2268)</f>
        <v>2268</v>
      </c>
      <c r="Y756" s="8">
        <f t="shared" ca="1" si="257"/>
        <v>3.1377899045020468</v>
      </c>
      <c r="Z756" s="12">
        <f t="shared" si="258"/>
        <v>19552738350</v>
      </c>
      <c r="AA756" s="13">
        <f t="shared" ca="1" si="259"/>
        <v>20166262200</v>
      </c>
      <c r="AB756" s="63"/>
      <c r="AC756" s="8">
        <v>540811</v>
      </c>
      <c r="AD756" s="8" t="s">
        <v>3148</v>
      </c>
      <c r="AE756" s="12">
        <v>9677500</v>
      </c>
      <c r="AF756" s="8">
        <v>24.2</v>
      </c>
      <c r="AG756" s="8">
        <f ca="1">IFERROR(__xludf.DUMMYFUNCTION("GOOGLEFINANCE(""BOM:"" &amp; AC756,""price"")"),25)</f>
        <v>25</v>
      </c>
      <c r="AH756" s="8">
        <f t="shared" ca="1" si="260"/>
        <v>3.3057851239669449</v>
      </c>
      <c r="AI756" s="12">
        <f t="shared" si="261"/>
        <v>234195500</v>
      </c>
      <c r="AJ756" s="13">
        <f t="shared" ca="1" si="262"/>
        <v>241937500</v>
      </c>
    </row>
    <row r="757" spans="1:36" x14ac:dyDescent="0.25">
      <c r="A757" s="63"/>
      <c r="B757" s="8">
        <v>533400</v>
      </c>
      <c r="C757" s="8" t="s">
        <v>3149</v>
      </c>
      <c r="D757" s="12">
        <v>1996883673</v>
      </c>
      <c r="E757" s="8">
        <v>0.91</v>
      </c>
      <c r="F757" s="8">
        <f ca="1">IFERROR(__xludf.DUMMYFUNCTION("GOOGLEFINANCE(""BOM:"" &amp; B757,""price"")"),0.79)</f>
        <v>0.79</v>
      </c>
      <c r="G757" s="8">
        <f t="shared" ca="1" si="255"/>
        <v>-13.186813186813188</v>
      </c>
      <c r="H757" s="12">
        <f t="shared" si="228"/>
        <v>1817164142.4300001</v>
      </c>
      <c r="I757" s="13">
        <f t="shared" ca="1" si="229"/>
        <v>1577538101.6700001</v>
      </c>
      <c r="J757" s="63"/>
      <c r="K757" s="8">
        <v>543193</v>
      </c>
      <c r="L757" s="8" t="s">
        <v>3150</v>
      </c>
      <c r="M757" s="12">
        <v>10827840</v>
      </c>
      <c r="N757" s="10">
        <v>143.75</v>
      </c>
      <c r="O757" s="10">
        <f ca="1">IFERROR(__xludf.DUMMYFUNCTION("GOOGLEFINANCE(""BOM:"" &amp; K757,""price"")"),171.5)</f>
        <v>171.5</v>
      </c>
      <c r="P757" s="8">
        <f t="shared" ca="1" si="256"/>
        <v>19.304347826086957</v>
      </c>
      <c r="Q757" s="12">
        <f t="shared" si="245"/>
        <v>1556502000</v>
      </c>
      <c r="R757" s="13">
        <f t="shared" ca="1" si="246"/>
        <v>1856974560</v>
      </c>
      <c r="S757" s="63"/>
      <c r="T757" s="8">
        <v>504966</v>
      </c>
      <c r="U757" s="8" t="s">
        <v>3151</v>
      </c>
      <c r="V757" s="12">
        <v>103961037</v>
      </c>
      <c r="W757" s="8" t="s">
        <v>44</v>
      </c>
      <c r="X757" s="11" t="s">
        <v>44</v>
      </c>
      <c r="Y757" s="8"/>
      <c r="Z757" s="12"/>
      <c r="AA757" s="13"/>
      <c r="AB757" s="63"/>
      <c r="AC757" s="8">
        <v>540695</v>
      </c>
      <c r="AD757" s="8" t="s">
        <v>3152</v>
      </c>
      <c r="AE757" s="12">
        <v>10539850</v>
      </c>
      <c r="AF757" s="8">
        <v>15.64</v>
      </c>
      <c r="AG757" s="8">
        <f ca="1">IFERROR(__xludf.DUMMYFUNCTION("GOOGLEFINANCE(""BOM:"" &amp; AC757,""price"")"),12.8)</f>
        <v>12.8</v>
      </c>
      <c r="AH757" s="8">
        <f t="shared" ca="1" si="260"/>
        <v>-18.15856777493606</v>
      </c>
      <c r="AI757" s="12">
        <f t="shared" si="261"/>
        <v>164843254</v>
      </c>
      <c r="AJ757" s="13">
        <f t="shared" ca="1" si="262"/>
        <v>134910080</v>
      </c>
    </row>
    <row r="758" spans="1:36" x14ac:dyDescent="0.25">
      <c r="A758" s="63"/>
      <c r="B758" s="8">
        <v>523574</v>
      </c>
      <c r="C758" s="8" t="s">
        <v>3153</v>
      </c>
      <c r="D758" s="12">
        <v>454546858</v>
      </c>
      <c r="E758" s="8">
        <v>0.82</v>
      </c>
      <c r="F758" s="8">
        <f ca="1">IFERROR(__xludf.DUMMYFUNCTION("GOOGLEFINANCE(""BOM:"" &amp; B758,""price"")"),0.72)</f>
        <v>0.72</v>
      </c>
      <c r="G758" s="8">
        <f t="shared" ca="1" si="255"/>
        <v>-12.195121951219511</v>
      </c>
      <c r="H758" s="12">
        <f t="shared" si="228"/>
        <v>372728423.56</v>
      </c>
      <c r="I758" s="13">
        <f t="shared" ca="1" si="229"/>
        <v>327273737.75999999</v>
      </c>
      <c r="J758" s="63"/>
      <c r="K758" s="8">
        <v>540006</v>
      </c>
      <c r="L758" s="8" t="s">
        <v>3154</v>
      </c>
      <c r="M758" s="12">
        <v>120233805</v>
      </c>
      <c r="N758" s="10">
        <v>7.8</v>
      </c>
      <c r="O758" s="10">
        <f ca="1">IFERROR(__xludf.DUMMYFUNCTION("GOOGLEFINANCE(""BOM:"" &amp; K758,""price"")"),5.07)</f>
        <v>5.07</v>
      </c>
      <c r="P758" s="8">
        <f t="shared" ca="1" si="256"/>
        <v>-34.999999999999993</v>
      </c>
      <c r="Q758" s="12">
        <f t="shared" si="245"/>
        <v>937823679</v>
      </c>
      <c r="R758" s="13">
        <f t="shared" ca="1" si="246"/>
        <v>609585391.35000002</v>
      </c>
      <c r="S758" s="63"/>
      <c r="T758" s="8">
        <v>526582</v>
      </c>
      <c r="U758" s="8" t="s">
        <v>3155</v>
      </c>
      <c r="V758" s="12">
        <v>15049300</v>
      </c>
      <c r="W758" s="8">
        <v>66.760000000000005</v>
      </c>
      <c r="X758" s="11">
        <f ca="1">IFERROR(__xludf.DUMMYFUNCTION("GOOGLEFINANCE(""BOM:"" &amp; T758,""price"")"),61.25)</f>
        <v>61.25</v>
      </c>
      <c r="Y758" s="8">
        <f t="shared" ref="Y758:Y803" ca="1" si="263">((X758-W758)/W758)*100</f>
        <v>-8.2534451767525532</v>
      </c>
      <c r="Z758" s="12">
        <f t="shared" ref="Z758:Z803" si="264">V758*W758</f>
        <v>1004691268.0000001</v>
      </c>
      <c r="AA758" s="13">
        <f t="shared" ref="AA758:AA803" ca="1" si="265">V758*X758</f>
        <v>921769625</v>
      </c>
      <c r="AB758" s="63"/>
      <c r="AC758" s="8">
        <v>535694</v>
      </c>
      <c r="AD758" s="8" t="s">
        <v>3156</v>
      </c>
      <c r="AE758" s="12">
        <v>24760200</v>
      </c>
      <c r="AF758" s="8">
        <v>2.14</v>
      </c>
      <c r="AG758" s="8">
        <f ca="1">IFERROR(__xludf.DUMMYFUNCTION("GOOGLEFINANCE(""BOM:"" &amp; AC758,""price"")"),2.14)</f>
        <v>2.14</v>
      </c>
      <c r="AH758" s="8">
        <f t="shared" ca="1" si="260"/>
        <v>0</v>
      </c>
      <c r="AI758" s="12">
        <f t="shared" si="261"/>
        <v>52986828</v>
      </c>
      <c r="AJ758" s="13">
        <f t="shared" ca="1" si="262"/>
        <v>52986828</v>
      </c>
    </row>
    <row r="759" spans="1:36" x14ac:dyDescent="0.25">
      <c r="A759" s="63"/>
      <c r="B759" s="8">
        <v>570002</v>
      </c>
      <c r="C759" s="8" t="s">
        <v>3157</v>
      </c>
      <c r="D759" s="12">
        <v>39331848</v>
      </c>
      <c r="E759" s="8">
        <v>5.7</v>
      </c>
      <c r="F759" s="8">
        <f ca="1">IFERROR(__xludf.DUMMYFUNCTION("GOOGLEFINANCE(""BOM:"" &amp; B759,""price"")"),4.3)</f>
        <v>4.3</v>
      </c>
      <c r="G759" s="8">
        <f t="shared" ca="1" si="255"/>
        <v>-24.561403508771935</v>
      </c>
      <c r="H759" s="12">
        <f t="shared" si="228"/>
        <v>224191533.59999999</v>
      </c>
      <c r="I759" s="13">
        <f t="shared" ca="1" si="229"/>
        <v>169126946.40000001</v>
      </c>
      <c r="J759" s="63"/>
      <c r="K759" s="8">
        <v>504380</v>
      </c>
      <c r="L759" s="8" t="s">
        <v>3158</v>
      </c>
      <c r="M759" s="12">
        <v>7070400</v>
      </c>
      <c r="N759" s="10">
        <v>80</v>
      </c>
      <c r="O759" s="10">
        <f ca="1">IFERROR(__xludf.DUMMYFUNCTION("GOOGLEFINANCE(""BOM:"" &amp; K759,""price"")"),69.02)</f>
        <v>69.02</v>
      </c>
      <c r="P759" s="8">
        <f t="shared" ca="1" si="256"/>
        <v>-13.725000000000003</v>
      </c>
      <c r="Q759" s="12">
        <f t="shared" si="245"/>
        <v>565632000</v>
      </c>
      <c r="R759" s="13">
        <f t="shared" ca="1" si="246"/>
        <v>487999008</v>
      </c>
      <c r="S759" s="63"/>
      <c r="T759" s="8">
        <v>500148</v>
      </c>
      <c r="U759" s="8" t="s">
        <v>3159</v>
      </c>
      <c r="V759" s="12">
        <v>71841485</v>
      </c>
      <c r="W759" s="8">
        <v>430</v>
      </c>
      <c r="X759" s="11">
        <f ca="1">IFERROR(__xludf.DUMMYFUNCTION("GOOGLEFINANCE(""BOM:"" &amp; T759,""price"")"),405)</f>
        <v>405</v>
      </c>
      <c r="Y759" s="8">
        <f t="shared" ca="1" si="263"/>
        <v>-5.8139534883720927</v>
      </c>
      <c r="Z759" s="12">
        <f t="shared" si="264"/>
        <v>30891838550</v>
      </c>
      <c r="AA759" s="13">
        <f t="shared" ca="1" si="265"/>
        <v>29095801425</v>
      </c>
      <c r="AB759" s="63"/>
      <c r="AC759" s="8">
        <v>539533</v>
      </c>
      <c r="AD759" s="8" t="s">
        <v>3160</v>
      </c>
      <c r="AE759" s="12">
        <v>1171600</v>
      </c>
      <c r="AF759" s="8">
        <v>10.5</v>
      </c>
      <c r="AG759" s="8">
        <f ca="1">IFERROR(__xludf.DUMMYFUNCTION("GOOGLEFINANCE(""BOM:"" &amp; AC759,""price"")"),10.5)</f>
        <v>10.5</v>
      </c>
      <c r="AH759" s="8">
        <f t="shared" ca="1" si="260"/>
        <v>0</v>
      </c>
      <c r="AI759" s="12">
        <f t="shared" si="261"/>
        <v>12301800</v>
      </c>
      <c r="AJ759" s="13">
        <f t="shared" ca="1" si="262"/>
        <v>12301800</v>
      </c>
    </row>
    <row r="760" spans="1:36" x14ac:dyDescent="0.25">
      <c r="A760" s="63"/>
      <c r="B760" s="8">
        <v>536507</v>
      </c>
      <c r="C760" s="8" t="s">
        <v>3161</v>
      </c>
      <c r="D760" s="12">
        <v>201643728</v>
      </c>
      <c r="E760" s="8">
        <v>2.71</v>
      </c>
      <c r="F760" s="8">
        <f ca="1">IFERROR(__xludf.DUMMYFUNCTION("GOOGLEFINANCE(""BOM:"" &amp; B760,""price"")"),2.05)</f>
        <v>2.0499999999999998</v>
      </c>
      <c r="G760" s="8">
        <f t="shared" ca="1" si="255"/>
        <v>-24.35424354243543</v>
      </c>
      <c r="H760" s="12">
        <f t="shared" si="228"/>
        <v>546454502.88</v>
      </c>
      <c r="I760" s="13">
        <f t="shared" ca="1" si="229"/>
        <v>413369642.39999998</v>
      </c>
      <c r="J760" s="63"/>
      <c r="K760" s="8">
        <v>540798</v>
      </c>
      <c r="L760" s="8" t="s">
        <v>3162</v>
      </c>
      <c r="M760" s="12">
        <v>43883592</v>
      </c>
      <c r="N760" s="10">
        <v>8.15</v>
      </c>
      <c r="O760" s="10">
        <f ca="1">IFERROR(__xludf.DUMMYFUNCTION("GOOGLEFINANCE(""BOM:"" &amp; K760,""price"")"),6.85)</f>
        <v>6.85</v>
      </c>
      <c r="P760" s="8">
        <f t="shared" ca="1" si="256"/>
        <v>-15.95092024539878</v>
      </c>
      <c r="Q760" s="12">
        <f t="shared" si="245"/>
        <v>357651274.80000001</v>
      </c>
      <c r="R760" s="13">
        <f t="shared" ca="1" si="246"/>
        <v>300602605.19999999</v>
      </c>
      <c r="S760" s="63"/>
      <c r="T760" s="8">
        <v>526799</v>
      </c>
      <c r="U760" s="8" t="s">
        <v>3163</v>
      </c>
      <c r="V760" s="12">
        <v>3346400</v>
      </c>
      <c r="W760" s="8">
        <v>14.2</v>
      </c>
      <c r="X760" s="11">
        <f ca="1">IFERROR(__xludf.DUMMYFUNCTION("GOOGLEFINANCE(""BOM:"" &amp; T760,""price"")"),12.16)</f>
        <v>12.16</v>
      </c>
      <c r="Y760" s="8">
        <f t="shared" ca="1" si="263"/>
        <v>-14.366197183098587</v>
      </c>
      <c r="Z760" s="12">
        <f t="shared" si="264"/>
        <v>47518880</v>
      </c>
      <c r="AA760" s="13">
        <f t="shared" ca="1" si="265"/>
        <v>40692224</v>
      </c>
      <c r="AB760" s="63"/>
      <c r="AC760" s="8">
        <v>542803</v>
      </c>
      <c r="AD760" s="8" t="s">
        <v>3164</v>
      </c>
      <c r="AE760" s="12">
        <v>1182900</v>
      </c>
      <c r="AF760" s="8">
        <v>12.2</v>
      </c>
      <c r="AG760" s="8">
        <f ca="1">IFERROR(__xludf.DUMMYFUNCTION("GOOGLEFINANCE(""BOM:"" &amp; AC760,""price"")"),10.9)</f>
        <v>10.9</v>
      </c>
      <c r="AH760" s="8">
        <f t="shared" ca="1" si="260"/>
        <v>-10.655737704918025</v>
      </c>
      <c r="AI760" s="12">
        <f t="shared" si="261"/>
        <v>14431380</v>
      </c>
      <c r="AJ760" s="13">
        <f t="shared" ca="1" si="262"/>
        <v>12893610</v>
      </c>
    </row>
    <row r="761" spans="1:36" x14ac:dyDescent="0.25">
      <c r="A761" s="63"/>
      <c r="B761" s="8">
        <v>540064</v>
      </c>
      <c r="C761" s="8" t="s">
        <v>3165</v>
      </c>
      <c r="D761" s="12">
        <v>541331764</v>
      </c>
      <c r="E761" s="8">
        <v>2.34</v>
      </c>
      <c r="F761" s="8">
        <f ca="1">IFERROR(__xludf.DUMMYFUNCTION("GOOGLEFINANCE(""BOM:"" &amp; B761,""price"")"),2.05)</f>
        <v>2.0499999999999998</v>
      </c>
      <c r="G761" s="8">
        <f t="shared" ca="1" si="255"/>
        <v>-12.393162393162395</v>
      </c>
      <c r="H761" s="12">
        <f t="shared" si="228"/>
        <v>1266716327.76</v>
      </c>
      <c r="I761" s="13">
        <f t="shared" ca="1" si="229"/>
        <v>1109730116.1999998</v>
      </c>
      <c r="J761" s="63"/>
      <c r="K761" s="8">
        <v>543489</v>
      </c>
      <c r="L761" s="8" t="s">
        <v>3166</v>
      </c>
      <c r="M761" s="12">
        <v>499523368</v>
      </c>
      <c r="N761" s="10">
        <v>107.05</v>
      </c>
      <c r="O761" s="10">
        <f ca="1">IFERROR(__xludf.DUMMYFUNCTION("GOOGLEFINANCE(""BOM:"" &amp; K761,""price"")"),99.8)</f>
        <v>99.8</v>
      </c>
      <c r="P761" s="8">
        <f t="shared" ca="1" si="256"/>
        <v>-6.7725361980382992</v>
      </c>
      <c r="Q761" s="12">
        <f t="shared" si="245"/>
        <v>53473976544.400002</v>
      </c>
      <c r="R761" s="13">
        <f t="shared" ca="1" si="246"/>
        <v>49852432126.400002</v>
      </c>
      <c r="S761" s="63"/>
      <c r="T761" s="8">
        <v>534639</v>
      </c>
      <c r="U761" s="8" t="s">
        <v>3167</v>
      </c>
      <c r="V761" s="12">
        <v>2870371</v>
      </c>
      <c r="W761" s="8">
        <v>23.67</v>
      </c>
      <c r="X761" s="11">
        <f ca="1">IFERROR(__xludf.DUMMYFUNCTION("GOOGLEFINANCE(""BOM:"" &amp; T761,""price"")"),23)</f>
        <v>23</v>
      </c>
      <c r="Y761" s="8">
        <f t="shared" ca="1" si="263"/>
        <v>-2.8305872412336361</v>
      </c>
      <c r="Z761" s="12">
        <f t="shared" si="264"/>
        <v>67941681.570000008</v>
      </c>
      <c r="AA761" s="13">
        <f t="shared" ca="1" si="265"/>
        <v>66018533</v>
      </c>
      <c r="AB761" s="63"/>
      <c r="AC761" s="8">
        <v>526574</v>
      </c>
      <c r="AD761" s="8" t="s">
        <v>3168</v>
      </c>
      <c r="AE761" s="12">
        <v>2595894</v>
      </c>
      <c r="AF761" s="8">
        <v>27.7</v>
      </c>
      <c r="AG761" s="8">
        <f ca="1">IFERROR(__xludf.DUMMYFUNCTION("GOOGLEFINANCE(""BOM:"" &amp; AC761,""price"")"),30.92)</f>
        <v>30.92</v>
      </c>
      <c r="AH761" s="8">
        <f t="shared" ca="1" si="260"/>
        <v>11.624548736462103</v>
      </c>
      <c r="AI761" s="12">
        <f t="shared" si="261"/>
        <v>71906263.799999997</v>
      </c>
      <c r="AJ761" s="13">
        <f t="shared" ca="1" si="262"/>
        <v>80265042.480000004</v>
      </c>
    </row>
    <row r="762" spans="1:36" x14ac:dyDescent="0.25">
      <c r="A762" s="63"/>
      <c r="B762" s="8">
        <v>534708</v>
      </c>
      <c r="C762" s="8" t="s">
        <v>3169</v>
      </c>
      <c r="D762" s="12">
        <v>12260000</v>
      </c>
      <c r="E762" s="8">
        <v>14.75</v>
      </c>
      <c r="F762" s="8">
        <f ca="1">IFERROR(__xludf.DUMMYFUNCTION("GOOGLEFINANCE(""BOM:"" &amp; B762,""price"")"),11.88)</f>
        <v>11.88</v>
      </c>
      <c r="G762" s="8">
        <f t="shared" ca="1" si="255"/>
        <v>-19.457627118644062</v>
      </c>
      <c r="H762" s="12">
        <f t="shared" si="228"/>
        <v>180835000</v>
      </c>
      <c r="I762" s="13">
        <f t="shared" ca="1" si="229"/>
        <v>145648800</v>
      </c>
      <c r="J762" s="63"/>
      <c r="K762" s="8">
        <v>532345</v>
      </c>
      <c r="L762" s="8" t="s">
        <v>3170</v>
      </c>
      <c r="M762" s="12">
        <v>122290154</v>
      </c>
      <c r="N762" s="10">
        <v>116.65</v>
      </c>
      <c r="O762" s="10">
        <f ca="1">IFERROR(__xludf.DUMMYFUNCTION("GOOGLEFINANCE(""BOM:"" &amp; K762,""price"")"),95.8)</f>
        <v>95.8</v>
      </c>
      <c r="P762" s="8">
        <f t="shared" ca="1" si="256"/>
        <v>-17.87398199742821</v>
      </c>
      <c r="Q762" s="12">
        <f t="shared" si="245"/>
        <v>14265146464.1</v>
      </c>
      <c r="R762" s="13">
        <f t="shared" ca="1" si="246"/>
        <v>11715396753.199999</v>
      </c>
      <c r="S762" s="63"/>
      <c r="T762" s="8">
        <v>590013</v>
      </c>
      <c r="U762" s="8" t="s">
        <v>3171</v>
      </c>
      <c r="V762" s="12">
        <v>11611333</v>
      </c>
      <c r="W762" s="8">
        <v>1248.45</v>
      </c>
      <c r="X762" s="11">
        <f ca="1">IFERROR(__xludf.DUMMYFUNCTION("GOOGLEFINANCE(""BOM:"" &amp; T762,""price"")"),1075)</f>
        <v>1075</v>
      </c>
      <c r="Y762" s="8">
        <f t="shared" ca="1" si="263"/>
        <v>-13.893227602226766</v>
      </c>
      <c r="Z762" s="12">
        <f t="shared" si="264"/>
        <v>14496168683.85</v>
      </c>
      <c r="AA762" s="13">
        <f t="shared" ca="1" si="265"/>
        <v>12482182975</v>
      </c>
      <c r="AB762" s="63"/>
      <c r="AC762" s="8">
        <v>590057</v>
      </c>
      <c r="AD762" s="8" t="s">
        <v>3172</v>
      </c>
      <c r="AE762" s="12">
        <v>103094099</v>
      </c>
      <c r="AF762" s="8">
        <v>28.55</v>
      </c>
      <c r="AG762" s="8">
        <f ca="1">IFERROR(__xludf.DUMMYFUNCTION("GOOGLEFINANCE(""BOM:"" &amp; AC762,""price"")"),29.2)</f>
        <v>29.2</v>
      </c>
      <c r="AH762" s="8">
        <f t="shared" ca="1" si="260"/>
        <v>2.2767075306479807</v>
      </c>
      <c r="AI762" s="12">
        <f t="shared" si="261"/>
        <v>2943336526.4500003</v>
      </c>
      <c r="AJ762" s="13">
        <f t="shared" ca="1" si="262"/>
        <v>3010347690.7999997</v>
      </c>
    </row>
    <row r="763" spans="1:36" x14ac:dyDescent="0.25">
      <c r="A763" s="63"/>
      <c r="B763" s="8">
        <v>532638</v>
      </c>
      <c r="C763" s="8" t="s">
        <v>3173</v>
      </c>
      <c r="D763" s="12">
        <v>109500151</v>
      </c>
      <c r="E763" s="8">
        <v>744</v>
      </c>
      <c r="F763" s="8">
        <f ca="1">IFERROR(__xludf.DUMMYFUNCTION("GOOGLEFINANCE(""BOM:"" &amp; B763,""price"")"),759.1)</f>
        <v>759.1</v>
      </c>
      <c r="G763" s="8">
        <f t="shared" ca="1" si="255"/>
        <v>2.0295698924731211</v>
      </c>
      <c r="H763" s="12">
        <f t="shared" si="228"/>
        <v>81468112344</v>
      </c>
      <c r="I763" s="13">
        <f t="shared" ca="1" si="229"/>
        <v>83121564624.100006</v>
      </c>
      <c r="J763" s="63"/>
      <c r="K763" s="8">
        <v>543420</v>
      </c>
      <c r="L763" s="8" t="s">
        <v>3174</v>
      </c>
      <c r="M763" s="12">
        <v>23201892</v>
      </c>
      <c r="N763" s="10">
        <v>14.68</v>
      </c>
      <c r="O763" s="10">
        <f ca="1">IFERROR(__xludf.DUMMYFUNCTION("GOOGLEFINANCE(""BOM:"" &amp; K763,""price"")"),12.43)</f>
        <v>12.43</v>
      </c>
      <c r="P763" s="8">
        <f t="shared" ca="1" si="256"/>
        <v>-15.326975476839239</v>
      </c>
      <c r="Q763" s="12">
        <f t="shared" si="245"/>
        <v>340603774.56</v>
      </c>
      <c r="R763" s="13">
        <f t="shared" ca="1" si="246"/>
        <v>288399517.56</v>
      </c>
      <c r="S763" s="63"/>
      <c r="T763" s="8">
        <v>530063</v>
      </c>
      <c r="U763" s="8" t="s">
        <v>3175</v>
      </c>
      <c r="V763" s="12">
        <v>16727170</v>
      </c>
      <c r="W763" s="8">
        <v>9.36</v>
      </c>
      <c r="X763" s="11">
        <f ca="1">IFERROR(__xludf.DUMMYFUNCTION("GOOGLEFINANCE(""BOM:"" &amp; T763,""price"")"),8.79)</f>
        <v>8.7899999999999991</v>
      </c>
      <c r="Y763" s="8">
        <f t="shared" ca="1" si="263"/>
        <v>-6.089743589743593</v>
      </c>
      <c r="Z763" s="12">
        <f t="shared" si="264"/>
        <v>156566311.19999999</v>
      </c>
      <c r="AA763" s="13">
        <f t="shared" ca="1" si="265"/>
        <v>147031824.29999998</v>
      </c>
      <c r="AB763" s="63"/>
      <c r="AC763" s="8">
        <v>530929</v>
      </c>
      <c r="AD763" s="8" t="s">
        <v>3176</v>
      </c>
      <c r="AE763" s="12">
        <v>735800</v>
      </c>
      <c r="AF763" s="8">
        <v>18</v>
      </c>
      <c r="AG763" s="8">
        <f ca="1">IFERROR(__xludf.DUMMYFUNCTION("GOOGLEFINANCE(""BOM:"" &amp; AC763,""price"")"),18)</f>
        <v>18</v>
      </c>
      <c r="AH763" s="8">
        <f t="shared" ca="1" si="260"/>
        <v>0</v>
      </c>
      <c r="AI763" s="12">
        <f t="shared" si="261"/>
        <v>13244400</v>
      </c>
      <c r="AJ763" s="13">
        <f t="shared" ca="1" si="262"/>
        <v>13244400</v>
      </c>
    </row>
    <row r="764" spans="1:36" x14ac:dyDescent="0.25">
      <c r="A764" s="63"/>
      <c r="B764" s="8">
        <v>542337</v>
      </c>
      <c r="C764" s="8" t="s">
        <v>3177</v>
      </c>
      <c r="D764" s="12">
        <v>89391144</v>
      </c>
      <c r="E764" s="8">
        <v>112.95</v>
      </c>
      <c r="F764" s="8">
        <f ca="1">IFERROR(__xludf.DUMMYFUNCTION("GOOGLEFINANCE(""BOM:"" &amp; B764,""price"")"),91.75)</f>
        <v>91.75</v>
      </c>
      <c r="G764" s="8">
        <f t="shared" ca="1" si="255"/>
        <v>-18.769366976538294</v>
      </c>
      <c r="H764" s="12">
        <f t="shared" si="228"/>
        <v>10096729714.800001</v>
      </c>
      <c r="I764" s="13">
        <f t="shared" ca="1" si="229"/>
        <v>8201637462</v>
      </c>
      <c r="J764" s="63"/>
      <c r="K764" s="8">
        <v>533289</v>
      </c>
      <c r="L764" s="8" t="s">
        <v>3178</v>
      </c>
      <c r="M764" s="12">
        <v>10748987</v>
      </c>
      <c r="N764" s="10">
        <v>89.97</v>
      </c>
      <c r="O764" s="10">
        <f ca="1">IFERROR(__xludf.DUMMYFUNCTION("GOOGLEFINANCE(""BOM:"" &amp; K764,""price"")"),70.5)</f>
        <v>70.5</v>
      </c>
      <c r="P764" s="8">
        <f t="shared" ca="1" si="256"/>
        <v>-21.640546848949647</v>
      </c>
      <c r="Q764" s="12">
        <f t="shared" si="245"/>
        <v>967086360.38999999</v>
      </c>
      <c r="R764" s="13">
        <f t="shared" ca="1" si="246"/>
        <v>757803583.5</v>
      </c>
      <c r="S764" s="64"/>
      <c r="T764" s="14">
        <v>523105</v>
      </c>
      <c r="U764" s="14" t="s">
        <v>3179</v>
      </c>
      <c r="V764" s="15">
        <v>136816</v>
      </c>
      <c r="W764" s="14">
        <v>592.25</v>
      </c>
      <c r="X764" s="26">
        <f ca="1">IFERROR(__xludf.DUMMYFUNCTION("GOOGLEFINANCE(""BOM:"" &amp; T764,""price"")"),459.9)</f>
        <v>459.9</v>
      </c>
      <c r="Y764" s="14">
        <f t="shared" ca="1" si="263"/>
        <v>-22.346981848881388</v>
      </c>
      <c r="Z764" s="15">
        <f t="shared" si="264"/>
        <v>81029276</v>
      </c>
      <c r="AA764" s="16">
        <f t="shared" ca="1" si="265"/>
        <v>62921678.399999999</v>
      </c>
      <c r="AB764" s="63"/>
      <c r="AC764" s="8">
        <v>543500</v>
      </c>
      <c r="AD764" s="8" t="s">
        <v>3180</v>
      </c>
      <c r="AE764" s="12">
        <v>13600000</v>
      </c>
      <c r="AF764" s="8">
        <v>12.5</v>
      </c>
      <c r="AG764" s="8">
        <v>12.5</v>
      </c>
      <c r="AH764" s="8">
        <f t="shared" si="260"/>
        <v>0</v>
      </c>
      <c r="AI764" s="12">
        <f t="shared" si="261"/>
        <v>170000000</v>
      </c>
      <c r="AJ764" s="13">
        <f t="shared" si="262"/>
        <v>170000000</v>
      </c>
    </row>
    <row r="765" spans="1:36" x14ac:dyDescent="0.25">
      <c r="A765" s="63"/>
      <c r="B765" s="8">
        <v>537392</v>
      </c>
      <c r="C765" s="8" t="s">
        <v>3181</v>
      </c>
      <c r="D765" s="12">
        <v>7241495</v>
      </c>
      <c r="E765" s="8">
        <v>7.08</v>
      </c>
      <c r="F765" s="8">
        <f ca="1">IFERROR(__xludf.DUMMYFUNCTION("GOOGLEFINANCE(""BOM:"" &amp; B765,""price"")"),5.83)</f>
        <v>5.83</v>
      </c>
      <c r="G765" s="8">
        <f t="shared" ca="1" si="255"/>
        <v>-17.655367231638419</v>
      </c>
      <c r="H765" s="12">
        <f t="shared" si="228"/>
        <v>51269784.600000001</v>
      </c>
      <c r="I765" s="13">
        <f t="shared" ca="1" si="229"/>
        <v>42217915.850000001</v>
      </c>
      <c r="J765" s="63"/>
      <c r="K765" s="8">
        <v>539841</v>
      </c>
      <c r="L765" s="8" t="s">
        <v>3182</v>
      </c>
      <c r="M765" s="12">
        <v>568298160</v>
      </c>
      <c r="N765" s="10">
        <v>88.67</v>
      </c>
      <c r="O765" s="10">
        <f ca="1">IFERROR(__xludf.DUMMYFUNCTION("GOOGLEFINANCE(""BOM:"" &amp; K765,""price"")"),72.9)</f>
        <v>72.900000000000006</v>
      </c>
      <c r="P765" s="8">
        <f t="shared" ca="1" si="256"/>
        <v>-17.785045674974619</v>
      </c>
      <c r="Q765" s="12">
        <f t="shared" si="245"/>
        <v>50390997847.200005</v>
      </c>
      <c r="R765" s="13">
        <f t="shared" ca="1" si="246"/>
        <v>41428935864</v>
      </c>
      <c r="S765" s="62" t="s">
        <v>3183</v>
      </c>
      <c r="T765" s="6">
        <v>500710</v>
      </c>
      <c r="U765" s="6" t="s">
        <v>3184</v>
      </c>
      <c r="V765" s="7">
        <v>45021124</v>
      </c>
      <c r="W765" s="8">
        <v>2502.9</v>
      </c>
      <c r="X765" s="11">
        <f ca="1">IFERROR(__xludf.DUMMYFUNCTION("GOOGLEFINANCE(""BOM:"" &amp; T765,""price"")"),2395.1)</f>
        <v>2395.1</v>
      </c>
      <c r="Y765" s="8">
        <f t="shared" ca="1" si="263"/>
        <v>-4.3070038755044218</v>
      </c>
      <c r="Z765" s="7">
        <f t="shared" si="264"/>
        <v>112683371259.60001</v>
      </c>
      <c r="AA765" s="9">
        <f t="shared" ca="1" si="265"/>
        <v>107830094092.39999</v>
      </c>
      <c r="AB765" s="63"/>
      <c r="AC765" s="8">
        <v>533090</v>
      </c>
      <c r="AD765" s="8" t="s">
        <v>3185</v>
      </c>
      <c r="AE765" s="12">
        <v>1407237165</v>
      </c>
      <c r="AF765" s="8">
        <v>0.51</v>
      </c>
      <c r="AG765" s="8">
        <f ca="1">IFERROR(__xludf.DUMMYFUNCTION("GOOGLEFINANCE(""BOM:"" &amp; AC765,""price"")"),0.5)</f>
        <v>0.5</v>
      </c>
      <c r="AH765" s="8">
        <f t="shared" ca="1" si="260"/>
        <v>-1.9607843137254919</v>
      </c>
      <c r="AI765" s="12">
        <f t="shared" si="261"/>
        <v>717690954.14999998</v>
      </c>
      <c r="AJ765" s="13">
        <f t="shared" ca="1" si="262"/>
        <v>703618582.5</v>
      </c>
    </row>
    <row r="766" spans="1:36" x14ac:dyDescent="0.25">
      <c r="A766" s="64"/>
      <c r="B766" s="14">
        <v>534976</v>
      </c>
      <c r="C766" s="14" t="s">
        <v>3186</v>
      </c>
      <c r="D766" s="15">
        <v>19749452</v>
      </c>
      <c r="E766" s="8">
        <v>1940</v>
      </c>
      <c r="F766" s="14">
        <f ca="1">IFERROR(__xludf.DUMMYFUNCTION("GOOGLEFINANCE(""BOM:"" &amp; B766,""price"")"),2133.25)</f>
        <v>2133.25</v>
      </c>
      <c r="G766" s="14">
        <f t="shared" ca="1" si="255"/>
        <v>9.961340206185568</v>
      </c>
      <c r="H766" s="15">
        <f t="shared" si="228"/>
        <v>38313936880</v>
      </c>
      <c r="I766" s="16">
        <f t="shared" ca="1" si="229"/>
        <v>42130518479</v>
      </c>
      <c r="J766" s="63"/>
      <c r="K766" s="8">
        <v>540768</v>
      </c>
      <c r="L766" s="8" t="s">
        <v>3187</v>
      </c>
      <c r="M766" s="12">
        <v>71935696</v>
      </c>
      <c r="N766" s="10">
        <v>436</v>
      </c>
      <c r="O766" s="10">
        <f ca="1">IFERROR(__xludf.DUMMYFUNCTION("GOOGLEFINANCE(""BOM:"" &amp; K766,""price"")"),409.7)</f>
        <v>409.7</v>
      </c>
      <c r="P766" s="8">
        <f t="shared" ca="1" si="256"/>
        <v>-6.0321100917431218</v>
      </c>
      <c r="Q766" s="12">
        <f t="shared" si="245"/>
        <v>31363963456</v>
      </c>
      <c r="R766" s="13">
        <f t="shared" ca="1" si="246"/>
        <v>29472054651.200001</v>
      </c>
      <c r="S766" s="63"/>
      <c r="T766" s="8">
        <v>500820</v>
      </c>
      <c r="U766" s="8" t="s">
        <v>3188</v>
      </c>
      <c r="V766" s="12">
        <v>953130183</v>
      </c>
      <c r="W766" s="8">
        <v>2832.1</v>
      </c>
      <c r="X766" s="11">
        <f ca="1">IFERROR(__xludf.DUMMYFUNCTION("GOOGLEFINANCE(""BOM:"" &amp; T766,""price"")"),2846)</f>
        <v>2846</v>
      </c>
      <c r="Y766" s="8">
        <f t="shared" ca="1" si="263"/>
        <v>0.49080187846474671</v>
      </c>
      <c r="Z766" s="12">
        <f t="shared" si="264"/>
        <v>2699359991274.2998</v>
      </c>
      <c r="AA766" s="13">
        <f t="shared" ca="1" si="265"/>
        <v>2712608500818</v>
      </c>
      <c r="AB766" s="63"/>
      <c r="AC766" s="8">
        <v>533896</v>
      </c>
      <c r="AD766" s="8" t="s">
        <v>3189</v>
      </c>
      <c r="AE766" s="12">
        <v>29824300</v>
      </c>
      <c r="AF766" s="8">
        <v>24</v>
      </c>
      <c r="AG766" s="8">
        <f ca="1">IFERROR(__xludf.DUMMYFUNCTION("GOOGLEFINANCE(""BOM:"" &amp; AC766,""price"")"),20.9)</f>
        <v>20.9</v>
      </c>
      <c r="AH766" s="8">
        <f t="shared" ca="1" si="260"/>
        <v>-12.916666666666673</v>
      </c>
      <c r="AI766" s="12">
        <f t="shared" si="261"/>
        <v>715783200</v>
      </c>
      <c r="AJ766" s="13">
        <f t="shared" ca="1" si="262"/>
        <v>623327870</v>
      </c>
    </row>
    <row r="767" spans="1:36" x14ac:dyDescent="0.25">
      <c r="A767" s="62" t="s">
        <v>3190</v>
      </c>
      <c r="B767" s="6">
        <v>524598</v>
      </c>
      <c r="C767" s="6" t="s">
        <v>3191</v>
      </c>
      <c r="D767" s="7">
        <v>7815414</v>
      </c>
      <c r="E767" s="6">
        <v>342.2</v>
      </c>
      <c r="F767" s="8">
        <f ca="1">IFERROR(__xludf.DUMMYFUNCTION("GOOGLEFINANCE(""BOM:"" &amp; B767,""price"")"),251.5)</f>
        <v>251.5</v>
      </c>
      <c r="G767" s="8">
        <f t="shared" ca="1" si="255"/>
        <v>-26.504967855055522</v>
      </c>
      <c r="H767" s="7">
        <f t="shared" si="228"/>
        <v>2674434670.7999997</v>
      </c>
      <c r="I767" s="9">
        <f t="shared" ca="1" si="229"/>
        <v>1965576621</v>
      </c>
      <c r="J767" s="63"/>
      <c r="K767" s="8">
        <v>526622</v>
      </c>
      <c r="L767" s="8" t="s">
        <v>3192</v>
      </c>
      <c r="M767" s="12">
        <v>342531740</v>
      </c>
      <c r="N767" s="10">
        <v>0.76</v>
      </c>
      <c r="O767" s="10">
        <f ca="1">IFERROR(__xludf.DUMMYFUNCTION("GOOGLEFINANCE(""BOM:"" &amp; K767,""price"")"),0.7)</f>
        <v>0.7</v>
      </c>
      <c r="P767" s="8">
        <f t="shared" ca="1" si="256"/>
        <v>-7.8947368421052699</v>
      </c>
      <c r="Q767" s="12">
        <f t="shared" si="245"/>
        <v>260324122.40000001</v>
      </c>
      <c r="R767" s="13">
        <f t="shared" ca="1" si="246"/>
        <v>239772217.99999997</v>
      </c>
      <c r="S767" s="63"/>
      <c r="T767" s="8">
        <v>509480</v>
      </c>
      <c r="U767" s="8" t="s">
        <v>3193</v>
      </c>
      <c r="V767" s="12">
        <v>1159816500</v>
      </c>
      <c r="W767" s="8">
        <v>589.04999999999995</v>
      </c>
      <c r="X767" s="11">
        <f ca="1">IFERROR(__xludf.DUMMYFUNCTION("GOOGLEFINANCE(""BOM:"" &amp; T767,""price"")"),571.65)</f>
        <v>571.65</v>
      </c>
      <c r="Y767" s="8">
        <f t="shared" ca="1" si="263"/>
        <v>-2.9539088362617738</v>
      </c>
      <c r="Z767" s="12">
        <f t="shared" si="264"/>
        <v>683189909325</v>
      </c>
      <c r="AA767" s="13">
        <f t="shared" ca="1" si="265"/>
        <v>663009102225</v>
      </c>
      <c r="AB767" s="63"/>
      <c r="AC767" s="8">
        <v>530213</v>
      </c>
      <c r="AD767" s="8" t="s">
        <v>3194</v>
      </c>
      <c r="AE767" s="12">
        <v>5032268</v>
      </c>
      <c r="AF767" s="8">
        <v>52.4</v>
      </c>
      <c r="AG767" s="8">
        <f ca="1">IFERROR(__xludf.DUMMYFUNCTION("GOOGLEFINANCE(""BOM:"" &amp; AC767,""price"")"),55)</f>
        <v>55</v>
      </c>
      <c r="AH767" s="8">
        <f t="shared" ca="1" si="260"/>
        <v>4.961832061068705</v>
      </c>
      <c r="AI767" s="12">
        <f t="shared" si="261"/>
        <v>263690843.19999999</v>
      </c>
      <c r="AJ767" s="13">
        <f t="shared" ca="1" si="262"/>
        <v>276774740</v>
      </c>
    </row>
    <row r="768" spans="1:36" x14ac:dyDescent="0.25">
      <c r="A768" s="63"/>
      <c r="B768" s="8">
        <v>532853</v>
      </c>
      <c r="C768" s="8" t="s">
        <v>3195</v>
      </c>
      <c r="D768" s="12">
        <v>12025163</v>
      </c>
      <c r="E768" s="8">
        <v>329.8</v>
      </c>
      <c r="F768" s="8">
        <f ca="1">IFERROR(__xludf.DUMMYFUNCTION("GOOGLEFINANCE(""BOM:"" &amp; B768,""price"")"),326.75)</f>
        <v>326.75</v>
      </c>
      <c r="G768" s="8">
        <f t="shared" ca="1" si="255"/>
        <v>-0.92480291085506716</v>
      </c>
      <c r="H768" s="12">
        <f t="shared" si="228"/>
        <v>3965898757.4000001</v>
      </c>
      <c r="I768" s="13">
        <f t="shared" ca="1" si="229"/>
        <v>3929222010.25</v>
      </c>
      <c r="J768" s="63"/>
      <c r="K768" s="8">
        <v>539332</v>
      </c>
      <c r="L768" s="8" t="s">
        <v>3196</v>
      </c>
      <c r="M768" s="12">
        <v>150519179</v>
      </c>
      <c r="N768" s="10">
        <v>108.1</v>
      </c>
      <c r="O768" s="10">
        <f ca="1">IFERROR(__xludf.DUMMYFUNCTION("GOOGLEFINANCE(""BOM:"" &amp; K768,""price"")"),91.5)</f>
        <v>91.5</v>
      </c>
      <c r="P768" s="8">
        <f t="shared" ca="1" si="256"/>
        <v>-15.356151711378349</v>
      </c>
      <c r="Q768" s="12">
        <f t="shared" si="245"/>
        <v>16271123249.9</v>
      </c>
      <c r="R768" s="13">
        <f t="shared" ca="1" si="246"/>
        <v>13772504878.5</v>
      </c>
      <c r="S768" s="63"/>
      <c r="T768" s="8">
        <v>543258</v>
      </c>
      <c r="U768" s="8" t="s">
        <v>3197</v>
      </c>
      <c r="V768" s="12">
        <v>47568996</v>
      </c>
      <c r="W768" s="8">
        <v>1394.85</v>
      </c>
      <c r="X768" s="11">
        <f ca="1">IFERROR(__xludf.DUMMYFUNCTION("GOOGLEFINANCE(""BOM:"" &amp; T768,""price"")"),1256.1)</f>
        <v>1256.0999999999999</v>
      </c>
      <c r="Y768" s="8">
        <f t="shared" ca="1" si="263"/>
        <v>-9.9473061619528984</v>
      </c>
      <c r="Z768" s="12">
        <f t="shared" si="264"/>
        <v>66351614070.599998</v>
      </c>
      <c r="AA768" s="13">
        <f t="shared" ca="1" si="265"/>
        <v>59751415875.599998</v>
      </c>
      <c r="AB768" s="63"/>
      <c r="AC768" s="8">
        <v>540190</v>
      </c>
      <c r="AD768" s="8" t="s">
        <v>3198</v>
      </c>
      <c r="AE768" s="12">
        <v>33749900</v>
      </c>
      <c r="AF768" s="8">
        <v>7.63</v>
      </c>
      <c r="AG768" s="8">
        <f ca="1">IFERROR(__xludf.DUMMYFUNCTION("GOOGLEFINANCE(""BOM:"" &amp; AC768,""price"")"),5.38)</f>
        <v>5.38</v>
      </c>
      <c r="AH768" s="8">
        <f t="shared" ca="1" si="260"/>
        <v>-29.488859764089121</v>
      </c>
      <c r="AI768" s="12">
        <f t="shared" si="261"/>
        <v>257511737</v>
      </c>
      <c r="AJ768" s="13">
        <f t="shared" ca="1" si="262"/>
        <v>181574462</v>
      </c>
    </row>
    <row r="769" spans="1:36" x14ac:dyDescent="0.25">
      <c r="A769" s="63"/>
      <c r="B769" s="8">
        <v>530803</v>
      </c>
      <c r="C769" s="8" t="s">
        <v>3199</v>
      </c>
      <c r="D769" s="12">
        <v>43074651</v>
      </c>
      <c r="E769" s="8">
        <v>192.1</v>
      </c>
      <c r="F769" s="8">
        <f ca="1">IFERROR(__xludf.DUMMYFUNCTION("GOOGLEFINANCE(""BOM:"" &amp; B769,""price"")"),146)</f>
        <v>146</v>
      </c>
      <c r="G769" s="8">
        <f t="shared" ca="1" si="255"/>
        <v>-23.997917751171265</v>
      </c>
      <c r="H769" s="12">
        <f t="shared" si="228"/>
        <v>8274640457.0999994</v>
      </c>
      <c r="I769" s="13">
        <f t="shared" ca="1" si="229"/>
        <v>6288899046</v>
      </c>
      <c r="J769" s="63"/>
      <c r="K769" s="8">
        <v>534615</v>
      </c>
      <c r="L769" s="8" t="s">
        <v>3200</v>
      </c>
      <c r="M769" s="12">
        <v>50058196</v>
      </c>
      <c r="N769" s="10">
        <v>33.64</v>
      </c>
      <c r="O769" s="10">
        <f ca="1">IFERROR(__xludf.DUMMYFUNCTION("GOOGLEFINANCE(""BOM:"" &amp; K769,""price"")"),22.71)</f>
        <v>22.71</v>
      </c>
      <c r="P769" s="8">
        <f t="shared" ca="1" si="256"/>
        <v>-32.491082045184307</v>
      </c>
      <c r="Q769" s="12">
        <f t="shared" si="245"/>
        <v>1683957713.4400001</v>
      </c>
      <c r="R769" s="13">
        <f t="shared" ca="1" si="246"/>
        <v>1136821631.1600001</v>
      </c>
      <c r="S769" s="63"/>
      <c r="T769" s="8">
        <v>500165</v>
      </c>
      <c r="U769" s="8" t="s">
        <v>3201</v>
      </c>
      <c r="V769" s="12">
        <v>805488075</v>
      </c>
      <c r="W769" s="8">
        <v>290.05</v>
      </c>
      <c r="X769" s="11">
        <f ca="1">IFERROR(__xludf.DUMMYFUNCTION("GOOGLEFINANCE(""BOM:"" &amp; T769,""price"")"),262.25)</f>
        <v>262.25</v>
      </c>
      <c r="Y769" s="8">
        <f t="shared" ca="1" si="263"/>
        <v>-9.584554387174629</v>
      </c>
      <c r="Z769" s="12">
        <f t="shared" si="264"/>
        <v>233631816153.75</v>
      </c>
      <c r="AA769" s="13">
        <f t="shared" ca="1" si="265"/>
        <v>211239247668.75</v>
      </c>
      <c r="AB769" s="63"/>
      <c r="AC769" s="8">
        <v>539032</v>
      </c>
      <c r="AD769" s="8" t="s">
        <v>3202</v>
      </c>
      <c r="AE769" s="12">
        <v>8107844</v>
      </c>
      <c r="AF769" s="8">
        <v>5.31</v>
      </c>
      <c r="AG769" s="8">
        <f ca="1">IFERROR(__xludf.DUMMYFUNCTION("GOOGLEFINANCE(""BOM:"" &amp; AC769,""price"")"),4.83)</f>
        <v>4.83</v>
      </c>
      <c r="AH769" s="8">
        <f t="shared" ca="1" si="260"/>
        <v>-9.0395480225988614</v>
      </c>
      <c r="AI769" s="12">
        <f t="shared" si="261"/>
        <v>43052651.639999993</v>
      </c>
      <c r="AJ769" s="13">
        <f t="shared" ca="1" si="262"/>
        <v>39160886.520000003</v>
      </c>
    </row>
    <row r="770" spans="1:36" x14ac:dyDescent="0.25">
      <c r="A770" s="63"/>
      <c r="B770" s="8">
        <v>524370</v>
      </c>
      <c r="C770" s="8" t="s">
        <v>3203</v>
      </c>
      <c r="D770" s="12">
        <v>121911811</v>
      </c>
      <c r="E770" s="8">
        <v>88.66</v>
      </c>
      <c r="F770" s="8">
        <f ca="1">IFERROR(__xludf.DUMMYFUNCTION("GOOGLEFINANCE(""BOM:"" &amp; B770,""price"")"),73.26)</f>
        <v>73.260000000000005</v>
      </c>
      <c r="G770" s="8">
        <f t="shared" ca="1" si="255"/>
        <v>-17.369727047146394</v>
      </c>
      <c r="H770" s="12">
        <f t="shared" si="228"/>
        <v>10808701163.26</v>
      </c>
      <c r="I770" s="13">
        <f t="shared" ca="1" si="229"/>
        <v>8931259273.8600006</v>
      </c>
      <c r="J770" s="63"/>
      <c r="K770" s="8">
        <v>541206</v>
      </c>
      <c r="L770" s="8" t="s">
        <v>3204</v>
      </c>
      <c r="M770" s="12">
        <v>21082790</v>
      </c>
      <c r="N770" s="10">
        <v>61.2</v>
      </c>
      <c r="O770" s="10">
        <f ca="1">IFERROR(__xludf.DUMMYFUNCTION("GOOGLEFINANCE(""BOM:"" &amp; K770,""price"")"),46)</f>
        <v>46</v>
      </c>
      <c r="P770" s="8">
        <f t="shared" ca="1" si="256"/>
        <v>-24.836601307189547</v>
      </c>
      <c r="Q770" s="12">
        <f t="shared" si="245"/>
        <v>1290266748</v>
      </c>
      <c r="R770" s="13">
        <f t="shared" ca="1" si="246"/>
        <v>969808340</v>
      </c>
      <c r="S770" s="64"/>
      <c r="T770" s="14">
        <v>509874</v>
      </c>
      <c r="U770" s="14" t="s">
        <v>3205</v>
      </c>
      <c r="V770" s="15">
        <v>72006388</v>
      </c>
      <c r="W770" s="14">
        <v>174.7</v>
      </c>
      <c r="X770" s="26">
        <f ca="1">IFERROR(__xludf.DUMMYFUNCTION("GOOGLEFINANCE(""BOM:"" &amp; T770,""price"")"),165.95)</f>
        <v>165.95</v>
      </c>
      <c r="Y770" s="14">
        <f t="shared" ca="1" si="263"/>
        <v>-5.0085861476817408</v>
      </c>
      <c r="Z770" s="15">
        <f t="shared" si="264"/>
        <v>12579515983.599998</v>
      </c>
      <c r="AA770" s="16">
        <f t="shared" ca="1" si="265"/>
        <v>11949460088.599998</v>
      </c>
      <c r="AB770" s="63"/>
      <c r="AC770" s="8">
        <v>538568</v>
      </c>
      <c r="AD770" s="8" t="s">
        <v>3206</v>
      </c>
      <c r="AE770" s="12">
        <v>2860398</v>
      </c>
      <c r="AF770" s="8">
        <v>65.5</v>
      </c>
      <c r="AG770" s="8">
        <f ca="1">IFERROR(__xludf.DUMMYFUNCTION("GOOGLEFINANCE(""BOM:"" &amp; AC770,""price"")"),60.9)</f>
        <v>60.9</v>
      </c>
      <c r="AH770" s="8">
        <f t="shared" ca="1" si="260"/>
        <v>-7.0229007633587806</v>
      </c>
      <c r="AI770" s="12">
        <f t="shared" si="261"/>
        <v>187356069</v>
      </c>
      <c r="AJ770" s="13">
        <f t="shared" ca="1" si="262"/>
        <v>174198238.19999999</v>
      </c>
    </row>
    <row r="771" spans="1:36" x14ac:dyDescent="0.25">
      <c r="A771" s="63"/>
      <c r="B771" s="8">
        <v>506390</v>
      </c>
      <c r="C771" s="8" t="s">
        <v>3207</v>
      </c>
      <c r="D771" s="12">
        <v>22723072</v>
      </c>
      <c r="E771" s="8">
        <v>515</v>
      </c>
      <c r="F771" s="8">
        <v>515</v>
      </c>
      <c r="G771" s="8">
        <f t="shared" si="255"/>
        <v>0</v>
      </c>
      <c r="H771" s="12">
        <f t="shared" si="228"/>
        <v>11702382080</v>
      </c>
      <c r="I771" s="13">
        <f t="shared" si="229"/>
        <v>11702382080</v>
      </c>
      <c r="J771" s="63"/>
      <c r="K771" s="8">
        <v>526381</v>
      </c>
      <c r="L771" s="8" t="s">
        <v>3208</v>
      </c>
      <c r="M771" s="12">
        <v>65542492</v>
      </c>
      <c r="N771" s="10">
        <v>25.15</v>
      </c>
      <c r="O771" s="10">
        <f ca="1">IFERROR(__xludf.DUMMYFUNCTION("GOOGLEFINANCE(""BOM:"" &amp; K771,""price"")"),19.7)</f>
        <v>19.7</v>
      </c>
      <c r="P771" s="8">
        <f t="shared" ca="1" si="256"/>
        <v>-21.669980119284293</v>
      </c>
      <c r="Q771" s="12">
        <f t="shared" si="245"/>
        <v>1648393673.8</v>
      </c>
      <c r="R771" s="13">
        <f t="shared" ca="1" si="246"/>
        <v>1291187092.3999999</v>
      </c>
      <c r="S771" s="62" t="s">
        <v>3209</v>
      </c>
      <c r="T771" s="6">
        <v>516020</v>
      </c>
      <c r="U771" s="6" t="s">
        <v>3210</v>
      </c>
      <c r="V771" s="7">
        <v>15349098</v>
      </c>
      <c r="W771" s="8">
        <v>7.5</v>
      </c>
      <c r="X771" s="11">
        <f ca="1">IFERROR(__xludf.DUMMYFUNCTION("GOOGLEFINANCE(""BOM:"" &amp; T771,""price"")"),6.78)</f>
        <v>6.78</v>
      </c>
      <c r="Y771" s="8">
        <f t="shared" ca="1" si="263"/>
        <v>-9.5999999999999961</v>
      </c>
      <c r="Z771" s="7">
        <f t="shared" si="264"/>
        <v>115118235</v>
      </c>
      <c r="AA771" s="9">
        <f t="shared" ca="1" si="265"/>
        <v>104066884.44</v>
      </c>
      <c r="AB771" s="63"/>
      <c r="AC771" s="8">
        <v>531196</v>
      </c>
      <c r="AD771" s="8" t="s">
        <v>3211</v>
      </c>
      <c r="AE771" s="12">
        <v>8650600</v>
      </c>
      <c r="AF771" s="8" t="s">
        <v>44</v>
      </c>
      <c r="AG771" s="8" t="s">
        <v>44</v>
      </c>
      <c r="AH771" s="8"/>
      <c r="AI771" s="12"/>
      <c r="AJ771" s="13"/>
    </row>
    <row r="772" spans="1:36" x14ac:dyDescent="0.25">
      <c r="A772" s="63"/>
      <c r="B772" s="8">
        <v>532967</v>
      </c>
      <c r="C772" s="8" t="s">
        <v>3212</v>
      </c>
      <c r="D772" s="12">
        <v>51797156</v>
      </c>
      <c r="E772" s="8">
        <v>388.6</v>
      </c>
      <c r="F772" s="8">
        <f ca="1">IFERROR(__xludf.DUMMYFUNCTION("GOOGLEFINANCE(""BOM:"" &amp; B772,""price"")"),303.4)</f>
        <v>303.39999999999998</v>
      </c>
      <c r="G772" s="8">
        <f t="shared" ca="1" si="255"/>
        <v>-21.924858466289255</v>
      </c>
      <c r="H772" s="12">
        <f t="shared" si="228"/>
        <v>20128374821.600002</v>
      </c>
      <c r="I772" s="13">
        <f t="shared" ca="1" si="229"/>
        <v>15715257130.4</v>
      </c>
      <c r="J772" s="63"/>
      <c r="K772" s="8">
        <v>523445</v>
      </c>
      <c r="L772" s="8" t="s">
        <v>3213</v>
      </c>
      <c r="M772" s="12">
        <v>14809227</v>
      </c>
      <c r="N772" s="10">
        <v>1459</v>
      </c>
      <c r="O772" s="10">
        <f ca="1">IFERROR(__xludf.DUMMYFUNCTION("GOOGLEFINANCE(""BOM:"" &amp; K772,""price"")"),1275)</f>
        <v>1275</v>
      </c>
      <c r="P772" s="8">
        <f t="shared" ca="1" si="256"/>
        <v>-12.611377655928719</v>
      </c>
      <c r="Q772" s="12">
        <f t="shared" si="245"/>
        <v>21606662193</v>
      </c>
      <c r="R772" s="13">
        <f t="shared" ca="1" si="246"/>
        <v>18881764425</v>
      </c>
      <c r="S772" s="63"/>
      <c r="T772" s="8">
        <v>502330</v>
      </c>
      <c r="U772" s="8" t="s">
        <v>3214</v>
      </c>
      <c r="V772" s="12">
        <v>39588396</v>
      </c>
      <c r="W772" s="8">
        <v>521.9</v>
      </c>
      <c r="X772" s="11">
        <f ca="1">IFERROR(__xludf.DUMMYFUNCTION("GOOGLEFINANCE(""BOM:"" &amp; T772,""price"")"),486.1)</f>
        <v>486.1</v>
      </c>
      <c r="Y772" s="8">
        <f t="shared" ca="1" si="263"/>
        <v>-6.8595516382448665</v>
      </c>
      <c r="Z772" s="12">
        <f t="shared" si="264"/>
        <v>20661183872.399998</v>
      </c>
      <c r="AA772" s="13">
        <f t="shared" ca="1" si="265"/>
        <v>19243919295.600002</v>
      </c>
      <c r="AB772" s="63"/>
      <c r="AC772" s="8">
        <v>512443</v>
      </c>
      <c r="AD772" s="8" t="s">
        <v>3215</v>
      </c>
      <c r="AE772" s="12">
        <v>9028400</v>
      </c>
      <c r="AF772" s="8">
        <v>10.59</v>
      </c>
      <c r="AG772" s="8">
        <f ca="1">IFERROR(__xludf.DUMMYFUNCTION("GOOGLEFINANCE(""BOM:"" &amp; AC772,""price"")"),8.68)</f>
        <v>8.68</v>
      </c>
      <c r="AH772" s="8">
        <f t="shared" ref="AH772:AH786" ca="1" si="266">((AG772-AF772)/AF772)*100</f>
        <v>-18.035882908404158</v>
      </c>
      <c r="AI772" s="12">
        <f t="shared" ref="AI772:AI791" si="267">AE772*AF772</f>
        <v>95610756</v>
      </c>
      <c r="AJ772" s="13">
        <f t="shared" ref="AJ772:AJ791" ca="1" si="268">AE772*AG772</f>
        <v>78366512</v>
      </c>
    </row>
    <row r="773" spans="1:36" x14ac:dyDescent="0.25">
      <c r="A773" s="63"/>
      <c r="B773" s="8">
        <v>524570</v>
      </c>
      <c r="C773" s="8" t="s">
        <v>3216</v>
      </c>
      <c r="D773" s="12">
        <v>10163456</v>
      </c>
      <c r="E773" s="8">
        <v>387.3</v>
      </c>
      <c r="F773" s="8">
        <f ca="1">IFERROR(__xludf.DUMMYFUNCTION("GOOGLEFINANCE(""BOM:"" &amp; B773,""price"")"),337.05)</f>
        <v>337.05</v>
      </c>
      <c r="G773" s="8">
        <f t="shared" ca="1" si="255"/>
        <v>-12.974438419829589</v>
      </c>
      <c r="H773" s="12">
        <f t="shared" si="228"/>
        <v>3936306508.8000002</v>
      </c>
      <c r="I773" s="13">
        <f t="shared" ca="1" si="229"/>
        <v>3425592844.8000002</v>
      </c>
      <c r="J773" s="63"/>
      <c r="K773" s="8">
        <v>542383</v>
      </c>
      <c r="L773" s="8" t="s">
        <v>3217</v>
      </c>
      <c r="M773" s="12">
        <v>24476618</v>
      </c>
      <c r="N773" s="10">
        <v>251.45</v>
      </c>
      <c r="O773" s="10">
        <f ca="1">IFERROR(__xludf.DUMMYFUNCTION("GOOGLEFINANCE(""BOM:"" &amp; K773,""price"")"),218.3)</f>
        <v>218.3</v>
      </c>
      <c r="P773" s="8">
        <f t="shared" ca="1" si="256"/>
        <v>-13.183535494134013</v>
      </c>
      <c r="Q773" s="12">
        <f t="shared" si="245"/>
        <v>6154645596.0999994</v>
      </c>
      <c r="R773" s="13">
        <f t="shared" ca="1" si="246"/>
        <v>5343245709.4000006</v>
      </c>
      <c r="S773" s="63"/>
      <c r="T773" s="8">
        <v>540824</v>
      </c>
      <c r="U773" s="8" t="s">
        <v>3218</v>
      </c>
      <c r="V773" s="12">
        <v>46499690</v>
      </c>
      <c r="W773" s="8">
        <v>27.6</v>
      </c>
      <c r="X773" s="11">
        <f ca="1">IFERROR(__xludf.DUMMYFUNCTION("GOOGLEFINANCE(""BOM:"" &amp; T773,""price"")"),19.3)</f>
        <v>19.3</v>
      </c>
      <c r="Y773" s="8">
        <f t="shared" ca="1" si="263"/>
        <v>-30.072463768115941</v>
      </c>
      <c r="Z773" s="12">
        <f t="shared" si="264"/>
        <v>1283391444</v>
      </c>
      <c r="AA773" s="13">
        <f t="shared" ca="1" si="265"/>
        <v>897444017</v>
      </c>
      <c r="AB773" s="63"/>
      <c r="AC773" s="8">
        <v>530161</v>
      </c>
      <c r="AD773" s="8" t="s">
        <v>3219</v>
      </c>
      <c r="AE773" s="12">
        <v>1725200</v>
      </c>
      <c r="AF773" s="8">
        <v>7.26</v>
      </c>
      <c r="AG773" s="8">
        <f ca="1">IFERROR(__xludf.DUMMYFUNCTION("GOOGLEFINANCE(""BOM:"" &amp; AC773,""price"")"),9.6)</f>
        <v>9.6</v>
      </c>
      <c r="AH773" s="8">
        <f t="shared" ca="1" si="266"/>
        <v>32.231404958677686</v>
      </c>
      <c r="AI773" s="12">
        <f t="shared" si="267"/>
        <v>12524952</v>
      </c>
      <c r="AJ773" s="13">
        <f t="shared" ca="1" si="268"/>
        <v>16561920</v>
      </c>
    </row>
    <row r="774" spans="1:36" x14ac:dyDescent="0.25">
      <c r="A774" s="63"/>
      <c r="B774" s="8">
        <v>539334</v>
      </c>
      <c r="C774" s="8" t="s">
        <v>3220</v>
      </c>
      <c r="D774" s="12">
        <v>31625875</v>
      </c>
      <c r="E774" s="8">
        <v>184.15</v>
      </c>
      <c r="F774" s="8">
        <f ca="1">IFERROR(__xludf.DUMMYFUNCTION("GOOGLEFINANCE(""BOM:"" &amp; B774,""price"")"),159.9)</f>
        <v>159.9</v>
      </c>
      <c r="G774" s="8">
        <f t="shared" ca="1" si="255"/>
        <v>-13.168612544121638</v>
      </c>
      <c r="H774" s="12">
        <f t="shared" si="228"/>
        <v>5823904881.25</v>
      </c>
      <c r="I774" s="13">
        <f t="shared" ca="1" si="229"/>
        <v>5056977412.5</v>
      </c>
      <c r="J774" s="63"/>
      <c r="K774" s="8">
        <v>523116</v>
      </c>
      <c r="L774" s="8" t="s">
        <v>3221</v>
      </c>
      <c r="M774" s="12">
        <v>1712472</v>
      </c>
      <c r="N774" s="10">
        <v>605.20000000000005</v>
      </c>
      <c r="O774" s="10">
        <f ca="1">IFERROR(__xludf.DUMMYFUNCTION("GOOGLEFINANCE(""BOM:"" &amp; K774,""price"")"),650)</f>
        <v>650</v>
      </c>
      <c r="P774" s="8">
        <f t="shared" ca="1" si="256"/>
        <v>7.4025115664243151</v>
      </c>
      <c r="Q774" s="12">
        <f t="shared" si="245"/>
        <v>1036388054.4000001</v>
      </c>
      <c r="R774" s="13">
        <f t="shared" ca="1" si="246"/>
        <v>1113106800</v>
      </c>
      <c r="S774" s="63"/>
      <c r="T774" s="8">
        <v>539251</v>
      </c>
      <c r="U774" s="8" t="s">
        <v>3222</v>
      </c>
      <c r="V774" s="12">
        <v>10601662</v>
      </c>
      <c r="W774" s="8">
        <v>37.049999999999997</v>
      </c>
      <c r="X774" s="11">
        <f ca="1">IFERROR(__xludf.DUMMYFUNCTION("GOOGLEFINANCE(""BOM:"" &amp; T774,""price"")"),23.77)</f>
        <v>23.77</v>
      </c>
      <c r="Y774" s="8">
        <f t="shared" ca="1" si="263"/>
        <v>-35.843454790823209</v>
      </c>
      <c r="Z774" s="12">
        <f t="shared" si="264"/>
        <v>392791577.09999996</v>
      </c>
      <c r="AA774" s="13">
        <f t="shared" ca="1" si="265"/>
        <v>252001505.74000001</v>
      </c>
      <c r="AB774" s="63"/>
      <c r="AC774" s="8">
        <v>514400</v>
      </c>
      <c r="AD774" s="8" t="s">
        <v>3223</v>
      </c>
      <c r="AE774" s="12">
        <v>4465247</v>
      </c>
      <c r="AF774" s="8">
        <v>16.37</v>
      </c>
      <c r="AG774" s="8">
        <f ca="1">IFERROR(__xludf.DUMMYFUNCTION("GOOGLEFINANCE(""BOM:"" &amp; AC774,""price"")"),16.9)</f>
        <v>16.899999999999999</v>
      </c>
      <c r="AH774" s="8">
        <f t="shared" ca="1" si="266"/>
        <v>3.2376298106291848</v>
      </c>
      <c r="AI774" s="12">
        <f t="shared" si="267"/>
        <v>73096093.390000001</v>
      </c>
      <c r="AJ774" s="13">
        <f t="shared" ca="1" si="268"/>
        <v>75462674.299999997</v>
      </c>
    </row>
    <row r="775" spans="1:36" x14ac:dyDescent="0.25">
      <c r="A775" s="63"/>
      <c r="B775" s="8">
        <v>506655</v>
      </c>
      <c r="C775" s="8" t="s">
        <v>3224</v>
      </c>
      <c r="D775" s="12">
        <v>67830651</v>
      </c>
      <c r="E775" s="8">
        <v>594.6</v>
      </c>
      <c r="F775" s="8">
        <f ca="1">IFERROR(__xludf.DUMMYFUNCTION("GOOGLEFINANCE(""BOM:"" &amp; B775,""price"")"),610)</f>
        <v>610</v>
      </c>
      <c r="G775" s="8">
        <f t="shared" ca="1" si="255"/>
        <v>2.5899764547594981</v>
      </c>
      <c r="H775" s="12">
        <f t="shared" si="228"/>
        <v>40332105084.599998</v>
      </c>
      <c r="I775" s="13">
        <f t="shared" ca="1" si="229"/>
        <v>41376697110</v>
      </c>
      <c r="J775" s="63"/>
      <c r="K775" s="8">
        <v>542753</v>
      </c>
      <c r="L775" s="8" t="s">
        <v>3225</v>
      </c>
      <c r="M775" s="12">
        <v>336516870</v>
      </c>
      <c r="N775" s="10">
        <v>4.97</v>
      </c>
      <c r="O775" s="10">
        <f ca="1">IFERROR(__xludf.DUMMYFUNCTION("GOOGLEFINANCE(""BOM:"" &amp; K775,""price"")"),3.83)</f>
        <v>3.83</v>
      </c>
      <c r="P775" s="8">
        <f t="shared" ca="1" si="256"/>
        <v>-22.937625754527158</v>
      </c>
      <c r="Q775" s="12">
        <f t="shared" si="245"/>
        <v>1672488843.8999999</v>
      </c>
      <c r="R775" s="13">
        <f t="shared" ca="1" si="246"/>
        <v>1288859612.1000001</v>
      </c>
      <c r="S775" s="63"/>
      <c r="T775" s="8">
        <v>532701</v>
      </c>
      <c r="U775" s="8" t="s">
        <v>3226</v>
      </c>
      <c r="V775" s="12">
        <v>19140159</v>
      </c>
      <c r="W775" s="8">
        <v>9.39</v>
      </c>
      <c r="X775" s="11">
        <f ca="1">IFERROR(__xludf.DUMMYFUNCTION("GOOGLEFINANCE(""BOM:"" &amp; T775,""price"")"),8.4)</f>
        <v>8.4</v>
      </c>
      <c r="Y775" s="8">
        <f t="shared" ca="1" si="263"/>
        <v>-10.543130990415337</v>
      </c>
      <c r="Z775" s="12">
        <f t="shared" si="264"/>
        <v>179726093.01000002</v>
      </c>
      <c r="AA775" s="13">
        <f t="shared" ca="1" si="265"/>
        <v>160777335.59999999</v>
      </c>
      <c r="AB775" s="63"/>
      <c r="AC775" s="8">
        <v>540613</v>
      </c>
      <c r="AD775" s="8" t="s">
        <v>3227</v>
      </c>
      <c r="AE775" s="12">
        <v>3081000</v>
      </c>
      <c r="AF775" s="8">
        <v>66.5</v>
      </c>
      <c r="AG775" s="8">
        <f ca="1">IFERROR(__xludf.DUMMYFUNCTION("GOOGLEFINANCE(""BOM:"" &amp; AC775,""price"")"),66.9)</f>
        <v>66.900000000000006</v>
      </c>
      <c r="AH775" s="8">
        <f t="shared" ca="1" si="266"/>
        <v>0.60150375939850476</v>
      </c>
      <c r="AI775" s="12">
        <f t="shared" si="267"/>
        <v>204886500</v>
      </c>
      <c r="AJ775" s="13">
        <f t="shared" ca="1" si="268"/>
        <v>206118900.00000003</v>
      </c>
    </row>
    <row r="776" spans="1:36" x14ac:dyDescent="0.25">
      <c r="A776" s="64"/>
      <c r="B776" s="14">
        <v>506685</v>
      </c>
      <c r="C776" s="14" t="s">
        <v>3228</v>
      </c>
      <c r="D776" s="15">
        <v>28811054</v>
      </c>
      <c r="E776" s="8">
        <v>400.3</v>
      </c>
      <c r="F776" s="14">
        <f ca="1">IFERROR(__xludf.DUMMYFUNCTION("GOOGLEFINANCE(""BOM:"" &amp; B776,""price"")"),331.4)</f>
        <v>331.4</v>
      </c>
      <c r="G776" s="14">
        <f t="shared" ca="1" si="255"/>
        <v>-17.212090931801157</v>
      </c>
      <c r="H776" s="15">
        <f t="shared" si="228"/>
        <v>11533064916.200001</v>
      </c>
      <c r="I776" s="16">
        <f t="shared" ca="1" si="229"/>
        <v>9547983295.5999985</v>
      </c>
      <c r="J776" s="63"/>
      <c r="K776" s="8">
        <v>520086</v>
      </c>
      <c r="L776" s="8" t="s">
        <v>3229</v>
      </c>
      <c r="M776" s="12">
        <v>57251194</v>
      </c>
      <c r="N776" s="8" t="s">
        <v>44</v>
      </c>
      <c r="O776" s="8" t="s">
        <v>44</v>
      </c>
      <c r="P776" s="8"/>
      <c r="Q776" s="12"/>
      <c r="R776" s="13"/>
      <c r="S776" s="63"/>
      <c r="T776" s="8">
        <v>500040</v>
      </c>
      <c r="U776" s="8" t="s">
        <v>3230</v>
      </c>
      <c r="V776" s="12">
        <v>110379670</v>
      </c>
      <c r="W776" s="8">
        <v>1462.5</v>
      </c>
      <c r="X776" s="11">
        <f ca="1">IFERROR(__xludf.DUMMYFUNCTION("GOOGLEFINANCE(""BOM:"" &amp; T776,""price"")"),1632.5)</f>
        <v>1632.5</v>
      </c>
      <c r="Y776" s="8">
        <f t="shared" ca="1" si="263"/>
        <v>11.623931623931623</v>
      </c>
      <c r="Z776" s="12">
        <f t="shared" si="264"/>
        <v>161430267375</v>
      </c>
      <c r="AA776" s="13">
        <f t="shared" ca="1" si="265"/>
        <v>180194811275</v>
      </c>
      <c r="AB776" s="63"/>
      <c r="AC776" s="8">
        <v>531592</v>
      </c>
      <c r="AD776" s="8" t="s">
        <v>3231</v>
      </c>
      <c r="AE776" s="12">
        <v>276210290</v>
      </c>
      <c r="AF776" s="8">
        <v>4.12</v>
      </c>
      <c r="AG776" s="8">
        <f ca="1">IFERROR(__xludf.DUMMYFUNCTION("GOOGLEFINANCE(""BOM:"" &amp; AC776,""price"")"),2.23)</f>
        <v>2.23</v>
      </c>
      <c r="AH776" s="8">
        <f t="shared" ca="1" si="266"/>
        <v>-45.873786407766993</v>
      </c>
      <c r="AI776" s="12">
        <f t="shared" si="267"/>
        <v>1137986394.8</v>
      </c>
      <c r="AJ776" s="13">
        <f t="shared" ca="1" si="268"/>
        <v>615948946.70000005</v>
      </c>
    </row>
    <row r="777" spans="1:36" x14ac:dyDescent="0.25">
      <c r="A777" s="62" t="s">
        <v>3232</v>
      </c>
      <c r="B777" s="6">
        <v>519216</v>
      </c>
      <c r="C777" s="6" t="s">
        <v>3233</v>
      </c>
      <c r="D777" s="7">
        <v>73883700</v>
      </c>
      <c r="E777" s="6">
        <v>32.03</v>
      </c>
      <c r="F777" s="8">
        <f ca="1">IFERROR(__xludf.DUMMYFUNCTION("GOOGLEFINANCE(""BOM:"" &amp; B777,""price"")"),27.74)</f>
        <v>27.74</v>
      </c>
      <c r="G777" s="8">
        <f t="shared" ca="1" si="255"/>
        <v>-13.393693412425858</v>
      </c>
      <c r="H777" s="7">
        <f t="shared" si="228"/>
        <v>2366494911</v>
      </c>
      <c r="I777" s="9">
        <f t="shared" ca="1" si="229"/>
        <v>2049533838</v>
      </c>
      <c r="J777" s="63"/>
      <c r="K777" s="8">
        <v>538635</v>
      </c>
      <c r="L777" s="8" t="s">
        <v>3234</v>
      </c>
      <c r="M777" s="12">
        <v>167087839</v>
      </c>
      <c r="N777" s="10">
        <v>75.849999999999994</v>
      </c>
      <c r="O777" s="10">
        <f ca="1">IFERROR(__xludf.DUMMYFUNCTION("GOOGLEFINANCE(""BOM:"" &amp; K777,""price"")"),72.5)</f>
        <v>72.5</v>
      </c>
      <c r="P777" s="8">
        <f t="shared" ref="P777:P813" ca="1" si="269">((O777-N777)/N777)*100</f>
        <v>-4.4166117336848973</v>
      </c>
      <c r="Q777" s="12">
        <f t="shared" ref="Q777:Q813" si="270">M777*N777</f>
        <v>12673612588.15</v>
      </c>
      <c r="R777" s="13">
        <f t="shared" ref="R777:R813" ca="1" si="271">M777*O777</f>
        <v>12113868327.5</v>
      </c>
      <c r="S777" s="63"/>
      <c r="T777" s="8">
        <v>531946</v>
      </c>
      <c r="U777" s="8" t="s">
        <v>3235</v>
      </c>
      <c r="V777" s="12">
        <v>8128180</v>
      </c>
      <c r="W777" s="8">
        <v>8.75</v>
      </c>
      <c r="X777" s="11">
        <f ca="1">IFERROR(__xludf.DUMMYFUNCTION("GOOGLEFINANCE(""BOM:"" &amp; T777,""price"")"),8.75)</f>
        <v>8.75</v>
      </c>
      <c r="Y777" s="8">
        <f t="shared" ca="1" si="263"/>
        <v>0</v>
      </c>
      <c r="Z777" s="12">
        <f t="shared" si="264"/>
        <v>71121575</v>
      </c>
      <c r="AA777" s="13">
        <f t="shared" ca="1" si="265"/>
        <v>71121575</v>
      </c>
      <c r="AB777" s="63"/>
      <c r="AC777" s="8">
        <v>531744</v>
      </c>
      <c r="AD777" s="8" t="s">
        <v>3236</v>
      </c>
      <c r="AE777" s="12">
        <v>5572393</v>
      </c>
      <c r="AF777" s="8">
        <v>81.89</v>
      </c>
      <c r="AG777" s="8">
        <f ca="1">IFERROR(__xludf.DUMMYFUNCTION("GOOGLEFINANCE(""BOM:"" &amp; AC777,""price"")"),72.35)</f>
        <v>72.349999999999994</v>
      </c>
      <c r="AH777" s="8">
        <f t="shared" ca="1" si="266"/>
        <v>-11.64977408719014</v>
      </c>
      <c r="AI777" s="12">
        <f t="shared" si="267"/>
        <v>456323262.76999998</v>
      </c>
      <c r="AJ777" s="13">
        <f t="shared" ca="1" si="268"/>
        <v>403162633.54999995</v>
      </c>
    </row>
    <row r="778" spans="1:36" x14ac:dyDescent="0.25">
      <c r="A778" s="63"/>
      <c r="B778" s="8">
        <v>519471</v>
      </c>
      <c r="C778" s="8" t="s">
        <v>3237</v>
      </c>
      <c r="D778" s="12">
        <v>4422540</v>
      </c>
      <c r="E778" s="8">
        <v>151.5</v>
      </c>
      <c r="F778" s="8">
        <f ca="1">IFERROR(__xludf.DUMMYFUNCTION("GOOGLEFINANCE(""BOM:"" &amp; B778,""price"")"),147.4)</f>
        <v>147.4</v>
      </c>
      <c r="G778" s="8">
        <f t="shared" ca="1" si="255"/>
        <v>-2.7062706270627026</v>
      </c>
      <c r="H778" s="12">
        <f t="shared" si="228"/>
        <v>670014810</v>
      </c>
      <c r="I778" s="13">
        <f t="shared" ca="1" si="229"/>
        <v>651882396</v>
      </c>
      <c r="J778" s="63"/>
      <c r="K778" s="8">
        <v>540738</v>
      </c>
      <c r="L778" s="8" t="s">
        <v>3238</v>
      </c>
      <c r="M778" s="12">
        <v>69883500</v>
      </c>
      <c r="N778" s="10">
        <v>35.78</v>
      </c>
      <c r="O778" s="10">
        <f ca="1">IFERROR(__xludf.DUMMYFUNCTION("GOOGLEFINANCE(""BOM:"" &amp; K778,""price"")"),26.02)</f>
        <v>26.02</v>
      </c>
      <c r="P778" s="8">
        <f t="shared" ca="1" si="269"/>
        <v>-27.277808831749585</v>
      </c>
      <c r="Q778" s="12">
        <f t="shared" si="270"/>
        <v>2500431630</v>
      </c>
      <c r="R778" s="13">
        <f t="shared" ca="1" si="271"/>
        <v>1818368670</v>
      </c>
      <c r="S778" s="63"/>
      <c r="T778" s="8">
        <v>530755</v>
      </c>
      <c r="U778" s="8" t="s">
        <v>3239</v>
      </c>
      <c r="V778" s="12">
        <v>2483700</v>
      </c>
      <c r="W778" s="8">
        <v>9.4499999999999993</v>
      </c>
      <c r="X778" s="11">
        <f ca="1">IFERROR(__xludf.DUMMYFUNCTION("GOOGLEFINANCE(""BOM:"" &amp; T778,""price"")"),9)</f>
        <v>9</v>
      </c>
      <c r="Y778" s="8">
        <f t="shared" ca="1" si="263"/>
        <v>-4.7619047619047548</v>
      </c>
      <c r="Z778" s="12">
        <f t="shared" si="264"/>
        <v>23470965</v>
      </c>
      <c r="AA778" s="13">
        <f t="shared" ca="1" si="265"/>
        <v>22353300</v>
      </c>
      <c r="AB778" s="63"/>
      <c r="AC778" s="8">
        <v>540266</v>
      </c>
      <c r="AD778" s="8" t="s">
        <v>3240</v>
      </c>
      <c r="AE778" s="12">
        <v>5640440</v>
      </c>
      <c r="AF778" s="8">
        <v>22.3</v>
      </c>
      <c r="AG778" s="8">
        <f ca="1">IFERROR(__xludf.DUMMYFUNCTION("GOOGLEFINANCE(""BOM:"" &amp; AC778,""price"")"),27.49)</f>
        <v>27.49</v>
      </c>
      <c r="AH778" s="8">
        <f t="shared" ca="1" si="266"/>
        <v>23.27354260089685</v>
      </c>
      <c r="AI778" s="12">
        <f t="shared" si="267"/>
        <v>125781812</v>
      </c>
      <c r="AJ778" s="13">
        <f t="shared" ca="1" si="268"/>
        <v>155055695.59999999</v>
      </c>
    </row>
    <row r="779" spans="1:36" x14ac:dyDescent="0.25">
      <c r="A779" s="63"/>
      <c r="B779" s="8">
        <v>519174</v>
      </c>
      <c r="C779" s="8" t="s">
        <v>3241</v>
      </c>
      <c r="D779" s="12">
        <v>1879180</v>
      </c>
      <c r="E779" s="8">
        <v>11.23</v>
      </c>
      <c r="F779" s="8">
        <f ca="1">IFERROR(__xludf.DUMMYFUNCTION("GOOGLEFINANCE(""BOM:"" &amp; B779,""price"")"),10.05)</f>
        <v>10.050000000000001</v>
      </c>
      <c r="G779" s="8">
        <f t="shared" ca="1" si="255"/>
        <v>-10.507569011576132</v>
      </c>
      <c r="H779" s="12">
        <f t="shared" si="228"/>
        <v>21103191.400000002</v>
      </c>
      <c r="I779" s="13">
        <f t="shared" ca="1" si="229"/>
        <v>18885759</v>
      </c>
      <c r="J779" s="63"/>
      <c r="K779" s="8">
        <v>511185</v>
      </c>
      <c r="L779" s="8" t="s">
        <v>3242</v>
      </c>
      <c r="M779" s="12">
        <v>556400</v>
      </c>
      <c r="N779" s="10">
        <v>8.4499999999999993</v>
      </c>
      <c r="O779" s="10">
        <f ca="1">IFERROR(__xludf.DUMMYFUNCTION("GOOGLEFINANCE(""BOM:"" &amp; K779,""price"")"),8.87)</f>
        <v>8.8699999999999992</v>
      </c>
      <c r="P779" s="8">
        <f t="shared" ca="1" si="269"/>
        <v>4.9704142011834316</v>
      </c>
      <c r="Q779" s="12">
        <f t="shared" si="270"/>
        <v>4701580</v>
      </c>
      <c r="R779" s="13">
        <f t="shared" ca="1" si="271"/>
        <v>4935268</v>
      </c>
      <c r="S779" s="63"/>
      <c r="T779" s="8">
        <v>533208</v>
      </c>
      <c r="U779" s="8" t="s">
        <v>3243</v>
      </c>
      <c r="V779" s="12">
        <v>60258272</v>
      </c>
      <c r="W779" s="8">
        <v>131</v>
      </c>
      <c r="X779" s="11">
        <f ca="1">IFERROR(__xludf.DUMMYFUNCTION("GOOGLEFINANCE(""BOM:"" &amp; T779,""price"")"),114.25)</f>
        <v>114.25</v>
      </c>
      <c r="Y779" s="8">
        <f t="shared" ca="1" si="263"/>
        <v>-12.786259541984732</v>
      </c>
      <c r="Z779" s="12">
        <f t="shared" si="264"/>
        <v>7893833632</v>
      </c>
      <c r="AA779" s="13">
        <f t="shared" ca="1" si="265"/>
        <v>6884507576</v>
      </c>
      <c r="AB779" s="63"/>
      <c r="AC779" s="8">
        <v>531881</v>
      </c>
      <c r="AD779" s="8" t="s">
        <v>3244</v>
      </c>
      <c r="AE779" s="12">
        <v>1977467</v>
      </c>
      <c r="AF779" s="8">
        <v>30</v>
      </c>
      <c r="AG779" s="8">
        <f ca="1">IFERROR(__xludf.DUMMYFUNCTION("GOOGLEFINANCE(""BOM:"" &amp; AC779,""price"")"),30)</f>
        <v>30</v>
      </c>
      <c r="AH779" s="8">
        <f t="shared" ca="1" si="266"/>
        <v>0</v>
      </c>
      <c r="AI779" s="12">
        <f t="shared" si="267"/>
        <v>59324010</v>
      </c>
      <c r="AJ779" s="13">
        <f t="shared" ca="1" si="268"/>
        <v>59324010</v>
      </c>
    </row>
    <row r="780" spans="1:36" x14ac:dyDescent="0.25">
      <c r="A780" s="63"/>
      <c r="B780" s="8">
        <v>500215</v>
      </c>
      <c r="C780" s="8" t="s">
        <v>3245</v>
      </c>
      <c r="D780" s="12">
        <v>24193396</v>
      </c>
      <c r="E780" s="8">
        <v>824</v>
      </c>
      <c r="F780" s="8">
        <f ca="1">IFERROR(__xludf.DUMMYFUNCTION("GOOGLEFINANCE(""BOM:"" &amp; B780,""price"")"),675)</f>
        <v>675</v>
      </c>
      <c r="G780" s="8">
        <f t="shared" ca="1" si="255"/>
        <v>-18.082524271844662</v>
      </c>
      <c r="H780" s="12">
        <f t="shared" si="228"/>
        <v>19935358304</v>
      </c>
      <c r="I780" s="13">
        <f t="shared" ca="1" si="229"/>
        <v>16330542300</v>
      </c>
      <c r="J780" s="63"/>
      <c r="K780" s="8">
        <v>532349</v>
      </c>
      <c r="L780" s="8" t="s">
        <v>3246</v>
      </c>
      <c r="M780" s="12">
        <v>76140355</v>
      </c>
      <c r="N780" s="10">
        <v>833</v>
      </c>
      <c r="O780" s="10">
        <f ca="1">IFERROR(__xludf.DUMMYFUNCTION("GOOGLEFINANCE(""BOM:"" &amp; K780,""price"")"),803.7)</f>
        <v>803.7</v>
      </c>
      <c r="P780" s="8">
        <f t="shared" ca="1" si="269"/>
        <v>-3.5174069627851088</v>
      </c>
      <c r="Q780" s="12">
        <f t="shared" si="270"/>
        <v>63424915715</v>
      </c>
      <c r="R780" s="13">
        <f t="shared" ca="1" si="271"/>
        <v>61194003313.5</v>
      </c>
      <c r="S780" s="63"/>
      <c r="T780" s="8">
        <v>531813</v>
      </c>
      <c r="U780" s="8" t="s">
        <v>3247</v>
      </c>
      <c r="V780" s="12">
        <v>10728496</v>
      </c>
      <c r="W780" s="8">
        <v>124</v>
      </c>
      <c r="X780" s="11">
        <f ca="1">IFERROR(__xludf.DUMMYFUNCTION("GOOGLEFINANCE(""BOM:"" &amp; T780,""price"")"),99)</f>
        <v>99</v>
      </c>
      <c r="Y780" s="8">
        <f t="shared" ca="1" si="263"/>
        <v>-20.161290322580644</v>
      </c>
      <c r="Z780" s="12">
        <f t="shared" si="264"/>
        <v>1330333504</v>
      </c>
      <c r="AA780" s="13">
        <f t="shared" ca="1" si="265"/>
        <v>1062121104</v>
      </c>
      <c r="AB780" s="63"/>
      <c r="AC780" s="8">
        <v>541152</v>
      </c>
      <c r="AD780" s="8" t="s">
        <v>3248</v>
      </c>
      <c r="AE780" s="12">
        <v>142732780</v>
      </c>
      <c r="AF780" s="8">
        <v>10.26</v>
      </c>
      <c r="AG780" s="8">
        <f ca="1">IFERROR(__xludf.DUMMYFUNCTION("GOOGLEFINANCE(""BOM:"" &amp; AC780,""price"")"),8.52)</f>
        <v>8.52</v>
      </c>
      <c r="AH780" s="8">
        <f t="shared" ca="1" si="266"/>
        <v>-16.959064327485383</v>
      </c>
      <c r="AI780" s="12">
        <f t="shared" si="267"/>
        <v>1464438322.8</v>
      </c>
      <c r="AJ780" s="13">
        <f t="shared" ca="1" si="268"/>
        <v>1216083285.5999999</v>
      </c>
    </row>
    <row r="781" spans="1:36" x14ac:dyDescent="0.25">
      <c r="A781" s="63"/>
      <c r="B781" s="8">
        <v>543458</v>
      </c>
      <c r="C781" s="8" t="s">
        <v>3249</v>
      </c>
      <c r="D781" s="12">
        <v>1299668241</v>
      </c>
      <c r="E781" s="8">
        <v>381.35</v>
      </c>
      <c r="F781" s="8">
        <f ca="1">IFERROR(__xludf.DUMMYFUNCTION("GOOGLEFINANCE(""BOM:"" &amp; B781,""price"")"),321.1)</f>
        <v>321.10000000000002</v>
      </c>
      <c r="G781" s="8">
        <f t="shared" ca="1" si="255"/>
        <v>-15.799134653205716</v>
      </c>
      <c r="H781" s="12">
        <f t="shared" si="228"/>
        <v>495628483705.35004</v>
      </c>
      <c r="I781" s="13">
        <f t="shared" ca="1" si="229"/>
        <v>417323472185.10004</v>
      </c>
      <c r="J781" s="63"/>
      <c r="K781" s="8">
        <v>540212</v>
      </c>
      <c r="L781" s="8" t="s">
        <v>3250</v>
      </c>
      <c r="M781" s="12">
        <v>37899073</v>
      </c>
      <c r="N781" s="10">
        <v>1139</v>
      </c>
      <c r="O781" s="10">
        <f ca="1">IFERROR(__xludf.DUMMYFUNCTION("GOOGLEFINANCE(""BOM:"" &amp; K781,""price"")"),1013)</f>
        <v>1013</v>
      </c>
      <c r="P781" s="8">
        <f t="shared" ca="1" si="269"/>
        <v>-11.062335381913959</v>
      </c>
      <c r="Q781" s="12">
        <f t="shared" si="270"/>
        <v>43167044147</v>
      </c>
      <c r="R781" s="13">
        <f t="shared" ca="1" si="271"/>
        <v>38391760949</v>
      </c>
      <c r="S781" s="63"/>
      <c r="T781" s="8">
        <v>538961</v>
      </c>
      <c r="U781" s="8" t="s">
        <v>3251</v>
      </c>
      <c r="V781" s="12">
        <v>254507502</v>
      </c>
      <c r="W781" s="8">
        <v>21.8</v>
      </c>
      <c r="X781" s="11">
        <f ca="1">IFERROR(__xludf.DUMMYFUNCTION("GOOGLEFINANCE(""BOM:"" &amp; T781,""price"")"),18.41)</f>
        <v>18.41</v>
      </c>
      <c r="Y781" s="8">
        <f t="shared" ca="1" si="263"/>
        <v>-15.550458715596333</v>
      </c>
      <c r="Z781" s="12">
        <f t="shared" si="264"/>
        <v>5548263543.6000004</v>
      </c>
      <c r="AA781" s="13">
        <f t="shared" ca="1" si="265"/>
        <v>4685483111.8199997</v>
      </c>
      <c r="AB781" s="63"/>
      <c r="AC781" s="8">
        <v>539222</v>
      </c>
      <c r="AD781" s="8" t="s">
        <v>3252</v>
      </c>
      <c r="AE781" s="12">
        <v>160553940</v>
      </c>
      <c r="AF781" s="8">
        <v>16.84</v>
      </c>
      <c r="AG781" s="8">
        <f ca="1">IFERROR(__xludf.DUMMYFUNCTION("GOOGLEFINANCE(""BOM:"" &amp; AC781,""price"")"),6.27)</f>
        <v>6.27</v>
      </c>
      <c r="AH781" s="8">
        <f t="shared" ca="1" si="266"/>
        <v>-62.767220902612827</v>
      </c>
      <c r="AI781" s="12">
        <f t="shared" si="267"/>
        <v>2703728349.5999999</v>
      </c>
      <c r="AJ781" s="13">
        <f t="shared" ca="1" si="268"/>
        <v>1006673203.8</v>
      </c>
    </row>
    <row r="782" spans="1:36" x14ac:dyDescent="0.25">
      <c r="A782" s="63"/>
      <c r="B782" s="8">
        <v>524332</v>
      </c>
      <c r="C782" s="8" t="s">
        <v>3253</v>
      </c>
      <c r="D782" s="12">
        <v>251369800</v>
      </c>
      <c r="E782" s="8">
        <v>75.45</v>
      </c>
      <c r="F782" s="8">
        <f ca="1">IFERROR(__xludf.DUMMYFUNCTION("GOOGLEFINANCE(""BOM:"" &amp; B782,""price"")"),56.14)</f>
        <v>56.14</v>
      </c>
      <c r="G782" s="8">
        <f t="shared" ca="1" si="255"/>
        <v>-25.593108018555338</v>
      </c>
      <c r="H782" s="12">
        <f t="shared" si="228"/>
        <v>18965851410</v>
      </c>
      <c r="I782" s="13">
        <f t="shared" ca="1" si="229"/>
        <v>14111900572</v>
      </c>
      <c r="J782" s="63"/>
      <c r="K782" s="8">
        <v>536264</v>
      </c>
      <c r="L782" s="8" t="s">
        <v>3254</v>
      </c>
      <c r="M782" s="12">
        <v>105724650</v>
      </c>
      <c r="N782" s="10">
        <v>72.62</v>
      </c>
      <c r="O782" s="10">
        <f ca="1">IFERROR(__xludf.DUMMYFUNCTION("GOOGLEFINANCE(""BOM:"" &amp; K782,""price"")"),46)</f>
        <v>46</v>
      </c>
      <c r="P782" s="8">
        <f t="shared" ca="1" si="269"/>
        <v>-36.656568438446712</v>
      </c>
      <c r="Q782" s="12">
        <f t="shared" si="270"/>
        <v>7677724083.000001</v>
      </c>
      <c r="R782" s="13">
        <f t="shared" ca="1" si="271"/>
        <v>4863333900</v>
      </c>
      <c r="S782" s="63"/>
      <c r="T782" s="8">
        <v>526751</v>
      </c>
      <c r="U782" s="8" t="s">
        <v>3255</v>
      </c>
      <c r="V782" s="12">
        <v>2382500</v>
      </c>
      <c r="W782" s="8">
        <v>20.6</v>
      </c>
      <c r="X782" s="11">
        <f ca="1">IFERROR(__xludf.DUMMYFUNCTION("GOOGLEFINANCE(""BOM:"" &amp; T782,""price"")"),17.71)</f>
        <v>17.71</v>
      </c>
      <c r="Y782" s="8">
        <f t="shared" ca="1" si="263"/>
        <v>-14.029126213592235</v>
      </c>
      <c r="Z782" s="12">
        <f t="shared" si="264"/>
        <v>49079500</v>
      </c>
      <c r="AA782" s="13">
        <f t="shared" ca="1" si="265"/>
        <v>42194075</v>
      </c>
      <c r="AB782" s="63"/>
      <c r="AC782" s="8">
        <v>541276</v>
      </c>
      <c r="AD782" s="8" t="s">
        <v>3256</v>
      </c>
      <c r="AE782" s="12">
        <v>348884760</v>
      </c>
      <c r="AF782" s="8">
        <v>43.19</v>
      </c>
      <c r="AG782" s="8">
        <f ca="1">IFERROR(__xludf.DUMMYFUNCTION("GOOGLEFINANCE(""BOM:"" &amp; AC782,""price"")"),33.55)</f>
        <v>33.549999999999997</v>
      </c>
      <c r="AH782" s="8">
        <f t="shared" ca="1" si="266"/>
        <v>-22.319981477193799</v>
      </c>
      <c r="AI782" s="12">
        <f t="shared" si="267"/>
        <v>15068332784.4</v>
      </c>
      <c r="AJ782" s="13">
        <f t="shared" ca="1" si="268"/>
        <v>11705083697.999998</v>
      </c>
    </row>
    <row r="783" spans="1:36" x14ac:dyDescent="0.25">
      <c r="A783" s="63"/>
      <c r="B783" s="8">
        <v>519477</v>
      </c>
      <c r="C783" s="8" t="s">
        <v>3257</v>
      </c>
      <c r="D783" s="12">
        <v>25804595</v>
      </c>
      <c r="E783" s="8">
        <v>42.76</v>
      </c>
      <c r="F783" s="8">
        <f ca="1">IFERROR(__xludf.DUMMYFUNCTION("GOOGLEFINANCE(""BOM:"" &amp; B783,""price"")"),38)</f>
        <v>38</v>
      </c>
      <c r="G783" s="8">
        <f t="shared" ca="1" si="255"/>
        <v>-11.131898971000931</v>
      </c>
      <c r="H783" s="12">
        <f t="shared" si="228"/>
        <v>1103404482.2</v>
      </c>
      <c r="I783" s="13">
        <f t="shared" ca="1" si="229"/>
        <v>980574610</v>
      </c>
      <c r="J783" s="64"/>
      <c r="K783" s="14">
        <v>539118</v>
      </c>
      <c r="L783" s="14" t="s">
        <v>3258</v>
      </c>
      <c r="M783" s="15">
        <v>88343439</v>
      </c>
      <c r="N783" s="17">
        <v>554.70000000000005</v>
      </c>
      <c r="O783" s="17">
        <f ca="1">IFERROR(__xludf.DUMMYFUNCTION("GOOGLEFINANCE(""BOM:"" &amp; K783,""price"")"),543.35)</f>
        <v>543.35</v>
      </c>
      <c r="P783" s="14">
        <f t="shared" ca="1" si="269"/>
        <v>-2.0461510726518877</v>
      </c>
      <c r="Q783" s="15">
        <f t="shared" si="270"/>
        <v>49004105613.300003</v>
      </c>
      <c r="R783" s="16">
        <f t="shared" ca="1" si="271"/>
        <v>48001407580.650002</v>
      </c>
      <c r="S783" s="63"/>
      <c r="T783" s="8">
        <v>532162</v>
      </c>
      <c r="U783" s="8" t="s">
        <v>3259</v>
      </c>
      <c r="V783" s="12">
        <v>165066210</v>
      </c>
      <c r="W783" s="8">
        <v>371.2</v>
      </c>
      <c r="X783" s="11">
        <f ca="1">IFERROR(__xludf.DUMMYFUNCTION("GOOGLEFINANCE(""BOM:"" &amp; T783,""price"")"),322.5)</f>
        <v>322.5</v>
      </c>
      <c r="Y783" s="8">
        <f t="shared" ca="1" si="263"/>
        <v>-13.119612068965514</v>
      </c>
      <c r="Z783" s="12">
        <f t="shared" si="264"/>
        <v>61272577152</v>
      </c>
      <c r="AA783" s="13">
        <f t="shared" ca="1" si="265"/>
        <v>53233852725</v>
      </c>
      <c r="AB783" s="63"/>
      <c r="AC783" s="8">
        <v>538652</v>
      </c>
      <c r="AD783" s="8" t="s">
        <v>3260</v>
      </c>
      <c r="AE783" s="12">
        <v>2448500</v>
      </c>
      <c r="AF783" s="8">
        <v>3.81</v>
      </c>
      <c r="AG783" s="8">
        <f ca="1">IFERROR(__xludf.DUMMYFUNCTION("GOOGLEFINANCE(""BOM:"" &amp; AC783,""price"")"),3.81)</f>
        <v>3.81</v>
      </c>
      <c r="AH783" s="8">
        <f t="shared" ca="1" si="266"/>
        <v>0</v>
      </c>
      <c r="AI783" s="12">
        <f t="shared" si="267"/>
        <v>9328785</v>
      </c>
      <c r="AJ783" s="13">
        <f t="shared" ca="1" si="268"/>
        <v>9328785</v>
      </c>
    </row>
    <row r="784" spans="1:36" x14ac:dyDescent="0.25">
      <c r="A784" s="63"/>
      <c r="B784" s="8">
        <v>507543</v>
      </c>
      <c r="C784" s="8" t="s">
        <v>3261</v>
      </c>
      <c r="D784" s="12">
        <v>742820</v>
      </c>
      <c r="E784" s="8">
        <v>2.58</v>
      </c>
      <c r="F784" s="8">
        <f ca="1">IFERROR(__xludf.DUMMYFUNCTION("GOOGLEFINANCE(""BOM:"" &amp; B784,""price"")"),2.58)</f>
        <v>2.58</v>
      </c>
      <c r="G784" s="8">
        <f t="shared" ca="1" si="255"/>
        <v>0</v>
      </c>
      <c r="H784" s="12">
        <f t="shared" si="228"/>
        <v>1916475.6</v>
      </c>
      <c r="I784" s="13">
        <f t="shared" ca="1" si="229"/>
        <v>1916475.6</v>
      </c>
      <c r="J784" s="62" t="s">
        <v>3262</v>
      </c>
      <c r="K784" s="6">
        <v>542066</v>
      </c>
      <c r="L784" s="6" t="s">
        <v>3263</v>
      </c>
      <c r="M784" s="7">
        <v>1099598805</v>
      </c>
      <c r="N784" s="10">
        <v>1038.3499999999999</v>
      </c>
      <c r="O784" s="10">
        <f ca="1">IFERROR(__xludf.DUMMYFUNCTION("GOOGLEFINANCE(""BOM:"" &amp; K784,""price"")"),925.45)</f>
        <v>925.45</v>
      </c>
      <c r="P784" s="8">
        <f t="shared" ca="1" si="269"/>
        <v>-10.873019694707937</v>
      </c>
      <c r="Q784" s="7">
        <f t="shared" si="270"/>
        <v>1141768419171.75</v>
      </c>
      <c r="R784" s="9">
        <f t="shared" ca="1" si="271"/>
        <v>1017623714087.25</v>
      </c>
      <c r="S784" s="63"/>
      <c r="T784" s="8">
        <v>530255</v>
      </c>
      <c r="U784" s="8" t="s">
        <v>3264</v>
      </c>
      <c r="V784" s="12">
        <v>9975555</v>
      </c>
      <c r="W784" s="8">
        <v>42.28</v>
      </c>
      <c r="X784" s="11">
        <f ca="1">IFERROR(__xludf.DUMMYFUNCTION("GOOGLEFINANCE(""BOM:"" &amp; T784,""price"")"),45.45)</f>
        <v>45.45</v>
      </c>
      <c r="Y784" s="8">
        <f t="shared" ca="1" si="263"/>
        <v>7.4976348155156138</v>
      </c>
      <c r="Z784" s="12">
        <f t="shared" si="264"/>
        <v>421766465.40000004</v>
      </c>
      <c r="AA784" s="13">
        <f t="shared" ca="1" si="265"/>
        <v>453388974.75</v>
      </c>
      <c r="AB784" s="63"/>
      <c r="AC784" s="8">
        <v>531178</v>
      </c>
      <c r="AD784" s="8" t="s">
        <v>3265</v>
      </c>
      <c r="AE784" s="12">
        <v>13000200</v>
      </c>
      <c r="AF784" s="8">
        <v>39.630000000000003</v>
      </c>
      <c r="AG784" s="8">
        <f ca="1">IFERROR(__xludf.DUMMYFUNCTION("GOOGLEFINANCE(""BOM:"" &amp; AC784,""price"")"),31.99)</f>
        <v>31.99</v>
      </c>
      <c r="AH784" s="8">
        <f t="shared" ca="1" si="266"/>
        <v>-19.278324501640181</v>
      </c>
      <c r="AI784" s="12">
        <f t="shared" si="267"/>
        <v>515197926.00000006</v>
      </c>
      <c r="AJ784" s="13">
        <f t="shared" ca="1" si="268"/>
        <v>415876398</v>
      </c>
    </row>
    <row r="785" spans="1:36" x14ac:dyDescent="0.25">
      <c r="A785" s="63"/>
      <c r="B785" s="8">
        <v>531153</v>
      </c>
      <c r="C785" s="8" t="s">
        <v>3266</v>
      </c>
      <c r="D785" s="12">
        <v>21513160</v>
      </c>
      <c r="E785" s="8">
        <v>5.71</v>
      </c>
      <c r="F785" s="8">
        <f ca="1">IFERROR(__xludf.DUMMYFUNCTION("GOOGLEFINANCE(""BOM:"" &amp; B785,""price"")"),5.03)</f>
        <v>5.03</v>
      </c>
      <c r="G785" s="8">
        <f t="shared" ca="1" si="255"/>
        <v>-11.908931698774076</v>
      </c>
      <c r="H785" s="12">
        <f t="shared" si="228"/>
        <v>122840143.59999999</v>
      </c>
      <c r="I785" s="13">
        <f t="shared" ca="1" si="229"/>
        <v>108211194.80000001</v>
      </c>
      <c r="J785" s="63"/>
      <c r="K785" s="8">
        <v>526829</v>
      </c>
      <c r="L785" s="8" t="s">
        <v>3267</v>
      </c>
      <c r="M785" s="12">
        <v>275338025</v>
      </c>
      <c r="N785" s="10">
        <v>107.7</v>
      </c>
      <c r="O785" s="10">
        <f ca="1">IFERROR(__xludf.DUMMYFUNCTION("GOOGLEFINANCE(""BOM:"" &amp; K785,""price"")"),84)</f>
        <v>84</v>
      </c>
      <c r="P785" s="8">
        <f t="shared" ca="1" si="269"/>
        <v>-22.00557103064067</v>
      </c>
      <c r="Q785" s="12">
        <f t="shared" si="270"/>
        <v>29653905292.5</v>
      </c>
      <c r="R785" s="13">
        <f t="shared" ca="1" si="271"/>
        <v>23128394100</v>
      </c>
      <c r="S785" s="63"/>
      <c r="T785" s="8">
        <v>532397</v>
      </c>
      <c r="U785" s="8" t="s">
        <v>3268</v>
      </c>
      <c r="V785" s="12">
        <v>5218372</v>
      </c>
      <c r="W785" s="8">
        <v>8.57</v>
      </c>
      <c r="X785" s="11">
        <f ca="1">IFERROR(__xludf.DUMMYFUNCTION("GOOGLEFINANCE(""BOM:"" &amp; T785,""price"")"),8.95)</f>
        <v>8.9499999999999993</v>
      </c>
      <c r="Y785" s="8">
        <f t="shared" ca="1" si="263"/>
        <v>4.434072345390887</v>
      </c>
      <c r="Z785" s="12">
        <f t="shared" si="264"/>
        <v>44721448.039999999</v>
      </c>
      <c r="AA785" s="13">
        <f t="shared" ca="1" si="265"/>
        <v>46704429.399999999</v>
      </c>
      <c r="AB785" s="63"/>
      <c r="AC785" s="8">
        <v>524590</v>
      </c>
      <c r="AD785" s="8" t="s">
        <v>3269</v>
      </c>
      <c r="AE785" s="12">
        <v>3285840</v>
      </c>
      <c r="AF785" s="8">
        <v>8.1999999999999993</v>
      </c>
      <c r="AG785" s="8">
        <f ca="1">IFERROR(__xludf.DUMMYFUNCTION("GOOGLEFINANCE(""BOM:"" &amp; AC785,""price"")"),10.2)</f>
        <v>10.199999999999999</v>
      </c>
      <c r="AH785" s="8">
        <f t="shared" ca="1" si="266"/>
        <v>24.390243902439028</v>
      </c>
      <c r="AI785" s="12">
        <f t="shared" si="267"/>
        <v>26943887.999999996</v>
      </c>
      <c r="AJ785" s="13">
        <f t="shared" ca="1" si="268"/>
        <v>33515567.999999996</v>
      </c>
    </row>
    <row r="786" spans="1:36" x14ac:dyDescent="0.25">
      <c r="A786" s="63"/>
      <c r="B786" s="8">
        <v>524444</v>
      </c>
      <c r="C786" s="8" t="s">
        <v>3270</v>
      </c>
      <c r="D786" s="12">
        <v>292577745</v>
      </c>
      <c r="E786" s="8">
        <v>2.36</v>
      </c>
      <c r="F786" s="8">
        <f ca="1">IFERROR(__xludf.DUMMYFUNCTION("GOOGLEFINANCE(""BOM:"" &amp; B786,""price"")"),2.45)</f>
        <v>2.4500000000000002</v>
      </c>
      <c r="G786" s="8">
        <f t="shared" ca="1" si="255"/>
        <v>3.8135593220339112</v>
      </c>
      <c r="H786" s="12">
        <f t="shared" si="228"/>
        <v>690483478.19999993</v>
      </c>
      <c r="I786" s="13">
        <f t="shared" ca="1" si="229"/>
        <v>716815475.25</v>
      </c>
      <c r="J786" s="63"/>
      <c r="K786" s="8">
        <v>531322</v>
      </c>
      <c r="L786" s="8" t="s">
        <v>3271</v>
      </c>
      <c r="M786" s="12">
        <v>100483230</v>
      </c>
      <c r="N786" s="10">
        <v>2.5</v>
      </c>
      <c r="O786" s="10">
        <f ca="1">IFERROR(__xludf.DUMMYFUNCTION("GOOGLEFINANCE(""BOM:"" &amp; K786,""price"")"),2.15)</f>
        <v>2.15</v>
      </c>
      <c r="P786" s="8">
        <f t="shared" ca="1" si="269"/>
        <v>-14.000000000000004</v>
      </c>
      <c r="Q786" s="12">
        <f t="shared" si="270"/>
        <v>251208075</v>
      </c>
      <c r="R786" s="13">
        <f t="shared" ca="1" si="271"/>
        <v>216038944.5</v>
      </c>
      <c r="S786" s="63"/>
      <c r="T786" s="8">
        <v>532937</v>
      </c>
      <c r="U786" s="8" t="s">
        <v>3272</v>
      </c>
      <c r="V786" s="12">
        <v>86294620</v>
      </c>
      <c r="W786" s="8">
        <v>189.95</v>
      </c>
      <c r="X786" s="11">
        <f ca="1">IFERROR(__xludf.DUMMYFUNCTION("GOOGLEFINANCE(""BOM:"" &amp; T786,""price"")"),156.8)</f>
        <v>156.80000000000001</v>
      </c>
      <c r="Y786" s="8">
        <f t="shared" ca="1" si="263"/>
        <v>-17.451961042379562</v>
      </c>
      <c r="Z786" s="12">
        <f t="shared" si="264"/>
        <v>16391663068.999998</v>
      </c>
      <c r="AA786" s="13">
        <f t="shared" ca="1" si="265"/>
        <v>13530996416.000002</v>
      </c>
      <c r="AB786" s="63"/>
      <c r="AC786" s="8">
        <v>534328</v>
      </c>
      <c r="AD786" s="8" t="s">
        <v>3273</v>
      </c>
      <c r="AE786" s="12">
        <v>54468146</v>
      </c>
      <c r="AF786" s="8">
        <v>153.35</v>
      </c>
      <c r="AG786" s="8">
        <f ca="1">IFERROR(__xludf.DUMMYFUNCTION("GOOGLEFINANCE(""BOM:"" &amp; AC786,""price"")"),149)</f>
        <v>149</v>
      </c>
      <c r="AH786" s="8">
        <f t="shared" ca="1" si="266"/>
        <v>-2.8366481904140817</v>
      </c>
      <c r="AI786" s="12">
        <f t="shared" si="267"/>
        <v>8352690189.0999994</v>
      </c>
      <c r="AJ786" s="13">
        <f t="shared" ca="1" si="268"/>
        <v>8115753754</v>
      </c>
    </row>
    <row r="787" spans="1:36" x14ac:dyDescent="0.25">
      <c r="A787" s="63"/>
      <c r="B787" s="8">
        <v>532980</v>
      </c>
      <c r="C787" s="8" t="s">
        <v>3274</v>
      </c>
      <c r="D787" s="12">
        <v>98989585</v>
      </c>
      <c r="E787" s="8">
        <v>45.2</v>
      </c>
      <c r="F787" s="8">
        <f ca="1">IFERROR(__xludf.DUMMYFUNCTION("GOOGLEFINANCE(""BOM:"" &amp; B787,""price"")"),34.1)</f>
        <v>34.1</v>
      </c>
      <c r="G787" s="8">
        <f t="shared" ca="1" si="255"/>
        <v>-24.557522123893808</v>
      </c>
      <c r="H787" s="12">
        <f t="shared" si="228"/>
        <v>4474329242</v>
      </c>
      <c r="I787" s="13">
        <f t="shared" ca="1" si="229"/>
        <v>3375544848.5</v>
      </c>
      <c r="J787" s="63"/>
      <c r="K787" s="8">
        <v>532514</v>
      </c>
      <c r="L787" s="8" t="s">
        <v>3275</v>
      </c>
      <c r="M787" s="12">
        <v>664968903</v>
      </c>
      <c r="N787" s="10">
        <v>433.65</v>
      </c>
      <c r="O787" s="10">
        <f ca="1">IFERROR(__xludf.DUMMYFUNCTION("GOOGLEFINANCE(""BOM:"" &amp; K787,""price"")"),430.8)</f>
        <v>430.8</v>
      </c>
      <c r="P787" s="8">
        <f t="shared" ca="1" si="269"/>
        <v>-0.65721203735730793</v>
      </c>
      <c r="Q787" s="12">
        <f t="shared" si="270"/>
        <v>288363764785.95001</v>
      </c>
      <c r="R787" s="13">
        <f t="shared" ca="1" si="271"/>
        <v>286468603412.40002</v>
      </c>
      <c r="S787" s="63"/>
      <c r="T787" s="8">
        <v>532896</v>
      </c>
      <c r="U787" s="8" t="s">
        <v>3276</v>
      </c>
      <c r="V787" s="12">
        <v>37601875</v>
      </c>
      <c r="W787" s="8">
        <v>61.15</v>
      </c>
      <c r="X787" s="11">
        <f ca="1">IFERROR(__xludf.DUMMYFUNCTION("GOOGLEFINANCE(""BOM:"" &amp; T787,""price"")"),44.09)</f>
        <v>44.09</v>
      </c>
      <c r="Y787" s="8">
        <f t="shared" ca="1" si="263"/>
        <v>-27.898609975470144</v>
      </c>
      <c r="Z787" s="12">
        <f t="shared" si="264"/>
        <v>2299354656.25</v>
      </c>
      <c r="AA787" s="13">
        <f t="shared" ca="1" si="265"/>
        <v>1657866668.7500002</v>
      </c>
      <c r="AB787" s="63"/>
      <c r="AC787" s="8">
        <v>531918</v>
      </c>
      <c r="AD787" s="8" t="s">
        <v>3277</v>
      </c>
      <c r="AE787" s="12">
        <v>6612000</v>
      </c>
      <c r="AF787" s="8">
        <v>37.83</v>
      </c>
      <c r="AG787" s="8">
        <f ca="1">IFERROR(__xludf.DUMMYFUNCTION("GOOGLEFINANCE(""BOM:"" &amp; AC787,""price"")"),53.91)</f>
        <v>53.91</v>
      </c>
      <c r="AH787" s="8">
        <v>0</v>
      </c>
      <c r="AI787" s="12">
        <f t="shared" si="267"/>
        <v>250131960</v>
      </c>
      <c r="AJ787" s="13">
        <f t="shared" ca="1" si="268"/>
        <v>356452920</v>
      </c>
    </row>
    <row r="788" spans="1:36" x14ac:dyDescent="0.25">
      <c r="A788" s="63"/>
      <c r="B788" s="8">
        <v>539725</v>
      </c>
      <c r="C788" s="8" t="s">
        <v>3278</v>
      </c>
      <c r="D788" s="12">
        <v>143072347</v>
      </c>
      <c r="E788" s="8">
        <v>112.9</v>
      </c>
      <c r="F788" s="8">
        <f ca="1">IFERROR(__xludf.DUMMYFUNCTION("GOOGLEFINANCE(""BOM:"" &amp; B788,""price"")"),109.45)</f>
        <v>109.45</v>
      </c>
      <c r="G788" s="8">
        <f t="shared" ca="1" si="255"/>
        <v>-3.0558015943312689</v>
      </c>
      <c r="H788" s="12">
        <f t="shared" si="228"/>
        <v>16152867976.300001</v>
      </c>
      <c r="I788" s="13">
        <f t="shared" ca="1" si="229"/>
        <v>15659268379.15</v>
      </c>
      <c r="J788" s="63"/>
      <c r="K788" s="8">
        <v>539957</v>
      </c>
      <c r="L788" s="8" t="s">
        <v>3279</v>
      </c>
      <c r="M788" s="12">
        <v>98777447</v>
      </c>
      <c r="N788" s="10">
        <v>1499.05</v>
      </c>
      <c r="O788" s="10">
        <f ca="1">IFERROR(__xludf.DUMMYFUNCTION("GOOGLEFINANCE(""BOM:"" &amp; K788,""price"")"),1367)</f>
        <v>1367</v>
      </c>
      <c r="P788" s="8">
        <f t="shared" ca="1" si="269"/>
        <v>-8.8089123111303813</v>
      </c>
      <c r="Q788" s="12">
        <f t="shared" si="270"/>
        <v>148072331925.35001</v>
      </c>
      <c r="R788" s="13">
        <f t="shared" ca="1" si="271"/>
        <v>135028770049</v>
      </c>
      <c r="S788" s="63"/>
      <c r="T788" s="8">
        <v>532728</v>
      </c>
      <c r="U788" s="8" t="s">
        <v>3280</v>
      </c>
      <c r="V788" s="12">
        <v>17055688</v>
      </c>
      <c r="W788" s="8">
        <v>48.83</v>
      </c>
      <c r="X788" s="11">
        <f ca="1">IFERROR(__xludf.DUMMYFUNCTION("GOOGLEFINANCE(""BOM:"" &amp; T788,""price"")"),36.47)</f>
        <v>36.47</v>
      </c>
      <c r="Y788" s="8">
        <f t="shared" ca="1" si="263"/>
        <v>-25.312308007372518</v>
      </c>
      <c r="Z788" s="12">
        <f t="shared" si="264"/>
        <v>832829245.03999996</v>
      </c>
      <c r="AA788" s="13">
        <f t="shared" ca="1" si="265"/>
        <v>622020941.36000001</v>
      </c>
      <c r="AB788" s="63"/>
      <c r="AC788" s="8">
        <v>531743</v>
      </c>
      <c r="AD788" s="8" t="s">
        <v>3281</v>
      </c>
      <c r="AE788" s="12">
        <v>1149800</v>
      </c>
      <c r="AF788" s="8">
        <v>26.1</v>
      </c>
      <c r="AG788" s="8">
        <f ca="1">IFERROR(__xludf.DUMMYFUNCTION("GOOGLEFINANCE(""BOM:"" &amp; AC788,""price"")"),40.44)</f>
        <v>40.44</v>
      </c>
      <c r="AH788" s="8">
        <f t="shared" ref="AH788:AH791" ca="1" si="272">((AG788-AF788)/AF788)*100</f>
        <v>54.942528735632166</v>
      </c>
      <c r="AI788" s="12">
        <f t="shared" si="267"/>
        <v>30009780</v>
      </c>
      <c r="AJ788" s="13">
        <f t="shared" ca="1" si="268"/>
        <v>46497912</v>
      </c>
    </row>
    <row r="789" spans="1:36" x14ac:dyDescent="0.25">
      <c r="A789" s="63"/>
      <c r="B789" s="8">
        <v>519606</v>
      </c>
      <c r="C789" s="8" t="s">
        <v>3282</v>
      </c>
      <c r="D789" s="12">
        <v>1817750</v>
      </c>
      <c r="E789" s="8">
        <v>16.5</v>
      </c>
      <c r="F789" s="8">
        <f ca="1">IFERROR(__xludf.DUMMYFUNCTION("GOOGLEFINANCE(""BOM:"" &amp; B789,""price"")"),16.21)</f>
        <v>16.21</v>
      </c>
      <c r="G789" s="8">
        <f t="shared" ca="1" si="255"/>
        <v>-1.7575757575757522</v>
      </c>
      <c r="H789" s="12">
        <f t="shared" si="228"/>
        <v>29992875</v>
      </c>
      <c r="I789" s="13">
        <f t="shared" ca="1" si="229"/>
        <v>29465727.5</v>
      </c>
      <c r="J789" s="64"/>
      <c r="K789" s="14">
        <v>532522</v>
      </c>
      <c r="L789" s="14" t="s">
        <v>3283</v>
      </c>
      <c r="M789" s="15">
        <v>1499761380</v>
      </c>
      <c r="N789" s="17">
        <v>282.60000000000002</v>
      </c>
      <c r="O789" s="17">
        <f ca="1">IFERROR(__xludf.DUMMYFUNCTION("GOOGLEFINANCE(""BOM:"" &amp; K789,""price"")"),262.1)</f>
        <v>262.10000000000002</v>
      </c>
      <c r="P789" s="14">
        <f t="shared" ca="1" si="269"/>
        <v>-7.2540693559801834</v>
      </c>
      <c r="Q789" s="15">
        <f t="shared" si="270"/>
        <v>423832565988.00006</v>
      </c>
      <c r="R789" s="16">
        <f t="shared" ca="1" si="271"/>
        <v>393087457698.00006</v>
      </c>
      <c r="S789" s="63"/>
      <c r="T789" s="8">
        <v>530169</v>
      </c>
      <c r="U789" s="8" t="s">
        <v>3284</v>
      </c>
      <c r="V789" s="12">
        <v>11371120</v>
      </c>
      <c r="W789" s="8">
        <v>33.049999999999997</v>
      </c>
      <c r="X789" s="11">
        <f ca="1">IFERROR(__xludf.DUMMYFUNCTION("GOOGLEFINANCE(""BOM:"" &amp; T789,""price"")"),31)</f>
        <v>31</v>
      </c>
      <c r="Y789" s="8">
        <f t="shared" ca="1" si="263"/>
        <v>-6.2027231467473447</v>
      </c>
      <c r="Z789" s="12">
        <f t="shared" si="264"/>
        <v>375815515.99999994</v>
      </c>
      <c r="AA789" s="13">
        <f t="shared" ca="1" si="265"/>
        <v>352504720</v>
      </c>
      <c r="AB789" s="63"/>
      <c r="AC789" s="8">
        <v>539097</v>
      </c>
      <c r="AD789" s="8" t="s">
        <v>3285</v>
      </c>
      <c r="AE789" s="12">
        <v>52500000</v>
      </c>
      <c r="AF789" s="8">
        <v>15</v>
      </c>
      <c r="AG789" s="8">
        <f ca="1">IFERROR(__xludf.DUMMYFUNCTION("GOOGLEFINANCE(""BOM:"" &amp; AC789,""price"")"),14.97)</f>
        <v>14.97</v>
      </c>
      <c r="AH789" s="8">
        <f t="shared" ca="1" si="272"/>
        <v>-0.19999999999999576</v>
      </c>
      <c r="AI789" s="12">
        <f t="shared" si="267"/>
        <v>787500000</v>
      </c>
      <c r="AJ789" s="13">
        <f t="shared" ca="1" si="268"/>
        <v>785925000</v>
      </c>
    </row>
    <row r="790" spans="1:36" x14ac:dyDescent="0.25">
      <c r="A790" s="63"/>
      <c r="B790" s="8">
        <v>530915</v>
      </c>
      <c r="C790" s="8" t="s">
        <v>3286</v>
      </c>
      <c r="D790" s="12">
        <v>6447500</v>
      </c>
      <c r="E790" s="8" t="s">
        <v>44</v>
      </c>
      <c r="F790" s="8" t="s">
        <v>44</v>
      </c>
      <c r="G790" s="8"/>
      <c r="H790" s="12"/>
      <c r="I790" s="13"/>
      <c r="J790" s="62" t="s">
        <v>3287</v>
      </c>
      <c r="K790" s="6">
        <v>500870</v>
      </c>
      <c r="L790" s="6" t="s">
        <v>3288</v>
      </c>
      <c r="M790" s="7">
        <v>981263537</v>
      </c>
      <c r="N790" s="10">
        <v>213.65</v>
      </c>
      <c r="O790" s="10">
        <f ca="1">IFERROR(__xludf.DUMMYFUNCTION("GOOGLEFINANCE(""BOM:"" &amp; K790,""price"")"),186)</f>
        <v>186</v>
      </c>
      <c r="P790" s="8">
        <f t="shared" ca="1" si="269"/>
        <v>-12.941727123800611</v>
      </c>
      <c r="Q790" s="7">
        <f t="shared" si="270"/>
        <v>209646954680.05002</v>
      </c>
      <c r="R790" s="9">
        <f t="shared" ca="1" si="271"/>
        <v>182515017882</v>
      </c>
      <c r="S790" s="63"/>
      <c r="T790" s="8">
        <v>502587</v>
      </c>
      <c r="U790" s="8" t="s">
        <v>3289</v>
      </c>
      <c r="V790" s="12">
        <v>18858583</v>
      </c>
      <c r="W790" s="8">
        <v>76.8</v>
      </c>
      <c r="X790" s="11">
        <f ca="1">IFERROR(__xludf.DUMMYFUNCTION("GOOGLEFINANCE(""BOM:"" &amp; T790,""price"")"),65)</f>
        <v>65</v>
      </c>
      <c r="Y790" s="8">
        <f t="shared" ca="1" si="263"/>
        <v>-15.364583333333332</v>
      </c>
      <c r="Z790" s="12">
        <f t="shared" si="264"/>
        <v>1448339174.3999999</v>
      </c>
      <c r="AA790" s="13">
        <f t="shared" ca="1" si="265"/>
        <v>1225807895</v>
      </c>
      <c r="AB790" s="63"/>
      <c r="AC790" s="8">
        <v>540377</v>
      </c>
      <c r="AD790" s="8" t="s">
        <v>3290</v>
      </c>
      <c r="AE790" s="12">
        <v>250737665</v>
      </c>
      <c r="AF790" s="8">
        <v>2.14</v>
      </c>
      <c r="AG790" s="8">
        <f ca="1">IFERROR(__xludf.DUMMYFUNCTION("GOOGLEFINANCE(""BOM:"" &amp; AC790,""price"")"),1.68)</f>
        <v>1.68</v>
      </c>
      <c r="AH790" s="8">
        <f t="shared" ca="1" si="272"/>
        <v>-21.495327102803746</v>
      </c>
      <c r="AI790" s="12">
        <f t="shared" si="267"/>
        <v>536578603.10000002</v>
      </c>
      <c r="AJ790" s="13">
        <f t="shared" ca="1" si="268"/>
        <v>421239277.19999999</v>
      </c>
    </row>
    <row r="791" spans="1:36" x14ac:dyDescent="0.25">
      <c r="A791" s="63"/>
      <c r="B791" s="8">
        <v>533210</v>
      </c>
      <c r="C791" s="8" t="s">
        <v>3291</v>
      </c>
      <c r="D791" s="12">
        <v>49013840</v>
      </c>
      <c r="E791" s="8">
        <v>113</v>
      </c>
      <c r="F791" s="8">
        <f ca="1">IFERROR(__xludf.DUMMYFUNCTION("GOOGLEFINANCE(""BOM:"" &amp; B791,""price"")"),92.6)</f>
        <v>92.6</v>
      </c>
      <c r="G791" s="8">
        <f t="shared" ref="G791:G861" ca="1" si="273">((F791-E791)/E791)*100</f>
        <v>-18.053097345132748</v>
      </c>
      <c r="H791" s="12">
        <f t="shared" ref="H791:H861" si="274">D791*E791</f>
        <v>5538563920</v>
      </c>
      <c r="I791" s="13">
        <f t="shared" ref="I791:I861" ca="1" si="275">D791*F791</f>
        <v>4538681584</v>
      </c>
      <c r="J791" s="63"/>
      <c r="K791" s="8">
        <v>538567</v>
      </c>
      <c r="L791" s="8" t="s">
        <v>3292</v>
      </c>
      <c r="M791" s="12">
        <v>48666793</v>
      </c>
      <c r="N791" s="10">
        <v>996.25</v>
      </c>
      <c r="O791" s="10">
        <f ca="1">IFERROR(__xludf.DUMMYFUNCTION("GOOGLEFINANCE(""BOM:"" &amp; K791,""price"")"),936.45)</f>
        <v>936.45</v>
      </c>
      <c r="P791" s="8">
        <f t="shared" ca="1" si="269"/>
        <v>-6.0025094102885781</v>
      </c>
      <c r="Q791" s="12">
        <f t="shared" si="270"/>
        <v>48484292526.25</v>
      </c>
      <c r="R791" s="13">
        <f t="shared" ca="1" si="271"/>
        <v>45574018304.849998</v>
      </c>
      <c r="S791" s="63"/>
      <c r="T791" s="8">
        <v>516082</v>
      </c>
      <c r="U791" s="8" t="s">
        <v>3293</v>
      </c>
      <c r="V791" s="12">
        <v>16714979</v>
      </c>
      <c r="W791" s="8">
        <v>447.95</v>
      </c>
      <c r="X791" s="11">
        <f ca="1">IFERROR(__xludf.DUMMYFUNCTION("GOOGLEFINANCE(""BOM:"" &amp; T791,""price"")"),430.4)</f>
        <v>430.4</v>
      </c>
      <c r="Y791" s="8">
        <f t="shared" ca="1" si="263"/>
        <v>-3.9178479741042556</v>
      </c>
      <c r="Z791" s="12">
        <f t="shared" si="264"/>
        <v>7487474843.0500002</v>
      </c>
      <c r="AA791" s="13">
        <f t="shared" ca="1" si="265"/>
        <v>7194126961.5999994</v>
      </c>
      <c r="AB791" s="63"/>
      <c r="AC791" s="8">
        <v>539449</v>
      </c>
      <c r="AD791" s="8" t="s">
        <v>3294</v>
      </c>
      <c r="AE791" s="12">
        <v>2220505</v>
      </c>
      <c r="AF791" s="8">
        <v>28.55</v>
      </c>
      <c r="AG791" s="8">
        <f ca="1">IFERROR(__xludf.DUMMYFUNCTION("GOOGLEFINANCE(""BOM:"" &amp; AC791,""price"")"),35.14)</f>
        <v>35.14</v>
      </c>
      <c r="AH791" s="8">
        <f t="shared" ca="1" si="272"/>
        <v>23.082311733800349</v>
      </c>
      <c r="AI791" s="12">
        <f t="shared" si="267"/>
        <v>63395417.75</v>
      </c>
      <c r="AJ791" s="13">
        <f t="shared" ca="1" si="268"/>
        <v>78028545.700000003</v>
      </c>
    </row>
    <row r="792" spans="1:36" x14ac:dyDescent="0.25">
      <c r="A792" s="63"/>
      <c r="B792" s="8">
        <v>515059</v>
      </c>
      <c r="C792" s="8" t="s">
        <v>3295</v>
      </c>
      <c r="D792" s="12">
        <v>5027007</v>
      </c>
      <c r="E792" s="8">
        <v>73.78</v>
      </c>
      <c r="F792" s="8">
        <f ca="1">IFERROR(__xludf.DUMMYFUNCTION("GOOGLEFINANCE(""BOM:"" &amp; B792,""price"")"),64.85)</f>
        <v>64.849999999999994</v>
      </c>
      <c r="G792" s="8">
        <f t="shared" ca="1" si="273"/>
        <v>-12.103551097858507</v>
      </c>
      <c r="H792" s="12">
        <f t="shared" si="274"/>
        <v>370892576.45999998</v>
      </c>
      <c r="I792" s="13">
        <f t="shared" ca="1" si="275"/>
        <v>326001403.94999999</v>
      </c>
      <c r="J792" s="63"/>
      <c r="K792" s="8">
        <v>532543</v>
      </c>
      <c r="L792" s="8" t="s">
        <v>3296</v>
      </c>
      <c r="M792" s="12">
        <v>50982436</v>
      </c>
      <c r="N792" s="10">
        <v>68</v>
      </c>
      <c r="O792" s="10">
        <f ca="1">IFERROR(__xludf.DUMMYFUNCTION("GOOGLEFINANCE(""BOM:"" &amp; K792,""price"")"),60.5)</f>
        <v>60.5</v>
      </c>
      <c r="P792" s="8">
        <f t="shared" ca="1" si="269"/>
        <v>-11.029411764705882</v>
      </c>
      <c r="Q792" s="12">
        <f t="shared" si="270"/>
        <v>3466805648</v>
      </c>
      <c r="R792" s="13">
        <f t="shared" ca="1" si="271"/>
        <v>3084437378</v>
      </c>
      <c r="S792" s="63"/>
      <c r="T792" s="8">
        <v>502420</v>
      </c>
      <c r="U792" s="8" t="s">
        <v>3297</v>
      </c>
      <c r="V792" s="12">
        <v>211448053</v>
      </c>
      <c r="W792" s="8">
        <v>49.1</v>
      </c>
      <c r="X792" s="11">
        <f ca="1">IFERROR(__xludf.DUMMYFUNCTION("GOOGLEFINANCE(""BOM:"" &amp; T792,""price"")"),41.18)</f>
        <v>41.18</v>
      </c>
      <c r="Y792" s="8">
        <f t="shared" ca="1" si="263"/>
        <v>-16.130346232179228</v>
      </c>
      <c r="Z792" s="12">
        <f t="shared" si="264"/>
        <v>10382099402.300001</v>
      </c>
      <c r="AA792" s="13">
        <f t="shared" ca="1" si="265"/>
        <v>8707430822.539999</v>
      </c>
      <c r="AB792" s="63"/>
      <c r="AC792" s="8">
        <v>538541</v>
      </c>
      <c r="AD792" s="8" t="s">
        <v>3298</v>
      </c>
      <c r="AE792" s="12">
        <v>3399819</v>
      </c>
      <c r="AF792" s="8" t="s">
        <v>44</v>
      </c>
      <c r="AG792" s="8" t="s">
        <v>44</v>
      </c>
      <c r="AH792" s="8"/>
      <c r="AI792" s="12"/>
      <c r="AJ792" s="13"/>
    </row>
    <row r="793" spans="1:36" x14ac:dyDescent="0.25">
      <c r="A793" s="63"/>
      <c r="B793" s="8">
        <v>530119</v>
      </c>
      <c r="C793" s="8" t="s">
        <v>3299</v>
      </c>
      <c r="D793" s="12">
        <v>2741975</v>
      </c>
      <c r="E793" s="8">
        <v>45.8</v>
      </c>
      <c r="F793" s="8">
        <f ca="1">IFERROR(__xludf.DUMMYFUNCTION("GOOGLEFINANCE(""BOM:"" &amp; B793,""price"")"),38.6)</f>
        <v>38.6</v>
      </c>
      <c r="G793" s="8">
        <f t="shared" ca="1" si="273"/>
        <v>-15.720524017467241</v>
      </c>
      <c r="H793" s="12">
        <f t="shared" si="274"/>
        <v>125582454.99999999</v>
      </c>
      <c r="I793" s="13">
        <f t="shared" ca="1" si="275"/>
        <v>105840235</v>
      </c>
      <c r="J793" s="63"/>
      <c r="K793" s="8">
        <v>524820</v>
      </c>
      <c r="L793" s="8" t="s">
        <v>3300</v>
      </c>
      <c r="M793" s="12">
        <v>59939208</v>
      </c>
      <c r="N793" s="10">
        <v>351</v>
      </c>
      <c r="O793" s="10">
        <f ca="1">IFERROR(__xludf.DUMMYFUNCTION("GOOGLEFINANCE(""BOM:"" &amp; K793,""price"")"),335.45)</f>
        <v>335.45</v>
      </c>
      <c r="P793" s="8">
        <f t="shared" ca="1" si="269"/>
        <v>-4.4301994301994334</v>
      </c>
      <c r="Q793" s="12">
        <f t="shared" si="270"/>
        <v>21038662008</v>
      </c>
      <c r="R793" s="13">
        <f t="shared" ca="1" si="271"/>
        <v>20106607323.599998</v>
      </c>
      <c r="S793" s="63"/>
      <c r="T793" s="8">
        <v>539785</v>
      </c>
      <c r="U793" s="8" t="s">
        <v>3301</v>
      </c>
      <c r="V793" s="12">
        <v>93252113</v>
      </c>
      <c r="W793" s="8">
        <v>68.099999999999994</v>
      </c>
      <c r="X793" s="11">
        <f ca="1">IFERROR(__xludf.DUMMYFUNCTION("GOOGLEFINANCE(""BOM:"" &amp; T793,""price"")"),62.64)</f>
        <v>62.64</v>
      </c>
      <c r="Y793" s="8">
        <f t="shared" ca="1" si="263"/>
        <v>-8.0176211453744415</v>
      </c>
      <c r="Z793" s="12">
        <f t="shared" si="264"/>
        <v>6350468895.2999992</v>
      </c>
      <c r="AA793" s="13">
        <f t="shared" ca="1" si="265"/>
        <v>5841312358.3199997</v>
      </c>
      <c r="AB793" s="63"/>
      <c r="AC793" s="8">
        <v>517077</v>
      </c>
      <c r="AD793" s="8" t="s">
        <v>3302</v>
      </c>
      <c r="AE793" s="12">
        <v>821650</v>
      </c>
      <c r="AF793" s="8">
        <v>47.76</v>
      </c>
      <c r="AG793" s="8">
        <f ca="1">IFERROR(__xludf.DUMMYFUNCTION("GOOGLEFINANCE(""BOM:"" &amp; AC793,""price"")"),50.11)</f>
        <v>50.11</v>
      </c>
      <c r="AH793" s="8">
        <f t="shared" ref="AH793:AH794" ca="1" si="276">((AG793-AF793)/AF793)*100</f>
        <v>4.9204355108877751</v>
      </c>
      <c r="AI793" s="12">
        <f t="shared" ref="AI793:AI794" si="277">AE793*AF793</f>
        <v>39242004</v>
      </c>
      <c r="AJ793" s="13">
        <f t="shared" ref="AJ793:AJ794" ca="1" si="278">AE793*AG793</f>
        <v>41172881.5</v>
      </c>
    </row>
    <row r="794" spans="1:36" x14ac:dyDescent="0.25">
      <c r="A794" s="63"/>
      <c r="B794" s="8">
        <v>519494</v>
      </c>
      <c r="C794" s="8" t="s">
        <v>3303</v>
      </c>
      <c r="D794" s="12">
        <v>5483080</v>
      </c>
      <c r="E794" s="8">
        <v>66.52</v>
      </c>
      <c r="F794" s="8">
        <f ca="1">IFERROR(__xludf.DUMMYFUNCTION("GOOGLEFINANCE(""BOM:"" &amp; B794,""price"")"),57.2)</f>
        <v>57.2</v>
      </c>
      <c r="G794" s="8">
        <f t="shared" ca="1" si="273"/>
        <v>-14.010823812387244</v>
      </c>
      <c r="H794" s="12">
        <f t="shared" si="274"/>
        <v>364734481.59999996</v>
      </c>
      <c r="I794" s="13">
        <f t="shared" ca="1" si="275"/>
        <v>313632176</v>
      </c>
      <c r="J794" s="63"/>
      <c r="K794" s="8">
        <v>524667</v>
      </c>
      <c r="L794" s="8" t="s">
        <v>3304</v>
      </c>
      <c r="M794" s="12">
        <v>68525845</v>
      </c>
      <c r="N794" s="10">
        <v>444.45</v>
      </c>
      <c r="O794" s="10">
        <f ca="1">IFERROR(__xludf.DUMMYFUNCTION("GOOGLEFINANCE(""BOM:"" &amp; K794,""price"")"),460.3)</f>
        <v>460.3</v>
      </c>
      <c r="P794" s="8">
        <f t="shared" ca="1" si="269"/>
        <v>3.5662054224322248</v>
      </c>
      <c r="Q794" s="12">
        <f t="shared" si="270"/>
        <v>30456311810.25</v>
      </c>
      <c r="R794" s="13">
        <f t="shared" ca="1" si="271"/>
        <v>31542446453.5</v>
      </c>
      <c r="S794" s="63"/>
      <c r="T794" s="8">
        <v>526435</v>
      </c>
      <c r="U794" s="8" t="s">
        <v>3305</v>
      </c>
      <c r="V794" s="12">
        <v>1177676</v>
      </c>
      <c r="W794" s="8">
        <v>109.9</v>
      </c>
      <c r="X794" s="11">
        <f ca="1">IFERROR(__xludf.DUMMYFUNCTION("GOOGLEFINANCE(""BOM:"" &amp; T794,""price"")"),92.95)</f>
        <v>92.95</v>
      </c>
      <c r="Y794" s="8">
        <f t="shared" ca="1" si="263"/>
        <v>-15.423111919927207</v>
      </c>
      <c r="Z794" s="12">
        <f t="shared" si="264"/>
        <v>129426592.40000001</v>
      </c>
      <c r="AA794" s="13">
        <f t="shared" ca="1" si="265"/>
        <v>109464984.2</v>
      </c>
      <c r="AB794" s="63"/>
      <c r="AC794" s="8">
        <v>526865</v>
      </c>
      <c r="AD794" s="8" t="s">
        <v>3306</v>
      </c>
      <c r="AE794" s="12">
        <v>9093280</v>
      </c>
      <c r="AF794" s="8">
        <v>5.25</v>
      </c>
      <c r="AG794" s="8">
        <f ca="1">IFERROR(__xludf.DUMMYFUNCTION("GOOGLEFINANCE(""BOM:"" &amp; AC794,""price"")"),4.19)</f>
        <v>4.1900000000000004</v>
      </c>
      <c r="AH794" s="8">
        <f t="shared" ca="1" si="276"/>
        <v>-20.190476190476183</v>
      </c>
      <c r="AI794" s="12">
        <f t="shared" si="277"/>
        <v>47739720</v>
      </c>
      <c r="AJ794" s="13">
        <f t="shared" ca="1" si="278"/>
        <v>38100843.200000003</v>
      </c>
    </row>
    <row r="795" spans="1:36" x14ac:dyDescent="0.25">
      <c r="A795" s="63"/>
      <c r="B795" s="8">
        <v>530291</v>
      </c>
      <c r="C795" s="8" t="s">
        <v>3307</v>
      </c>
      <c r="D795" s="12">
        <v>5807566</v>
      </c>
      <c r="E795" s="8">
        <v>9.6999999999999993</v>
      </c>
      <c r="F795" s="8">
        <f ca="1">IFERROR(__xludf.DUMMYFUNCTION("GOOGLEFINANCE(""BOM:"" &amp; B795,""price"")"),13.34)</f>
        <v>13.34</v>
      </c>
      <c r="G795" s="8">
        <f t="shared" ca="1" si="273"/>
        <v>37.525773195876297</v>
      </c>
      <c r="H795" s="12">
        <f t="shared" si="274"/>
        <v>56333390.199999996</v>
      </c>
      <c r="I795" s="13">
        <f t="shared" ca="1" si="275"/>
        <v>77472930.439999998</v>
      </c>
      <c r="J795" s="64"/>
      <c r="K795" s="14">
        <v>590005</v>
      </c>
      <c r="L795" s="14" t="s">
        <v>3308</v>
      </c>
      <c r="M795" s="15">
        <v>17373745</v>
      </c>
      <c r="N795" s="17">
        <v>1624.4</v>
      </c>
      <c r="O795" s="17">
        <f ca="1">IFERROR(__xludf.DUMMYFUNCTION("GOOGLEFINANCE(""BOM:"" &amp; K795,""price"")"),1392)</f>
        <v>1392</v>
      </c>
      <c r="P795" s="14">
        <f t="shared" ca="1" si="269"/>
        <v>-14.306820980054177</v>
      </c>
      <c r="Q795" s="15">
        <f t="shared" si="270"/>
        <v>28221911378</v>
      </c>
      <c r="R795" s="16">
        <f t="shared" ca="1" si="271"/>
        <v>24184253040</v>
      </c>
      <c r="S795" s="63"/>
      <c r="T795" s="8">
        <v>523315</v>
      </c>
      <c r="U795" s="8" t="s">
        <v>3309</v>
      </c>
      <c r="V795" s="12">
        <v>267514</v>
      </c>
      <c r="W795" s="8">
        <v>2.04</v>
      </c>
      <c r="X795" s="11">
        <f ca="1">IFERROR(__xludf.DUMMYFUNCTION("GOOGLEFINANCE(""BOM:"" &amp; T795,""price"")"),2.04)</f>
        <v>2.04</v>
      </c>
      <c r="Y795" s="8">
        <f t="shared" ca="1" si="263"/>
        <v>0</v>
      </c>
      <c r="Z795" s="12">
        <f t="shared" si="264"/>
        <v>545728.56000000006</v>
      </c>
      <c r="AA795" s="13">
        <f t="shared" ca="1" si="265"/>
        <v>545728.56000000006</v>
      </c>
      <c r="AB795" s="63"/>
      <c r="AC795" s="8">
        <v>539246</v>
      </c>
      <c r="AD795" s="8" t="s">
        <v>3310</v>
      </c>
      <c r="AE795" s="12">
        <v>2300000</v>
      </c>
      <c r="AF795" s="8" t="s">
        <v>44</v>
      </c>
      <c r="AG795" s="8" t="s">
        <v>44</v>
      </c>
      <c r="AH795" s="8"/>
      <c r="AI795" s="12"/>
      <c r="AJ795" s="13"/>
    </row>
    <row r="796" spans="1:36" x14ac:dyDescent="0.25">
      <c r="A796" s="63"/>
      <c r="B796" s="8">
        <v>500368</v>
      </c>
      <c r="C796" s="8" t="s">
        <v>3311</v>
      </c>
      <c r="D796" s="12">
        <v>361879865</v>
      </c>
      <c r="E796" s="8">
        <v>1566</v>
      </c>
      <c r="F796" s="8">
        <f ca="1">IFERROR(__xludf.DUMMYFUNCTION("GOOGLEFINANCE(""BOM:"" &amp; B796,""price"")"),1335.85)</f>
        <v>1335.85</v>
      </c>
      <c r="G796" s="8">
        <f t="shared" ca="1" si="273"/>
        <v>-14.696679438058755</v>
      </c>
      <c r="H796" s="12">
        <f t="shared" si="274"/>
        <v>566703868590</v>
      </c>
      <c r="I796" s="13">
        <f t="shared" ca="1" si="275"/>
        <v>483417217660.24994</v>
      </c>
      <c r="J796" s="62" t="s">
        <v>3312</v>
      </c>
      <c r="K796" s="6">
        <v>532382</v>
      </c>
      <c r="L796" s="6" t="s">
        <v>3313</v>
      </c>
      <c r="M796" s="7">
        <v>101126165</v>
      </c>
      <c r="N796" s="10">
        <v>116.6</v>
      </c>
      <c r="O796" s="10">
        <f ca="1">IFERROR(__xludf.DUMMYFUNCTION("GOOGLEFINANCE(""BOM:"" &amp; K796,""price"")"),72.9)</f>
        <v>72.900000000000006</v>
      </c>
      <c r="P796" s="8">
        <f t="shared" ca="1" si="269"/>
        <v>-37.478559176672377</v>
      </c>
      <c r="Q796" s="7">
        <f t="shared" si="270"/>
        <v>11791310839</v>
      </c>
      <c r="R796" s="9">
        <f t="shared" ca="1" si="271"/>
        <v>7372097428.500001</v>
      </c>
      <c r="S796" s="63"/>
      <c r="T796" s="8">
        <v>500356</v>
      </c>
      <c r="U796" s="8" t="s">
        <v>3314</v>
      </c>
      <c r="V796" s="12">
        <v>145004705</v>
      </c>
      <c r="W796" s="8">
        <v>19.2</v>
      </c>
      <c r="X796" s="11">
        <f ca="1">IFERROR(__xludf.DUMMYFUNCTION("GOOGLEFINANCE(""BOM:"" &amp; T796,""price"")"),14.93)</f>
        <v>14.93</v>
      </c>
      <c r="Y796" s="8">
        <f t="shared" ca="1" si="263"/>
        <v>-22.239583333333332</v>
      </c>
      <c r="Z796" s="12">
        <f t="shared" si="264"/>
        <v>2784090336</v>
      </c>
      <c r="AA796" s="13">
        <f t="shared" ca="1" si="265"/>
        <v>2164920245.6500001</v>
      </c>
      <c r="AB796" s="63"/>
      <c r="AC796" s="8">
        <v>511618</v>
      </c>
      <c r="AD796" s="8" t="s">
        <v>3315</v>
      </c>
      <c r="AE796" s="12">
        <v>57004389</v>
      </c>
      <c r="AF796" s="8" t="s">
        <v>44</v>
      </c>
      <c r="AG796" s="8" t="s">
        <v>44</v>
      </c>
      <c r="AH796" s="8"/>
      <c r="AI796" s="12"/>
      <c r="AJ796" s="13"/>
    </row>
    <row r="797" spans="1:36" x14ac:dyDescent="0.25">
      <c r="A797" s="63"/>
      <c r="B797" s="8">
        <v>519439</v>
      </c>
      <c r="C797" s="8" t="s">
        <v>3316</v>
      </c>
      <c r="D797" s="12">
        <v>4120700</v>
      </c>
      <c r="E797" s="8">
        <v>9.31</v>
      </c>
      <c r="F797" s="8">
        <f ca="1">IFERROR(__xludf.DUMMYFUNCTION("GOOGLEFINANCE(""BOM:"" &amp; B797,""price"")"),9.31)</f>
        <v>9.31</v>
      </c>
      <c r="G797" s="8">
        <f t="shared" ca="1" si="273"/>
        <v>0</v>
      </c>
      <c r="H797" s="12">
        <f t="shared" si="274"/>
        <v>38363717</v>
      </c>
      <c r="I797" s="13">
        <f t="shared" ca="1" si="275"/>
        <v>38363717</v>
      </c>
      <c r="J797" s="63"/>
      <c r="K797" s="8">
        <v>532324</v>
      </c>
      <c r="L797" s="8" t="s">
        <v>3317</v>
      </c>
      <c r="M797" s="12">
        <v>56415920</v>
      </c>
      <c r="N797" s="10">
        <v>21.01</v>
      </c>
      <c r="O797" s="10">
        <f ca="1">IFERROR(__xludf.DUMMYFUNCTION("GOOGLEFINANCE(""BOM:"" &amp; K797,""price"")"),18.06)</f>
        <v>18.059999999999999</v>
      </c>
      <c r="P797" s="8">
        <f t="shared" ca="1" si="269"/>
        <v>-14.040932889100441</v>
      </c>
      <c r="Q797" s="12">
        <f t="shared" si="270"/>
        <v>1185298479.2</v>
      </c>
      <c r="R797" s="13">
        <f t="shared" ca="1" si="271"/>
        <v>1018871515.1999999</v>
      </c>
      <c r="S797" s="63"/>
      <c r="T797" s="8">
        <v>500357</v>
      </c>
      <c r="U797" s="8" t="s">
        <v>3318</v>
      </c>
      <c r="V797" s="12">
        <v>6464900</v>
      </c>
      <c r="W797" s="8">
        <v>20.6</v>
      </c>
      <c r="X797" s="11">
        <f ca="1">IFERROR(__xludf.DUMMYFUNCTION("GOOGLEFINANCE(""BOM:"" &amp; T797,""price"")"),18.59)</f>
        <v>18.59</v>
      </c>
      <c r="Y797" s="8">
        <f t="shared" ca="1" si="263"/>
        <v>-9.7572815533980659</v>
      </c>
      <c r="Z797" s="12">
        <f t="shared" si="264"/>
        <v>133176940.00000001</v>
      </c>
      <c r="AA797" s="13">
        <f t="shared" ca="1" si="265"/>
        <v>120182491</v>
      </c>
      <c r="AB797" s="63"/>
      <c r="AC797" s="8">
        <v>524675</v>
      </c>
      <c r="AD797" s="8" t="s">
        <v>3319</v>
      </c>
      <c r="AE797" s="12">
        <v>14454674</v>
      </c>
      <c r="AF797" s="8">
        <v>18.66</v>
      </c>
      <c r="AG797" s="8">
        <f ca="1">IFERROR(__xludf.DUMMYFUNCTION("GOOGLEFINANCE(""BOM:"" &amp; AC797,""price"")"),17.34)</f>
        <v>17.34</v>
      </c>
      <c r="AH797" s="8">
        <f t="shared" ref="AH797:AH810" ca="1" si="279">((AG797-AF797)/AF797)*100</f>
        <v>-7.0739549839228308</v>
      </c>
      <c r="AI797" s="12">
        <f t="shared" ref="AI797:AI826" si="280">AE797*AF797</f>
        <v>269724216.83999997</v>
      </c>
      <c r="AJ797" s="13">
        <f t="shared" ref="AJ797:AJ826" ca="1" si="281">AE797*AG797</f>
        <v>250644047.16</v>
      </c>
    </row>
    <row r="798" spans="1:36" x14ac:dyDescent="0.25">
      <c r="A798" s="63"/>
      <c r="B798" s="8">
        <v>519359</v>
      </c>
      <c r="C798" s="8" t="s">
        <v>3320</v>
      </c>
      <c r="D798" s="12">
        <v>5077160</v>
      </c>
      <c r="E798" s="8">
        <v>59.32</v>
      </c>
      <c r="F798" s="8">
        <f ca="1">IFERROR(__xludf.DUMMYFUNCTION("GOOGLEFINANCE(""BOM:"" &amp; B798,""price"")"),62.9)</f>
        <v>62.9</v>
      </c>
      <c r="G798" s="8">
        <f t="shared" ca="1" si="273"/>
        <v>6.0350640593391747</v>
      </c>
      <c r="H798" s="12">
        <f t="shared" si="274"/>
        <v>301177131.19999999</v>
      </c>
      <c r="I798" s="13">
        <f t="shared" ca="1" si="275"/>
        <v>319353364</v>
      </c>
      <c r="J798" s="63"/>
      <c r="K798" s="8">
        <v>532392</v>
      </c>
      <c r="L798" s="8" t="s">
        <v>3321</v>
      </c>
      <c r="M798" s="12">
        <v>19925373</v>
      </c>
      <c r="N798" s="10">
        <v>4.6500000000000004</v>
      </c>
      <c r="O798" s="10">
        <f ca="1">IFERROR(__xludf.DUMMYFUNCTION("GOOGLEFINANCE(""BOM:"" &amp; K798,""price"")"),4.25)</f>
        <v>4.25</v>
      </c>
      <c r="P798" s="8">
        <f t="shared" ca="1" si="269"/>
        <v>-8.6021505376344169</v>
      </c>
      <c r="Q798" s="12">
        <f t="shared" si="270"/>
        <v>92652984.450000003</v>
      </c>
      <c r="R798" s="13">
        <f t="shared" ca="1" si="271"/>
        <v>84682835.25</v>
      </c>
      <c r="S798" s="63"/>
      <c r="T798" s="8">
        <v>532785</v>
      </c>
      <c r="U798" s="8" t="s">
        <v>3322</v>
      </c>
      <c r="V798" s="12">
        <v>27131643</v>
      </c>
      <c r="W798" s="8">
        <v>134.25</v>
      </c>
      <c r="X798" s="11">
        <f ca="1">IFERROR(__xludf.DUMMYFUNCTION("GOOGLEFINANCE(""BOM:"" &amp; T798,""price"")"),111)</f>
        <v>111</v>
      </c>
      <c r="Y798" s="8">
        <f t="shared" ca="1" si="263"/>
        <v>-17.318435754189945</v>
      </c>
      <c r="Z798" s="12">
        <f t="shared" si="264"/>
        <v>3642423072.75</v>
      </c>
      <c r="AA798" s="13">
        <f t="shared" ca="1" si="265"/>
        <v>3011612373</v>
      </c>
      <c r="AB798" s="63"/>
      <c r="AC798" s="8">
        <v>531780</v>
      </c>
      <c r="AD798" s="8" t="s">
        <v>3323</v>
      </c>
      <c r="AE798" s="12">
        <v>51062830</v>
      </c>
      <c r="AF798" s="8">
        <v>13.23</v>
      </c>
      <c r="AG798" s="8">
        <f ca="1">IFERROR(__xludf.DUMMYFUNCTION("GOOGLEFINANCE(""BOM:"" &amp; AC798,""price"")"),10.63)</f>
        <v>10.63</v>
      </c>
      <c r="AH798" s="8">
        <f t="shared" ca="1" si="279"/>
        <v>-19.652305366591076</v>
      </c>
      <c r="AI798" s="12">
        <f t="shared" si="280"/>
        <v>675561240.89999998</v>
      </c>
      <c r="AJ798" s="13">
        <f t="shared" ca="1" si="281"/>
        <v>542797882.9000001</v>
      </c>
    </row>
    <row r="799" spans="1:36" x14ac:dyDescent="0.25">
      <c r="A799" s="63"/>
      <c r="B799" s="8">
        <v>531246</v>
      </c>
      <c r="C799" s="8" t="s">
        <v>3324</v>
      </c>
      <c r="D799" s="12">
        <v>8008800</v>
      </c>
      <c r="E799" s="8">
        <v>21.75</v>
      </c>
      <c r="F799" s="8">
        <f ca="1">IFERROR(__xludf.DUMMYFUNCTION("GOOGLEFINANCE(""BOM:"" &amp; B799,""price"")"),19)</f>
        <v>19</v>
      </c>
      <c r="G799" s="8">
        <f t="shared" ca="1" si="273"/>
        <v>-12.643678160919542</v>
      </c>
      <c r="H799" s="12">
        <f t="shared" si="274"/>
        <v>174191400</v>
      </c>
      <c r="I799" s="13">
        <f t="shared" ca="1" si="275"/>
        <v>152167200</v>
      </c>
      <c r="J799" s="63"/>
      <c r="K799" s="8">
        <v>532700</v>
      </c>
      <c r="L799" s="8" t="s">
        <v>3325</v>
      </c>
      <c r="M799" s="12">
        <v>47670171</v>
      </c>
      <c r="N799" s="10">
        <v>340.6</v>
      </c>
      <c r="O799" s="10">
        <f ca="1">IFERROR(__xludf.DUMMYFUNCTION("GOOGLEFINANCE(""BOM:"" &amp; K799,""price"")"),260.85)</f>
        <v>260.85000000000002</v>
      </c>
      <c r="P799" s="8">
        <f t="shared" ca="1" si="269"/>
        <v>-23.41456253669994</v>
      </c>
      <c r="Q799" s="12">
        <f t="shared" si="270"/>
        <v>16236460242.6</v>
      </c>
      <c r="R799" s="13">
        <f t="shared" ca="1" si="271"/>
        <v>12434764105.35</v>
      </c>
      <c r="S799" s="63"/>
      <c r="T799" s="8">
        <v>531436</v>
      </c>
      <c r="U799" s="8" t="s">
        <v>3326</v>
      </c>
      <c r="V799" s="12">
        <v>5738590</v>
      </c>
      <c r="W799" s="8">
        <v>8</v>
      </c>
      <c r="X799" s="11">
        <f ca="1">IFERROR(__xludf.DUMMYFUNCTION("GOOGLEFINANCE(""BOM:"" &amp; T799,""price"")"),7.22)</f>
        <v>7.22</v>
      </c>
      <c r="Y799" s="8">
        <f t="shared" ca="1" si="263"/>
        <v>-9.7500000000000036</v>
      </c>
      <c r="Z799" s="12">
        <f t="shared" si="264"/>
        <v>45908720</v>
      </c>
      <c r="AA799" s="13">
        <f t="shared" ca="1" si="265"/>
        <v>41432619.799999997</v>
      </c>
      <c r="AB799" s="63"/>
      <c r="AC799" s="8">
        <v>500236</v>
      </c>
      <c r="AD799" s="8" t="s">
        <v>3327</v>
      </c>
      <c r="AE799" s="12">
        <v>12753562</v>
      </c>
      <c r="AF799" s="8">
        <v>1.43</v>
      </c>
      <c r="AG799" s="8">
        <f ca="1">IFERROR(__xludf.DUMMYFUNCTION("GOOGLEFINANCE(""BOM:"" &amp; AC799,""price"")"),1.23)</f>
        <v>1.23</v>
      </c>
      <c r="AH799" s="8">
        <f t="shared" ca="1" si="279"/>
        <v>-13.986013986013985</v>
      </c>
      <c r="AI799" s="12">
        <f t="shared" si="280"/>
        <v>18237593.66</v>
      </c>
      <c r="AJ799" s="13">
        <f t="shared" ca="1" si="281"/>
        <v>15686881.26</v>
      </c>
    </row>
    <row r="800" spans="1:36" x14ac:dyDescent="0.25">
      <c r="A800" s="63"/>
      <c r="B800" s="8">
        <v>519299</v>
      </c>
      <c r="C800" s="8" t="s">
        <v>3328</v>
      </c>
      <c r="D800" s="12">
        <v>13698592</v>
      </c>
      <c r="E800" s="8">
        <v>272.3</v>
      </c>
      <c r="F800" s="8">
        <f ca="1">IFERROR(__xludf.DUMMYFUNCTION("GOOGLEFINANCE(""BOM:"" &amp; B800,""price"")"),242)</f>
        <v>242</v>
      </c>
      <c r="G800" s="8">
        <f t="shared" ca="1" si="273"/>
        <v>-11.127432978332726</v>
      </c>
      <c r="H800" s="12">
        <f t="shared" si="274"/>
        <v>3730126601.6000004</v>
      </c>
      <c r="I800" s="13">
        <f t="shared" ca="1" si="275"/>
        <v>3315059264</v>
      </c>
      <c r="J800" s="63"/>
      <c r="K800" s="8">
        <v>532798</v>
      </c>
      <c r="L800" s="8" t="s">
        <v>3329</v>
      </c>
      <c r="M800" s="12">
        <v>1046832632</v>
      </c>
      <c r="N800" s="10">
        <v>102.6</v>
      </c>
      <c r="O800" s="10">
        <f ca="1">IFERROR(__xludf.DUMMYFUNCTION("GOOGLEFINANCE(""BOM:"" &amp; K800,""price"")"),86.5)</f>
        <v>86.5</v>
      </c>
      <c r="P800" s="8">
        <f t="shared" ca="1" si="269"/>
        <v>-15.692007797270952</v>
      </c>
      <c r="Q800" s="12">
        <f t="shared" si="270"/>
        <v>107405028043.2</v>
      </c>
      <c r="R800" s="13">
        <f t="shared" ca="1" si="271"/>
        <v>90551022668</v>
      </c>
      <c r="S800" s="63"/>
      <c r="T800" s="8">
        <v>516096</v>
      </c>
      <c r="U800" s="8" t="s">
        <v>3330</v>
      </c>
      <c r="V800" s="12">
        <v>872240</v>
      </c>
      <c r="W800" s="8">
        <v>200</v>
      </c>
      <c r="X800" s="11">
        <f ca="1">IFERROR(__xludf.DUMMYFUNCTION("GOOGLEFINANCE(""BOM:"" &amp; T800,""price"")"),186.9)</f>
        <v>186.9</v>
      </c>
      <c r="Y800" s="8">
        <f t="shared" ca="1" si="263"/>
        <v>-6.5499999999999972</v>
      </c>
      <c r="Z800" s="12">
        <f t="shared" si="264"/>
        <v>174448000</v>
      </c>
      <c r="AA800" s="13">
        <f t="shared" ca="1" si="265"/>
        <v>163021656</v>
      </c>
      <c r="AB800" s="63"/>
      <c r="AC800" s="8">
        <v>540696</v>
      </c>
      <c r="AD800" s="8" t="s">
        <v>3331</v>
      </c>
      <c r="AE800" s="12">
        <v>8453780</v>
      </c>
      <c r="AF800" s="8">
        <v>11.65</v>
      </c>
      <c r="AG800" s="8">
        <v>11.65</v>
      </c>
      <c r="AH800" s="8">
        <f t="shared" si="279"/>
        <v>0</v>
      </c>
      <c r="AI800" s="12">
        <f t="shared" si="280"/>
        <v>98486537</v>
      </c>
      <c r="AJ800" s="13">
        <f t="shared" si="281"/>
        <v>98486537</v>
      </c>
    </row>
    <row r="801" spans="1:36" x14ac:dyDescent="0.25">
      <c r="A801" s="63"/>
      <c r="B801" s="8">
        <v>533093</v>
      </c>
      <c r="C801" s="8" t="s">
        <v>3332</v>
      </c>
      <c r="D801" s="12">
        <v>14986507</v>
      </c>
      <c r="E801" s="8">
        <v>46.81</v>
      </c>
      <c r="F801" s="8">
        <f ca="1">IFERROR(__xludf.DUMMYFUNCTION("GOOGLEFINANCE(""BOM:"" &amp; B801,""price"")"),43)</f>
        <v>43</v>
      </c>
      <c r="G801" s="8">
        <f t="shared" ca="1" si="273"/>
        <v>-8.1392864772484561</v>
      </c>
      <c r="H801" s="12">
        <f t="shared" si="274"/>
        <v>701518392.67000008</v>
      </c>
      <c r="I801" s="13">
        <f t="shared" ca="1" si="275"/>
        <v>644419801</v>
      </c>
      <c r="J801" s="63"/>
      <c r="K801" s="8">
        <v>590070</v>
      </c>
      <c r="L801" s="8" t="s">
        <v>3333</v>
      </c>
      <c r="M801" s="12">
        <v>53985291</v>
      </c>
      <c r="N801" s="10">
        <v>2.3199999999999998</v>
      </c>
      <c r="O801" s="10">
        <f ca="1">IFERROR(__xludf.DUMMYFUNCTION("GOOGLEFINANCE(""BOM:"" &amp; K801,""price"")"),2.21)</f>
        <v>2.21</v>
      </c>
      <c r="P801" s="8">
        <f t="shared" ca="1" si="269"/>
        <v>-4.7413793103448221</v>
      </c>
      <c r="Q801" s="12">
        <f t="shared" si="270"/>
        <v>125245875.11999999</v>
      </c>
      <c r="R801" s="13">
        <f t="shared" ca="1" si="271"/>
        <v>119307493.11</v>
      </c>
      <c r="S801" s="63"/>
      <c r="T801" s="8">
        <v>538795</v>
      </c>
      <c r="U801" s="8" t="s">
        <v>3334</v>
      </c>
      <c r="V801" s="12">
        <v>5132400</v>
      </c>
      <c r="W801" s="8">
        <v>218.7</v>
      </c>
      <c r="X801" s="11">
        <f ca="1">IFERROR(__xludf.DUMMYFUNCTION("GOOGLEFINANCE(""BOM:"" &amp; T801,""price"")"),187.7)</f>
        <v>187.7</v>
      </c>
      <c r="Y801" s="8">
        <f t="shared" ca="1" si="263"/>
        <v>-14.174668495656151</v>
      </c>
      <c r="Z801" s="12">
        <f t="shared" si="264"/>
        <v>1122455880</v>
      </c>
      <c r="AA801" s="13">
        <f t="shared" ca="1" si="265"/>
        <v>963351480</v>
      </c>
      <c r="AB801" s="63"/>
      <c r="AC801" s="8">
        <v>530299</v>
      </c>
      <c r="AD801" s="8" t="s">
        <v>3335</v>
      </c>
      <c r="AE801" s="12">
        <v>29690335</v>
      </c>
      <c r="AF801" s="8">
        <v>140.25</v>
      </c>
      <c r="AG801" s="8">
        <f ca="1">IFERROR(__xludf.DUMMYFUNCTION("GOOGLEFINANCE(""BOM:"" &amp; AC801,""price"")"),115)</f>
        <v>115</v>
      </c>
      <c r="AH801" s="8">
        <f t="shared" ca="1" si="279"/>
        <v>-18.003565062388592</v>
      </c>
      <c r="AI801" s="12">
        <f t="shared" si="280"/>
        <v>4164069483.75</v>
      </c>
      <c r="AJ801" s="13">
        <f t="shared" ca="1" si="281"/>
        <v>3414388525</v>
      </c>
    </row>
    <row r="802" spans="1:36" x14ac:dyDescent="0.25">
      <c r="A802" s="63"/>
      <c r="B802" s="8">
        <v>507663</v>
      </c>
      <c r="C802" s="8" t="s">
        <v>3336</v>
      </c>
      <c r="D802" s="12">
        <v>42122</v>
      </c>
      <c r="E802" s="8">
        <v>1.41</v>
      </c>
      <c r="F802" s="8">
        <f ca="1">IFERROR(__xludf.DUMMYFUNCTION("GOOGLEFINANCE(""BOM:"" &amp; B802,""price"")"),1.48)</f>
        <v>1.48</v>
      </c>
      <c r="G802" s="8">
        <f t="shared" ca="1" si="273"/>
        <v>4.9645390070922026</v>
      </c>
      <c r="H802" s="12">
        <f t="shared" si="274"/>
        <v>59392.02</v>
      </c>
      <c r="I802" s="13">
        <f t="shared" ca="1" si="275"/>
        <v>62340.56</v>
      </c>
      <c r="J802" s="63"/>
      <c r="K802" s="8">
        <v>540366</v>
      </c>
      <c r="L802" s="8" t="s">
        <v>3337</v>
      </c>
      <c r="M802" s="12">
        <v>345685388</v>
      </c>
      <c r="N802" s="10">
        <v>21.3</v>
      </c>
      <c r="O802" s="10">
        <f ca="1">IFERROR(__xludf.DUMMYFUNCTION("GOOGLEFINANCE(""BOM:"" &amp; K802,""price"")"),16.24)</f>
        <v>16.239999999999998</v>
      </c>
      <c r="P802" s="8">
        <f t="shared" ca="1" si="269"/>
        <v>-23.755868544600951</v>
      </c>
      <c r="Q802" s="12">
        <f t="shared" si="270"/>
        <v>7363098764.4000006</v>
      </c>
      <c r="R802" s="13">
        <f t="shared" ca="1" si="271"/>
        <v>5613930701.1199999</v>
      </c>
      <c r="S802" s="63"/>
      <c r="T802" s="8">
        <v>539201</v>
      </c>
      <c r="U802" s="8" t="s">
        <v>3338</v>
      </c>
      <c r="V802" s="12">
        <v>99354200</v>
      </c>
      <c r="W802" s="8">
        <v>123.65</v>
      </c>
      <c r="X802" s="11">
        <f ca="1">IFERROR(__xludf.DUMMYFUNCTION("GOOGLEFINANCE(""BOM:"" &amp; T802,""price"")"),108.15)</f>
        <v>108.15</v>
      </c>
      <c r="Y802" s="8">
        <f t="shared" ca="1" si="263"/>
        <v>-12.535382126971289</v>
      </c>
      <c r="Z802" s="12">
        <f t="shared" si="264"/>
        <v>12285146830</v>
      </c>
      <c r="AA802" s="13">
        <f t="shared" ca="1" si="265"/>
        <v>10745156730</v>
      </c>
      <c r="AB802" s="63"/>
      <c r="AC802" s="8">
        <v>511048</v>
      </c>
      <c r="AD802" s="8" t="s">
        <v>3339</v>
      </c>
      <c r="AE802" s="12">
        <v>230800</v>
      </c>
      <c r="AF802" s="8">
        <v>5.18</v>
      </c>
      <c r="AG802" s="8">
        <f ca="1">IFERROR(__xludf.DUMMYFUNCTION("GOOGLEFINANCE(""BOM:"" &amp; AC802,""price"")"),5.18)</f>
        <v>5.18</v>
      </c>
      <c r="AH802" s="8">
        <f t="shared" ca="1" si="279"/>
        <v>0</v>
      </c>
      <c r="AI802" s="12">
        <f t="shared" si="280"/>
        <v>1195544</v>
      </c>
      <c r="AJ802" s="13">
        <f t="shared" ca="1" si="281"/>
        <v>1195544</v>
      </c>
    </row>
    <row r="803" spans="1:36" x14ac:dyDescent="0.25">
      <c r="A803" s="63"/>
      <c r="B803" s="8">
        <v>523309</v>
      </c>
      <c r="C803" s="8" t="s">
        <v>3340</v>
      </c>
      <c r="D803" s="12">
        <v>14104022</v>
      </c>
      <c r="E803" s="8">
        <v>88.4</v>
      </c>
      <c r="F803" s="8">
        <f ca="1">IFERROR(__xludf.DUMMYFUNCTION("GOOGLEFINANCE(""BOM:"" &amp; B803,""price"")"),69.03)</f>
        <v>69.03</v>
      </c>
      <c r="G803" s="8">
        <f t="shared" ca="1" si="273"/>
        <v>-21.911764705882355</v>
      </c>
      <c r="H803" s="12">
        <f t="shared" si="274"/>
        <v>1246795544.8000002</v>
      </c>
      <c r="I803" s="13">
        <f t="shared" ca="1" si="275"/>
        <v>973600638.65999997</v>
      </c>
      <c r="J803" s="63"/>
      <c r="K803" s="8">
        <v>532163</v>
      </c>
      <c r="L803" s="8" t="s">
        <v>3341</v>
      </c>
      <c r="M803" s="12">
        <v>192162170</v>
      </c>
      <c r="N803" s="10">
        <v>403.9</v>
      </c>
      <c r="O803" s="10">
        <f ca="1">IFERROR(__xludf.DUMMYFUNCTION("GOOGLEFINANCE(""BOM:"" &amp; K803,""price"")"),345.9)</f>
        <v>345.9</v>
      </c>
      <c r="P803" s="8">
        <f t="shared" ca="1" si="269"/>
        <v>-14.359990096558557</v>
      </c>
      <c r="Q803" s="12">
        <f t="shared" si="270"/>
        <v>77614300463</v>
      </c>
      <c r="R803" s="13">
        <f t="shared" ca="1" si="271"/>
        <v>66468894602.999992</v>
      </c>
      <c r="S803" s="63"/>
      <c r="T803" s="8">
        <v>502450</v>
      </c>
      <c r="U803" s="8" t="s">
        <v>3342</v>
      </c>
      <c r="V803" s="12">
        <v>50104491</v>
      </c>
      <c r="W803" s="8">
        <v>331.6</v>
      </c>
      <c r="X803" s="11">
        <f ca="1">IFERROR(__xludf.DUMMYFUNCTION("GOOGLEFINANCE(""BOM:"" &amp; T803,""price"")"),294.5)</f>
        <v>294.5</v>
      </c>
      <c r="Y803" s="8">
        <f t="shared" ca="1" si="263"/>
        <v>-11.188178528347413</v>
      </c>
      <c r="Z803" s="12">
        <f t="shared" si="264"/>
        <v>16614649215.6</v>
      </c>
      <c r="AA803" s="13">
        <f t="shared" ca="1" si="265"/>
        <v>14755772599.5</v>
      </c>
      <c r="AB803" s="63"/>
      <c r="AC803" s="8">
        <v>531842</v>
      </c>
      <c r="AD803" s="8" t="s">
        <v>3343</v>
      </c>
      <c r="AE803" s="12">
        <v>28973415</v>
      </c>
      <c r="AF803" s="8">
        <v>49</v>
      </c>
      <c r="AG803" s="8">
        <f ca="1">IFERROR(__xludf.DUMMYFUNCTION("GOOGLEFINANCE(""BOM:"" &amp; AC803,""price"")"),49.28)</f>
        <v>49.28</v>
      </c>
      <c r="AH803" s="8">
        <f t="shared" ca="1" si="279"/>
        <v>0.57142857142857373</v>
      </c>
      <c r="AI803" s="12">
        <f t="shared" si="280"/>
        <v>1419697335</v>
      </c>
      <c r="AJ803" s="13">
        <f t="shared" ca="1" si="281"/>
        <v>1427809891.2</v>
      </c>
    </row>
    <row r="804" spans="1:36" x14ac:dyDescent="0.25">
      <c r="A804" s="63"/>
      <c r="B804" s="8">
        <v>519234</v>
      </c>
      <c r="C804" s="8" t="s">
        <v>3344</v>
      </c>
      <c r="D804" s="12">
        <v>12378389</v>
      </c>
      <c r="E804" s="8">
        <v>61.74</v>
      </c>
      <c r="F804" s="8">
        <f ca="1">IFERROR(__xludf.DUMMYFUNCTION("GOOGLEFINANCE(""BOM:"" &amp; B804,""price"")"),51.84)</f>
        <v>51.84</v>
      </c>
      <c r="G804" s="8">
        <f t="shared" ca="1" si="273"/>
        <v>-16.034985422740522</v>
      </c>
      <c r="H804" s="12">
        <f t="shared" si="274"/>
        <v>764241736.86000001</v>
      </c>
      <c r="I804" s="13">
        <f t="shared" ca="1" si="275"/>
        <v>641695685.75999999</v>
      </c>
      <c r="J804" s="63"/>
      <c r="K804" s="8">
        <v>512499</v>
      </c>
      <c r="L804" s="8" t="s">
        <v>3345</v>
      </c>
      <c r="M804" s="12">
        <v>982909020</v>
      </c>
      <c r="N804" s="10">
        <v>0.53</v>
      </c>
      <c r="O804" s="10">
        <f ca="1">IFERROR(__xludf.DUMMYFUNCTION("GOOGLEFINANCE(""BOM:"" &amp; K804,""price"")"),0.5)</f>
        <v>0.5</v>
      </c>
      <c r="P804" s="8">
        <f t="shared" ca="1" si="269"/>
        <v>-5.660377358490571</v>
      </c>
      <c r="Q804" s="12">
        <f t="shared" si="270"/>
        <v>520941780.60000002</v>
      </c>
      <c r="R804" s="13">
        <f t="shared" ca="1" si="271"/>
        <v>491454510</v>
      </c>
      <c r="S804" s="63"/>
      <c r="T804" s="8">
        <v>502563</v>
      </c>
      <c r="U804" s="8" t="s">
        <v>3346</v>
      </c>
      <c r="V804" s="12">
        <v>34528291</v>
      </c>
      <c r="W804" s="8" t="s">
        <v>44</v>
      </c>
      <c r="X804" s="8" t="s">
        <v>44</v>
      </c>
      <c r="Y804" s="8"/>
      <c r="Z804" s="12"/>
      <c r="AA804" s="13"/>
      <c r="AB804" s="63"/>
      <c r="AC804" s="8">
        <v>539814</v>
      </c>
      <c r="AD804" s="8" t="s">
        <v>3347</v>
      </c>
      <c r="AE804" s="12">
        <v>3162250</v>
      </c>
      <c r="AF804" s="8">
        <v>101.06</v>
      </c>
      <c r="AG804" s="8">
        <f ca="1">IFERROR(__xludf.DUMMYFUNCTION("GOOGLEFINANCE(""BOM:"" &amp; AC804,""price"")"),123.5)</f>
        <v>123.5</v>
      </c>
      <c r="AH804" s="8">
        <f t="shared" ca="1" si="279"/>
        <v>22.204630912329307</v>
      </c>
      <c r="AI804" s="12">
        <f t="shared" si="280"/>
        <v>319576985</v>
      </c>
      <c r="AJ804" s="13">
        <f t="shared" ca="1" si="281"/>
        <v>390537875</v>
      </c>
    </row>
    <row r="805" spans="1:36" x14ac:dyDescent="0.25">
      <c r="A805" s="63"/>
      <c r="B805" s="8">
        <v>519242</v>
      </c>
      <c r="C805" s="8" t="s">
        <v>3348</v>
      </c>
      <c r="D805" s="12">
        <v>824400</v>
      </c>
      <c r="E805" s="8">
        <v>69.5</v>
      </c>
      <c r="F805" s="8">
        <f ca="1">IFERROR(__xludf.DUMMYFUNCTION("GOOGLEFINANCE(""BOM:"" &amp; B805,""price"")"),53.79)</f>
        <v>53.79</v>
      </c>
      <c r="G805" s="8">
        <f t="shared" ca="1" si="273"/>
        <v>-22.60431654676259</v>
      </c>
      <c r="H805" s="12">
        <f t="shared" si="274"/>
        <v>57295800</v>
      </c>
      <c r="I805" s="13">
        <f t="shared" ca="1" si="275"/>
        <v>44344476</v>
      </c>
      <c r="J805" s="63"/>
      <c r="K805" s="8">
        <v>538685</v>
      </c>
      <c r="L805" s="8" t="s">
        <v>3349</v>
      </c>
      <c r="M805" s="12">
        <v>27131602</v>
      </c>
      <c r="N805" s="10">
        <v>161.19999999999999</v>
      </c>
      <c r="O805" s="10">
        <f ca="1">IFERROR(__xludf.DUMMYFUNCTION("GOOGLEFINANCE(""BOM:"" &amp; K805,""price"")"),141.5)</f>
        <v>141.5</v>
      </c>
      <c r="P805" s="8">
        <f t="shared" ca="1" si="269"/>
        <v>-12.220843672456569</v>
      </c>
      <c r="Q805" s="12">
        <f t="shared" si="270"/>
        <v>4373614242.3999996</v>
      </c>
      <c r="R805" s="13">
        <f t="shared" ca="1" si="271"/>
        <v>3839121683</v>
      </c>
      <c r="S805" s="63"/>
      <c r="T805" s="8">
        <v>516106</v>
      </c>
      <c r="U805" s="8" t="s">
        <v>3350</v>
      </c>
      <c r="V805" s="12">
        <v>17125450</v>
      </c>
      <c r="W805" s="8">
        <v>11.7</v>
      </c>
      <c r="X805" s="11">
        <f ca="1">IFERROR(__xludf.DUMMYFUNCTION("GOOGLEFINANCE(""BOM:"" &amp; T805,""price"")"),9.9)</f>
        <v>9.9</v>
      </c>
      <c r="Y805" s="8">
        <f t="shared" ref="Y805:Y856" ca="1" si="282">((X805-W805)/W805)*100</f>
        <v>-15.384615384615378</v>
      </c>
      <c r="Z805" s="12">
        <f t="shared" ref="Z805:Z856" si="283">V805*W805</f>
        <v>200367765</v>
      </c>
      <c r="AA805" s="13">
        <f t="shared" ref="AA805:AA856" ca="1" si="284">V805*X805</f>
        <v>169541955</v>
      </c>
      <c r="AB805" s="63"/>
      <c r="AC805" s="8">
        <v>533602</v>
      </c>
      <c r="AD805" s="8" t="s">
        <v>3351</v>
      </c>
      <c r="AE805" s="12">
        <v>109375620</v>
      </c>
      <c r="AF805" s="8">
        <v>4.2</v>
      </c>
      <c r="AG805" s="8">
        <f ca="1">IFERROR(__xludf.DUMMYFUNCTION("GOOGLEFINANCE(""BOM:"" &amp; AC805,""price"")"),3.7)</f>
        <v>3.7</v>
      </c>
      <c r="AH805" s="8">
        <f t="shared" ca="1" si="279"/>
        <v>-11.904761904761903</v>
      </c>
      <c r="AI805" s="12">
        <f t="shared" si="280"/>
        <v>459377604</v>
      </c>
      <c r="AJ805" s="13">
        <f t="shared" ca="1" si="281"/>
        <v>404689794</v>
      </c>
    </row>
    <row r="806" spans="1:36" x14ac:dyDescent="0.25">
      <c r="A806" s="63"/>
      <c r="B806" s="8">
        <v>526211</v>
      </c>
      <c r="C806" s="8" t="s">
        <v>3352</v>
      </c>
      <c r="D806" s="12">
        <v>9093412</v>
      </c>
      <c r="E806" s="8">
        <v>95.5</v>
      </c>
      <c r="F806" s="8">
        <f ca="1">IFERROR(__xludf.DUMMYFUNCTION("GOOGLEFINANCE(""BOM:"" &amp; B806,""price"")"),78.5)</f>
        <v>78.5</v>
      </c>
      <c r="G806" s="8">
        <f t="shared" ca="1" si="273"/>
        <v>-17.801047120418847</v>
      </c>
      <c r="H806" s="12">
        <f t="shared" si="274"/>
        <v>868420846</v>
      </c>
      <c r="I806" s="13">
        <f t="shared" ca="1" si="275"/>
        <v>713832842</v>
      </c>
      <c r="J806" s="63"/>
      <c r="K806" s="8">
        <v>532375</v>
      </c>
      <c r="L806" s="8" t="s">
        <v>3353</v>
      </c>
      <c r="M806" s="12">
        <v>128356020</v>
      </c>
      <c r="N806" s="10">
        <v>507.75</v>
      </c>
      <c r="O806" s="10">
        <f ca="1">IFERROR(__xludf.DUMMYFUNCTION("GOOGLEFINANCE(""BOM:"" &amp; K806,""price"")"),461.7)</f>
        <v>461.7</v>
      </c>
      <c r="P806" s="8">
        <f t="shared" ca="1" si="269"/>
        <v>-9.0694239290989689</v>
      </c>
      <c r="Q806" s="12">
        <f t="shared" si="270"/>
        <v>65172769155</v>
      </c>
      <c r="R806" s="13">
        <f t="shared" ca="1" si="271"/>
        <v>59261974434</v>
      </c>
      <c r="S806" s="63"/>
      <c r="T806" s="8">
        <v>516016</v>
      </c>
      <c r="U806" s="8" t="s">
        <v>3354</v>
      </c>
      <c r="V806" s="12">
        <v>13388137</v>
      </c>
      <c r="W806" s="8">
        <v>246.8</v>
      </c>
      <c r="X806" s="11">
        <f ca="1">IFERROR(__xludf.DUMMYFUNCTION("GOOGLEFINANCE(""BOM:"" &amp; T806,""price"")"),216.9)</f>
        <v>216.9</v>
      </c>
      <c r="Y806" s="8">
        <f t="shared" ca="1" si="282"/>
        <v>-12.115072933549435</v>
      </c>
      <c r="Z806" s="12">
        <f t="shared" si="283"/>
        <v>3304192211.6000004</v>
      </c>
      <c r="AA806" s="13">
        <f t="shared" ca="1" si="284"/>
        <v>2903886915.3000002</v>
      </c>
      <c r="AB806" s="63"/>
      <c r="AC806" s="8">
        <v>531402</v>
      </c>
      <c r="AD806" s="8" t="s">
        <v>3355</v>
      </c>
      <c r="AE806" s="12">
        <v>3467600</v>
      </c>
      <c r="AF806" s="8">
        <v>38.86</v>
      </c>
      <c r="AG806" s="8">
        <f ca="1">IFERROR(__xludf.DUMMYFUNCTION("GOOGLEFINANCE(""BOM:"" &amp; AC806,""price"")"),32.38)</f>
        <v>32.380000000000003</v>
      </c>
      <c r="AH806" s="8">
        <f t="shared" ca="1" si="279"/>
        <v>-16.675244467318574</v>
      </c>
      <c r="AI806" s="12">
        <f t="shared" si="280"/>
        <v>134750936</v>
      </c>
      <c r="AJ806" s="13">
        <f t="shared" ca="1" si="281"/>
        <v>112280888.00000001</v>
      </c>
    </row>
    <row r="807" spans="1:36" x14ac:dyDescent="0.25">
      <c r="A807" s="63"/>
      <c r="B807" s="8">
        <v>543373</v>
      </c>
      <c r="C807" s="8" t="s">
        <v>3356</v>
      </c>
      <c r="D807" s="12">
        <v>22119328</v>
      </c>
      <c r="E807" s="8">
        <v>84.5</v>
      </c>
      <c r="F807" s="8">
        <f ca="1">IFERROR(__xludf.DUMMYFUNCTION("GOOGLEFINANCE(""BOM:"" &amp; B807,""price"")"),72)</f>
        <v>72</v>
      </c>
      <c r="G807" s="8">
        <f t="shared" ca="1" si="273"/>
        <v>-14.792899408284024</v>
      </c>
      <c r="H807" s="12">
        <f t="shared" si="274"/>
        <v>1869083216</v>
      </c>
      <c r="I807" s="13">
        <f t="shared" ca="1" si="275"/>
        <v>1592591616</v>
      </c>
      <c r="J807" s="64"/>
      <c r="K807" s="14">
        <v>532035</v>
      </c>
      <c r="L807" s="14" t="s">
        <v>3357</v>
      </c>
      <c r="M807" s="15">
        <v>9976335</v>
      </c>
      <c r="N807" s="17">
        <v>11.58</v>
      </c>
      <c r="O807" s="17">
        <f ca="1">IFERROR(__xludf.DUMMYFUNCTION("GOOGLEFINANCE(""BOM:"" &amp; K807,""price"")"),7.3)</f>
        <v>7.3</v>
      </c>
      <c r="P807" s="14">
        <f t="shared" ca="1" si="269"/>
        <v>-36.960276338514682</v>
      </c>
      <c r="Q807" s="15">
        <f t="shared" si="270"/>
        <v>115525959.3</v>
      </c>
      <c r="R807" s="16">
        <f t="shared" ca="1" si="271"/>
        <v>72827245.5</v>
      </c>
      <c r="S807" s="63"/>
      <c r="T807" s="8">
        <v>533019</v>
      </c>
      <c r="U807" s="8" t="s">
        <v>3358</v>
      </c>
      <c r="V807" s="12">
        <v>28736</v>
      </c>
      <c r="W807" s="8">
        <v>1641.5</v>
      </c>
      <c r="X807" s="11">
        <f ca="1">IFERROR(__xludf.DUMMYFUNCTION("GOOGLEFINANCE(""BOM:"" &amp; T807,""price"")"),2045)</f>
        <v>2045</v>
      </c>
      <c r="Y807" s="8">
        <f t="shared" ca="1" si="282"/>
        <v>24.581175753883645</v>
      </c>
      <c r="Z807" s="12">
        <f t="shared" si="283"/>
        <v>47170144</v>
      </c>
      <c r="AA807" s="13">
        <f t="shared" ca="1" si="284"/>
        <v>58765120</v>
      </c>
      <c r="AB807" s="63"/>
      <c r="AC807" s="8">
        <v>530689</v>
      </c>
      <c r="AD807" s="8" t="s">
        <v>3359</v>
      </c>
      <c r="AE807" s="12">
        <v>18923649</v>
      </c>
      <c r="AF807" s="8">
        <v>58.5</v>
      </c>
      <c r="AG807" s="8">
        <f ca="1">IFERROR(__xludf.DUMMYFUNCTION("GOOGLEFINANCE(""BOM:"" &amp; AC807,""price"")"),45.2)</f>
        <v>45.2</v>
      </c>
      <c r="AH807" s="8">
        <f t="shared" ca="1" si="279"/>
        <v>-22.735042735042729</v>
      </c>
      <c r="AI807" s="12">
        <f t="shared" si="280"/>
        <v>1107033466.5</v>
      </c>
      <c r="AJ807" s="13">
        <f t="shared" ca="1" si="281"/>
        <v>855348934.80000007</v>
      </c>
    </row>
    <row r="808" spans="1:36" x14ac:dyDescent="0.25">
      <c r="A808" s="63"/>
      <c r="B808" s="8">
        <v>539132</v>
      </c>
      <c r="C808" s="8" t="s">
        <v>3360</v>
      </c>
      <c r="D808" s="12">
        <v>106818270</v>
      </c>
      <c r="E808" s="8">
        <v>20.48</v>
      </c>
      <c r="F808" s="8">
        <f ca="1">IFERROR(__xludf.DUMMYFUNCTION("GOOGLEFINANCE(""BOM:"" &amp; B808,""price"")"),20.54)</f>
        <v>20.54</v>
      </c>
      <c r="G808" s="8">
        <f t="shared" ca="1" si="273"/>
        <v>0.29296874999999378</v>
      </c>
      <c r="H808" s="12">
        <f t="shared" si="274"/>
        <v>2187638169.5999999</v>
      </c>
      <c r="I808" s="13">
        <f t="shared" ca="1" si="275"/>
        <v>2194047265.7999997</v>
      </c>
      <c r="J808" s="62" t="s">
        <v>3361</v>
      </c>
      <c r="K808" s="6">
        <v>531380</v>
      </c>
      <c r="L808" s="6" t="s">
        <v>3362</v>
      </c>
      <c r="M808" s="7">
        <v>3259600</v>
      </c>
      <c r="N808" s="10">
        <v>101.75</v>
      </c>
      <c r="O808" s="10">
        <f ca="1">IFERROR(__xludf.DUMMYFUNCTION("GOOGLEFINANCE(""BOM:"" &amp; K808,""price"")"),91.45)</f>
        <v>91.45</v>
      </c>
      <c r="P808" s="8">
        <f t="shared" ca="1" si="269"/>
        <v>-10.122850122850121</v>
      </c>
      <c r="Q808" s="7">
        <f t="shared" si="270"/>
        <v>331664300</v>
      </c>
      <c r="R808" s="9">
        <f t="shared" ca="1" si="271"/>
        <v>298090420</v>
      </c>
      <c r="S808" s="63"/>
      <c r="T808" s="8">
        <v>500388</v>
      </c>
      <c r="U808" s="8" t="s">
        <v>3363</v>
      </c>
      <c r="V808" s="12">
        <v>3049454</v>
      </c>
      <c r="W808" s="8">
        <v>42.98</v>
      </c>
      <c r="X808" s="11">
        <f ca="1">IFERROR(__xludf.DUMMYFUNCTION("GOOGLEFINANCE(""BOM:"" &amp; T808,""price"")"),36.69)</f>
        <v>36.69</v>
      </c>
      <c r="Y808" s="8">
        <f t="shared" ca="1" si="282"/>
        <v>-14.634713820381574</v>
      </c>
      <c r="Z808" s="12">
        <f t="shared" si="283"/>
        <v>131065532.91999999</v>
      </c>
      <c r="AA808" s="13">
        <f t="shared" ca="1" si="284"/>
        <v>111884467.25999999</v>
      </c>
      <c r="AB808" s="63"/>
      <c r="AC808" s="8">
        <v>512600</v>
      </c>
      <c r="AD808" s="8" t="s">
        <v>3364</v>
      </c>
      <c r="AE808" s="12">
        <v>3500150</v>
      </c>
      <c r="AF808" s="8">
        <v>38.94</v>
      </c>
      <c r="AG808" s="8">
        <f ca="1">IFERROR(__xludf.DUMMYFUNCTION("GOOGLEFINANCE(""BOM:"" &amp; AC808,""price"")"),40.88)</f>
        <v>40.880000000000003</v>
      </c>
      <c r="AH808" s="8">
        <f t="shared" ca="1" si="279"/>
        <v>4.9820236260914355</v>
      </c>
      <c r="AI808" s="12">
        <f t="shared" si="280"/>
        <v>136295841</v>
      </c>
      <c r="AJ808" s="13">
        <f t="shared" ca="1" si="281"/>
        <v>143086132</v>
      </c>
    </row>
    <row r="809" spans="1:36" x14ac:dyDescent="0.25">
      <c r="A809" s="64"/>
      <c r="B809" s="14">
        <v>531069</v>
      </c>
      <c r="C809" s="14" t="s">
        <v>3365</v>
      </c>
      <c r="D809" s="15">
        <v>2569710</v>
      </c>
      <c r="E809" s="8">
        <v>811</v>
      </c>
      <c r="F809" s="14">
        <f ca="1">IFERROR(__xludf.DUMMYFUNCTION("GOOGLEFINANCE(""BOM:"" &amp; B809,""price"")"),800)</f>
        <v>800</v>
      </c>
      <c r="G809" s="14">
        <f t="shared" ca="1" si="273"/>
        <v>-1.3563501849568433</v>
      </c>
      <c r="H809" s="15">
        <f t="shared" si="274"/>
        <v>2084034810</v>
      </c>
      <c r="I809" s="16">
        <f t="shared" ca="1" si="275"/>
        <v>2055768000</v>
      </c>
      <c r="J809" s="63"/>
      <c r="K809" s="8">
        <v>533212</v>
      </c>
      <c r="L809" s="8" t="s">
        <v>3366</v>
      </c>
      <c r="M809" s="12">
        <v>4984855</v>
      </c>
      <c r="N809" s="10">
        <v>80.989999999999995</v>
      </c>
      <c r="O809" s="10">
        <f ca="1">IFERROR(__xludf.DUMMYFUNCTION("GOOGLEFINANCE(""BOM:"" &amp; K809,""price"")"),88)</f>
        <v>88</v>
      </c>
      <c r="P809" s="8">
        <f t="shared" ca="1" si="269"/>
        <v>8.655389554265966</v>
      </c>
      <c r="Q809" s="12">
        <f t="shared" si="270"/>
        <v>403723406.44999999</v>
      </c>
      <c r="R809" s="13">
        <f t="shared" ca="1" si="271"/>
        <v>438667240</v>
      </c>
      <c r="S809" s="63"/>
      <c r="T809" s="8">
        <v>516022</v>
      </c>
      <c r="U809" s="8" t="s">
        <v>3367</v>
      </c>
      <c r="V809" s="12">
        <v>15516309</v>
      </c>
      <c r="W809" s="8">
        <v>240.55</v>
      </c>
      <c r="X809" s="11">
        <f ca="1">IFERROR(__xludf.DUMMYFUNCTION("GOOGLEFINANCE(""BOM:"" &amp; T809,""price"")"),222.5)</f>
        <v>222.5</v>
      </c>
      <c r="Y809" s="8">
        <f t="shared" ca="1" si="282"/>
        <v>-7.5036374974017921</v>
      </c>
      <c r="Z809" s="12">
        <f t="shared" si="283"/>
        <v>3732448129.9500003</v>
      </c>
      <c r="AA809" s="13">
        <f t="shared" ca="1" si="284"/>
        <v>3452378752.5</v>
      </c>
      <c r="AB809" s="63"/>
      <c r="AC809" s="8">
        <v>505523</v>
      </c>
      <c r="AD809" s="8" t="s">
        <v>3368</v>
      </c>
      <c r="AE809" s="12">
        <v>133369800</v>
      </c>
      <c r="AF809" s="8">
        <v>1.64</v>
      </c>
      <c r="AG809" s="8">
        <f ca="1">IFERROR(__xludf.DUMMYFUNCTION("GOOGLEFINANCE(""BOM:"" &amp; AC809,""price"")"),1.08)</f>
        <v>1.08</v>
      </c>
      <c r="AH809" s="8">
        <f t="shared" ca="1" si="279"/>
        <v>-34.146341463414629</v>
      </c>
      <c r="AI809" s="12">
        <f t="shared" si="280"/>
        <v>218726472</v>
      </c>
      <c r="AJ809" s="13">
        <f t="shared" ca="1" si="281"/>
        <v>144039384</v>
      </c>
    </row>
    <row r="810" spans="1:36" x14ac:dyDescent="0.25">
      <c r="A810" s="62" t="s">
        <v>3369</v>
      </c>
      <c r="B810" s="6">
        <v>532475</v>
      </c>
      <c r="C810" s="6" t="s">
        <v>3370</v>
      </c>
      <c r="D810" s="7">
        <v>57457218</v>
      </c>
      <c r="E810" s="6">
        <v>245.25</v>
      </c>
      <c r="F810" s="8">
        <f ca="1">IFERROR(__xludf.DUMMYFUNCTION("GOOGLEFINANCE(""BOM:"" &amp; B810,""price"")"),230.4)</f>
        <v>230.4</v>
      </c>
      <c r="G810" s="8">
        <f t="shared" ca="1" si="273"/>
        <v>-6.0550458715596305</v>
      </c>
      <c r="H810" s="7">
        <f t="shared" si="274"/>
        <v>14091382714.5</v>
      </c>
      <c r="I810" s="9">
        <f t="shared" ca="1" si="275"/>
        <v>13238143027.200001</v>
      </c>
      <c r="J810" s="63"/>
      <c r="K810" s="8">
        <v>540468</v>
      </c>
      <c r="L810" s="8" t="s">
        <v>3371</v>
      </c>
      <c r="M810" s="12">
        <v>3300000</v>
      </c>
      <c r="N810" s="10">
        <v>121.91</v>
      </c>
      <c r="O810" s="10">
        <f ca="1">IFERROR(__xludf.DUMMYFUNCTION("GOOGLEFINANCE(""BOM:"" &amp; K810,""price"")"),121.91)</f>
        <v>121.91</v>
      </c>
      <c r="P810" s="8">
        <f t="shared" ca="1" si="269"/>
        <v>0</v>
      </c>
      <c r="Q810" s="12">
        <f t="shared" si="270"/>
        <v>402303000</v>
      </c>
      <c r="R810" s="13">
        <f t="shared" ca="1" si="271"/>
        <v>402303000</v>
      </c>
      <c r="S810" s="63"/>
      <c r="T810" s="8">
        <v>516108</v>
      </c>
      <c r="U810" s="8" t="s">
        <v>3372</v>
      </c>
      <c r="V810" s="12">
        <v>14221836</v>
      </c>
      <c r="W810" s="8">
        <v>85</v>
      </c>
      <c r="X810" s="11">
        <f ca="1">IFERROR(__xludf.DUMMYFUNCTION("GOOGLEFINANCE(""BOM:"" &amp; T810,""price"")"),72.66)</f>
        <v>72.66</v>
      </c>
      <c r="Y810" s="8">
        <f t="shared" ca="1" si="282"/>
        <v>-14.517647058823533</v>
      </c>
      <c r="Z810" s="12">
        <f t="shared" si="283"/>
        <v>1208856060</v>
      </c>
      <c r="AA810" s="13">
        <f t="shared" ca="1" si="284"/>
        <v>1033358603.76</v>
      </c>
      <c r="AB810" s="63"/>
      <c r="AC810" s="8">
        <v>531515</v>
      </c>
      <c r="AD810" s="8" t="s">
        <v>3373</v>
      </c>
      <c r="AE810" s="12">
        <v>22972725</v>
      </c>
      <c r="AF810" s="8">
        <v>2.46</v>
      </c>
      <c r="AG810" s="8">
        <f ca="1">IFERROR(__xludf.DUMMYFUNCTION("GOOGLEFINANCE(""BOM:"" &amp; AC810,""price"")"),2.25)</f>
        <v>2.25</v>
      </c>
      <c r="AH810" s="8">
        <f t="shared" ca="1" si="279"/>
        <v>-8.5365853658536572</v>
      </c>
      <c r="AI810" s="12">
        <f t="shared" si="280"/>
        <v>56512903.5</v>
      </c>
      <c r="AJ810" s="13">
        <f t="shared" ca="1" si="281"/>
        <v>51688631.25</v>
      </c>
    </row>
    <row r="811" spans="1:36" x14ac:dyDescent="0.25">
      <c r="A811" s="63"/>
      <c r="B811" s="8">
        <v>543443</v>
      </c>
      <c r="C811" s="8" t="s">
        <v>3374</v>
      </c>
      <c r="D811" s="12">
        <v>3209116</v>
      </c>
      <c r="E811" s="8">
        <v>60.29</v>
      </c>
      <c r="F811" s="8">
        <f ca="1">IFERROR(__xludf.DUMMYFUNCTION("GOOGLEFINANCE(""BOM:"" &amp; B811,""price"")"),65.8)</f>
        <v>65.8</v>
      </c>
      <c r="G811" s="8">
        <f t="shared" ca="1" si="273"/>
        <v>9.1391607231713365</v>
      </c>
      <c r="H811" s="12">
        <f t="shared" si="274"/>
        <v>193477603.63999999</v>
      </c>
      <c r="I811" s="13">
        <f t="shared" ca="1" si="275"/>
        <v>211159832.79999998</v>
      </c>
      <c r="J811" s="63"/>
      <c r="K811" s="8">
        <v>543264</v>
      </c>
      <c r="L811" s="8" t="s">
        <v>3375</v>
      </c>
      <c r="M811" s="12">
        <v>10000175</v>
      </c>
      <c r="N811" s="10">
        <v>340.5</v>
      </c>
      <c r="O811" s="10">
        <f ca="1">IFERROR(__xludf.DUMMYFUNCTION("GOOGLEFINANCE(""BOM:"" &amp; K811,""price"")"),255.15)</f>
        <v>255.15</v>
      </c>
      <c r="P811" s="8">
        <f t="shared" ca="1" si="269"/>
        <v>-25.066079295154182</v>
      </c>
      <c r="Q811" s="12">
        <f t="shared" si="270"/>
        <v>3405059587.5</v>
      </c>
      <c r="R811" s="13">
        <f t="shared" ca="1" si="271"/>
        <v>2551544651.25</v>
      </c>
      <c r="S811" s="63"/>
      <c r="T811" s="8">
        <v>541633</v>
      </c>
      <c r="U811" s="8" t="s">
        <v>3376</v>
      </c>
      <c r="V811" s="12">
        <v>5012547</v>
      </c>
      <c r="W811" s="8">
        <v>12.58</v>
      </c>
      <c r="X811" s="11">
        <f ca="1">IFERROR(__xludf.DUMMYFUNCTION("GOOGLEFINANCE(""BOM:"" &amp; T811,""price"")"),12.58)</f>
        <v>12.58</v>
      </c>
      <c r="Y811" s="8">
        <f t="shared" ca="1" si="282"/>
        <v>0</v>
      </c>
      <c r="Z811" s="12">
        <f t="shared" si="283"/>
        <v>63057841.259999998</v>
      </c>
      <c r="AA811" s="13">
        <f t="shared" ca="1" si="284"/>
        <v>63057841.259999998</v>
      </c>
      <c r="AB811" s="63"/>
      <c r="AC811" s="8">
        <v>512337</v>
      </c>
      <c r="AD811" s="8" t="s">
        <v>3377</v>
      </c>
      <c r="AE811" s="12">
        <v>400000</v>
      </c>
      <c r="AF811" s="8">
        <v>0</v>
      </c>
      <c r="AG811" s="8">
        <f ca="1">IFERROR(__xludf.DUMMYFUNCTION("GOOGLEFINANCE(""BOM:"" &amp; AC811,""price"")"),0)</f>
        <v>0</v>
      </c>
      <c r="AH811" s="8">
        <v>0</v>
      </c>
      <c r="AI811" s="12">
        <f t="shared" si="280"/>
        <v>0</v>
      </c>
      <c r="AJ811" s="13">
        <f t="shared" ca="1" si="281"/>
        <v>0</v>
      </c>
    </row>
    <row r="812" spans="1:36" x14ac:dyDescent="0.25">
      <c r="A812" s="63"/>
      <c r="B812" s="8">
        <v>533260</v>
      </c>
      <c r="C812" s="8" t="s">
        <v>3378</v>
      </c>
      <c r="D812" s="12">
        <v>18192939</v>
      </c>
      <c r="E812" s="8">
        <v>256</v>
      </c>
      <c r="F812" s="8">
        <f ca="1">IFERROR(__xludf.DUMMYFUNCTION("GOOGLEFINANCE(""BOM:"" &amp; B812,""price"")"),282)</f>
        <v>282</v>
      </c>
      <c r="G812" s="8">
        <f t="shared" ca="1" si="273"/>
        <v>10.15625</v>
      </c>
      <c r="H812" s="12">
        <f t="shared" si="274"/>
        <v>4657392384</v>
      </c>
      <c r="I812" s="13">
        <f t="shared" ca="1" si="275"/>
        <v>5130408798</v>
      </c>
      <c r="J812" s="63"/>
      <c r="K812" s="8">
        <v>531768</v>
      </c>
      <c r="L812" s="8" t="s">
        <v>3379</v>
      </c>
      <c r="M812" s="12">
        <v>95656990</v>
      </c>
      <c r="N812" s="10">
        <v>1632</v>
      </c>
      <c r="O812" s="10">
        <f ca="1">IFERROR(__xludf.DUMMYFUNCTION("GOOGLEFINANCE(""BOM:"" &amp; K812,""price"")"),1588.85)</f>
        <v>1588.85</v>
      </c>
      <c r="P812" s="8">
        <f t="shared" ca="1" si="269"/>
        <v>-2.6439950980392211</v>
      </c>
      <c r="Q812" s="12">
        <f t="shared" si="270"/>
        <v>156112207680</v>
      </c>
      <c r="R812" s="13">
        <f t="shared" ca="1" si="271"/>
        <v>151984608561.5</v>
      </c>
      <c r="S812" s="63"/>
      <c r="T812" s="8">
        <v>532070</v>
      </c>
      <c r="U812" s="8" t="s">
        <v>3380</v>
      </c>
      <c r="V812" s="12">
        <v>7065570</v>
      </c>
      <c r="W812" s="8">
        <v>186.45</v>
      </c>
      <c r="X812" s="11">
        <f ca="1">IFERROR(__xludf.DUMMYFUNCTION("GOOGLEFINANCE(""BOM:"" &amp; T812,""price"")"),162)</f>
        <v>162</v>
      </c>
      <c r="Y812" s="8">
        <f t="shared" ca="1" si="282"/>
        <v>-13.113435237329037</v>
      </c>
      <c r="Z812" s="12">
        <f t="shared" si="283"/>
        <v>1317375526.5</v>
      </c>
      <c r="AA812" s="13">
        <f t="shared" ca="1" si="284"/>
        <v>1144622340</v>
      </c>
      <c r="AB812" s="63"/>
      <c r="AC812" s="8">
        <v>540401</v>
      </c>
      <c r="AD812" s="8" t="s">
        <v>3381</v>
      </c>
      <c r="AE812" s="12">
        <v>12572000</v>
      </c>
      <c r="AF812" s="8">
        <v>24.42</v>
      </c>
      <c r="AG812" s="8">
        <f ca="1">IFERROR(__xludf.DUMMYFUNCTION("GOOGLEFINANCE(""BOM:"" &amp; AC812,""price"")"),19.33)</f>
        <v>19.329999999999998</v>
      </c>
      <c r="AH812" s="8">
        <f t="shared" ref="AH812:AH826" ca="1" si="285">((AG812-AF812)/AF812)*100</f>
        <v>-20.843570843570856</v>
      </c>
      <c r="AI812" s="12">
        <f t="shared" si="280"/>
        <v>307008240</v>
      </c>
      <c r="AJ812" s="13">
        <f t="shared" ca="1" si="281"/>
        <v>243016759.99999997</v>
      </c>
    </row>
    <row r="813" spans="1:36" x14ac:dyDescent="0.25">
      <c r="A813" s="63"/>
      <c r="B813" s="8">
        <v>540403</v>
      </c>
      <c r="C813" s="8" t="s">
        <v>3382</v>
      </c>
      <c r="D813" s="12">
        <v>28167150</v>
      </c>
      <c r="E813" s="8">
        <v>84</v>
      </c>
      <c r="F813" s="8">
        <f ca="1">IFERROR(__xludf.DUMMYFUNCTION("GOOGLEFINANCE(""BOM:"" &amp; B813,""price"")"),84)</f>
        <v>84</v>
      </c>
      <c r="G813" s="8">
        <f t="shared" ca="1" si="273"/>
        <v>0</v>
      </c>
      <c r="H813" s="12">
        <f t="shared" si="274"/>
        <v>2366040600</v>
      </c>
      <c r="I813" s="13">
        <f t="shared" ca="1" si="275"/>
        <v>2366040600</v>
      </c>
      <c r="J813" s="63"/>
      <c r="K813" s="8">
        <v>543363</v>
      </c>
      <c r="L813" s="8" t="s">
        <v>3383</v>
      </c>
      <c r="M813" s="12">
        <v>12003000</v>
      </c>
      <c r="N813" s="10">
        <v>395</v>
      </c>
      <c r="O813" s="10">
        <f ca="1">IFERROR(__xludf.DUMMYFUNCTION("GOOGLEFINANCE(""BOM:"" &amp; K813,""price"")"),356.5)</f>
        <v>356.5</v>
      </c>
      <c r="P813" s="8">
        <f t="shared" ca="1" si="269"/>
        <v>-9.7468354430379751</v>
      </c>
      <c r="Q813" s="12">
        <f t="shared" si="270"/>
        <v>4741185000</v>
      </c>
      <c r="R813" s="13">
        <f t="shared" ca="1" si="271"/>
        <v>4279069500</v>
      </c>
      <c r="S813" s="63"/>
      <c r="T813" s="8">
        <v>531426</v>
      </c>
      <c r="U813" s="8" t="s">
        <v>3384</v>
      </c>
      <c r="V813" s="12">
        <v>68411087</v>
      </c>
      <c r="W813" s="8">
        <v>269.10000000000002</v>
      </c>
      <c r="X813" s="11">
        <f ca="1">IFERROR(__xludf.DUMMYFUNCTION("GOOGLEFINANCE(""BOM:"" &amp; T813,""price"")"),246.25)</f>
        <v>246.25</v>
      </c>
      <c r="Y813" s="8">
        <f t="shared" ca="1" si="282"/>
        <v>-8.4912671869193677</v>
      </c>
      <c r="Z813" s="12">
        <f t="shared" si="283"/>
        <v>18409423511.700001</v>
      </c>
      <c r="AA813" s="13">
        <f t="shared" ca="1" si="284"/>
        <v>16846230173.75</v>
      </c>
      <c r="AB813" s="63"/>
      <c r="AC813" s="8">
        <v>540730</v>
      </c>
      <c r="AD813" s="8" t="s">
        <v>3385</v>
      </c>
      <c r="AE813" s="12">
        <v>10710000</v>
      </c>
      <c r="AF813" s="8">
        <v>25</v>
      </c>
      <c r="AG813" s="8">
        <f ca="1">IFERROR(__xludf.DUMMYFUNCTION("GOOGLEFINANCE(""BOM:"" &amp; AC813,""price"")"),19.58)</f>
        <v>19.579999999999998</v>
      </c>
      <c r="AH813" s="8">
        <f t="shared" ca="1" si="285"/>
        <v>-21.680000000000007</v>
      </c>
      <c r="AI813" s="12">
        <f t="shared" si="280"/>
        <v>267750000</v>
      </c>
      <c r="AJ813" s="13">
        <f t="shared" ca="1" si="281"/>
        <v>209701799.99999997</v>
      </c>
    </row>
    <row r="814" spans="1:36" x14ac:dyDescent="0.25">
      <c r="A814" s="63"/>
      <c r="B814" s="8">
        <v>532339</v>
      </c>
      <c r="C814" s="8" t="s">
        <v>3386</v>
      </c>
      <c r="D814" s="12">
        <v>78754348</v>
      </c>
      <c r="E814" s="8">
        <v>30.14</v>
      </c>
      <c r="F814" s="8">
        <f ca="1">IFERROR(__xludf.DUMMYFUNCTION("GOOGLEFINANCE(""BOM:"" &amp; B814,""price"")"),23.5)</f>
        <v>23.5</v>
      </c>
      <c r="G814" s="8">
        <f t="shared" ca="1" si="273"/>
        <v>-22.030524220305246</v>
      </c>
      <c r="H814" s="12">
        <f t="shared" si="274"/>
        <v>2373656048.7200003</v>
      </c>
      <c r="I814" s="13">
        <f t="shared" ca="1" si="275"/>
        <v>1850727178</v>
      </c>
      <c r="J814" s="63"/>
      <c r="K814" s="8">
        <v>527005</v>
      </c>
      <c r="L814" s="8" t="s">
        <v>3387</v>
      </c>
      <c r="M814" s="12">
        <v>2901921</v>
      </c>
      <c r="N814" s="10" t="s">
        <v>44</v>
      </c>
      <c r="O814" s="10" t="s">
        <v>44</v>
      </c>
      <c r="P814" s="8"/>
      <c r="Q814" s="12"/>
      <c r="R814" s="13"/>
      <c r="S814" s="63"/>
      <c r="T814" s="8">
        <v>502589</v>
      </c>
      <c r="U814" s="8" t="s">
        <v>3388</v>
      </c>
      <c r="V814" s="12">
        <v>1079745</v>
      </c>
      <c r="W814" s="8">
        <v>98.7</v>
      </c>
      <c r="X814" s="11">
        <f ca="1">IFERROR(__xludf.DUMMYFUNCTION("GOOGLEFINANCE(""BOM:"" &amp; T814,""price"")"),105.75)</f>
        <v>105.75</v>
      </c>
      <c r="Y814" s="8">
        <f t="shared" ca="1" si="282"/>
        <v>7.1428571428571397</v>
      </c>
      <c r="Z814" s="12">
        <f t="shared" si="283"/>
        <v>106570831.5</v>
      </c>
      <c r="AA814" s="13">
        <f t="shared" ca="1" si="284"/>
        <v>114183033.75</v>
      </c>
      <c r="AB814" s="63"/>
      <c r="AC814" s="8">
        <v>531357</v>
      </c>
      <c r="AD814" s="8" t="s">
        <v>3389</v>
      </c>
      <c r="AE814" s="12">
        <v>4908908</v>
      </c>
      <c r="AF814" s="8">
        <v>90.25</v>
      </c>
      <c r="AG814" s="8">
        <f ca="1">IFERROR(__xludf.DUMMYFUNCTION("GOOGLEFINANCE(""BOM:"" &amp; AC814,""price"")"),79.98)</f>
        <v>79.98</v>
      </c>
      <c r="AH814" s="8">
        <f t="shared" ca="1" si="285"/>
        <v>-11.379501385041548</v>
      </c>
      <c r="AI814" s="12">
        <f t="shared" si="280"/>
        <v>443028947</v>
      </c>
      <c r="AJ814" s="13">
        <f t="shared" ca="1" si="281"/>
        <v>392614461.84000003</v>
      </c>
    </row>
    <row r="815" spans="1:36" x14ac:dyDescent="0.25">
      <c r="A815" s="63"/>
      <c r="B815" s="8">
        <v>532696</v>
      </c>
      <c r="C815" s="8" t="s">
        <v>3390</v>
      </c>
      <c r="D815" s="12">
        <v>122463308</v>
      </c>
      <c r="E815" s="8">
        <v>3.72</v>
      </c>
      <c r="F815" s="8">
        <f ca="1">IFERROR(__xludf.DUMMYFUNCTION("GOOGLEFINANCE(""BOM:"" &amp; B815,""price"")"),3.19)</f>
        <v>3.19</v>
      </c>
      <c r="G815" s="8">
        <f t="shared" ca="1" si="273"/>
        <v>-14.247311827956995</v>
      </c>
      <c r="H815" s="12">
        <f t="shared" si="274"/>
        <v>455563505.76000005</v>
      </c>
      <c r="I815" s="13">
        <f t="shared" ca="1" si="275"/>
        <v>390657952.51999998</v>
      </c>
      <c r="J815" s="63"/>
      <c r="K815" s="8">
        <v>543399</v>
      </c>
      <c r="L815" s="8" t="s">
        <v>3391</v>
      </c>
      <c r="M815" s="12">
        <v>53206281</v>
      </c>
      <c r="N815" s="10">
        <v>466.5</v>
      </c>
      <c r="O815" s="10">
        <f ca="1">IFERROR(__xludf.DUMMYFUNCTION("GOOGLEFINANCE(""BOM:"" &amp; K815,""price"")"),392.5)</f>
        <v>392.5</v>
      </c>
      <c r="P815" s="8">
        <f t="shared" ref="P815:P866" ca="1" si="286">((O815-N815)/N815)*100</f>
        <v>-15.862808145766344</v>
      </c>
      <c r="Q815" s="12">
        <f t="shared" ref="Q815:Q816" si="287">M815*N815</f>
        <v>24820730086.5</v>
      </c>
      <c r="R815" s="13">
        <f t="shared" ref="R815:R816" ca="1" si="288">M815*O815</f>
        <v>20883465292.5</v>
      </c>
      <c r="S815" s="63"/>
      <c r="T815" s="8">
        <v>500444</v>
      </c>
      <c r="U815" s="8" t="s">
        <v>3392</v>
      </c>
      <c r="V815" s="12">
        <v>65100259</v>
      </c>
      <c r="W815" s="8">
        <v>630</v>
      </c>
      <c r="X815" s="11">
        <f ca="1">IFERROR(__xludf.DUMMYFUNCTION("GOOGLEFINANCE(""BOM:"" &amp; T815,""price"")"),593)</f>
        <v>593</v>
      </c>
      <c r="Y815" s="8">
        <f t="shared" ca="1" si="282"/>
        <v>-5.8730158730158726</v>
      </c>
      <c r="Z815" s="12">
        <f t="shared" si="283"/>
        <v>41013163170</v>
      </c>
      <c r="AA815" s="13">
        <f t="shared" ca="1" si="284"/>
        <v>38604453587</v>
      </c>
      <c r="AB815" s="63"/>
      <c r="AC815" s="8">
        <v>500159</v>
      </c>
      <c r="AD815" s="8" t="s">
        <v>3393</v>
      </c>
      <c r="AE815" s="12">
        <v>12142711</v>
      </c>
      <c r="AF815" s="8">
        <v>158.5</v>
      </c>
      <c r="AG815" s="8">
        <f ca="1">IFERROR(__xludf.DUMMYFUNCTION("GOOGLEFINANCE(""BOM:"" &amp; AC815,""price"")"),135)</f>
        <v>135</v>
      </c>
      <c r="AH815" s="8">
        <f t="shared" ca="1" si="285"/>
        <v>-14.826498422712934</v>
      </c>
      <c r="AI815" s="12">
        <f t="shared" si="280"/>
        <v>1924619693.5</v>
      </c>
      <c r="AJ815" s="13">
        <f t="shared" ca="1" si="281"/>
        <v>1639265985</v>
      </c>
    </row>
    <row r="816" spans="1:36" x14ac:dyDescent="0.25">
      <c r="A816" s="63"/>
      <c r="B816" s="8">
        <v>540062</v>
      </c>
      <c r="C816" s="8" t="s">
        <v>3394</v>
      </c>
      <c r="D816" s="12">
        <v>4890350</v>
      </c>
      <c r="E816" s="8">
        <v>77.430000000000007</v>
      </c>
      <c r="F816" s="8">
        <f ca="1">IFERROR(__xludf.DUMMYFUNCTION("GOOGLEFINANCE(""BOM:"" &amp; B816,""price"")"),77.43)</f>
        <v>77.430000000000007</v>
      </c>
      <c r="G816" s="8">
        <f t="shared" ca="1" si="273"/>
        <v>0</v>
      </c>
      <c r="H816" s="12">
        <f t="shared" si="274"/>
        <v>378659800.50000006</v>
      </c>
      <c r="I816" s="13">
        <f t="shared" ca="1" si="275"/>
        <v>378659800.50000006</v>
      </c>
      <c r="J816" s="64"/>
      <c r="K816" s="14">
        <v>542765</v>
      </c>
      <c r="L816" s="14" t="s">
        <v>3395</v>
      </c>
      <c r="M816" s="15">
        <v>320195</v>
      </c>
      <c r="N816" s="17">
        <v>414.9</v>
      </c>
      <c r="O816" s="17">
        <f ca="1">IFERROR(__xludf.DUMMYFUNCTION("GOOGLEFINANCE(""BOM:"" &amp; K816,""price"")"),394.2)</f>
        <v>394.2</v>
      </c>
      <c r="P816" s="14">
        <f t="shared" ca="1" si="286"/>
        <v>-4.9891540130151819</v>
      </c>
      <c r="Q816" s="15">
        <f t="shared" si="287"/>
        <v>132848905.5</v>
      </c>
      <c r="R816" s="16">
        <f t="shared" ca="1" si="288"/>
        <v>126220869</v>
      </c>
      <c r="S816" s="64"/>
      <c r="T816" s="14">
        <v>516030</v>
      </c>
      <c r="U816" s="14" t="s">
        <v>3396</v>
      </c>
      <c r="V816" s="15">
        <v>34756572</v>
      </c>
      <c r="W816" s="14">
        <v>323.60000000000002</v>
      </c>
      <c r="X816" s="26">
        <f ca="1">IFERROR(__xludf.DUMMYFUNCTION("GOOGLEFINANCE(""BOM:"" &amp; T816,""price"")"),290.65)</f>
        <v>290.64999999999998</v>
      </c>
      <c r="Y816" s="14">
        <f t="shared" ca="1" si="282"/>
        <v>-10.182323856613117</v>
      </c>
      <c r="Z816" s="15">
        <f t="shared" si="283"/>
        <v>11247226699.200001</v>
      </c>
      <c r="AA816" s="16">
        <f t="shared" ca="1" si="284"/>
        <v>10101997651.799999</v>
      </c>
      <c r="AB816" s="63"/>
      <c r="AC816" s="8">
        <v>538895</v>
      </c>
      <c r="AD816" s="8" t="s">
        <v>3397</v>
      </c>
      <c r="AE816" s="12">
        <v>5013855</v>
      </c>
      <c r="AF816" s="8">
        <v>25.8</v>
      </c>
      <c r="AG816" s="8">
        <v>25.8</v>
      </c>
      <c r="AH816" s="8">
        <f t="shared" si="285"/>
        <v>0</v>
      </c>
      <c r="AI816" s="12">
        <f t="shared" si="280"/>
        <v>129357459</v>
      </c>
      <c r="AJ816" s="13">
        <f t="shared" si="281"/>
        <v>129357459</v>
      </c>
    </row>
    <row r="817" spans="1:36" x14ac:dyDescent="0.25">
      <c r="A817" s="63"/>
      <c r="B817" s="8">
        <v>542592</v>
      </c>
      <c r="C817" s="8" t="s">
        <v>3398</v>
      </c>
      <c r="D817" s="12">
        <v>613000</v>
      </c>
      <c r="E817" s="8">
        <v>429</v>
      </c>
      <c r="F817" s="8">
        <f ca="1">IFERROR(__xludf.DUMMYFUNCTION("GOOGLEFINANCE(""BOM:"" &amp; B817,""price"")"),378)</f>
        <v>378</v>
      </c>
      <c r="G817" s="8">
        <f t="shared" ca="1" si="273"/>
        <v>-11.888111888111888</v>
      </c>
      <c r="H817" s="12">
        <f t="shared" si="274"/>
        <v>262977000</v>
      </c>
      <c r="I817" s="13">
        <f t="shared" ca="1" si="275"/>
        <v>231714000</v>
      </c>
      <c r="J817" s="62" t="s">
        <v>3399</v>
      </c>
      <c r="K817" s="6">
        <v>533570</v>
      </c>
      <c r="L817" s="6" t="s">
        <v>3400</v>
      </c>
      <c r="M817" s="7"/>
      <c r="N817" s="10">
        <v>53.2</v>
      </c>
      <c r="O817" s="10">
        <f ca="1">IFERROR(__xludf.DUMMYFUNCTION("GOOGLEFINANCE(""BOM:"" &amp; K817,""price"")"),56.8)</f>
        <v>56.8</v>
      </c>
      <c r="P817" s="8">
        <f t="shared" ca="1" si="286"/>
        <v>6.766917293233071</v>
      </c>
      <c r="Q817" s="66" t="s">
        <v>3401</v>
      </c>
      <c r="R817" s="9">
        <f t="shared" ref="R817:R840" ca="1" si="289">((O817-N817)/N817)*100</f>
        <v>6.766917293233071</v>
      </c>
      <c r="S817" s="62" t="s">
        <v>3402</v>
      </c>
      <c r="T817" s="6">
        <v>500033</v>
      </c>
      <c r="U817" s="6" t="s">
        <v>3403</v>
      </c>
      <c r="V817" s="7">
        <v>12882858</v>
      </c>
      <c r="W817" s="8">
        <v>6766.6</v>
      </c>
      <c r="X817" s="11">
        <v>6766.6</v>
      </c>
      <c r="Y817" s="8">
        <f t="shared" si="282"/>
        <v>0</v>
      </c>
      <c r="Z817" s="7">
        <f t="shared" si="283"/>
        <v>87173146942.800003</v>
      </c>
      <c r="AA817" s="9">
        <f t="shared" si="284"/>
        <v>87173146942.800003</v>
      </c>
      <c r="AB817" s="63"/>
      <c r="AC817" s="8">
        <v>523782</v>
      </c>
      <c r="AD817" s="8" t="s">
        <v>3404</v>
      </c>
      <c r="AE817" s="12">
        <v>5394040</v>
      </c>
      <c r="AF817" s="8">
        <v>25.98</v>
      </c>
      <c r="AG817" s="8">
        <f ca="1">IFERROR(__xludf.DUMMYFUNCTION("GOOGLEFINANCE(""BOM:"" &amp; AC817,""price"")"),23.5)</f>
        <v>23.5</v>
      </c>
      <c r="AH817" s="8">
        <f t="shared" ca="1" si="285"/>
        <v>-9.5458044649730578</v>
      </c>
      <c r="AI817" s="12">
        <f t="shared" si="280"/>
        <v>140137159.19999999</v>
      </c>
      <c r="AJ817" s="13">
        <f t="shared" ca="1" si="281"/>
        <v>126759940</v>
      </c>
    </row>
    <row r="818" spans="1:36" x14ac:dyDescent="0.25">
      <c r="A818" s="63"/>
      <c r="B818" s="8">
        <v>508918</v>
      </c>
      <c r="C818" s="8" t="s">
        <v>3405</v>
      </c>
      <c r="D818" s="12">
        <v>7891006</v>
      </c>
      <c r="E818" s="8">
        <v>26.44</v>
      </c>
      <c r="F818" s="8">
        <f ca="1">IFERROR(__xludf.DUMMYFUNCTION("GOOGLEFINANCE(""BOM:"" &amp; B818,""price"")"),23.77)</f>
        <v>23.77</v>
      </c>
      <c r="G818" s="8">
        <f t="shared" ca="1" si="273"/>
        <v>-10.098335854765512</v>
      </c>
      <c r="H818" s="12">
        <f t="shared" si="274"/>
        <v>208638198.64000002</v>
      </c>
      <c r="I818" s="13">
        <f t="shared" ca="1" si="275"/>
        <v>187569212.62</v>
      </c>
      <c r="J818" s="63"/>
      <c r="K818" s="8">
        <v>590106</v>
      </c>
      <c r="L818" s="8" t="s">
        <v>3406</v>
      </c>
      <c r="M818" s="12"/>
      <c r="N818" s="10">
        <v>481.3</v>
      </c>
      <c r="O818" s="10">
        <f ca="1">IFERROR(__xludf.DUMMYFUNCTION("GOOGLEFINANCE(""BOM:"" &amp; K818,""price"")"),481.02)</f>
        <v>481.02</v>
      </c>
      <c r="P818" s="8">
        <f t="shared" ca="1" si="286"/>
        <v>-5.817577394557024E-2</v>
      </c>
      <c r="Q818" s="67"/>
      <c r="R818" s="13">
        <f t="shared" ca="1" si="289"/>
        <v>-5.817577394557024E-2</v>
      </c>
      <c r="S818" s="63"/>
      <c r="T818" s="8">
        <v>500500</v>
      </c>
      <c r="U818" s="8" t="s">
        <v>3407</v>
      </c>
      <c r="V818" s="12">
        <v>202267276</v>
      </c>
      <c r="W818" s="8">
        <v>18.3</v>
      </c>
      <c r="X818" s="11">
        <f ca="1">IFERROR(__xludf.DUMMYFUNCTION("GOOGLEFINANCE(""BOM:"" &amp; T818,""price"")"),16.65)</f>
        <v>16.649999999999999</v>
      </c>
      <c r="Y818" s="8">
        <f t="shared" ca="1" si="282"/>
        <v>-9.0163934426229631</v>
      </c>
      <c r="Z818" s="12">
        <f t="shared" si="283"/>
        <v>3701491150.8000002</v>
      </c>
      <c r="AA818" s="13">
        <f t="shared" ca="1" si="284"/>
        <v>3367750145.3999996</v>
      </c>
      <c r="AB818" s="63"/>
      <c r="AC818" s="8">
        <v>513377</v>
      </c>
      <c r="AD818" s="8" t="s">
        <v>3408</v>
      </c>
      <c r="AE818" s="12">
        <v>1499996219</v>
      </c>
      <c r="AF818" s="8">
        <v>78.09</v>
      </c>
      <c r="AG818" s="8">
        <f ca="1">IFERROR(__xludf.DUMMYFUNCTION("GOOGLEFINANCE(""BOM:"" &amp; AC818,""price"")"),66.41)</f>
        <v>66.41</v>
      </c>
      <c r="AH818" s="8">
        <f t="shared" ca="1" si="285"/>
        <v>-14.957100781149963</v>
      </c>
      <c r="AI818" s="12">
        <f t="shared" si="280"/>
        <v>117134704741.71001</v>
      </c>
      <c r="AJ818" s="13">
        <f t="shared" ca="1" si="281"/>
        <v>99614748903.789993</v>
      </c>
    </row>
    <row r="819" spans="1:36" x14ac:dyDescent="0.25">
      <c r="A819" s="63"/>
      <c r="B819" s="8">
        <v>526677</v>
      </c>
      <c r="C819" s="8" t="s">
        <v>3409</v>
      </c>
      <c r="D819" s="12">
        <v>51537062</v>
      </c>
      <c r="E819" s="8">
        <v>5.65</v>
      </c>
      <c r="F819" s="8">
        <f ca="1">IFERROR(__xludf.DUMMYFUNCTION("GOOGLEFINANCE(""BOM:"" &amp; B819,""price"")"),3.75)</f>
        <v>3.75</v>
      </c>
      <c r="G819" s="8">
        <f t="shared" ca="1" si="273"/>
        <v>-33.628318584070797</v>
      </c>
      <c r="H819" s="12">
        <f t="shared" si="274"/>
        <v>291184400.30000001</v>
      </c>
      <c r="I819" s="13">
        <f t="shared" ca="1" si="275"/>
        <v>193263982.5</v>
      </c>
      <c r="J819" s="63"/>
      <c r="K819" s="8">
        <v>533408</v>
      </c>
      <c r="L819" s="8" t="s">
        <v>3410</v>
      </c>
      <c r="M819" s="12"/>
      <c r="N819" s="10">
        <v>55.72</v>
      </c>
      <c r="O819" s="10">
        <f ca="1">IFERROR(__xludf.DUMMYFUNCTION("GOOGLEFINANCE(""BOM:"" &amp; K819,""price"")"),59.55)</f>
        <v>59.55</v>
      </c>
      <c r="P819" s="8">
        <f t="shared" ca="1" si="286"/>
        <v>6.8736539842067454</v>
      </c>
      <c r="Q819" s="67"/>
      <c r="R819" s="13">
        <f t="shared" ca="1" si="289"/>
        <v>6.8736539842067454</v>
      </c>
      <c r="S819" s="63"/>
      <c r="T819" s="8">
        <v>500520</v>
      </c>
      <c r="U819" s="8" t="s">
        <v>3411</v>
      </c>
      <c r="V819" s="12">
        <v>1238272361</v>
      </c>
      <c r="W819" s="8">
        <v>1972.65</v>
      </c>
      <c r="X819" s="11">
        <f ca="1">IFERROR(__xludf.DUMMYFUNCTION("GOOGLEFINANCE(""BOM:"" &amp; T819,""price"")"),1921.35)</f>
        <v>1921.35</v>
      </c>
      <c r="Y819" s="8">
        <f t="shared" ca="1" si="282"/>
        <v>-2.6005626948521114</v>
      </c>
      <c r="Z819" s="12">
        <f t="shared" si="283"/>
        <v>2442677972926.6499</v>
      </c>
      <c r="AA819" s="13">
        <f t="shared" ca="1" si="284"/>
        <v>2379154600807.3501</v>
      </c>
      <c r="AB819" s="63"/>
      <c r="AC819" s="8">
        <v>503772</v>
      </c>
      <c r="AD819" s="8" t="s">
        <v>3412</v>
      </c>
      <c r="AE819" s="12">
        <v>681511</v>
      </c>
      <c r="AF819" s="8">
        <v>72.010000000000005</v>
      </c>
      <c r="AG819" s="8">
        <f ca="1">IFERROR(__xludf.DUMMYFUNCTION("GOOGLEFINANCE(""BOM:"" &amp; AC819,""price"")"),79.8)</f>
        <v>79.8</v>
      </c>
      <c r="AH819" s="8">
        <f t="shared" ca="1" si="285"/>
        <v>10.817941952506585</v>
      </c>
      <c r="AI819" s="12">
        <f t="shared" si="280"/>
        <v>49075607.110000007</v>
      </c>
      <c r="AJ819" s="13">
        <f t="shared" ca="1" si="281"/>
        <v>54384577.799999997</v>
      </c>
    </row>
    <row r="820" spans="1:36" x14ac:dyDescent="0.25">
      <c r="A820" s="63"/>
      <c r="B820" s="8">
        <v>543289</v>
      </c>
      <c r="C820" s="8" t="s">
        <v>3413</v>
      </c>
      <c r="D820" s="12">
        <v>2106536</v>
      </c>
      <c r="E820" s="8">
        <v>16.82</v>
      </c>
      <c r="F820" s="8">
        <f ca="1">IFERROR(__xludf.DUMMYFUNCTION("GOOGLEFINANCE(""BOM:"" &amp; B820,""price"")"),13.75)</f>
        <v>13.75</v>
      </c>
      <c r="G820" s="8">
        <f t="shared" ca="1" si="273"/>
        <v>-18.252080856123666</v>
      </c>
      <c r="H820" s="12">
        <f t="shared" si="274"/>
        <v>35431935.520000003</v>
      </c>
      <c r="I820" s="13">
        <f t="shared" ca="1" si="275"/>
        <v>28964870</v>
      </c>
      <c r="J820" s="63"/>
      <c r="K820" s="8">
        <v>590095</v>
      </c>
      <c r="L820" s="8" t="s">
        <v>3414</v>
      </c>
      <c r="M820" s="12"/>
      <c r="N820" s="10">
        <v>52.91</v>
      </c>
      <c r="O820" s="10">
        <f ca="1">IFERROR(__xludf.DUMMYFUNCTION("GOOGLEFINANCE(""BOM:"" &amp; K820,""price"")"),56.63)</f>
        <v>56.63</v>
      </c>
      <c r="P820" s="8">
        <f t="shared" ca="1" si="286"/>
        <v>7.0308070308070434</v>
      </c>
      <c r="Q820" s="67"/>
      <c r="R820" s="13">
        <f t="shared" ca="1" si="289"/>
        <v>7.0308070308070434</v>
      </c>
      <c r="S820" s="63"/>
      <c r="T820" s="8">
        <v>532500</v>
      </c>
      <c r="U820" s="8" t="s">
        <v>3415</v>
      </c>
      <c r="V820" s="12">
        <v>302078919</v>
      </c>
      <c r="W820" s="8">
        <v>11608.05</v>
      </c>
      <c r="X820" s="11">
        <f ca="1">IFERROR(__xludf.DUMMYFUNCTION("GOOGLEFINANCE(""BOM:"" &amp; T820,""price"")"),12613.1)</f>
        <v>12613.1</v>
      </c>
      <c r="Y820" s="8">
        <f t="shared" ca="1" si="282"/>
        <v>8.6582156348396246</v>
      </c>
      <c r="Z820" s="12">
        <f t="shared" si="283"/>
        <v>3506547195697.9497</v>
      </c>
      <c r="AA820" s="13">
        <f t="shared" ca="1" si="284"/>
        <v>3810151613238.8999</v>
      </c>
      <c r="AB820" s="63"/>
      <c r="AC820" s="8">
        <v>540809</v>
      </c>
      <c r="AD820" s="8" t="s">
        <v>3416</v>
      </c>
      <c r="AE820" s="12">
        <v>10420900</v>
      </c>
      <c r="AF820" s="8">
        <v>12.4</v>
      </c>
      <c r="AG820" s="8">
        <f ca="1">IFERROR(__xludf.DUMMYFUNCTION("GOOGLEFINANCE(""BOM:"" &amp; AC820,""price"")"),11.35)</f>
        <v>11.35</v>
      </c>
      <c r="AH820" s="8">
        <f t="shared" ca="1" si="285"/>
        <v>-8.4677419354838754</v>
      </c>
      <c r="AI820" s="12">
        <f t="shared" si="280"/>
        <v>129219160</v>
      </c>
      <c r="AJ820" s="13">
        <f t="shared" ca="1" si="281"/>
        <v>118277215</v>
      </c>
    </row>
    <row r="821" spans="1:36" x14ac:dyDescent="0.25">
      <c r="A821" s="63"/>
      <c r="B821" s="8">
        <v>539682</v>
      </c>
      <c r="C821" s="8" t="s">
        <v>3417</v>
      </c>
      <c r="D821" s="12">
        <v>8534750</v>
      </c>
      <c r="E821" s="8">
        <v>58.28</v>
      </c>
      <c r="F821" s="8">
        <f ca="1">IFERROR(__xludf.DUMMYFUNCTION("GOOGLEFINANCE(""BOM:"" &amp; B821,""price"")"),67.45)</f>
        <v>67.45</v>
      </c>
      <c r="G821" s="8">
        <f t="shared" ca="1" si="273"/>
        <v>15.734385724090599</v>
      </c>
      <c r="H821" s="12">
        <f t="shared" si="274"/>
        <v>497405230</v>
      </c>
      <c r="I821" s="13">
        <f t="shared" ca="1" si="275"/>
        <v>575668887.5</v>
      </c>
      <c r="J821" s="63"/>
      <c r="K821" s="8">
        <v>590101</v>
      </c>
      <c r="L821" s="8" t="s">
        <v>3418</v>
      </c>
      <c r="M821" s="12"/>
      <c r="N821" s="10">
        <v>53.08</v>
      </c>
      <c r="O821" s="10">
        <f ca="1">IFERROR(__xludf.DUMMYFUNCTION("GOOGLEFINANCE(""BOM:"" &amp; K821,""price"")"),56.85)</f>
        <v>56.85</v>
      </c>
      <c r="P821" s="8">
        <f t="shared" ca="1" si="286"/>
        <v>7.1024868123587108</v>
      </c>
      <c r="Q821" s="67"/>
      <c r="R821" s="13">
        <f t="shared" ca="1" si="289"/>
        <v>7.1024868123587108</v>
      </c>
      <c r="S821" s="63"/>
      <c r="T821" s="8">
        <v>532439</v>
      </c>
      <c r="U821" s="8" t="s">
        <v>3419</v>
      </c>
      <c r="V821" s="12">
        <v>82009269</v>
      </c>
      <c r="W821" s="8">
        <v>1962.05</v>
      </c>
      <c r="X821" s="11">
        <f ca="1">IFERROR(__xludf.DUMMYFUNCTION("GOOGLEFINANCE(""BOM:"" &amp; T821,""price"")"),1889)</f>
        <v>1889</v>
      </c>
      <c r="Y821" s="8">
        <f t="shared" ca="1" si="282"/>
        <v>-3.7231467087994679</v>
      </c>
      <c r="Z821" s="12">
        <f t="shared" si="283"/>
        <v>160906286241.44998</v>
      </c>
      <c r="AA821" s="13">
        <f t="shared" ca="1" si="284"/>
        <v>154915509141</v>
      </c>
      <c r="AB821" s="63"/>
      <c r="AC821" s="8">
        <v>542597</v>
      </c>
      <c r="AD821" s="8" t="s">
        <v>3420</v>
      </c>
      <c r="AE821" s="12">
        <v>70163050</v>
      </c>
      <c r="AF821" s="8">
        <v>963.55</v>
      </c>
      <c r="AG821" s="8">
        <f ca="1">IFERROR(__xludf.DUMMYFUNCTION("GOOGLEFINANCE(""BOM:"" &amp; AC821,""price"")"),833.9)</f>
        <v>833.9</v>
      </c>
      <c r="AH821" s="8">
        <f t="shared" ca="1" si="285"/>
        <v>-13.455451196097762</v>
      </c>
      <c r="AI821" s="12">
        <f t="shared" si="280"/>
        <v>67605606827.5</v>
      </c>
      <c r="AJ821" s="13">
        <f t="shared" ca="1" si="281"/>
        <v>58508967395</v>
      </c>
    </row>
    <row r="822" spans="1:36" x14ac:dyDescent="0.25">
      <c r="A822" s="63"/>
      <c r="B822" s="8">
        <v>534312</v>
      </c>
      <c r="C822" s="8" t="s">
        <v>3421</v>
      </c>
      <c r="D822" s="12">
        <v>72190847</v>
      </c>
      <c r="E822" s="8">
        <v>3.9</v>
      </c>
      <c r="F822" s="8">
        <f ca="1">IFERROR(__xludf.DUMMYFUNCTION("GOOGLEFINANCE(""BOM:"" &amp; B822,""price"")"),3.18)</f>
        <v>3.18</v>
      </c>
      <c r="G822" s="8">
        <f t="shared" ca="1" si="273"/>
        <v>-18.461538461538453</v>
      </c>
      <c r="H822" s="12">
        <f t="shared" si="274"/>
        <v>281544303.30000001</v>
      </c>
      <c r="I822" s="13">
        <f t="shared" ca="1" si="275"/>
        <v>229566893.46000001</v>
      </c>
      <c r="J822" s="63"/>
      <c r="K822" s="8">
        <v>533230</v>
      </c>
      <c r="L822" s="8" t="s">
        <v>3422</v>
      </c>
      <c r="M822" s="12"/>
      <c r="N822" s="10">
        <v>54.4</v>
      </c>
      <c r="O822" s="10">
        <f ca="1">IFERROR(__xludf.DUMMYFUNCTION("GOOGLEFINANCE(""BOM:"" &amp; K822,""price"")"),58.36)</f>
        <v>58.36</v>
      </c>
      <c r="P822" s="8">
        <f t="shared" ca="1" si="286"/>
        <v>7.279411764705884</v>
      </c>
      <c r="Q822" s="67"/>
      <c r="R822" s="13">
        <f t="shared" ca="1" si="289"/>
        <v>7.279411764705884</v>
      </c>
      <c r="S822" s="63"/>
      <c r="T822" s="8">
        <v>500570</v>
      </c>
      <c r="U822" s="8" t="s">
        <v>3423</v>
      </c>
      <c r="V822" s="12">
        <v>3305505465</v>
      </c>
      <c r="W822" s="8">
        <v>977.2</v>
      </c>
      <c r="X822" s="11">
        <f ca="1">IFERROR(__xludf.DUMMYFUNCTION("GOOGLEFINANCE(""BOM:"" &amp; T822,""price"")"),993)</f>
        <v>993</v>
      </c>
      <c r="Y822" s="8">
        <f t="shared" ca="1" si="282"/>
        <v>1.6168645108473143</v>
      </c>
      <c r="Z822" s="12">
        <f t="shared" si="283"/>
        <v>3230139940398</v>
      </c>
      <c r="AA822" s="13">
        <f t="shared" ca="1" si="284"/>
        <v>3282366926745</v>
      </c>
      <c r="AB822" s="63"/>
      <c r="AC822" s="8">
        <v>535204</v>
      </c>
      <c r="AD822" s="8" t="s">
        <v>3424</v>
      </c>
      <c r="AE822" s="12">
        <v>13732474</v>
      </c>
      <c r="AF822" s="8">
        <v>4.07</v>
      </c>
      <c r="AG822" s="8">
        <f ca="1">IFERROR(__xludf.DUMMYFUNCTION("GOOGLEFINANCE(""BOM:"" &amp; AC822,""price"")"),3.33)</f>
        <v>3.33</v>
      </c>
      <c r="AH822" s="8">
        <f t="shared" ca="1" si="285"/>
        <v>-18.181818181818183</v>
      </c>
      <c r="AI822" s="12">
        <f t="shared" si="280"/>
        <v>55891169.180000007</v>
      </c>
      <c r="AJ822" s="13">
        <f t="shared" ca="1" si="281"/>
        <v>45729138.420000002</v>
      </c>
    </row>
    <row r="823" spans="1:36" x14ac:dyDescent="0.25">
      <c r="A823" s="63"/>
      <c r="B823" s="8">
        <v>532357</v>
      </c>
      <c r="C823" s="8" t="s">
        <v>3425</v>
      </c>
      <c r="D823" s="12">
        <v>22575296</v>
      </c>
      <c r="E823" s="8">
        <v>82</v>
      </c>
      <c r="F823" s="8">
        <f ca="1">IFERROR(__xludf.DUMMYFUNCTION("GOOGLEFINANCE(""BOM:"" &amp; B823,""price"")"),73.56)</f>
        <v>73.56</v>
      </c>
      <c r="G823" s="8">
        <f t="shared" ca="1" si="273"/>
        <v>-10.292682926829265</v>
      </c>
      <c r="H823" s="12">
        <f t="shared" si="274"/>
        <v>1851174272</v>
      </c>
      <c r="I823" s="13">
        <f t="shared" ca="1" si="275"/>
        <v>1660638773.76</v>
      </c>
      <c r="J823" s="63"/>
      <c r="K823" s="8">
        <v>590113</v>
      </c>
      <c r="L823" s="8" t="s">
        <v>3426</v>
      </c>
      <c r="M823" s="12"/>
      <c r="N823" s="10">
        <v>249.73</v>
      </c>
      <c r="O823" s="10">
        <f ca="1">IFERROR(__xludf.DUMMYFUNCTION("GOOGLEFINANCE(""BOM:"" &amp; K823,""price"")"),245.51)</f>
        <v>245.51</v>
      </c>
      <c r="P823" s="8">
        <f t="shared" ca="1" si="286"/>
        <v>-1.6898250110118924</v>
      </c>
      <c r="Q823" s="67"/>
      <c r="R823" s="13">
        <f t="shared" ca="1" si="289"/>
        <v>-1.6898250110118924</v>
      </c>
      <c r="S823" s="64"/>
      <c r="T823" s="14">
        <v>570001</v>
      </c>
      <c r="U823" s="14" t="s">
        <v>3427</v>
      </c>
      <c r="V823" s="15">
        <v>508377253</v>
      </c>
      <c r="W823" s="14">
        <v>650.79999999999995</v>
      </c>
      <c r="X823" s="26">
        <f ca="1">IFERROR(__xludf.DUMMYFUNCTION("GOOGLEFINANCE(""BOM:"" &amp; T823,""price"")"),658)</f>
        <v>658</v>
      </c>
      <c r="Y823" s="14">
        <f t="shared" ca="1" si="282"/>
        <v>1.1063306699446904</v>
      </c>
      <c r="Z823" s="15">
        <f t="shared" si="283"/>
        <v>330851916252.39996</v>
      </c>
      <c r="AA823" s="16">
        <f t="shared" ca="1" si="284"/>
        <v>334512232474</v>
      </c>
      <c r="AB823" s="63"/>
      <c r="AC823" s="8">
        <v>501477</v>
      </c>
      <c r="AD823" s="8" t="s">
        <v>3428</v>
      </c>
      <c r="AE823" s="12">
        <v>261472</v>
      </c>
      <c r="AF823" s="8">
        <v>215.5</v>
      </c>
      <c r="AG823" s="8">
        <f ca="1">IFERROR(__xludf.DUMMYFUNCTION("GOOGLEFINANCE(""BOM:"" &amp; AC823,""price"")"),209.75)</f>
        <v>209.75</v>
      </c>
      <c r="AH823" s="8">
        <f t="shared" ca="1" si="285"/>
        <v>-2.6682134570765661</v>
      </c>
      <c r="AI823" s="12">
        <f t="shared" si="280"/>
        <v>56347216</v>
      </c>
      <c r="AJ823" s="13">
        <f t="shared" ca="1" si="281"/>
        <v>54843752</v>
      </c>
    </row>
    <row r="824" spans="1:36" x14ac:dyDescent="0.25">
      <c r="A824" s="63"/>
      <c r="B824" s="8">
        <v>500304</v>
      </c>
      <c r="C824" s="8" t="s">
        <v>3429</v>
      </c>
      <c r="D824" s="12">
        <v>133570933</v>
      </c>
      <c r="E824" s="8">
        <v>124.3</v>
      </c>
      <c r="F824" s="8">
        <f ca="1">IFERROR(__xludf.DUMMYFUNCTION("GOOGLEFINANCE(""BOM:"" &amp; B824,""price"")"),105.8)</f>
        <v>105.8</v>
      </c>
      <c r="G824" s="8">
        <f t="shared" ca="1" si="273"/>
        <v>-14.883346741753822</v>
      </c>
      <c r="H824" s="12">
        <f t="shared" si="274"/>
        <v>16602866971.9</v>
      </c>
      <c r="I824" s="13">
        <f t="shared" ca="1" si="275"/>
        <v>14131804711.4</v>
      </c>
      <c r="J824" s="63"/>
      <c r="K824" s="8">
        <v>533244</v>
      </c>
      <c r="L824" s="8" t="s">
        <v>3430</v>
      </c>
      <c r="M824" s="12"/>
      <c r="N824" s="10">
        <v>54.48</v>
      </c>
      <c r="O824" s="10">
        <f ca="1">IFERROR(__xludf.DUMMYFUNCTION("GOOGLEFINANCE(""BOM:"" &amp; K824,""price"")"),58.28)</f>
        <v>58.28</v>
      </c>
      <c r="P824" s="8">
        <f t="shared" ca="1" si="286"/>
        <v>6.9750367107195386</v>
      </c>
      <c r="Q824" s="67"/>
      <c r="R824" s="13">
        <f t="shared" ca="1" si="289"/>
        <v>6.9750367107195386</v>
      </c>
      <c r="S824" s="62" t="s">
        <v>3431</v>
      </c>
      <c r="T824" s="6">
        <v>523120</v>
      </c>
      <c r="U824" s="6" t="s">
        <v>3432</v>
      </c>
      <c r="V824" s="7">
        <v>4264185</v>
      </c>
      <c r="W824" s="8">
        <v>37.630000000000003</v>
      </c>
      <c r="X824" s="11">
        <f ca="1">IFERROR(__xludf.DUMMYFUNCTION("GOOGLEFINANCE(""BOM:"" &amp; T824,""price"")"),31.78)</f>
        <v>31.78</v>
      </c>
      <c r="Y824" s="8">
        <f t="shared" ca="1" si="282"/>
        <v>-15.546106829657191</v>
      </c>
      <c r="Z824" s="7">
        <f t="shared" si="283"/>
        <v>160461281.55000001</v>
      </c>
      <c r="AA824" s="9">
        <f t="shared" ca="1" si="284"/>
        <v>135515799.30000001</v>
      </c>
      <c r="AB824" s="63"/>
      <c r="AC824" s="8">
        <v>539410</v>
      </c>
      <c r="AD824" s="8" t="s">
        <v>3433</v>
      </c>
      <c r="AE824" s="12">
        <v>46597000</v>
      </c>
      <c r="AF824" s="8">
        <v>1.32</v>
      </c>
      <c r="AG824" s="8">
        <f ca="1">IFERROR(__xludf.DUMMYFUNCTION("GOOGLEFINANCE(""BOM:"" &amp; AC824,""price"")"),1.07)</f>
        <v>1.07</v>
      </c>
      <c r="AH824" s="8">
        <f t="shared" ca="1" si="285"/>
        <v>-18.939393939393938</v>
      </c>
      <c r="AI824" s="12">
        <f t="shared" si="280"/>
        <v>61508040</v>
      </c>
      <c r="AJ824" s="13">
        <f t="shared" ca="1" si="281"/>
        <v>49858790</v>
      </c>
    </row>
    <row r="825" spans="1:36" x14ac:dyDescent="0.25">
      <c r="A825" s="63"/>
      <c r="B825" s="8">
        <v>539921</v>
      </c>
      <c r="C825" s="8" t="s">
        <v>3434</v>
      </c>
      <c r="D825" s="12">
        <v>161000000</v>
      </c>
      <c r="E825" s="8">
        <v>59.62</v>
      </c>
      <c r="F825" s="8">
        <f ca="1">IFERROR(__xludf.DUMMYFUNCTION("GOOGLEFINANCE(""BOM:"" &amp; B825,""price"")"),56.76)</f>
        <v>56.76</v>
      </c>
      <c r="G825" s="8">
        <f t="shared" ca="1" si="273"/>
        <v>-4.7970479704797047</v>
      </c>
      <c r="H825" s="12">
        <f t="shared" si="274"/>
        <v>9598820000</v>
      </c>
      <c r="I825" s="13">
        <f t="shared" ca="1" si="275"/>
        <v>9138360000</v>
      </c>
      <c r="J825" s="63"/>
      <c r="K825" s="8">
        <v>555555</v>
      </c>
      <c r="L825" s="8" t="s">
        <v>3435</v>
      </c>
      <c r="M825" s="12"/>
      <c r="N825" s="10">
        <v>823.47</v>
      </c>
      <c r="O825" s="10">
        <f ca="1">IFERROR(__xludf.DUMMYFUNCTION("GOOGLEFINANCE(""BOM:"" &amp; K825,""price"")"),813.5)</f>
        <v>813.5</v>
      </c>
      <c r="P825" s="8">
        <f t="shared" ca="1" si="286"/>
        <v>-1.2107302026789108</v>
      </c>
      <c r="Q825" s="67"/>
      <c r="R825" s="13">
        <f t="shared" ca="1" si="289"/>
        <v>-1.2107302026789108</v>
      </c>
      <c r="S825" s="63"/>
      <c r="T825" s="8">
        <v>533229</v>
      </c>
      <c r="U825" s="8" t="s">
        <v>3436</v>
      </c>
      <c r="V825" s="12">
        <v>147539803</v>
      </c>
      <c r="W825" s="8">
        <v>238.1</v>
      </c>
      <c r="X825" s="11">
        <f ca="1">IFERROR(__xludf.DUMMYFUNCTION("GOOGLEFINANCE(""BOM:"" &amp; T825,""price"")"),212.1)</f>
        <v>212.1</v>
      </c>
      <c r="Y825" s="8">
        <f t="shared" ca="1" si="282"/>
        <v>-10.919781604367913</v>
      </c>
      <c r="Z825" s="12">
        <f t="shared" si="283"/>
        <v>35129227094.299995</v>
      </c>
      <c r="AA825" s="13">
        <f t="shared" ca="1" si="284"/>
        <v>31293192216.299999</v>
      </c>
      <c r="AB825" s="63"/>
      <c r="AC825" s="8">
        <v>535205</v>
      </c>
      <c r="AD825" s="8" t="s">
        <v>3437</v>
      </c>
      <c r="AE825" s="12">
        <v>13303138</v>
      </c>
      <c r="AF825" s="8">
        <v>5.39</v>
      </c>
      <c r="AG825" s="8">
        <f ca="1">IFERROR(__xludf.DUMMYFUNCTION("GOOGLEFINANCE(""BOM:"" &amp; AC825,""price"")"),4.04)</f>
        <v>4.04</v>
      </c>
      <c r="AH825" s="8">
        <f t="shared" ca="1" si="285"/>
        <v>-25.046382189239324</v>
      </c>
      <c r="AI825" s="12">
        <f t="shared" si="280"/>
        <v>71703913.819999993</v>
      </c>
      <c r="AJ825" s="13">
        <f t="shared" ca="1" si="281"/>
        <v>53744677.520000003</v>
      </c>
    </row>
    <row r="826" spans="1:36" x14ac:dyDescent="0.25">
      <c r="A826" s="63"/>
      <c r="B826" s="8">
        <v>533540</v>
      </c>
      <c r="C826" s="8" t="s">
        <v>3438</v>
      </c>
      <c r="D826" s="12">
        <v>42300720</v>
      </c>
      <c r="E826" s="8">
        <v>29.59</v>
      </c>
      <c r="F826" s="8">
        <f ca="1">IFERROR(__xludf.DUMMYFUNCTION("GOOGLEFINANCE(""BOM:"" &amp; B826,""price"")"),22)</f>
        <v>22</v>
      </c>
      <c r="G826" s="8">
        <f t="shared" ca="1" si="273"/>
        <v>-25.650557620817843</v>
      </c>
      <c r="H826" s="12">
        <f t="shared" si="274"/>
        <v>1251678304.8</v>
      </c>
      <c r="I826" s="13">
        <f t="shared" ca="1" si="275"/>
        <v>930615840</v>
      </c>
      <c r="J826" s="63"/>
      <c r="K826" s="8">
        <v>533719</v>
      </c>
      <c r="L826" s="8" t="s">
        <v>3439</v>
      </c>
      <c r="M826" s="12"/>
      <c r="N826" s="10">
        <v>5690</v>
      </c>
      <c r="O826" s="10">
        <f ca="1">IFERROR(__xludf.DUMMYFUNCTION("GOOGLEFINANCE(""BOM:"" &amp; K826,""price"")"),6096)</f>
        <v>6096</v>
      </c>
      <c r="P826" s="8">
        <f t="shared" ca="1" si="286"/>
        <v>7.1353251318101938</v>
      </c>
      <c r="Q826" s="67"/>
      <c r="R826" s="13">
        <f t="shared" ca="1" si="289"/>
        <v>7.1353251318101938</v>
      </c>
      <c r="S826" s="63"/>
      <c r="T826" s="8">
        <v>500830</v>
      </c>
      <c r="U826" s="8" t="s">
        <v>3440</v>
      </c>
      <c r="V826" s="12">
        <v>268077347</v>
      </c>
      <c r="W826" s="8">
        <v>2524</v>
      </c>
      <c r="X826" s="11">
        <f ca="1">IFERROR(__xludf.DUMMYFUNCTION("GOOGLEFINANCE(""BOM:"" &amp; T826,""price"")"),2741.95)</f>
        <v>2741.95</v>
      </c>
      <c r="Y826" s="8">
        <f t="shared" ca="1" si="282"/>
        <v>8.635103011093495</v>
      </c>
      <c r="Z826" s="12">
        <f t="shared" si="283"/>
        <v>676627223828</v>
      </c>
      <c r="AA826" s="13">
        <f t="shared" ca="1" si="284"/>
        <v>735054681606.6499</v>
      </c>
      <c r="AB826" s="63"/>
      <c r="AC826" s="8">
        <v>539409</v>
      </c>
      <c r="AD826" s="8" t="s">
        <v>3441</v>
      </c>
      <c r="AE826" s="12">
        <v>3179696</v>
      </c>
      <c r="AF826" s="8">
        <v>20.7</v>
      </c>
      <c r="AG826" s="8">
        <f ca="1">IFERROR(__xludf.DUMMYFUNCTION("GOOGLEFINANCE(""BOM:"" &amp; AC826,""price"")"),16.9)</f>
        <v>16.899999999999999</v>
      </c>
      <c r="AH826" s="8">
        <f t="shared" ca="1" si="285"/>
        <v>-18.357487922705317</v>
      </c>
      <c r="AI826" s="12">
        <f t="shared" si="280"/>
        <v>65819707.199999996</v>
      </c>
      <c r="AJ826" s="13">
        <f t="shared" ca="1" si="281"/>
        <v>53736862.399999999</v>
      </c>
    </row>
    <row r="827" spans="1:36" x14ac:dyDescent="0.25">
      <c r="A827" s="63"/>
      <c r="B827" s="8">
        <v>534741</v>
      </c>
      <c r="C827" s="8" t="s">
        <v>3442</v>
      </c>
      <c r="D827" s="12">
        <v>423649598</v>
      </c>
      <c r="E827" s="8">
        <v>1.1200000000000001</v>
      </c>
      <c r="F827" s="8">
        <f ca="1">IFERROR(__xludf.DUMMYFUNCTION("GOOGLEFINANCE(""BOM:"" &amp; B827,""price"")"),0.91)</f>
        <v>0.91</v>
      </c>
      <c r="G827" s="8">
        <f t="shared" ca="1" si="273"/>
        <v>-18.750000000000007</v>
      </c>
      <c r="H827" s="12">
        <f t="shared" si="274"/>
        <v>474487549.76000005</v>
      </c>
      <c r="I827" s="13">
        <f t="shared" ca="1" si="275"/>
        <v>385521134.18000001</v>
      </c>
      <c r="J827" s="63"/>
      <c r="K827" s="8">
        <v>533172</v>
      </c>
      <c r="L827" s="8" t="s">
        <v>3443</v>
      </c>
      <c r="M827" s="12"/>
      <c r="N827" s="10">
        <v>5527.3</v>
      </c>
      <c r="O827" s="10">
        <f ca="1">IFERROR(__xludf.DUMMYFUNCTION("GOOGLEFINANCE(""BOM:"" &amp; K827,""price"")"),5870)</f>
        <v>5870</v>
      </c>
      <c r="P827" s="8">
        <f t="shared" ca="1" si="286"/>
        <v>6.2001338809183473</v>
      </c>
      <c r="Q827" s="67"/>
      <c r="R827" s="13">
        <f t="shared" ca="1" si="289"/>
        <v>6.2001338809183473</v>
      </c>
      <c r="S827" s="63"/>
      <c r="T827" s="8">
        <v>530843</v>
      </c>
      <c r="U827" s="8" t="s">
        <v>3444</v>
      </c>
      <c r="V827" s="12">
        <v>13255663</v>
      </c>
      <c r="W827" s="8">
        <v>2738.7</v>
      </c>
      <c r="X827" s="11">
        <f ca="1">IFERROR(__xludf.DUMMYFUNCTION("GOOGLEFINANCE(""BOM:"" &amp; T827,""price"")"),2430.45)</f>
        <v>2430.4499999999998</v>
      </c>
      <c r="Y827" s="8">
        <f t="shared" ca="1" si="282"/>
        <v>-11.255340124876767</v>
      </c>
      <c r="Z827" s="12">
        <f t="shared" si="283"/>
        <v>36303284258.099998</v>
      </c>
      <c r="AA827" s="13">
        <f t="shared" ca="1" si="284"/>
        <v>32217226138.349998</v>
      </c>
      <c r="AB827" s="63"/>
      <c r="AC827" s="8">
        <v>537838</v>
      </c>
      <c r="AD827" s="8" t="s">
        <v>3445</v>
      </c>
      <c r="AE827" s="12">
        <v>37667709</v>
      </c>
      <c r="AF827" s="8" t="s">
        <v>44</v>
      </c>
      <c r="AG827" s="8" t="s">
        <v>44</v>
      </c>
      <c r="AH827" s="8"/>
      <c r="AI827" s="12"/>
      <c r="AJ827" s="13"/>
    </row>
    <row r="828" spans="1:36" x14ac:dyDescent="0.25">
      <c r="A828" s="63"/>
      <c r="B828" s="8">
        <v>509026</v>
      </c>
      <c r="C828" s="8" t="s">
        <v>3446</v>
      </c>
      <c r="D828" s="12">
        <v>17512500</v>
      </c>
      <c r="E828" s="8">
        <v>128.30000000000001</v>
      </c>
      <c r="F828" s="8">
        <f ca="1">IFERROR(__xludf.DUMMYFUNCTION("GOOGLEFINANCE(""BOM:"" &amp; B828,""price"")"),135.9)</f>
        <v>135.9</v>
      </c>
      <c r="G828" s="8">
        <f t="shared" ca="1" si="273"/>
        <v>5.9236165237724032</v>
      </c>
      <c r="H828" s="12">
        <f t="shared" si="274"/>
        <v>2246853750</v>
      </c>
      <c r="I828" s="13">
        <f t="shared" ca="1" si="275"/>
        <v>2379948750</v>
      </c>
      <c r="J828" s="63"/>
      <c r="K828" s="8">
        <v>590104</v>
      </c>
      <c r="L828" s="8" t="s">
        <v>3447</v>
      </c>
      <c r="M828" s="12"/>
      <c r="N828" s="10">
        <v>632.24</v>
      </c>
      <c r="O828" s="10">
        <f ca="1">IFERROR(__xludf.DUMMYFUNCTION("GOOGLEFINANCE(""BOM:"" &amp; K828,""price"")"),643.62)</f>
        <v>643.62</v>
      </c>
      <c r="P828" s="8">
        <f t="shared" ca="1" si="286"/>
        <v>1.7999493863089959</v>
      </c>
      <c r="Q828" s="67"/>
      <c r="R828" s="13">
        <f t="shared" ca="1" si="289"/>
        <v>1.7999493863089959</v>
      </c>
      <c r="S828" s="63"/>
      <c r="T828" s="8">
        <v>500096</v>
      </c>
      <c r="U828" s="8" t="s">
        <v>3448</v>
      </c>
      <c r="V828" s="12">
        <v>1768801245</v>
      </c>
      <c r="W828" s="8">
        <v>540.5</v>
      </c>
      <c r="X828" s="11">
        <f ca="1">IFERROR(__xludf.DUMMYFUNCTION("GOOGLEFINANCE(""BOM:"" &amp; T828,""price"")"),525)</f>
        <v>525</v>
      </c>
      <c r="Y828" s="8">
        <f t="shared" ca="1" si="282"/>
        <v>-2.8677150786308974</v>
      </c>
      <c r="Z828" s="12">
        <f t="shared" si="283"/>
        <v>956037072922.5</v>
      </c>
      <c r="AA828" s="13">
        <f t="shared" ca="1" si="284"/>
        <v>928620653625</v>
      </c>
      <c r="AB828" s="63"/>
      <c r="AC828" s="8">
        <v>540243</v>
      </c>
      <c r="AD828" s="8" t="s">
        <v>3449</v>
      </c>
      <c r="AE828" s="12">
        <v>2162530</v>
      </c>
      <c r="AF828" s="8">
        <v>18</v>
      </c>
      <c r="AG828" s="8">
        <f ca="1">IFERROR(__xludf.DUMMYFUNCTION("GOOGLEFINANCE(""BOM:"" &amp; AC828,""price"")"),18.89)</f>
        <v>18.89</v>
      </c>
      <c r="AH828" s="8">
        <f t="shared" ref="AH828:AH853" ca="1" si="290">((AG828-AF828)/AF828)*100</f>
        <v>4.9444444444444482</v>
      </c>
      <c r="AI828" s="12">
        <f t="shared" ref="AI828:AI874" si="291">AE828*AF828</f>
        <v>38925540</v>
      </c>
      <c r="AJ828" s="13">
        <f t="shared" ref="AJ828:AJ874" ca="1" si="292">AE828*AG828</f>
        <v>40850191.700000003</v>
      </c>
    </row>
    <row r="829" spans="1:36" x14ac:dyDescent="0.25">
      <c r="A829" s="64"/>
      <c r="B829" s="14">
        <v>533287</v>
      </c>
      <c r="C829" s="14" t="s">
        <v>3450</v>
      </c>
      <c r="D829" s="15">
        <v>325913577</v>
      </c>
      <c r="E829" s="8">
        <v>8.35</v>
      </c>
      <c r="F829" s="14">
        <f ca="1">IFERROR(__xludf.DUMMYFUNCTION("GOOGLEFINANCE(""BOM:"" &amp; B829,""price"")"),6.12)</f>
        <v>6.12</v>
      </c>
      <c r="G829" s="14">
        <f t="shared" ca="1" si="273"/>
        <v>-26.706586826347301</v>
      </c>
      <c r="H829" s="15">
        <f t="shared" si="274"/>
        <v>2721378367.9499998</v>
      </c>
      <c r="I829" s="16">
        <f t="shared" ca="1" si="275"/>
        <v>1994591091.24</v>
      </c>
      <c r="J829" s="63"/>
      <c r="K829" s="8">
        <v>590097</v>
      </c>
      <c r="L829" s="8" t="s">
        <v>3451</v>
      </c>
      <c r="M829" s="12"/>
      <c r="N829" s="10">
        <v>53.08</v>
      </c>
      <c r="O829" s="10">
        <f ca="1">IFERROR(__xludf.DUMMYFUNCTION("GOOGLEFINANCE(""BOM:"" &amp; K829,""price"")"),57)</f>
        <v>57</v>
      </c>
      <c r="P829" s="8">
        <f t="shared" ca="1" si="286"/>
        <v>7.3850791258477804</v>
      </c>
      <c r="Q829" s="67"/>
      <c r="R829" s="13">
        <f t="shared" ca="1" si="289"/>
        <v>7.3850791258477804</v>
      </c>
      <c r="S829" s="63"/>
      <c r="T829" s="8">
        <v>531162</v>
      </c>
      <c r="U829" s="8" t="s">
        <v>3452</v>
      </c>
      <c r="V829" s="12">
        <v>440133465</v>
      </c>
      <c r="W829" s="8">
        <v>423</v>
      </c>
      <c r="X829" s="11">
        <f ca="1">IFERROR(__xludf.DUMMYFUNCTION("GOOGLEFINANCE(""BOM:"" &amp; T829,""price"")"),423)</f>
        <v>423</v>
      </c>
      <c r="Y829" s="8">
        <f t="shared" ca="1" si="282"/>
        <v>0</v>
      </c>
      <c r="Z829" s="12">
        <f t="shared" si="283"/>
        <v>186176455695</v>
      </c>
      <c r="AA829" s="13">
        <f t="shared" ca="1" si="284"/>
        <v>186176455695</v>
      </c>
      <c r="AB829" s="63"/>
      <c r="AC829" s="8">
        <v>535136</v>
      </c>
      <c r="AD829" s="8" t="s">
        <v>3453</v>
      </c>
      <c r="AE829" s="12">
        <v>10418706</v>
      </c>
      <c r="AF829" s="8">
        <v>1605.7</v>
      </c>
      <c r="AG829" s="8">
        <f ca="1">IFERROR(__xludf.DUMMYFUNCTION("GOOGLEFINANCE(""BOM:"" &amp; AC829,""price"")"),1288.35)</f>
        <v>1288.3499999999999</v>
      </c>
      <c r="AH829" s="8">
        <f t="shared" ca="1" si="290"/>
        <v>-19.763965871582496</v>
      </c>
      <c r="AI829" s="12">
        <f t="shared" si="291"/>
        <v>16729316224.200001</v>
      </c>
      <c r="AJ829" s="13">
        <f t="shared" ca="1" si="292"/>
        <v>13422939875.099998</v>
      </c>
    </row>
    <row r="830" spans="1:36" x14ac:dyDescent="0.25">
      <c r="A830" s="62" t="s">
        <v>3454</v>
      </c>
      <c r="B830" s="6">
        <v>517063</v>
      </c>
      <c r="C830" s="6" t="s">
        <v>3455</v>
      </c>
      <c r="D830" s="7">
        <v>5726355</v>
      </c>
      <c r="E830" s="6">
        <v>57.61</v>
      </c>
      <c r="F830" s="8">
        <f ca="1">IFERROR(__xludf.DUMMYFUNCTION("GOOGLEFINANCE(""BOM:"" &amp; B830,""price"")"),48.27)</f>
        <v>48.27</v>
      </c>
      <c r="G830" s="8">
        <f t="shared" ca="1" si="273"/>
        <v>-16.212463114042695</v>
      </c>
      <c r="H830" s="7">
        <f t="shared" si="274"/>
        <v>329895311.55000001</v>
      </c>
      <c r="I830" s="9">
        <f t="shared" ca="1" si="275"/>
        <v>276411155.85000002</v>
      </c>
      <c r="J830" s="63"/>
      <c r="K830" s="8">
        <v>590107</v>
      </c>
      <c r="L830" s="8" t="s">
        <v>3456</v>
      </c>
      <c r="M830" s="12"/>
      <c r="N830" s="10">
        <v>704.19</v>
      </c>
      <c r="O830" s="10">
        <f ca="1">IFERROR(__xludf.DUMMYFUNCTION("GOOGLEFINANCE(""BOM:"" &amp; K830,""price"")"),696.99)</f>
        <v>696.99</v>
      </c>
      <c r="P830" s="8">
        <f t="shared" ca="1" si="286"/>
        <v>-1.0224513270566247</v>
      </c>
      <c r="Q830" s="67"/>
      <c r="R830" s="13">
        <f t="shared" ca="1" si="289"/>
        <v>-1.0224513270566247</v>
      </c>
      <c r="S830" s="63"/>
      <c r="T830" s="8">
        <v>507815</v>
      </c>
      <c r="U830" s="8" t="s">
        <v>3457</v>
      </c>
      <c r="V830" s="12">
        <v>32515799</v>
      </c>
      <c r="W830" s="8">
        <v>6567.85</v>
      </c>
      <c r="X830" s="11">
        <f ca="1">IFERROR(__xludf.DUMMYFUNCTION("GOOGLEFINANCE(""BOM:"" &amp; T830,""price"")"),6520)</f>
        <v>6520</v>
      </c>
      <c r="Y830" s="8">
        <f t="shared" ca="1" si="282"/>
        <v>-0.72854891631204066</v>
      </c>
      <c r="Z830" s="12">
        <f t="shared" si="283"/>
        <v>213558890462.15002</v>
      </c>
      <c r="AA830" s="13">
        <f t="shared" ca="1" si="284"/>
        <v>212003009480</v>
      </c>
      <c r="AB830" s="63"/>
      <c r="AC830" s="8">
        <v>512425</v>
      </c>
      <c r="AD830" s="8" t="s">
        <v>3458</v>
      </c>
      <c r="AE830" s="12">
        <v>317871</v>
      </c>
      <c r="AF830" s="8">
        <v>677</v>
      </c>
      <c r="AG830" s="8">
        <v>677</v>
      </c>
      <c r="AH830" s="8">
        <f t="shared" si="290"/>
        <v>0</v>
      </c>
      <c r="AI830" s="12">
        <f t="shared" si="291"/>
        <v>215198667</v>
      </c>
      <c r="AJ830" s="13">
        <f t="shared" si="292"/>
        <v>215198667</v>
      </c>
    </row>
    <row r="831" spans="1:36" x14ac:dyDescent="0.25">
      <c r="A831" s="63"/>
      <c r="B831" s="8">
        <v>532019</v>
      </c>
      <c r="C831" s="8" t="s">
        <v>3459</v>
      </c>
      <c r="D831" s="12">
        <v>124775494</v>
      </c>
      <c r="E831" s="8">
        <v>2.5499999999999998</v>
      </c>
      <c r="F831" s="8">
        <f ca="1">IFERROR(__xludf.DUMMYFUNCTION("GOOGLEFINANCE(""BOM:"" &amp; B831,""price"")"),1.87)</f>
        <v>1.87</v>
      </c>
      <c r="G831" s="8">
        <f t="shared" ca="1" si="273"/>
        <v>-26.666666666666654</v>
      </c>
      <c r="H831" s="12">
        <f t="shared" si="274"/>
        <v>318177509.69999999</v>
      </c>
      <c r="I831" s="13">
        <f t="shared" ca="1" si="275"/>
        <v>233330173.78</v>
      </c>
      <c r="J831" s="63"/>
      <c r="K831" s="8">
        <v>532985</v>
      </c>
      <c r="L831" s="8" t="s">
        <v>3460</v>
      </c>
      <c r="M831" s="12"/>
      <c r="N831" s="10">
        <v>79</v>
      </c>
      <c r="O831" s="10">
        <f ca="1">IFERROR(__xludf.DUMMYFUNCTION("GOOGLEFINANCE(""BOM:"" &amp; K831,""price"")"),78.98)</f>
        <v>78.98</v>
      </c>
      <c r="P831" s="8">
        <f t="shared" ca="1" si="286"/>
        <v>-2.5316455696197497E-2</v>
      </c>
      <c r="Q831" s="67"/>
      <c r="R831" s="13">
        <f t="shared" ca="1" si="289"/>
        <v>-2.5316455696197497E-2</v>
      </c>
      <c r="S831" s="63"/>
      <c r="T831" s="8">
        <v>532424</v>
      </c>
      <c r="U831" s="8" t="s">
        <v>3461</v>
      </c>
      <c r="V831" s="12">
        <v>1014974777</v>
      </c>
      <c r="W831" s="8">
        <v>1270</v>
      </c>
      <c r="X831" s="11">
        <f ca="1">IFERROR(__xludf.DUMMYFUNCTION("GOOGLEFINANCE(""BOM:"" &amp; T831,""price"")"),1255)</f>
        <v>1255</v>
      </c>
      <c r="Y831" s="8">
        <f t="shared" ca="1" si="282"/>
        <v>-1.1811023622047243</v>
      </c>
      <c r="Z831" s="12">
        <f t="shared" si="283"/>
        <v>1289017966790</v>
      </c>
      <c r="AA831" s="13">
        <f t="shared" ca="1" si="284"/>
        <v>1273793345135</v>
      </c>
      <c r="AB831" s="63"/>
      <c r="AC831" s="8">
        <v>522289</v>
      </c>
      <c r="AD831" s="8" t="s">
        <v>3462</v>
      </c>
      <c r="AE831" s="12">
        <v>1906900</v>
      </c>
      <c r="AF831" s="8">
        <v>90.84</v>
      </c>
      <c r="AG831" s="8">
        <f ca="1">IFERROR(__xludf.DUMMYFUNCTION("GOOGLEFINANCE(""BOM:"" &amp; AC831,""price"")"),68.78)</f>
        <v>68.78</v>
      </c>
      <c r="AH831" s="8">
        <f t="shared" ca="1" si="290"/>
        <v>-24.284456186701895</v>
      </c>
      <c r="AI831" s="12">
        <f t="shared" si="291"/>
        <v>173222796</v>
      </c>
      <c r="AJ831" s="13">
        <f t="shared" ca="1" si="292"/>
        <v>131156582</v>
      </c>
    </row>
    <row r="832" spans="1:36" x14ac:dyDescent="0.25">
      <c r="A832" s="63"/>
      <c r="B832" s="8">
        <v>532440</v>
      </c>
      <c r="C832" s="8" t="s">
        <v>3463</v>
      </c>
      <c r="D832" s="12">
        <v>17094725</v>
      </c>
      <c r="E832" s="8">
        <v>1621.25</v>
      </c>
      <c r="F832" s="8">
        <f ca="1">IFERROR(__xludf.DUMMYFUNCTION("GOOGLEFINANCE(""BOM:"" &amp; B832,""price"")"),1540.15)</f>
        <v>1540.15</v>
      </c>
      <c r="G832" s="8">
        <f t="shared" ca="1" si="273"/>
        <v>-5.0023130300693852</v>
      </c>
      <c r="H832" s="12">
        <f t="shared" si="274"/>
        <v>27714822906.25</v>
      </c>
      <c r="I832" s="13">
        <f t="shared" ca="1" si="275"/>
        <v>26328440708.75</v>
      </c>
      <c r="J832" s="63"/>
      <c r="K832" s="8">
        <v>590096</v>
      </c>
      <c r="L832" s="8" t="s">
        <v>3464</v>
      </c>
      <c r="M832" s="20"/>
      <c r="N832" s="10" t="e">
        <v>#N/A</v>
      </c>
      <c r="O832" s="10" t="str">
        <f ca="1">IFERROR(__xludf.DUMMYFUNCTION("GOOGLEFINANCE(""BOM:"" &amp; K832,""price"")"),"#N/A")</f>
        <v>#N/A</v>
      </c>
      <c r="P832" s="8" t="e">
        <f t="shared" ca="1" si="286"/>
        <v>#VALUE!</v>
      </c>
      <c r="Q832" s="67"/>
      <c r="R832" s="13" t="e">
        <f t="shared" ca="1" si="289"/>
        <v>#VALUE!</v>
      </c>
      <c r="S832" s="63"/>
      <c r="T832" s="8">
        <v>532771</v>
      </c>
      <c r="U832" s="8" t="s">
        <v>3465</v>
      </c>
      <c r="V832" s="12">
        <v>64885758</v>
      </c>
      <c r="W832" s="8">
        <v>24.37</v>
      </c>
      <c r="X832" s="11">
        <f ca="1">IFERROR(__xludf.DUMMYFUNCTION("GOOGLEFINANCE(""BOM:"" &amp; T832,""price"")"),16.39)</f>
        <v>16.39</v>
      </c>
      <c r="Y832" s="8">
        <f t="shared" ca="1" si="282"/>
        <v>-32.745178498153464</v>
      </c>
      <c r="Z832" s="12">
        <f t="shared" si="283"/>
        <v>1581265922.46</v>
      </c>
      <c r="AA832" s="13">
        <f t="shared" ca="1" si="284"/>
        <v>1063477573.62</v>
      </c>
      <c r="AB832" s="63"/>
      <c r="AC832" s="8">
        <v>524414</v>
      </c>
      <c r="AD832" s="8" t="s">
        <v>3466</v>
      </c>
      <c r="AE832" s="12">
        <v>8631617</v>
      </c>
      <c r="AF832" s="8">
        <v>18.829999999999998</v>
      </c>
      <c r="AG832" s="8">
        <f ca="1">IFERROR(__xludf.DUMMYFUNCTION("GOOGLEFINANCE(""BOM:"" &amp; AC832,""price"")"),13.6)</f>
        <v>13.6</v>
      </c>
      <c r="AH832" s="8">
        <f t="shared" ca="1" si="290"/>
        <v>-27.774827403080188</v>
      </c>
      <c r="AI832" s="12">
        <f t="shared" si="291"/>
        <v>162533348.10999998</v>
      </c>
      <c r="AJ832" s="13">
        <f t="shared" ca="1" si="292"/>
        <v>117389991.2</v>
      </c>
    </row>
    <row r="833" spans="1:36" x14ac:dyDescent="0.25">
      <c r="A833" s="63"/>
      <c r="B833" s="8">
        <v>532398</v>
      </c>
      <c r="C833" s="8" t="s">
        <v>3467</v>
      </c>
      <c r="D833" s="12">
        <v>25835458</v>
      </c>
      <c r="E833" s="8">
        <v>5.78</v>
      </c>
      <c r="F833" s="8">
        <f ca="1">IFERROR(__xludf.DUMMYFUNCTION("GOOGLEFINANCE(""BOM:"" &amp; B833,""price"")"),4.62)</f>
        <v>4.62</v>
      </c>
      <c r="G833" s="8">
        <f t="shared" ca="1" si="273"/>
        <v>-20.069204152249139</v>
      </c>
      <c r="H833" s="12">
        <f t="shared" si="274"/>
        <v>149328947.24000001</v>
      </c>
      <c r="I833" s="13">
        <f t="shared" ca="1" si="275"/>
        <v>119359815.96000001</v>
      </c>
      <c r="J833" s="63"/>
      <c r="K833" s="8">
        <v>590115</v>
      </c>
      <c r="L833" s="8" t="s">
        <v>3468</v>
      </c>
      <c r="M833" s="12"/>
      <c r="N833" s="10">
        <v>227.45</v>
      </c>
      <c r="O833" s="10">
        <f ca="1">IFERROR(__xludf.DUMMYFUNCTION("GOOGLEFINANCE(""BOM:"" &amp; K833,""price"")"),227.61)</f>
        <v>227.61</v>
      </c>
      <c r="P833" s="8">
        <f t="shared" ca="1" si="286"/>
        <v>7.034513079798857E-2</v>
      </c>
      <c r="Q833" s="67"/>
      <c r="R833" s="13">
        <f t="shared" ca="1" si="289"/>
        <v>7.034513079798857E-2</v>
      </c>
      <c r="S833" s="63"/>
      <c r="T833" s="8">
        <v>506522</v>
      </c>
      <c r="U833" s="8" t="s">
        <v>3469</v>
      </c>
      <c r="V833" s="12">
        <v>1342389</v>
      </c>
      <c r="W833" s="8">
        <v>2025</v>
      </c>
      <c r="X833" s="11">
        <f ca="1">IFERROR(__xludf.DUMMYFUNCTION("GOOGLEFINANCE(""BOM:"" &amp; T833,""price"")"),2025)</f>
        <v>2025</v>
      </c>
      <c r="Y833" s="8">
        <f t="shared" ca="1" si="282"/>
        <v>0</v>
      </c>
      <c r="Z833" s="12">
        <f t="shared" si="283"/>
        <v>2718337725</v>
      </c>
      <c r="AA833" s="13">
        <f t="shared" ca="1" si="284"/>
        <v>2718337725</v>
      </c>
      <c r="AB833" s="63"/>
      <c r="AC833" s="8">
        <v>531465</v>
      </c>
      <c r="AD833" s="8" t="s">
        <v>3470</v>
      </c>
      <c r="AE833" s="12">
        <v>182447140</v>
      </c>
      <c r="AF833" s="8">
        <v>0.49</v>
      </c>
      <c r="AG833" s="8">
        <v>0.49</v>
      </c>
      <c r="AH833" s="8">
        <f t="shared" si="290"/>
        <v>0</v>
      </c>
      <c r="AI833" s="12">
        <f t="shared" si="291"/>
        <v>89399098.599999994</v>
      </c>
      <c r="AJ833" s="13">
        <f t="shared" si="292"/>
        <v>89399098.599999994</v>
      </c>
    </row>
    <row r="834" spans="1:36" x14ac:dyDescent="0.25">
      <c r="A834" s="64"/>
      <c r="B834" s="14">
        <v>543514</v>
      </c>
      <c r="C834" s="14" t="s">
        <v>3471</v>
      </c>
      <c r="D834" s="15">
        <v>55775519</v>
      </c>
      <c r="E834" s="8">
        <v>223.4</v>
      </c>
      <c r="F834" s="14">
        <f ca="1">IFERROR(__xludf.DUMMYFUNCTION("GOOGLEFINANCE(""BOM:"" &amp; B834,""price"")"),178.45)</f>
        <v>178.45</v>
      </c>
      <c r="G834" s="14">
        <f t="shared" ca="1" si="273"/>
        <v>-20.120859444941814</v>
      </c>
      <c r="H834" s="15">
        <f t="shared" si="274"/>
        <v>12460250944.6</v>
      </c>
      <c r="I834" s="16">
        <f t="shared" ca="1" si="275"/>
        <v>9953141365.5499992</v>
      </c>
      <c r="J834" s="63"/>
      <c r="K834" s="8">
        <v>533385</v>
      </c>
      <c r="L834" s="8" t="s">
        <v>3472</v>
      </c>
      <c r="M834" s="12"/>
      <c r="N834" s="10">
        <v>145.80000000000001</v>
      </c>
      <c r="O834" s="10">
        <f ca="1">IFERROR(__xludf.DUMMYFUNCTION("GOOGLEFINANCE(""BOM:"" &amp; K834,""price"")"),150.1)</f>
        <v>150.1</v>
      </c>
      <c r="P834" s="8">
        <f t="shared" ca="1" si="286"/>
        <v>2.9492455418381227</v>
      </c>
      <c r="Q834" s="67"/>
      <c r="R834" s="13">
        <f t="shared" ca="1" si="289"/>
        <v>2.9492455418381227</v>
      </c>
      <c r="S834" s="63"/>
      <c r="T834" s="8">
        <v>531642</v>
      </c>
      <c r="U834" s="8" t="s">
        <v>3473</v>
      </c>
      <c r="V834" s="12">
        <v>1292390860</v>
      </c>
      <c r="W834" s="8">
        <v>524.20000000000005</v>
      </c>
      <c r="X834" s="11">
        <f ca="1">IFERROR(__xludf.DUMMYFUNCTION("GOOGLEFINANCE(""BOM:"" &amp; T834,""price"")"),499)</f>
        <v>499</v>
      </c>
      <c r="Y834" s="8">
        <f t="shared" ca="1" si="282"/>
        <v>-4.8073254483021826</v>
      </c>
      <c r="Z834" s="12">
        <f t="shared" si="283"/>
        <v>677471288812</v>
      </c>
      <c r="AA834" s="13">
        <f t="shared" ca="1" si="284"/>
        <v>644903039140</v>
      </c>
      <c r="AB834" s="63"/>
      <c r="AC834" s="8">
        <v>542628</v>
      </c>
      <c r="AD834" s="8" t="s">
        <v>3474</v>
      </c>
      <c r="AE834" s="12">
        <v>16051200</v>
      </c>
      <c r="AF834" s="8">
        <v>217.45</v>
      </c>
      <c r="AG834" s="8">
        <f ca="1">IFERROR(__xludf.DUMMYFUNCTION("GOOGLEFINANCE(""BOM:"" &amp; AC834,""price"")"),188.45)</f>
        <v>188.45</v>
      </c>
      <c r="AH834" s="8">
        <f t="shared" ca="1" si="290"/>
        <v>-13.336399172223501</v>
      </c>
      <c r="AI834" s="12">
        <f t="shared" si="291"/>
        <v>3490333440</v>
      </c>
      <c r="AJ834" s="13">
        <f t="shared" ca="1" si="292"/>
        <v>3024848640</v>
      </c>
    </row>
    <row r="835" spans="1:36" x14ac:dyDescent="0.25">
      <c r="A835" s="62" t="s">
        <v>3475</v>
      </c>
      <c r="B835" s="6">
        <v>541450</v>
      </c>
      <c r="C835" s="6" t="s">
        <v>3476</v>
      </c>
      <c r="D835" s="7">
        <v>1563872934</v>
      </c>
      <c r="E835" s="6">
        <v>1968.2</v>
      </c>
      <c r="F835" s="8">
        <f ca="1">IFERROR(__xludf.DUMMYFUNCTION("GOOGLEFINANCE(""BOM:"" &amp; B835,""price"")"),1833.95)</f>
        <v>1833.95</v>
      </c>
      <c r="G835" s="8">
        <f t="shared" ca="1" si="273"/>
        <v>-6.8209531551671576</v>
      </c>
      <c r="H835" s="7">
        <f t="shared" si="274"/>
        <v>3078014708698.8003</v>
      </c>
      <c r="I835" s="9">
        <f t="shared" ca="1" si="275"/>
        <v>2868064767309.3003</v>
      </c>
      <c r="J835" s="63"/>
      <c r="K835" s="8">
        <v>590103</v>
      </c>
      <c r="L835" s="8" t="s">
        <v>3477</v>
      </c>
      <c r="M835" s="12"/>
      <c r="N835" s="10">
        <v>246.82</v>
      </c>
      <c r="O835" s="10">
        <f ca="1">IFERROR(__xludf.DUMMYFUNCTION("GOOGLEFINANCE(""BOM:"" &amp; K835,""price"")"),246.73)</f>
        <v>246.73</v>
      </c>
      <c r="P835" s="8">
        <f t="shared" ca="1" si="286"/>
        <v>-3.646381978770092E-2</v>
      </c>
      <c r="Q835" s="67"/>
      <c r="R835" s="13">
        <f t="shared" ca="1" si="289"/>
        <v>-3.646381978770092E-2</v>
      </c>
      <c r="S835" s="63"/>
      <c r="T835" s="8">
        <v>542771</v>
      </c>
      <c r="U835" s="8" t="s">
        <v>3478</v>
      </c>
      <c r="V835" s="12">
        <v>4834170</v>
      </c>
      <c r="W835" s="8">
        <v>42.48</v>
      </c>
      <c r="X835" s="11">
        <f ca="1">IFERROR(__xludf.DUMMYFUNCTION("GOOGLEFINANCE(""BOM:"" &amp; T835,""price"")"),42.48)</f>
        <v>42.48</v>
      </c>
      <c r="Y835" s="8">
        <f t="shared" ca="1" si="282"/>
        <v>0</v>
      </c>
      <c r="Z835" s="12">
        <f t="shared" si="283"/>
        <v>205355541.59999999</v>
      </c>
      <c r="AA835" s="13">
        <f t="shared" ca="1" si="284"/>
        <v>205355541.59999999</v>
      </c>
      <c r="AB835" s="63"/>
      <c r="AC835" s="8">
        <v>531819</v>
      </c>
      <c r="AD835" s="8" t="s">
        <v>3479</v>
      </c>
      <c r="AE835" s="12">
        <v>5009300</v>
      </c>
      <c r="AF835" s="8">
        <v>25.8</v>
      </c>
      <c r="AG835" s="8">
        <f ca="1">IFERROR(__xludf.DUMMYFUNCTION("GOOGLEFINANCE(""BOM:"" &amp; AC835,""price"")"),27.09)</f>
        <v>27.09</v>
      </c>
      <c r="AH835" s="8">
        <f t="shared" ca="1" si="290"/>
        <v>4.9999999999999964</v>
      </c>
      <c r="AI835" s="12">
        <f t="shared" si="291"/>
        <v>129239940</v>
      </c>
      <c r="AJ835" s="13">
        <f t="shared" ca="1" si="292"/>
        <v>135701937</v>
      </c>
    </row>
    <row r="836" spans="1:36" x14ac:dyDescent="0.25">
      <c r="A836" s="63"/>
      <c r="B836" s="8">
        <v>533096</v>
      </c>
      <c r="C836" s="8" t="s">
        <v>3480</v>
      </c>
      <c r="D836" s="12">
        <v>3856510491</v>
      </c>
      <c r="E836" s="8">
        <v>553.5</v>
      </c>
      <c r="F836" s="8">
        <f ca="1">IFERROR(__xludf.DUMMYFUNCTION("GOOGLEFINANCE(""BOM:"" &amp; B836,""price"")"),533.7)</f>
        <v>533.70000000000005</v>
      </c>
      <c r="G836" s="8">
        <f t="shared" ca="1" si="273"/>
        <v>-3.5772357723577155</v>
      </c>
      <c r="H836" s="12">
        <f t="shared" si="274"/>
        <v>2134578556768.5</v>
      </c>
      <c r="I836" s="13">
        <f t="shared" ca="1" si="275"/>
        <v>2058219649046.7002</v>
      </c>
      <c r="J836" s="63"/>
      <c r="K836" s="8">
        <v>590108</v>
      </c>
      <c r="L836" s="8" t="s">
        <v>3481</v>
      </c>
      <c r="M836" s="12"/>
      <c r="N836" s="10">
        <v>78.44</v>
      </c>
      <c r="O836" s="10">
        <f ca="1">IFERROR(__xludf.DUMMYFUNCTION("GOOGLEFINANCE(""BOM:"" &amp; K836,""price"")"),77.47)</f>
        <v>77.47</v>
      </c>
      <c r="P836" s="8">
        <f t="shared" ca="1" si="286"/>
        <v>-1.2366139724630276</v>
      </c>
      <c r="Q836" s="67"/>
      <c r="R836" s="13">
        <f t="shared" ca="1" si="289"/>
        <v>-1.2366139724630276</v>
      </c>
      <c r="S836" s="63"/>
      <c r="T836" s="8">
        <v>507970</v>
      </c>
      <c r="U836" s="8" t="s">
        <v>3482</v>
      </c>
      <c r="V836" s="12">
        <v>4374908</v>
      </c>
      <c r="W836" s="8">
        <v>41.24</v>
      </c>
      <c r="X836" s="11">
        <f ca="1">IFERROR(__xludf.DUMMYFUNCTION("GOOGLEFINANCE(""BOM:"" &amp; T836,""price"")"),37.73)</f>
        <v>37.729999999999997</v>
      </c>
      <c r="Y836" s="8">
        <f t="shared" ca="1" si="282"/>
        <v>-8.5111542192046681</v>
      </c>
      <c r="Z836" s="12">
        <f t="shared" si="283"/>
        <v>180421205.92000002</v>
      </c>
      <c r="AA836" s="13">
        <f t="shared" ca="1" si="284"/>
        <v>165065278.83999997</v>
      </c>
      <c r="AB836" s="63"/>
      <c r="AC836" s="8">
        <v>504378</v>
      </c>
      <c r="AD836" s="8" t="s">
        <v>3483</v>
      </c>
      <c r="AE836" s="12">
        <v>29996000</v>
      </c>
      <c r="AF836" s="8">
        <v>8.1</v>
      </c>
      <c r="AG836" s="8">
        <f ca="1">IFERROR(__xludf.DUMMYFUNCTION("GOOGLEFINANCE(""BOM:"" &amp; AC836,""price"")"),6.3)</f>
        <v>6.3</v>
      </c>
      <c r="AH836" s="8">
        <f t="shared" ca="1" si="290"/>
        <v>-22.222222222222221</v>
      </c>
      <c r="AI836" s="12">
        <f t="shared" si="291"/>
        <v>242967600</v>
      </c>
      <c r="AJ836" s="13">
        <f t="shared" ca="1" si="292"/>
        <v>188974800</v>
      </c>
    </row>
    <row r="837" spans="1:36" x14ac:dyDescent="0.25">
      <c r="A837" s="63"/>
      <c r="B837" s="8">
        <v>534612</v>
      </c>
      <c r="C837" s="8" t="s">
        <v>3484</v>
      </c>
      <c r="D837" s="12">
        <v>15637423</v>
      </c>
      <c r="E837" s="8">
        <v>40</v>
      </c>
      <c r="F837" s="8">
        <f ca="1">IFERROR(__xludf.DUMMYFUNCTION("GOOGLEFINANCE(""BOM:"" &amp; B837,""price"")"),36.5)</f>
        <v>36.5</v>
      </c>
      <c r="G837" s="8">
        <f t="shared" ca="1" si="273"/>
        <v>-8.75</v>
      </c>
      <c r="H837" s="12">
        <f t="shared" si="274"/>
        <v>625496920</v>
      </c>
      <c r="I837" s="13">
        <f t="shared" ca="1" si="275"/>
        <v>570765939.5</v>
      </c>
      <c r="J837" s="63"/>
      <c r="K837" s="8">
        <v>590099</v>
      </c>
      <c r="L837" s="8" t="s">
        <v>3485</v>
      </c>
      <c r="M837" s="12"/>
      <c r="N837" s="10">
        <v>52.59</v>
      </c>
      <c r="O837" s="10">
        <f ca="1">IFERROR(__xludf.DUMMYFUNCTION("GOOGLEFINANCE(""BOM:"" &amp; K837,""price"")"),56.3)</f>
        <v>56.3</v>
      </c>
      <c r="P837" s="8">
        <f t="shared" ca="1" si="286"/>
        <v>7.0545731127590674</v>
      </c>
      <c r="Q837" s="67"/>
      <c r="R837" s="13">
        <f t="shared" ca="1" si="289"/>
        <v>7.0545731127590674</v>
      </c>
      <c r="S837" s="63"/>
      <c r="T837" s="8">
        <v>500459</v>
      </c>
      <c r="U837" s="8" t="s">
        <v>3486</v>
      </c>
      <c r="V837" s="12">
        <v>32292939</v>
      </c>
      <c r="W837" s="8">
        <v>16196</v>
      </c>
      <c r="X837" s="11">
        <f ca="1">IFERROR(__xludf.DUMMYFUNCTION("GOOGLEFINANCE(""BOM:"" &amp; T837,""price"")"),16750)</f>
        <v>16750</v>
      </c>
      <c r="Y837" s="8">
        <f t="shared" ca="1" si="282"/>
        <v>3.4205976784391212</v>
      </c>
      <c r="Z837" s="12">
        <f t="shared" si="283"/>
        <v>523016440044</v>
      </c>
      <c r="AA837" s="13">
        <f t="shared" ca="1" si="284"/>
        <v>540906728250</v>
      </c>
      <c r="AB837" s="63"/>
      <c r="AC837" s="8">
        <v>538537</v>
      </c>
      <c r="AD837" s="8" t="s">
        <v>3487</v>
      </c>
      <c r="AE837" s="12">
        <v>16701950</v>
      </c>
      <c r="AF837" s="8">
        <v>0.51</v>
      </c>
      <c r="AG837" s="8">
        <f ca="1">IFERROR(__xludf.DUMMYFUNCTION("GOOGLEFINANCE(""BOM:"" &amp; AC837,""price"")"),0.51)</f>
        <v>0.51</v>
      </c>
      <c r="AH837" s="8">
        <f t="shared" ca="1" si="290"/>
        <v>0</v>
      </c>
      <c r="AI837" s="12">
        <f t="shared" si="291"/>
        <v>8517994.5</v>
      </c>
      <c r="AJ837" s="13">
        <f t="shared" ca="1" si="292"/>
        <v>8517994.5</v>
      </c>
    </row>
    <row r="838" spans="1:36" x14ac:dyDescent="0.25">
      <c r="A838" s="63"/>
      <c r="B838" s="8">
        <v>500084</v>
      </c>
      <c r="C838" s="8" t="s">
        <v>3488</v>
      </c>
      <c r="D838" s="12">
        <v>1314463620</v>
      </c>
      <c r="E838" s="8">
        <v>126.95</v>
      </c>
      <c r="F838" s="8">
        <f ca="1">IFERROR(__xludf.DUMMYFUNCTION("GOOGLEFINANCE(""BOM:"" &amp; B838,""price"")"),121.4)</f>
        <v>121.4</v>
      </c>
      <c r="G838" s="8">
        <f t="shared" ca="1" si="273"/>
        <v>-4.3717999212288277</v>
      </c>
      <c r="H838" s="12">
        <f t="shared" si="274"/>
        <v>166871156559</v>
      </c>
      <c r="I838" s="13">
        <f t="shared" ca="1" si="275"/>
        <v>159575883468</v>
      </c>
      <c r="J838" s="63"/>
      <c r="K838" s="8">
        <v>590110</v>
      </c>
      <c r="L838" s="8" t="s">
        <v>3489</v>
      </c>
      <c r="M838" s="12"/>
      <c r="N838" s="10">
        <v>2388</v>
      </c>
      <c r="O838" s="10">
        <f ca="1">IFERROR(__xludf.DUMMYFUNCTION("GOOGLEFINANCE(""BOM:"" &amp; K838,""price"")"),2387.98)</f>
        <v>2387.98</v>
      </c>
      <c r="P838" s="8">
        <f t="shared" ca="1" si="286"/>
        <v>-8.3752093802268884E-4</v>
      </c>
      <c r="Q838" s="67"/>
      <c r="R838" s="13">
        <f t="shared" ca="1" si="289"/>
        <v>-8.3752093802268884E-4</v>
      </c>
      <c r="S838" s="63"/>
      <c r="T838" s="8">
        <v>531412</v>
      </c>
      <c r="U838" s="8" t="s">
        <v>3490</v>
      </c>
      <c r="V838" s="12">
        <v>14984030</v>
      </c>
      <c r="W838" s="8">
        <v>143.25</v>
      </c>
      <c r="X838" s="11">
        <f ca="1">IFERROR(__xludf.DUMMYFUNCTION("GOOGLEFINANCE(""BOM:"" &amp; T838,""price"")"),152.1)</f>
        <v>152.1</v>
      </c>
      <c r="Y838" s="8">
        <f t="shared" ca="1" si="282"/>
        <v>6.1780104712041846</v>
      </c>
      <c r="Z838" s="12">
        <f t="shared" si="283"/>
        <v>2146462297.5</v>
      </c>
      <c r="AA838" s="13">
        <f t="shared" ca="1" si="284"/>
        <v>2279070963</v>
      </c>
      <c r="AB838" s="63"/>
      <c r="AC838" s="8">
        <v>539116</v>
      </c>
      <c r="AD838" s="8" t="s">
        <v>3491</v>
      </c>
      <c r="AE838" s="12">
        <v>6850000</v>
      </c>
      <c r="AF838" s="8">
        <v>31.09</v>
      </c>
      <c r="AG838" s="8">
        <f ca="1">IFERROR(__xludf.DUMMYFUNCTION("GOOGLEFINANCE(""BOM:"" &amp; AC838,""price"")"),31.09)</f>
        <v>31.09</v>
      </c>
      <c r="AH838" s="8">
        <f t="shared" ca="1" si="290"/>
        <v>0</v>
      </c>
      <c r="AI838" s="12">
        <f t="shared" si="291"/>
        <v>212966500</v>
      </c>
      <c r="AJ838" s="13">
        <f t="shared" ca="1" si="292"/>
        <v>212966500</v>
      </c>
    </row>
    <row r="839" spans="1:36" x14ac:dyDescent="0.25">
      <c r="A839" s="63"/>
      <c r="B839" s="8">
        <v>532219</v>
      </c>
      <c r="C839" s="8" t="s">
        <v>3492</v>
      </c>
      <c r="D839" s="12">
        <v>47472794</v>
      </c>
      <c r="E839" s="8">
        <v>20.88</v>
      </c>
      <c r="F839" s="8">
        <f ca="1">IFERROR(__xludf.DUMMYFUNCTION("GOOGLEFINANCE(""BOM:"" &amp; B839,""price"")"),22.04)</f>
        <v>22.04</v>
      </c>
      <c r="G839" s="8">
        <f t="shared" ca="1" si="273"/>
        <v>5.5555555555555562</v>
      </c>
      <c r="H839" s="12">
        <f t="shared" si="274"/>
        <v>991231938.71999991</v>
      </c>
      <c r="I839" s="13">
        <f t="shared" ca="1" si="275"/>
        <v>1046300379.76</v>
      </c>
      <c r="J839" s="63"/>
      <c r="K839" s="8">
        <v>590098</v>
      </c>
      <c r="L839" s="8" t="s">
        <v>3493</v>
      </c>
      <c r="M839" s="12"/>
      <c r="N839" s="10">
        <v>54.45</v>
      </c>
      <c r="O839" s="10">
        <f ca="1">IFERROR(__xludf.DUMMYFUNCTION("GOOGLEFINANCE(""BOM:"" &amp; K839,""price"")"),58.3)</f>
        <v>58.3</v>
      </c>
      <c r="P839" s="8">
        <f t="shared" ca="1" si="286"/>
        <v>7.0707070707070594</v>
      </c>
      <c r="Q839" s="67"/>
      <c r="R839" s="13">
        <f t="shared" ca="1" si="289"/>
        <v>7.0707070707070594</v>
      </c>
      <c r="S839" s="63"/>
      <c r="T839" s="8">
        <v>539450</v>
      </c>
      <c r="U839" s="8" t="s">
        <v>3494</v>
      </c>
      <c r="V839" s="12">
        <v>138420801</v>
      </c>
      <c r="W839" s="8">
        <v>205.8</v>
      </c>
      <c r="X839" s="11">
        <f ca="1">IFERROR(__xludf.DUMMYFUNCTION("GOOGLEFINANCE(""BOM:"" &amp; T839,""price"")"),205.2)</f>
        <v>205.2</v>
      </c>
      <c r="Y839" s="8">
        <f t="shared" ca="1" si="282"/>
        <v>-0.29154518950438418</v>
      </c>
      <c r="Z839" s="12">
        <f t="shared" si="283"/>
        <v>28487000845.800003</v>
      </c>
      <c r="AA839" s="13">
        <f t="shared" ca="1" si="284"/>
        <v>28403948365.199997</v>
      </c>
      <c r="AB839" s="63"/>
      <c r="AC839" s="8">
        <v>500317</v>
      </c>
      <c r="AD839" s="8" t="s">
        <v>3495</v>
      </c>
      <c r="AE839" s="12">
        <v>110738401</v>
      </c>
      <c r="AF839" s="8">
        <v>44.74</v>
      </c>
      <c r="AG839" s="8">
        <f ca="1">IFERROR(__xludf.DUMMYFUNCTION("GOOGLEFINANCE(""BOM:"" &amp; AC839,""price"")"),43.01)</f>
        <v>43.01</v>
      </c>
      <c r="AH839" s="8">
        <f t="shared" ca="1" si="290"/>
        <v>-3.8667858739383192</v>
      </c>
      <c r="AI839" s="12">
        <f t="shared" si="291"/>
        <v>4954436060.7399998</v>
      </c>
      <c r="AJ839" s="13">
        <f t="shared" ca="1" si="292"/>
        <v>4762858627.0100002</v>
      </c>
    </row>
    <row r="840" spans="1:36" x14ac:dyDescent="0.25">
      <c r="A840" s="63"/>
      <c r="B840" s="8">
        <v>517300</v>
      </c>
      <c r="C840" s="8" t="s">
        <v>3496</v>
      </c>
      <c r="D840" s="12">
        <v>150481654</v>
      </c>
      <c r="E840" s="8">
        <v>189.5</v>
      </c>
      <c r="F840" s="8">
        <f ca="1">IFERROR(__xludf.DUMMYFUNCTION("GOOGLEFINANCE(""BOM:"" &amp; B840,""price"")"),163.15)</f>
        <v>163.15</v>
      </c>
      <c r="G840" s="8">
        <f t="shared" ca="1" si="273"/>
        <v>-13.905013192612135</v>
      </c>
      <c r="H840" s="12">
        <f t="shared" si="274"/>
        <v>28516273433</v>
      </c>
      <c r="I840" s="13">
        <f t="shared" ca="1" si="275"/>
        <v>24551081850.100002</v>
      </c>
      <c r="J840" s="64"/>
      <c r="K840" s="14">
        <v>590109</v>
      </c>
      <c r="L840" s="14" t="s">
        <v>3497</v>
      </c>
      <c r="M840" s="15"/>
      <c r="N840" s="17">
        <v>513.6</v>
      </c>
      <c r="O840" s="17">
        <f ca="1">IFERROR(__xludf.DUMMYFUNCTION("GOOGLEFINANCE(""BOM:"" &amp; K840,""price"")"),492.1)</f>
        <v>492.1</v>
      </c>
      <c r="P840" s="14">
        <f t="shared" ca="1" si="286"/>
        <v>-4.1861370716510899</v>
      </c>
      <c r="Q840" s="68"/>
      <c r="R840" s="13">
        <f t="shared" ca="1" si="289"/>
        <v>-4.1861370716510899</v>
      </c>
      <c r="S840" s="64"/>
      <c r="T840" s="14">
        <v>540108</v>
      </c>
      <c r="U840" s="14" t="s">
        <v>3498</v>
      </c>
      <c r="V840" s="15">
        <v>10263020</v>
      </c>
      <c r="W840" s="14">
        <v>2.9</v>
      </c>
      <c r="X840" s="26">
        <f ca="1">IFERROR(__xludf.DUMMYFUNCTION("GOOGLEFINANCE(""BOM:"" &amp; T840,""price"")"),2.84)</f>
        <v>2.84</v>
      </c>
      <c r="Y840" s="14">
        <f t="shared" ca="1" si="282"/>
        <v>-2.0689655172413812</v>
      </c>
      <c r="Z840" s="15">
        <f t="shared" si="283"/>
        <v>29762758</v>
      </c>
      <c r="AA840" s="16">
        <f t="shared" ca="1" si="284"/>
        <v>29146976.799999997</v>
      </c>
      <c r="AB840" s="63"/>
      <c r="AC840" s="8">
        <v>514460</v>
      </c>
      <c r="AD840" s="8" t="s">
        <v>3499</v>
      </c>
      <c r="AE840" s="12">
        <v>1295800</v>
      </c>
      <c r="AF840" s="8">
        <v>5.83</v>
      </c>
      <c r="AG840" s="8">
        <f ca="1">IFERROR(__xludf.DUMMYFUNCTION("GOOGLEFINANCE(""BOM:"" &amp; AC840,""price"")"),13.24)</f>
        <v>13.24</v>
      </c>
      <c r="AH840" s="8">
        <f t="shared" ca="1" si="290"/>
        <v>127.10120068610635</v>
      </c>
      <c r="AI840" s="12">
        <f t="shared" si="291"/>
        <v>7554514</v>
      </c>
      <c r="AJ840" s="13">
        <f t="shared" ca="1" si="292"/>
        <v>17156392</v>
      </c>
    </row>
    <row r="841" spans="1:36" x14ac:dyDescent="0.25">
      <c r="A841" s="63"/>
      <c r="B841" s="8">
        <v>539013</v>
      </c>
      <c r="C841" s="8" t="s">
        <v>3500</v>
      </c>
      <c r="D841" s="12">
        <v>4053143</v>
      </c>
      <c r="E841" s="8">
        <v>173.15</v>
      </c>
      <c r="F841" s="8">
        <f ca="1">IFERROR(__xludf.DUMMYFUNCTION("GOOGLEFINANCE(""BOM:"" &amp; B841,""price"")"),158.2)</f>
        <v>158.19999999999999</v>
      </c>
      <c r="G841" s="8">
        <f t="shared" ca="1" si="273"/>
        <v>-8.6341322552700071</v>
      </c>
      <c r="H841" s="12">
        <f t="shared" si="274"/>
        <v>701801710.45000005</v>
      </c>
      <c r="I841" s="13">
        <f t="shared" ca="1" si="275"/>
        <v>641207222.5999999</v>
      </c>
      <c r="J841" s="62" t="s">
        <v>3501</v>
      </c>
      <c r="K841" s="6">
        <v>523204</v>
      </c>
      <c r="L841" s="6" t="s">
        <v>3502</v>
      </c>
      <c r="M841" s="7">
        <v>58126690</v>
      </c>
      <c r="N841" s="10">
        <v>69.45</v>
      </c>
      <c r="O841" s="10">
        <f ca="1">IFERROR(__xludf.DUMMYFUNCTION("GOOGLEFINANCE(""BOM:"" &amp; K841,""price"")"),49.89)</f>
        <v>49.89</v>
      </c>
      <c r="P841" s="8">
        <f t="shared" ca="1" si="286"/>
        <v>-28.164146868250544</v>
      </c>
      <c r="Q841" s="7">
        <f t="shared" ref="Q841:Q866" si="293">M841*N841</f>
        <v>4036898620.5</v>
      </c>
      <c r="R841" s="9">
        <f t="shared" ref="R841:R866" ca="1" si="294">M841*O841</f>
        <v>2899940564.0999999</v>
      </c>
      <c r="S841" s="62" t="s">
        <v>3503</v>
      </c>
      <c r="T841" s="6">
        <v>526711</v>
      </c>
      <c r="U841" s="6" t="s">
        <v>3504</v>
      </c>
      <c r="V841" s="7">
        <v>9477445</v>
      </c>
      <c r="W841" s="8">
        <v>31.89</v>
      </c>
      <c r="X841" s="11">
        <f ca="1">IFERROR(__xludf.DUMMYFUNCTION("GOOGLEFINANCE(""BOM:"" &amp; T841,""price"")"),26.73)</f>
        <v>26.73</v>
      </c>
      <c r="Y841" s="8">
        <f t="shared" ca="1" si="282"/>
        <v>-16.180620884289745</v>
      </c>
      <c r="Z841" s="7">
        <f t="shared" si="283"/>
        <v>302235721.05000001</v>
      </c>
      <c r="AA841" s="9">
        <f t="shared" ca="1" si="284"/>
        <v>253332104.84999999</v>
      </c>
      <c r="AB841" s="63"/>
      <c r="AC841" s="8">
        <v>541444</v>
      </c>
      <c r="AD841" s="8" t="s">
        <v>3505</v>
      </c>
      <c r="AE841" s="12">
        <v>10040959</v>
      </c>
      <c r="AF841" s="8">
        <v>21.9</v>
      </c>
      <c r="AG841" s="8">
        <f ca="1">IFERROR(__xludf.DUMMYFUNCTION("GOOGLEFINANCE(""BOM:"" &amp; AC841,""price"")"),18.17)</f>
        <v>18.170000000000002</v>
      </c>
      <c r="AH841" s="8">
        <f t="shared" ca="1" si="290"/>
        <v>-17.031963470319621</v>
      </c>
      <c r="AI841" s="12">
        <f t="shared" si="291"/>
        <v>219897002.09999999</v>
      </c>
      <c r="AJ841" s="13">
        <f t="shared" ca="1" si="292"/>
        <v>182444225.03000003</v>
      </c>
    </row>
    <row r="842" spans="1:36" x14ac:dyDescent="0.25">
      <c r="A842" s="63"/>
      <c r="B842" s="8">
        <v>526025</v>
      </c>
      <c r="C842" s="8" t="s">
        <v>3506</v>
      </c>
      <c r="D842" s="12">
        <v>98745465</v>
      </c>
      <c r="E842" s="8">
        <v>17.03</v>
      </c>
      <c r="F842" s="8">
        <f ca="1">IFERROR(__xludf.DUMMYFUNCTION("GOOGLEFINANCE(""BOM:"" &amp; B842,""price"")"),14.64)</f>
        <v>14.64</v>
      </c>
      <c r="G842" s="8">
        <f t="shared" ca="1" si="273"/>
        <v>-14.034057545507931</v>
      </c>
      <c r="H842" s="12">
        <f t="shared" si="274"/>
        <v>1681635268.95</v>
      </c>
      <c r="I842" s="13">
        <f t="shared" ca="1" si="275"/>
        <v>1445633607.6000001</v>
      </c>
      <c r="J842" s="63"/>
      <c r="K842" s="8">
        <v>526397</v>
      </c>
      <c r="L842" s="8" t="s">
        <v>3507</v>
      </c>
      <c r="M842" s="12">
        <v>6296029</v>
      </c>
      <c r="N842" s="10">
        <v>378.7</v>
      </c>
      <c r="O842" s="10">
        <f ca="1">IFERROR(__xludf.DUMMYFUNCTION("GOOGLEFINANCE(""BOM:"" &amp; K842,""price"")"),332)</f>
        <v>332</v>
      </c>
      <c r="P842" s="8">
        <f t="shared" ca="1" si="286"/>
        <v>-12.331660945339316</v>
      </c>
      <c r="Q842" s="12">
        <f t="shared" si="293"/>
        <v>2384306182.2999997</v>
      </c>
      <c r="R842" s="13">
        <f t="shared" ca="1" si="294"/>
        <v>2090281628</v>
      </c>
      <c r="S842" s="63"/>
      <c r="T842" s="8">
        <v>524288</v>
      </c>
      <c r="U842" s="8" t="s">
        <v>3508</v>
      </c>
      <c r="V842" s="20">
        <v>8595543</v>
      </c>
      <c r="W842" s="8">
        <v>111.65</v>
      </c>
      <c r="X842" s="11">
        <f ca="1">IFERROR(__xludf.DUMMYFUNCTION("GOOGLEFINANCE(""BOM:"" &amp; T842,""price"")"),91)</f>
        <v>91</v>
      </c>
      <c r="Y842" s="8">
        <f t="shared" ca="1" si="282"/>
        <v>-18.49529780564264</v>
      </c>
      <c r="Z842" s="12">
        <f t="shared" si="283"/>
        <v>959692375.95000005</v>
      </c>
      <c r="AA842" s="13">
        <f t="shared" ca="1" si="284"/>
        <v>782194413</v>
      </c>
      <c r="AB842" s="63"/>
      <c r="AC842" s="8">
        <v>538742</v>
      </c>
      <c r="AD842" s="8" t="s">
        <v>3509</v>
      </c>
      <c r="AE842" s="12">
        <v>4304000</v>
      </c>
      <c r="AF842" s="8">
        <v>25.75</v>
      </c>
      <c r="AG842" s="8">
        <f ca="1">IFERROR(__xludf.DUMMYFUNCTION("GOOGLEFINANCE(""BOM:"" &amp; AC842,""price"")"),25)</f>
        <v>25</v>
      </c>
      <c r="AH842" s="8">
        <f t="shared" ca="1" si="290"/>
        <v>-2.912621359223301</v>
      </c>
      <c r="AI842" s="12">
        <f t="shared" si="291"/>
        <v>110828000</v>
      </c>
      <c r="AJ842" s="13">
        <f t="shared" ca="1" si="292"/>
        <v>107600000</v>
      </c>
    </row>
    <row r="843" spans="1:36" x14ac:dyDescent="0.25">
      <c r="A843" s="63"/>
      <c r="B843" s="8">
        <v>533263</v>
      </c>
      <c r="C843" s="8" t="s">
        <v>3510</v>
      </c>
      <c r="D843" s="12">
        <v>750721108</v>
      </c>
      <c r="E843" s="8">
        <v>22.8</v>
      </c>
      <c r="F843" s="8">
        <f ca="1">IFERROR(__xludf.DUMMYFUNCTION("GOOGLEFINANCE(""BOM:"" &amp; B843,""price"")"),18.8)</f>
        <v>18.8</v>
      </c>
      <c r="G843" s="8">
        <f t="shared" ca="1" si="273"/>
        <v>-17.543859649122805</v>
      </c>
      <c r="H843" s="12">
        <f t="shared" si="274"/>
        <v>17116441262.4</v>
      </c>
      <c r="I843" s="13">
        <f t="shared" ca="1" si="275"/>
        <v>14113556830.4</v>
      </c>
      <c r="J843" s="63"/>
      <c r="K843" s="8">
        <v>543288</v>
      </c>
      <c r="L843" s="8" t="s">
        <v>3511</v>
      </c>
      <c r="M843" s="12">
        <v>63999478</v>
      </c>
      <c r="N843" s="10">
        <v>249.25</v>
      </c>
      <c r="O843" s="10">
        <f ca="1">IFERROR(__xludf.DUMMYFUNCTION("GOOGLEFINANCE(""BOM:"" &amp; K843,""price"")"),308.45)</f>
        <v>308.45</v>
      </c>
      <c r="P843" s="8">
        <f t="shared" ca="1" si="286"/>
        <v>23.751253761283849</v>
      </c>
      <c r="Q843" s="12">
        <f t="shared" si="293"/>
        <v>15951869891.5</v>
      </c>
      <c r="R843" s="13">
        <f t="shared" ca="1" si="294"/>
        <v>19740638989.099998</v>
      </c>
      <c r="S843" s="63"/>
      <c r="T843" s="8">
        <v>533138</v>
      </c>
      <c r="U843" s="8" t="s">
        <v>3512</v>
      </c>
      <c r="V843" s="20">
        <v>19597549</v>
      </c>
      <c r="W843" s="8">
        <v>894.25</v>
      </c>
      <c r="X843" s="11">
        <f ca="1">IFERROR(__xludf.DUMMYFUNCTION("GOOGLEFINANCE(""BOM:"" &amp; T843,""price"")"),1047.6)</f>
        <v>1047.5999999999999</v>
      </c>
      <c r="Y843" s="8">
        <f t="shared" ca="1" si="282"/>
        <v>17.148448420464067</v>
      </c>
      <c r="Z843" s="12">
        <f t="shared" si="283"/>
        <v>17525108193.25</v>
      </c>
      <c r="AA843" s="13">
        <f t="shared" ca="1" si="284"/>
        <v>20530392332.399998</v>
      </c>
      <c r="AB843" s="63"/>
      <c r="AC843" s="8">
        <v>524628</v>
      </c>
      <c r="AD843" s="8" t="s">
        <v>3513</v>
      </c>
      <c r="AE843" s="12">
        <v>4184685</v>
      </c>
      <c r="AF843" s="8">
        <v>24.89</v>
      </c>
      <c r="AG843" s="8">
        <f ca="1">IFERROR(__xludf.DUMMYFUNCTION("GOOGLEFINANCE(""BOM:"" &amp; AC843,""price"")"),19.73)</f>
        <v>19.73</v>
      </c>
      <c r="AH843" s="8">
        <f t="shared" ca="1" si="290"/>
        <v>-20.73121735636802</v>
      </c>
      <c r="AI843" s="12">
        <f t="shared" si="291"/>
        <v>104156809.65000001</v>
      </c>
      <c r="AJ843" s="13">
        <f t="shared" ca="1" si="292"/>
        <v>82563835.049999997</v>
      </c>
    </row>
    <row r="844" spans="1:36" x14ac:dyDescent="0.25">
      <c r="A844" s="63"/>
      <c r="B844" s="8">
        <v>532894</v>
      </c>
      <c r="C844" s="8" t="s">
        <v>3514</v>
      </c>
      <c r="D844" s="12">
        <v>89707438</v>
      </c>
      <c r="E844" s="8">
        <v>22.18</v>
      </c>
      <c r="F844" s="8">
        <f ca="1">IFERROR(__xludf.DUMMYFUNCTION("GOOGLEFINANCE(""BOM:"" &amp; B844,""price"")"),19.8)</f>
        <v>19.8</v>
      </c>
      <c r="G844" s="8">
        <f t="shared" ca="1" si="273"/>
        <v>-10.730387736699726</v>
      </c>
      <c r="H844" s="12">
        <f t="shared" si="274"/>
        <v>1989710974.8399999</v>
      </c>
      <c r="I844" s="13">
        <f t="shared" ca="1" si="275"/>
        <v>1776207272.4000001</v>
      </c>
      <c r="J844" s="64"/>
      <c r="K844" s="14">
        <v>511034</v>
      </c>
      <c r="L844" s="14" t="s">
        <v>3515</v>
      </c>
      <c r="M844" s="15">
        <v>28927856</v>
      </c>
      <c r="N844" s="17">
        <v>661.45</v>
      </c>
      <c r="O844" s="17">
        <f ca="1">IFERROR(__xludf.DUMMYFUNCTION("GOOGLEFINANCE(""BOM:"" &amp; K844,""price"")"),613.25)</f>
        <v>613.25</v>
      </c>
      <c r="P844" s="14">
        <f t="shared" ca="1" si="286"/>
        <v>-7.2870209388464806</v>
      </c>
      <c r="Q844" s="15">
        <f t="shared" si="293"/>
        <v>19134330351.200001</v>
      </c>
      <c r="R844" s="16">
        <f t="shared" ca="1" si="294"/>
        <v>17740007692</v>
      </c>
      <c r="S844" s="63"/>
      <c r="T844" s="8">
        <v>506285</v>
      </c>
      <c r="U844" s="8" t="s">
        <v>3516</v>
      </c>
      <c r="V844" s="20">
        <v>44673669</v>
      </c>
      <c r="W844" s="8">
        <v>5662.2</v>
      </c>
      <c r="X844" s="11">
        <f ca="1">IFERROR(__xludf.DUMMYFUNCTION("GOOGLEFINANCE(""BOM:"" &amp; T844,""price"")"),5264.35)</f>
        <v>5264.35</v>
      </c>
      <c r="Y844" s="8">
        <f t="shared" ca="1" si="282"/>
        <v>-7.0264208258274081</v>
      </c>
      <c r="Z844" s="12">
        <f t="shared" si="283"/>
        <v>252951248611.79999</v>
      </c>
      <c r="AA844" s="13">
        <f t="shared" ca="1" si="284"/>
        <v>235177829400.15002</v>
      </c>
      <c r="AB844" s="63"/>
      <c r="AC844" s="8">
        <v>542694</v>
      </c>
      <c r="AD844" s="8" t="s">
        <v>3517</v>
      </c>
      <c r="AE844" s="12">
        <v>10049749</v>
      </c>
      <c r="AF844" s="8">
        <v>220</v>
      </c>
      <c r="AG844" s="8">
        <f ca="1">IFERROR(__xludf.DUMMYFUNCTION("GOOGLEFINANCE(""BOM:"" &amp; AC844,""price"")"),210.35)</f>
        <v>210.35</v>
      </c>
      <c r="AH844" s="8">
        <f t="shared" ca="1" si="290"/>
        <v>-4.3863636363636394</v>
      </c>
      <c r="AI844" s="12">
        <f t="shared" si="291"/>
        <v>2210944780</v>
      </c>
      <c r="AJ844" s="13">
        <f t="shared" ca="1" si="292"/>
        <v>2113964702.1499999</v>
      </c>
    </row>
    <row r="845" spans="1:36" x14ac:dyDescent="0.25">
      <c r="A845" s="63"/>
      <c r="B845" s="8">
        <v>536709</v>
      </c>
      <c r="C845" s="8" t="s">
        <v>3518</v>
      </c>
      <c r="D845" s="12">
        <v>2831145</v>
      </c>
      <c r="E845" s="8">
        <v>19.8</v>
      </c>
      <c r="F845" s="8">
        <f ca="1">IFERROR(__xludf.DUMMYFUNCTION("GOOGLEFINANCE(""BOM:"" &amp; B845,""price"")"),20.63)</f>
        <v>20.63</v>
      </c>
      <c r="G845" s="8">
        <f t="shared" ca="1" si="273"/>
        <v>4.1919191919191832</v>
      </c>
      <c r="H845" s="12">
        <f t="shared" si="274"/>
        <v>56056671</v>
      </c>
      <c r="I845" s="13">
        <f t="shared" ca="1" si="275"/>
        <v>58406521.349999994</v>
      </c>
      <c r="J845" s="62" t="s">
        <v>3519</v>
      </c>
      <c r="K845" s="6">
        <v>530355</v>
      </c>
      <c r="L845" s="6" t="s">
        <v>3520</v>
      </c>
      <c r="M845" s="7">
        <v>37451470</v>
      </c>
      <c r="N845" s="10">
        <v>298.5</v>
      </c>
      <c r="O845" s="10">
        <f ca="1">IFERROR(__xludf.DUMMYFUNCTION("GOOGLEFINANCE(""BOM:"" &amp; K845,""price"")"),275)</f>
        <v>275</v>
      </c>
      <c r="P845" s="8">
        <f t="shared" ca="1" si="286"/>
        <v>-7.8726968174204357</v>
      </c>
      <c r="Q845" s="7">
        <f t="shared" si="293"/>
        <v>11179263795</v>
      </c>
      <c r="R845" s="9">
        <f t="shared" ca="1" si="294"/>
        <v>10299154250</v>
      </c>
      <c r="S845" s="63"/>
      <c r="T845" s="8">
        <v>539660</v>
      </c>
      <c r="U845" s="8" t="s">
        <v>3521</v>
      </c>
      <c r="V845" s="20">
        <v>23642640</v>
      </c>
      <c r="W845" s="8">
        <v>583.1</v>
      </c>
      <c r="X845" s="11">
        <f ca="1">IFERROR(__xludf.DUMMYFUNCTION("GOOGLEFINANCE(""BOM:"" &amp; T845,""price"")"),458.1)</f>
        <v>458.1</v>
      </c>
      <c r="Y845" s="8">
        <f t="shared" ca="1" si="282"/>
        <v>-21.437146287086261</v>
      </c>
      <c r="Z845" s="12">
        <f t="shared" si="283"/>
        <v>13786023384</v>
      </c>
      <c r="AA845" s="13">
        <f t="shared" ca="1" si="284"/>
        <v>10830693384</v>
      </c>
      <c r="AB845" s="63"/>
      <c r="AC845" s="8">
        <v>517172</v>
      </c>
      <c r="AD845" s="8" t="s">
        <v>3522</v>
      </c>
      <c r="AE845" s="12">
        <v>67410</v>
      </c>
      <c r="AF845" s="8">
        <v>12</v>
      </c>
      <c r="AG845" s="8">
        <f ca="1">IFERROR(__xludf.DUMMYFUNCTION("GOOGLEFINANCE(""BOM:"" &amp; AC845,""price"")"),12)</f>
        <v>12</v>
      </c>
      <c r="AH845" s="8">
        <f t="shared" ca="1" si="290"/>
        <v>0</v>
      </c>
      <c r="AI845" s="12">
        <f t="shared" si="291"/>
        <v>808920</v>
      </c>
      <c r="AJ845" s="13">
        <f t="shared" ca="1" si="292"/>
        <v>808920</v>
      </c>
    </row>
    <row r="846" spans="1:36" x14ac:dyDescent="0.25">
      <c r="A846" s="63"/>
      <c r="B846" s="8">
        <v>532627</v>
      </c>
      <c r="C846" s="8" t="s">
        <v>3523</v>
      </c>
      <c r="D846" s="12">
        <v>6853451153</v>
      </c>
      <c r="E846" s="8">
        <v>18.309999999999999</v>
      </c>
      <c r="F846" s="8">
        <f ca="1">IFERROR(__xludf.DUMMYFUNCTION("GOOGLEFINANCE(""BOM:"" &amp; B846,""price"")"),15.28)</f>
        <v>15.28</v>
      </c>
      <c r="G846" s="8">
        <f t="shared" ca="1" si="273"/>
        <v>-16.548334243582737</v>
      </c>
      <c r="H846" s="12">
        <f t="shared" si="274"/>
        <v>125486690611.42999</v>
      </c>
      <c r="I846" s="13">
        <f t="shared" ca="1" si="275"/>
        <v>104720733617.84</v>
      </c>
      <c r="J846" s="63"/>
      <c r="K846" s="8">
        <v>531306</v>
      </c>
      <c r="L846" s="8" t="s">
        <v>3524</v>
      </c>
      <c r="M846" s="12">
        <v>2977488</v>
      </c>
      <c r="N846" s="10">
        <v>730.55</v>
      </c>
      <c r="O846" s="10">
        <f ca="1">IFERROR(__xludf.DUMMYFUNCTION("GOOGLEFINANCE(""BOM:"" &amp; K846,""price"")"),693)</f>
        <v>693</v>
      </c>
      <c r="P846" s="8">
        <f t="shared" ca="1" si="286"/>
        <v>-5.1399630415440365</v>
      </c>
      <c r="Q846" s="12">
        <f t="shared" si="293"/>
        <v>2175203858.4000001</v>
      </c>
      <c r="R846" s="13">
        <f t="shared" ca="1" si="294"/>
        <v>2063399184</v>
      </c>
      <c r="S846" s="63"/>
      <c r="T846" s="8">
        <v>531719</v>
      </c>
      <c r="U846" s="8" t="s">
        <v>3525</v>
      </c>
      <c r="V846" s="20">
        <v>10399657</v>
      </c>
      <c r="W846" s="8">
        <v>1738.55</v>
      </c>
      <c r="X846" s="11">
        <f ca="1">IFERROR(__xludf.DUMMYFUNCTION("GOOGLEFINANCE(""BOM:"" &amp; T846,""price"")"),1611)</f>
        <v>1611</v>
      </c>
      <c r="Y846" s="8">
        <f t="shared" ca="1" si="282"/>
        <v>-7.336573581432801</v>
      </c>
      <c r="Z846" s="12">
        <f t="shared" si="283"/>
        <v>18080323677.349998</v>
      </c>
      <c r="AA846" s="13">
        <f t="shared" ca="1" si="284"/>
        <v>16753847427</v>
      </c>
      <c r="AB846" s="63"/>
      <c r="AC846" s="8">
        <v>512026</v>
      </c>
      <c r="AD846" s="8" t="s">
        <v>3526</v>
      </c>
      <c r="AE846" s="12">
        <v>402660</v>
      </c>
      <c r="AF846" s="8">
        <v>1.7</v>
      </c>
      <c r="AG846" s="8">
        <f ca="1">IFERROR(__xludf.DUMMYFUNCTION("GOOGLEFINANCE(""BOM:"" &amp; AC846,""price"")"),1.7)</f>
        <v>1.7</v>
      </c>
      <c r="AH846" s="8">
        <f t="shared" ca="1" si="290"/>
        <v>0</v>
      </c>
      <c r="AI846" s="12">
        <f t="shared" si="291"/>
        <v>684522</v>
      </c>
      <c r="AJ846" s="13">
        <f t="shared" ca="1" si="292"/>
        <v>684522</v>
      </c>
    </row>
    <row r="847" spans="1:36" x14ac:dyDescent="0.25">
      <c r="A847" s="63"/>
      <c r="B847" s="8">
        <v>533148</v>
      </c>
      <c r="C847" s="8" t="s">
        <v>3527</v>
      </c>
      <c r="D847" s="12">
        <v>1644031112</v>
      </c>
      <c r="E847" s="8">
        <v>503.85</v>
      </c>
      <c r="F847" s="8">
        <f ca="1">IFERROR(__xludf.DUMMYFUNCTION("GOOGLEFINANCE(""BOM:"" &amp; B847,""price"")"),528.9)</f>
        <v>528.9</v>
      </c>
      <c r="G847" s="8">
        <f t="shared" ca="1" si="273"/>
        <v>4.9717177731467599</v>
      </c>
      <c r="H847" s="12">
        <f t="shared" si="274"/>
        <v>828345075781.20007</v>
      </c>
      <c r="I847" s="13">
        <f t="shared" ca="1" si="275"/>
        <v>869528055136.79993</v>
      </c>
      <c r="J847" s="63"/>
      <c r="K847" s="8">
        <v>531471</v>
      </c>
      <c r="L847" s="8" t="s">
        <v>3528</v>
      </c>
      <c r="M847" s="12">
        <v>9396200</v>
      </c>
      <c r="N847" s="10">
        <v>17.649999999999999</v>
      </c>
      <c r="O847" s="10">
        <f ca="1">IFERROR(__xludf.DUMMYFUNCTION("GOOGLEFINANCE(""BOM:"" &amp; K847,""price"")"),11.28)</f>
        <v>11.28</v>
      </c>
      <c r="P847" s="8">
        <f t="shared" ca="1" si="286"/>
        <v>-36.090651558073652</v>
      </c>
      <c r="Q847" s="12">
        <f t="shared" si="293"/>
        <v>165842930</v>
      </c>
      <c r="R847" s="13">
        <f t="shared" ca="1" si="294"/>
        <v>105989136</v>
      </c>
      <c r="S847" s="63"/>
      <c r="T847" s="8">
        <v>590021</v>
      </c>
      <c r="U847" s="8" t="s">
        <v>3529</v>
      </c>
      <c r="V847" s="20">
        <v>3992788</v>
      </c>
      <c r="W847" s="8">
        <v>9235</v>
      </c>
      <c r="X847" s="11">
        <f ca="1">IFERROR(__xludf.DUMMYFUNCTION("GOOGLEFINANCE(""BOM:"" &amp; T847,""price"")"),8475)</f>
        <v>8475</v>
      </c>
      <c r="Y847" s="8">
        <f t="shared" ca="1" si="282"/>
        <v>-8.229561451001624</v>
      </c>
      <c r="Z847" s="12">
        <f t="shared" si="283"/>
        <v>36873397180</v>
      </c>
      <c r="AA847" s="13">
        <f t="shared" ca="1" si="284"/>
        <v>33838878300</v>
      </c>
      <c r="AB847" s="63"/>
      <c r="AC847" s="8">
        <v>540717</v>
      </c>
      <c r="AD847" s="8" t="s">
        <v>3530</v>
      </c>
      <c r="AE847" s="12">
        <v>335727500</v>
      </c>
      <c r="AF847" s="8">
        <v>45.5</v>
      </c>
      <c r="AG847" s="8">
        <f ca="1">IFERROR(__xludf.DUMMYFUNCTION("GOOGLEFINANCE(""BOM:"" &amp; AC847,""price"")"),40.6)</f>
        <v>40.6</v>
      </c>
      <c r="AH847" s="8">
        <f t="shared" ca="1" si="290"/>
        <v>-10.769230769230766</v>
      </c>
      <c r="AI847" s="12">
        <f t="shared" si="291"/>
        <v>15275601250</v>
      </c>
      <c r="AJ847" s="13">
        <f t="shared" ca="1" si="292"/>
        <v>13630536500</v>
      </c>
    </row>
    <row r="848" spans="1:36" x14ac:dyDescent="0.25">
      <c r="A848" s="63"/>
      <c r="B848" s="8">
        <v>533451</v>
      </c>
      <c r="C848" s="8" t="s">
        <v>3531</v>
      </c>
      <c r="D848" s="12">
        <v>11372737</v>
      </c>
      <c r="E848" s="8">
        <v>79</v>
      </c>
      <c r="F848" s="8">
        <f ca="1">IFERROR(__xludf.DUMMYFUNCTION("GOOGLEFINANCE(""BOM:"" &amp; B848,""price"")"),66)</f>
        <v>66</v>
      </c>
      <c r="G848" s="8">
        <f t="shared" ca="1" si="273"/>
        <v>-16.455696202531644</v>
      </c>
      <c r="H848" s="12">
        <f t="shared" si="274"/>
        <v>898446223</v>
      </c>
      <c r="I848" s="13">
        <f t="shared" ca="1" si="275"/>
        <v>750600642</v>
      </c>
      <c r="J848" s="64"/>
      <c r="K848" s="14">
        <v>500313</v>
      </c>
      <c r="L848" s="14" t="s">
        <v>3532</v>
      </c>
      <c r="M848" s="15">
        <v>42940398</v>
      </c>
      <c r="N848" s="17">
        <v>37.6</v>
      </c>
      <c r="O848" s="17">
        <f ca="1">IFERROR(__xludf.DUMMYFUNCTION("GOOGLEFINANCE(""BOM:"" &amp; K848,""price"")"),35)</f>
        <v>35</v>
      </c>
      <c r="P848" s="14">
        <f t="shared" ca="1" si="286"/>
        <v>-6.9148936170212796</v>
      </c>
      <c r="Q848" s="15">
        <f t="shared" si="293"/>
        <v>1614558964.8</v>
      </c>
      <c r="R848" s="16">
        <f t="shared" ca="1" si="294"/>
        <v>1502913930</v>
      </c>
      <c r="S848" s="63"/>
      <c r="T848" s="8">
        <v>524534</v>
      </c>
      <c r="U848" s="8" t="s">
        <v>3533</v>
      </c>
      <c r="V848" s="20">
        <v>3957786</v>
      </c>
      <c r="W848" s="8">
        <v>73</v>
      </c>
      <c r="X848" s="11">
        <f ca="1">IFERROR(__xludf.DUMMYFUNCTION("GOOGLEFINANCE(""BOM:"" &amp; T848,""price"")"),59)</f>
        <v>59</v>
      </c>
      <c r="Y848" s="8">
        <f t="shared" ca="1" si="282"/>
        <v>-19.17808219178082</v>
      </c>
      <c r="Z848" s="12">
        <f t="shared" si="283"/>
        <v>288918378</v>
      </c>
      <c r="AA848" s="13">
        <f t="shared" ca="1" si="284"/>
        <v>233509374</v>
      </c>
      <c r="AB848" s="63"/>
      <c r="AC848" s="8">
        <v>523874</v>
      </c>
      <c r="AD848" s="8" t="s">
        <v>3534</v>
      </c>
      <c r="AE848" s="12">
        <v>20586743</v>
      </c>
      <c r="AF848" s="8">
        <v>54</v>
      </c>
      <c r="AG848" s="8" t="str">
        <f ca="1">IFERROR(__xludf.DUMMYFUNCTION("GOOGLEFINANCE(""BOM:"" &amp; AC848,""price"")"),"#N/A")</f>
        <v>#N/A</v>
      </c>
      <c r="AH848" s="8" t="e">
        <f t="shared" ca="1" si="290"/>
        <v>#VALUE!</v>
      </c>
      <c r="AI848" s="12">
        <f t="shared" si="291"/>
        <v>1111684122</v>
      </c>
      <c r="AJ848" s="13" t="e">
        <f t="shared" ca="1" si="292"/>
        <v>#VALUE!</v>
      </c>
    </row>
    <row r="849" spans="1:36" x14ac:dyDescent="0.25">
      <c r="A849" s="63"/>
      <c r="B849" s="8">
        <v>539686</v>
      </c>
      <c r="C849" s="8" t="s">
        <v>3535</v>
      </c>
      <c r="D849" s="12">
        <v>66677820</v>
      </c>
      <c r="E849" s="8">
        <v>412.3</v>
      </c>
      <c r="F849" s="8">
        <v>412.3</v>
      </c>
      <c r="G849" s="8">
        <f t="shared" si="273"/>
        <v>0</v>
      </c>
      <c r="H849" s="12">
        <f t="shared" si="274"/>
        <v>27491265186</v>
      </c>
      <c r="I849" s="13">
        <f t="shared" si="275"/>
        <v>27491265186</v>
      </c>
      <c r="J849" s="62" t="s">
        <v>3536</v>
      </c>
      <c r="K849" s="6">
        <v>532760</v>
      </c>
      <c r="L849" s="6" t="s">
        <v>3537</v>
      </c>
      <c r="M849" s="7">
        <v>31999739</v>
      </c>
      <c r="N849" s="10">
        <v>194.9</v>
      </c>
      <c r="O849" s="10">
        <f ca="1">IFERROR(__xludf.DUMMYFUNCTION("GOOGLEFINANCE(""BOM:"" &amp; K849,""price"")"),176.75)</f>
        <v>176.75</v>
      </c>
      <c r="P849" s="8">
        <f t="shared" ca="1" si="286"/>
        <v>-9.3124679322729644</v>
      </c>
      <c r="Q849" s="7">
        <f t="shared" si="293"/>
        <v>6236749131.1000004</v>
      </c>
      <c r="R849" s="9">
        <f t="shared" ca="1" si="294"/>
        <v>5655953868.25</v>
      </c>
      <c r="S849" s="63"/>
      <c r="T849" s="8">
        <v>507717</v>
      </c>
      <c r="U849" s="8" t="s">
        <v>3538</v>
      </c>
      <c r="V849" s="20">
        <v>46246366</v>
      </c>
      <c r="W849" s="8">
        <v>1040.1500000000001</v>
      </c>
      <c r="X849" s="11">
        <f ca="1">IFERROR(__xludf.DUMMYFUNCTION("GOOGLEFINANCE(""BOM:"" &amp; T849,""price"")"),1022.3)</f>
        <v>1022.3</v>
      </c>
      <c r="Y849" s="8">
        <f t="shared" ca="1" si="282"/>
        <v>-1.7160986396192988</v>
      </c>
      <c r="Z849" s="12">
        <f t="shared" si="283"/>
        <v>48103157594.900002</v>
      </c>
      <c r="AA849" s="13">
        <f t="shared" ca="1" si="284"/>
        <v>47277659961.799995</v>
      </c>
      <c r="AB849" s="63"/>
      <c r="AC849" s="8">
        <v>501314</v>
      </c>
      <c r="AD849" s="8" t="s">
        <v>3539</v>
      </c>
      <c r="AE849" s="12">
        <v>405971100</v>
      </c>
      <c r="AF849" s="8">
        <v>1.54</v>
      </c>
      <c r="AG849" s="8">
        <f ca="1">IFERROR(__xludf.DUMMYFUNCTION("GOOGLEFINANCE(""BOM:"" &amp; AC849,""price"")"),1.3)</f>
        <v>1.3</v>
      </c>
      <c r="AH849" s="8">
        <f t="shared" ca="1" si="290"/>
        <v>-15.584415584415584</v>
      </c>
      <c r="AI849" s="12">
        <f t="shared" si="291"/>
        <v>625195494</v>
      </c>
      <c r="AJ849" s="13">
        <f t="shared" ca="1" si="292"/>
        <v>527762430</v>
      </c>
    </row>
    <row r="850" spans="1:36" x14ac:dyDescent="0.25">
      <c r="A850" s="63"/>
      <c r="B850" s="8">
        <v>542323</v>
      </c>
      <c r="C850" s="8" t="s">
        <v>3540</v>
      </c>
      <c r="D850" s="12">
        <v>60282575</v>
      </c>
      <c r="E850" s="8">
        <v>1742.15</v>
      </c>
      <c r="F850" s="8">
        <f ca="1">IFERROR(__xludf.DUMMYFUNCTION("GOOGLEFINANCE(""BOM:"" &amp; B850,""price"")"),1522.2)</f>
        <v>1522.2</v>
      </c>
      <c r="G850" s="8">
        <f t="shared" ca="1" si="273"/>
        <v>-12.625204488706485</v>
      </c>
      <c r="H850" s="12">
        <f t="shared" si="274"/>
        <v>105021288036.25</v>
      </c>
      <c r="I850" s="13">
        <f t="shared" ca="1" si="275"/>
        <v>91762135665</v>
      </c>
      <c r="J850" s="63"/>
      <c r="K850" s="8">
        <v>513536</v>
      </c>
      <c r="L850" s="8" t="s">
        <v>3541</v>
      </c>
      <c r="M850" s="12">
        <v>80129237</v>
      </c>
      <c r="N850" s="10">
        <v>25.62</v>
      </c>
      <c r="O850" s="10">
        <f ca="1">IFERROR(__xludf.DUMMYFUNCTION("GOOGLEFINANCE(""BOM:"" &amp; K850,""price"")"),14.8)</f>
        <v>14.8</v>
      </c>
      <c r="P850" s="8">
        <f t="shared" ca="1" si="286"/>
        <v>-42.232630757220917</v>
      </c>
      <c r="Q850" s="12">
        <f t="shared" si="293"/>
        <v>2052911051.9400001</v>
      </c>
      <c r="R850" s="13">
        <f t="shared" ca="1" si="294"/>
        <v>1185912707.6000001</v>
      </c>
      <c r="S850" s="63"/>
      <c r="T850" s="8">
        <v>543266</v>
      </c>
      <c r="U850" s="8" t="s">
        <v>3542</v>
      </c>
      <c r="V850" s="20">
        <v>40013467</v>
      </c>
      <c r="W850" s="8">
        <v>359.05</v>
      </c>
      <c r="X850" s="11">
        <f ca="1">IFERROR(__xludf.DUMMYFUNCTION("GOOGLEFINANCE(""BOM:"" &amp; T850,""price"")"),284.2)</f>
        <v>284.2</v>
      </c>
      <c r="Y850" s="8">
        <f t="shared" ca="1" si="282"/>
        <v>-20.846678735552157</v>
      </c>
      <c r="Z850" s="12">
        <f t="shared" si="283"/>
        <v>14366835326.35</v>
      </c>
      <c r="AA850" s="13">
        <f t="shared" ca="1" si="284"/>
        <v>11371827321.4</v>
      </c>
      <c r="AB850" s="63"/>
      <c r="AC850" s="8">
        <v>524580</v>
      </c>
      <c r="AD850" s="8" t="s">
        <v>3543</v>
      </c>
      <c r="AE850" s="12">
        <v>2923865</v>
      </c>
      <c r="AF850" s="8">
        <v>17.96</v>
      </c>
      <c r="AG850" s="8">
        <f ca="1">IFERROR(__xludf.DUMMYFUNCTION("GOOGLEFINANCE(""BOM:"" &amp; AC850,""price"")"),14.6)</f>
        <v>14.6</v>
      </c>
      <c r="AH850" s="8">
        <f t="shared" ca="1" si="290"/>
        <v>-18.708240534521163</v>
      </c>
      <c r="AI850" s="12">
        <f t="shared" si="291"/>
        <v>52512615.400000006</v>
      </c>
      <c r="AJ850" s="13">
        <f t="shared" ca="1" si="292"/>
        <v>42688429</v>
      </c>
    </row>
    <row r="851" spans="1:36" x14ac:dyDescent="0.25">
      <c r="A851" s="63"/>
      <c r="B851" s="8">
        <v>513023</v>
      </c>
      <c r="C851" s="8" t="s">
        <v>3544</v>
      </c>
      <c r="D851" s="12">
        <v>144208207</v>
      </c>
      <c r="E851" s="8">
        <v>523.45000000000005</v>
      </c>
      <c r="F851" s="8">
        <f ca="1">IFERROR(__xludf.DUMMYFUNCTION("GOOGLEFINANCE(""BOM:"" &amp; B851,""price"")"),487.75)</f>
        <v>487.75</v>
      </c>
      <c r="G851" s="8">
        <f t="shared" ca="1" si="273"/>
        <v>-6.820135638551923</v>
      </c>
      <c r="H851" s="12">
        <f t="shared" si="274"/>
        <v>75485785954.150009</v>
      </c>
      <c r="I851" s="13">
        <f t="shared" ca="1" si="275"/>
        <v>70337552964.25</v>
      </c>
      <c r="J851" s="63"/>
      <c r="K851" s="8">
        <v>500186</v>
      </c>
      <c r="L851" s="8" t="s">
        <v>3545</v>
      </c>
      <c r="M851" s="12">
        <v>131332954</v>
      </c>
      <c r="N851" s="10">
        <v>193.7</v>
      </c>
      <c r="O851" s="10">
        <f ca="1">IFERROR(__xludf.DUMMYFUNCTION("GOOGLEFINANCE(""BOM:"" &amp; K851,""price"")"),178.85)</f>
        <v>178.85</v>
      </c>
      <c r="P851" s="8">
        <f t="shared" ca="1" si="286"/>
        <v>-7.6664945792462555</v>
      </c>
      <c r="Q851" s="12">
        <f t="shared" si="293"/>
        <v>25439193189.799999</v>
      </c>
      <c r="R851" s="13">
        <f t="shared" ca="1" si="294"/>
        <v>23488898822.899998</v>
      </c>
      <c r="S851" s="63"/>
      <c r="T851" s="8">
        <v>532851</v>
      </c>
      <c r="U851" s="8" t="s">
        <v>3546</v>
      </c>
      <c r="V851" s="20">
        <v>19731794</v>
      </c>
      <c r="W851" s="8">
        <v>538.25</v>
      </c>
      <c r="X851" s="11">
        <f ca="1">IFERROR(__xludf.DUMMYFUNCTION("GOOGLEFINANCE(""BOM:"" &amp; T851,""price"")"),485)</f>
        <v>485</v>
      </c>
      <c r="Y851" s="8">
        <f t="shared" ca="1" si="282"/>
        <v>-9.8931723176962372</v>
      </c>
      <c r="Z851" s="12">
        <f t="shared" si="283"/>
        <v>10620638120.5</v>
      </c>
      <c r="AA851" s="13">
        <f t="shared" ca="1" si="284"/>
        <v>9569920090</v>
      </c>
      <c r="AB851" s="63"/>
      <c r="AC851" s="8">
        <v>526009</v>
      </c>
      <c r="AD851" s="8" t="s">
        <v>3547</v>
      </c>
      <c r="AE851" s="12">
        <v>2735090</v>
      </c>
      <c r="AF851" s="8">
        <v>0.57999999999999996</v>
      </c>
      <c r="AG851" s="8">
        <f ca="1">IFERROR(__xludf.DUMMYFUNCTION("GOOGLEFINANCE(""BOM:"" &amp; AC851,""price"")"),0.58)</f>
        <v>0.57999999999999996</v>
      </c>
      <c r="AH851" s="8">
        <f t="shared" ca="1" si="290"/>
        <v>0</v>
      </c>
      <c r="AI851" s="12">
        <f t="shared" si="291"/>
        <v>1586352.2</v>
      </c>
      <c r="AJ851" s="13">
        <f t="shared" ca="1" si="292"/>
        <v>1586352.2</v>
      </c>
    </row>
    <row r="852" spans="1:36" x14ac:dyDescent="0.25">
      <c r="A852" s="63"/>
      <c r="B852" s="8">
        <v>533098</v>
      </c>
      <c r="C852" s="8" t="s">
        <v>3548</v>
      </c>
      <c r="D852" s="12">
        <v>10044957678</v>
      </c>
      <c r="E852" s="8">
        <v>89.9</v>
      </c>
      <c r="F852" s="8">
        <f ca="1">IFERROR(__xludf.DUMMYFUNCTION("GOOGLEFINANCE(""BOM:"" &amp; B852,""price"")"),89.63)</f>
        <v>89.63</v>
      </c>
      <c r="G852" s="8">
        <f t="shared" ca="1" si="273"/>
        <v>-0.30033370411569549</v>
      </c>
      <c r="H852" s="12">
        <f t="shared" si="274"/>
        <v>903041695252.20007</v>
      </c>
      <c r="I852" s="13">
        <f t="shared" ca="1" si="275"/>
        <v>900329556679.14001</v>
      </c>
      <c r="J852" s="63"/>
      <c r="K852" s="8">
        <v>533106</v>
      </c>
      <c r="L852" s="8" t="s">
        <v>3549</v>
      </c>
      <c r="M852" s="12">
        <v>1081498443</v>
      </c>
      <c r="N852" s="10">
        <v>589.29999999999995</v>
      </c>
      <c r="O852" s="10">
        <f ca="1">IFERROR(__xludf.DUMMYFUNCTION("GOOGLEFINANCE(""BOM:"" &amp; K852,""price"")"),600.1)</f>
        <v>600.1</v>
      </c>
      <c r="P852" s="8">
        <f t="shared" ca="1" si="286"/>
        <v>1.8326828440522771</v>
      </c>
      <c r="Q852" s="12">
        <f t="shared" si="293"/>
        <v>637327032459.8999</v>
      </c>
      <c r="R852" s="13">
        <f t="shared" ca="1" si="294"/>
        <v>649007215644.30005</v>
      </c>
      <c r="S852" s="63"/>
      <c r="T852" s="8">
        <v>543311</v>
      </c>
      <c r="U852" s="8" t="s">
        <v>3550</v>
      </c>
      <c r="V852" s="20">
        <v>115163508</v>
      </c>
      <c r="W852" s="8">
        <v>370.2</v>
      </c>
      <c r="X852" s="11">
        <f ca="1">IFERROR(__xludf.DUMMYFUNCTION("GOOGLEFINANCE(""BOM:"" &amp; T852,""price"")"),204.6)</f>
        <v>204.6</v>
      </c>
      <c r="Y852" s="8">
        <f t="shared" ca="1" si="282"/>
        <v>-44.732576985413289</v>
      </c>
      <c r="Z852" s="12">
        <f t="shared" si="283"/>
        <v>42633530661.599998</v>
      </c>
      <c r="AA852" s="13">
        <f t="shared" ca="1" si="284"/>
        <v>23562453736.799999</v>
      </c>
      <c r="AB852" s="63"/>
      <c r="AC852" s="8">
        <v>512591</v>
      </c>
      <c r="AD852" s="8" t="s">
        <v>3551</v>
      </c>
      <c r="AE852" s="12">
        <v>1123400</v>
      </c>
      <c r="AF852" s="8">
        <v>79.55</v>
      </c>
      <c r="AG852" s="8">
        <f ca="1">IFERROR(__xludf.DUMMYFUNCTION("GOOGLEFINANCE(""BOM:"" &amp; AC852,""price"")"),83.5)</f>
        <v>83.5</v>
      </c>
      <c r="AH852" s="8">
        <f t="shared" ca="1" si="290"/>
        <v>4.9654305468258997</v>
      </c>
      <c r="AI852" s="12">
        <f t="shared" si="291"/>
        <v>89366470</v>
      </c>
      <c r="AJ852" s="13">
        <f t="shared" ca="1" si="292"/>
        <v>93803900</v>
      </c>
    </row>
    <row r="853" spans="1:36" x14ac:dyDescent="0.25">
      <c r="A853" s="63"/>
      <c r="B853" s="8">
        <v>513683</v>
      </c>
      <c r="C853" s="8" t="s">
        <v>3552</v>
      </c>
      <c r="D853" s="12">
        <v>1384640831</v>
      </c>
      <c r="E853" s="8">
        <v>220.9</v>
      </c>
      <c r="F853" s="8">
        <f ca="1">IFERROR(__xludf.DUMMYFUNCTION("GOOGLEFINANCE(""BOM:"" &amp; B853,""price"")"),227.6)</f>
        <v>227.6</v>
      </c>
      <c r="G853" s="8">
        <f t="shared" ca="1" si="273"/>
        <v>3.0330466274332224</v>
      </c>
      <c r="H853" s="12">
        <f t="shared" si="274"/>
        <v>305867159567.90002</v>
      </c>
      <c r="I853" s="13">
        <f t="shared" ca="1" si="275"/>
        <v>315144253135.59998</v>
      </c>
      <c r="J853" s="63"/>
      <c r="K853" s="8">
        <v>500312</v>
      </c>
      <c r="L853" s="8" t="s">
        <v>3553</v>
      </c>
      <c r="M853" s="12">
        <v>12575990543</v>
      </c>
      <c r="N853" s="10">
        <v>270.64999999999998</v>
      </c>
      <c r="O853" s="10">
        <f ca="1">IFERROR(__xludf.DUMMYFUNCTION("GOOGLEFINANCE(""BOM:"" &amp; K853,""price"")"),267.85)</f>
        <v>267.85000000000002</v>
      </c>
      <c r="P853" s="8">
        <f t="shared" ca="1" si="286"/>
        <v>-1.0345464622205633</v>
      </c>
      <c r="Q853" s="12">
        <f t="shared" si="293"/>
        <v>3403691840462.9497</v>
      </c>
      <c r="R853" s="13">
        <f t="shared" ca="1" si="294"/>
        <v>3368479066942.5503</v>
      </c>
      <c r="S853" s="63"/>
      <c r="T853" s="8">
        <v>532067</v>
      </c>
      <c r="U853" s="8" t="s">
        <v>3554</v>
      </c>
      <c r="V853" s="20">
        <v>7358600</v>
      </c>
      <c r="W853" s="8">
        <v>850</v>
      </c>
      <c r="X853" s="11">
        <f ca="1">IFERROR(__xludf.DUMMYFUNCTION("GOOGLEFINANCE(""BOM:"" &amp; T853,""price"")"),774.75)</f>
        <v>774.75</v>
      </c>
      <c r="Y853" s="8">
        <f t="shared" ca="1" si="282"/>
        <v>-8.8529411764705888</v>
      </c>
      <c r="Z853" s="12">
        <f t="shared" si="283"/>
        <v>6254810000</v>
      </c>
      <c r="AA853" s="13">
        <f t="shared" ca="1" si="284"/>
        <v>5701075350</v>
      </c>
      <c r="AB853" s="63"/>
      <c r="AC853" s="8">
        <v>538452</v>
      </c>
      <c r="AD853" s="8" t="s">
        <v>3555</v>
      </c>
      <c r="AE853" s="12">
        <v>5329762</v>
      </c>
      <c r="AF853" s="8">
        <v>16.920000000000002</v>
      </c>
      <c r="AG853" s="8">
        <f ca="1">IFERROR(__xludf.DUMMYFUNCTION("GOOGLEFINANCE(""BOM:"" &amp; AC853,""price"")"),13.97)</f>
        <v>13.97</v>
      </c>
      <c r="AH853" s="8">
        <f t="shared" ca="1" si="290"/>
        <v>-17.434988179669038</v>
      </c>
      <c r="AI853" s="12">
        <f t="shared" si="291"/>
        <v>90179573.040000007</v>
      </c>
      <c r="AJ853" s="13">
        <f t="shared" ca="1" si="292"/>
        <v>74456775.140000001</v>
      </c>
    </row>
    <row r="854" spans="1:36" x14ac:dyDescent="0.25">
      <c r="A854" s="63"/>
      <c r="B854" s="8">
        <v>532555</v>
      </c>
      <c r="C854" s="8" t="s">
        <v>3556</v>
      </c>
      <c r="D854" s="12">
        <v>9696587152</v>
      </c>
      <c r="E854" s="8">
        <v>343.45</v>
      </c>
      <c r="F854" s="8">
        <f ca="1">IFERROR(__xludf.DUMMYFUNCTION("GOOGLEFINANCE(""BOM:"" &amp; B854,""price"")"),335.95)</f>
        <v>335.95</v>
      </c>
      <c r="G854" s="8">
        <f t="shared" ca="1" si="273"/>
        <v>-2.1837239772892705</v>
      </c>
      <c r="H854" s="12">
        <f t="shared" si="274"/>
        <v>3330292857354.3999</v>
      </c>
      <c r="I854" s="13">
        <f t="shared" ca="1" si="275"/>
        <v>3257568453714.3999</v>
      </c>
      <c r="J854" s="64"/>
      <c r="K854" s="14">
        <v>530075</v>
      </c>
      <c r="L854" s="14" t="s">
        <v>3557</v>
      </c>
      <c r="M854" s="15">
        <v>14865091</v>
      </c>
      <c r="N854" s="17">
        <v>493.5</v>
      </c>
      <c r="O854" s="17">
        <f ca="1">IFERROR(__xludf.DUMMYFUNCTION("GOOGLEFINANCE(""BOM:"" &amp; K854,""price"")"),446.05)</f>
        <v>446.05</v>
      </c>
      <c r="P854" s="14">
        <f t="shared" ca="1" si="286"/>
        <v>-9.6149949341438674</v>
      </c>
      <c r="Q854" s="15">
        <f t="shared" si="293"/>
        <v>7335922408.5</v>
      </c>
      <c r="R854" s="16">
        <f t="shared" ca="1" si="294"/>
        <v>6630573840.5500002</v>
      </c>
      <c r="S854" s="63"/>
      <c r="T854" s="8">
        <v>543331</v>
      </c>
      <c r="U854" s="8" t="s">
        <v>3558</v>
      </c>
      <c r="V854" s="20">
        <v>254314211</v>
      </c>
      <c r="W854" s="8">
        <v>96.5</v>
      </c>
      <c r="X854" s="11">
        <f ca="1">IFERROR(__xludf.DUMMYFUNCTION("GOOGLEFINANCE(""BOM:"" &amp; T854,""price"")"),79.2)</f>
        <v>79.2</v>
      </c>
      <c r="Y854" s="8">
        <f t="shared" ca="1" si="282"/>
        <v>-17.927461139896369</v>
      </c>
      <c r="Z854" s="12">
        <f t="shared" si="283"/>
        <v>24541321361.5</v>
      </c>
      <c r="AA854" s="13">
        <f t="shared" ca="1" si="284"/>
        <v>20141685511.200001</v>
      </c>
      <c r="AB854" s="63"/>
      <c r="AC854" s="8">
        <v>540270</v>
      </c>
      <c r="AD854" s="8" t="s">
        <v>3559</v>
      </c>
      <c r="AE854" s="12">
        <v>1475800</v>
      </c>
      <c r="AF854" s="8">
        <v>0</v>
      </c>
      <c r="AG854" s="8">
        <f ca="1">IFERROR(__xludf.DUMMYFUNCTION("GOOGLEFINANCE(""BOM:"" &amp; AC854,""price"")"),0)</f>
        <v>0</v>
      </c>
      <c r="AH854" s="8">
        <v>0</v>
      </c>
      <c r="AI854" s="12">
        <f t="shared" si="291"/>
        <v>0</v>
      </c>
      <c r="AJ854" s="13">
        <f t="shared" ca="1" si="292"/>
        <v>0</v>
      </c>
    </row>
    <row r="855" spans="1:36" x14ac:dyDescent="0.25">
      <c r="A855" s="63"/>
      <c r="B855" s="8">
        <v>500390</v>
      </c>
      <c r="C855" s="8" t="s">
        <v>3560</v>
      </c>
      <c r="D855" s="12">
        <v>260480080</v>
      </c>
      <c r="E855" s="8">
        <v>222.6</v>
      </c>
      <c r="F855" s="8">
        <f ca="1">IFERROR(__xludf.DUMMYFUNCTION("GOOGLEFINANCE(""BOM:"" &amp; B855,""price"")"),270.5)</f>
        <v>270.5</v>
      </c>
      <c r="G855" s="8">
        <f t="shared" ca="1" si="273"/>
        <v>21.518418688230014</v>
      </c>
      <c r="H855" s="12">
        <f t="shared" si="274"/>
        <v>57982865808</v>
      </c>
      <c r="I855" s="13">
        <f t="shared" ca="1" si="275"/>
        <v>70459861640</v>
      </c>
      <c r="J855" s="62" t="s">
        <v>3561</v>
      </c>
      <c r="K855" s="6">
        <v>540025</v>
      </c>
      <c r="L855" s="6" t="s">
        <v>3562</v>
      </c>
      <c r="M855" s="7">
        <v>11487060</v>
      </c>
      <c r="N855" s="10">
        <v>384.85</v>
      </c>
      <c r="O855" s="10">
        <f ca="1">IFERROR(__xludf.DUMMYFUNCTION("GOOGLEFINANCE(""BOM:"" &amp; K855,""price"")"),345.4)</f>
        <v>345.4</v>
      </c>
      <c r="P855" s="8">
        <f t="shared" ca="1" si="286"/>
        <v>-10.250747044302987</v>
      </c>
      <c r="Q855" s="7">
        <f t="shared" si="293"/>
        <v>4420795041</v>
      </c>
      <c r="R855" s="9">
        <f t="shared" ca="1" si="294"/>
        <v>3967630523.9999995</v>
      </c>
      <c r="S855" s="63"/>
      <c r="T855" s="8">
        <v>524709</v>
      </c>
      <c r="U855" s="8" t="s">
        <v>3563</v>
      </c>
      <c r="V855" s="20">
        <v>195226382</v>
      </c>
      <c r="W855" s="8">
        <v>70.959999999999994</v>
      </c>
      <c r="X855" s="11">
        <f ca="1">IFERROR(__xludf.DUMMYFUNCTION("GOOGLEFINANCE(""BOM:"" &amp; T855,""price"")"),56.54)</f>
        <v>56.54</v>
      </c>
      <c r="Y855" s="8">
        <f t="shared" ca="1" si="282"/>
        <v>-20.321307779030434</v>
      </c>
      <c r="Z855" s="12">
        <f t="shared" si="283"/>
        <v>13853264066.719999</v>
      </c>
      <c r="AA855" s="13">
        <f t="shared" ca="1" si="284"/>
        <v>11038099638.280001</v>
      </c>
      <c r="AB855" s="63"/>
      <c r="AC855" s="8">
        <v>515127</v>
      </c>
      <c r="AD855" s="8" t="s">
        <v>3564</v>
      </c>
      <c r="AE855" s="12">
        <v>26870800</v>
      </c>
      <c r="AF855" s="8">
        <v>2.52</v>
      </c>
      <c r="AG855" s="8">
        <f ca="1">IFERROR(__xludf.DUMMYFUNCTION("GOOGLEFINANCE(""BOM:"" &amp; AC855,""price"")"),2.11)</f>
        <v>2.11</v>
      </c>
      <c r="AH855" s="8">
        <f t="shared" ref="AH855:AH874" ca="1" si="295">((AG855-AF855)/AF855)*100</f>
        <v>-16.269841269841276</v>
      </c>
      <c r="AI855" s="12">
        <f t="shared" si="291"/>
        <v>67714416</v>
      </c>
      <c r="AJ855" s="13">
        <f t="shared" ca="1" si="292"/>
        <v>56697388</v>
      </c>
    </row>
    <row r="856" spans="1:36" x14ac:dyDescent="0.25">
      <c r="A856" s="63"/>
      <c r="B856" s="8">
        <v>504341</v>
      </c>
      <c r="C856" s="8" t="s">
        <v>3565</v>
      </c>
      <c r="D856" s="12">
        <v>119691720</v>
      </c>
      <c r="E856" s="8">
        <v>92.13</v>
      </c>
      <c r="F856" s="8">
        <f ca="1">IFERROR(__xludf.DUMMYFUNCTION("GOOGLEFINANCE(""BOM:"" &amp; B856,""price"")"),73.2)</f>
        <v>73.2</v>
      </c>
      <c r="G856" s="8">
        <f t="shared" ca="1" si="273"/>
        <v>-20.547053077173551</v>
      </c>
      <c r="H856" s="12">
        <f t="shared" si="274"/>
        <v>11027198163.6</v>
      </c>
      <c r="I856" s="13">
        <f t="shared" ca="1" si="275"/>
        <v>8761433904</v>
      </c>
      <c r="J856" s="63"/>
      <c r="K856" s="8">
        <v>537292</v>
      </c>
      <c r="L856" s="8" t="s">
        <v>3566</v>
      </c>
      <c r="M856" s="12">
        <v>5671275</v>
      </c>
      <c r="N856" s="10">
        <v>188.9</v>
      </c>
      <c r="O856" s="10">
        <f ca="1">IFERROR(__xludf.DUMMYFUNCTION("GOOGLEFINANCE(""BOM:"" &amp; K856,""price"")"),226)</f>
        <v>226</v>
      </c>
      <c r="P856" s="8">
        <f t="shared" ca="1" si="286"/>
        <v>19.640021175224984</v>
      </c>
      <c r="Q856" s="12">
        <f t="shared" si="293"/>
        <v>1071303847.5</v>
      </c>
      <c r="R856" s="13">
        <f t="shared" ca="1" si="294"/>
        <v>1281708150</v>
      </c>
      <c r="S856" s="63"/>
      <c r="T856" s="8">
        <v>543207</v>
      </c>
      <c r="U856" s="8" t="s">
        <v>3567</v>
      </c>
      <c r="V856" s="12">
        <v>9527780</v>
      </c>
      <c r="W856" s="8">
        <v>11.83</v>
      </c>
      <c r="X856" s="11">
        <f ca="1">IFERROR(__xludf.DUMMYFUNCTION("GOOGLEFINANCE(""BOM:"" &amp; T856,""price"")"),10.21)</f>
        <v>10.210000000000001</v>
      </c>
      <c r="Y856" s="8">
        <f t="shared" ca="1" si="282"/>
        <v>-13.693998309382918</v>
      </c>
      <c r="Z856" s="12">
        <f t="shared" si="283"/>
        <v>112713637.40000001</v>
      </c>
      <c r="AA856" s="13">
        <f t="shared" ca="1" si="284"/>
        <v>97278633.800000012</v>
      </c>
      <c r="AB856" s="63"/>
      <c r="AC856" s="8">
        <v>523289</v>
      </c>
      <c r="AD856" s="8" t="s">
        <v>3568</v>
      </c>
      <c r="AE856" s="12">
        <v>7997813</v>
      </c>
      <c r="AF856" s="8">
        <v>78.5</v>
      </c>
      <c r="AG856" s="8">
        <f ca="1">IFERROR(__xludf.DUMMYFUNCTION("GOOGLEFINANCE(""BOM:"" &amp; AC856,""price"")"),72)</f>
        <v>72</v>
      </c>
      <c r="AH856" s="8">
        <f t="shared" ca="1" si="295"/>
        <v>-8.2802547770700627</v>
      </c>
      <c r="AI856" s="12">
        <f t="shared" si="291"/>
        <v>627828320.5</v>
      </c>
      <c r="AJ856" s="13">
        <f t="shared" ca="1" si="292"/>
        <v>575842536</v>
      </c>
    </row>
    <row r="857" spans="1:36" x14ac:dyDescent="0.25">
      <c r="A857" s="63"/>
      <c r="B857" s="8">
        <v>532939</v>
      </c>
      <c r="C857" s="8" t="s">
        <v>3569</v>
      </c>
      <c r="D857" s="12">
        <v>3393374609</v>
      </c>
      <c r="E857" s="8">
        <v>23.98</v>
      </c>
      <c r="F857" s="8">
        <f ca="1">IFERROR(__xludf.DUMMYFUNCTION("GOOGLEFINANCE(""BOM:"" &amp; B857,""price"")"),28.23)</f>
        <v>28.23</v>
      </c>
      <c r="G857" s="8">
        <f t="shared" ca="1" si="273"/>
        <v>17.723102585487908</v>
      </c>
      <c r="H857" s="12">
        <f t="shared" si="274"/>
        <v>81373123123.820007</v>
      </c>
      <c r="I857" s="13">
        <f t="shared" ca="1" si="275"/>
        <v>95794965212.070007</v>
      </c>
      <c r="J857" s="63"/>
      <c r="K857" s="8">
        <v>531156</v>
      </c>
      <c r="L857" s="8" t="s">
        <v>3570</v>
      </c>
      <c r="M857" s="12">
        <v>30024050</v>
      </c>
      <c r="N857" s="10">
        <v>15.59</v>
      </c>
      <c r="O857" s="10">
        <f ca="1">IFERROR(__xludf.DUMMYFUNCTION("GOOGLEFINANCE(""BOM:"" &amp; K857,""price"")"),14.17)</f>
        <v>14.17</v>
      </c>
      <c r="P857" s="8">
        <f t="shared" ca="1" si="286"/>
        <v>-9.1084028223220006</v>
      </c>
      <c r="Q857" s="12">
        <f t="shared" si="293"/>
        <v>468074939.5</v>
      </c>
      <c r="R857" s="13">
        <f t="shared" ca="1" si="294"/>
        <v>425440788.5</v>
      </c>
      <c r="S857" s="63"/>
      <c r="T857" s="8">
        <v>506580</v>
      </c>
      <c r="U857" s="8" t="s">
        <v>3571</v>
      </c>
      <c r="V857" s="12">
        <v>3955</v>
      </c>
      <c r="W857" s="8" t="s">
        <v>44</v>
      </c>
      <c r="X857" s="8" t="s">
        <v>44</v>
      </c>
      <c r="Y857" s="8"/>
      <c r="Z857" s="12"/>
      <c r="AA857" s="13"/>
      <c r="AB857" s="63"/>
      <c r="AC857" s="8">
        <v>514223</v>
      </c>
      <c r="AD857" s="8" t="s">
        <v>3572</v>
      </c>
      <c r="AE857" s="12">
        <v>9586696</v>
      </c>
      <c r="AF857" s="8">
        <v>6.09</v>
      </c>
      <c r="AG857" s="8">
        <f ca="1">IFERROR(__xludf.DUMMYFUNCTION("GOOGLEFINANCE(""BOM:"" &amp; AC857,""price"")"),5.51)</f>
        <v>5.51</v>
      </c>
      <c r="AH857" s="8">
        <f t="shared" ca="1" si="295"/>
        <v>-9.5238095238095255</v>
      </c>
      <c r="AI857" s="12">
        <f t="shared" si="291"/>
        <v>58382978.640000001</v>
      </c>
      <c r="AJ857" s="13">
        <f t="shared" ca="1" si="292"/>
        <v>52822694.960000001</v>
      </c>
    </row>
    <row r="858" spans="1:36" x14ac:dyDescent="0.25">
      <c r="A858" s="63"/>
      <c r="B858" s="8">
        <v>533122</v>
      </c>
      <c r="C858" s="8" t="s">
        <v>3573</v>
      </c>
      <c r="D858" s="12">
        <v>5370084145</v>
      </c>
      <c r="E858" s="8">
        <v>9.91</v>
      </c>
      <c r="F858" s="8">
        <f ca="1">IFERROR(__xludf.DUMMYFUNCTION("GOOGLEFINANCE(""BOM:"" &amp; B858,""price"")"),8.28)</f>
        <v>8.2799999999999994</v>
      </c>
      <c r="G858" s="8">
        <f t="shared" ca="1" si="273"/>
        <v>-16.448032290615547</v>
      </c>
      <c r="H858" s="12">
        <f t="shared" si="274"/>
        <v>53217533876.949997</v>
      </c>
      <c r="I858" s="13">
        <f t="shared" ca="1" si="275"/>
        <v>44464296720.599998</v>
      </c>
      <c r="J858" s="63"/>
      <c r="K858" s="8">
        <v>531392</v>
      </c>
      <c r="L858" s="8" t="s">
        <v>3574</v>
      </c>
      <c r="M858" s="12">
        <v>3880900</v>
      </c>
      <c r="N858" s="10">
        <v>2.73</v>
      </c>
      <c r="O858" s="10">
        <f ca="1">IFERROR(__xludf.DUMMYFUNCTION("GOOGLEFINANCE(""BOM:"" &amp; K858,""price"")"),2.73)</f>
        <v>2.73</v>
      </c>
      <c r="P858" s="8">
        <f t="shared" ca="1" si="286"/>
        <v>0</v>
      </c>
      <c r="Q858" s="12">
        <f t="shared" si="293"/>
        <v>10594857</v>
      </c>
      <c r="R858" s="13">
        <f t="shared" ca="1" si="294"/>
        <v>10594857</v>
      </c>
      <c r="S858" s="63"/>
      <c r="T858" s="8">
        <v>524808</v>
      </c>
      <c r="U858" s="8" t="s">
        <v>3575</v>
      </c>
      <c r="V858" s="20">
        <v>3520984</v>
      </c>
      <c r="W858" s="8">
        <v>38.799999999999997</v>
      </c>
      <c r="X858" s="11">
        <f ca="1">IFERROR(__xludf.DUMMYFUNCTION("GOOGLEFINANCE(""BOM:"" &amp; T858,""price"")"),31.97)</f>
        <v>31.97</v>
      </c>
      <c r="Y858" s="8">
        <f t="shared" ref="Y858:Y886" ca="1" si="296">((X858-W858)/W858)*100</f>
        <v>-17.603092783505151</v>
      </c>
      <c r="Z858" s="12">
        <f t="shared" ref="Z858:Z886" si="297">V858*W858</f>
        <v>136614179.19999999</v>
      </c>
      <c r="AA858" s="13">
        <f t="shared" ref="AA858:AA886" ca="1" si="298">V858*X858</f>
        <v>112565858.47999999</v>
      </c>
      <c r="AB858" s="63"/>
      <c r="AC858" s="8">
        <v>532805</v>
      </c>
      <c r="AD858" s="8" t="s">
        <v>3576</v>
      </c>
      <c r="AE858" s="12">
        <v>592817304</v>
      </c>
      <c r="AF858" s="8">
        <v>210.45</v>
      </c>
      <c r="AG858" s="8">
        <f ca="1">IFERROR(__xludf.DUMMYFUNCTION("GOOGLEFINANCE(""BOM:"" &amp; AC858,""price"")"),208.2)</f>
        <v>208.2</v>
      </c>
      <c r="AH858" s="8">
        <f t="shared" ca="1" si="295"/>
        <v>-1.0691375623663579</v>
      </c>
      <c r="AI858" s="12">
        <f t="shared" si="291"/>
        <v>124758401626.79999</v>
      </c>
      <c r="AJ858" s="13">
        <f t="shared" ca="1" si="292"/>
        <v>123424562692.79999</v>
      </c>
    </row>
    <row r="859" spans="1:36" x14ac:dyDescent="0.25">
      <c r="A859" s="63"/>
      <c r="B859" s="8">
        <v>533206</v>
      </c>
      <c r="C859" s="8" t="s">
        <v>3577</v>
      </c>
      <c r="D859" s="12">
        <v>3929792936</v>
      </c>
      <c r="E859" s="8">
        <v>121.2</v>
      </c>
      <c r="F859" s="8">
        <f ca="1">IFERROR(__xludf.DUMMYFUNCTION("GOOGLEFINANCE(""BOM:"" &amp; B859,""price"")"),121.4)</f>
        <v>121.4</v>
      </c>
      <c r="G859" s="8">
        <f t="shared" ca="1" si="273"/>
        <v>0.16501650165016735</v>
      </c>
      <c r="H859" s="12">
        <f t="shared" si="274"/>
        <v>476290903843.20001</v>
      </c>
      <c r="I859" s="13">
        <f t="shared" ca="1" si="275"/>
        <v>477076862430.40002</v>
      </c>
      <c r="J859" s="63"/>
      <c r="K859" s="8">
        <v>526983</v>
      </c>
      <c r="L859" s="8" t="s">
        <v>3578</v>
      </c>
      <c r="M859" s="12">
        <v>1236200</v>
      </c>
      <c r="N859" s="10">
        <v>4.76</v>
      </c>
      <c r="O859" s="10">
        <f ca="1">IFERROR(__xludf.DUMMYFUNCTION("GOOGLEFINANCE(""BOM:"" &amp; K859,""price"")"),6.22)</f>
        <v>6.22</v>
      </c>
      <c r="P859" s="8">
        <f t="shared" ca="1" si="286"/>
        <v>30.672268907563026</v>
      </c>
      <c r="Q859" s="12">
        <f t="shared" si="293"/>
        <v>5884312</v>
      </c>
      <c r="R859" s="13">
        <f t="shared" ca="1" si="294"/>
        <v>7689164</v>
      </c>
      <c r="S859" s="63"/>
      <c r="T859" s="8">
        <v>523642</v>
      </c>
      <c r="U859" s="8" t="s">
        <v>3579</v>
      </c>
      <c r="V859" s="20">
        <v>151639702</v>
      </c>
      <c r="W859" s="8">
        <v>3677.55</v>
      </c>
      <c r="X859" s="11">
        <f ca="1">IFERROR(__xludf.DUMMYFUNCTION("GOOGLEFINANCE(""BOM:"" &amp; T859,""price"")"),3879.8)</f>
        <v>3879.8</v>
      </c>
      <c r="Y859" s="8">
        <f t="shared" ca="1" si="296"/>
        <v>5.4995853217495334</v>
      </c>
      <c r="Z859" s="12">
        <f t="shared" si="297"/>
        <v>557662586090.09998</v>
      </c>
      <c r="AA859" s="13">
        <f t="shared" ca="1" si="298"/>
        <v>588331715819.59998</v>
      </c>
      <c r="AB859" s="63"/>
      <c r="AC859" s="8">
        <v>512624</v>
      </c>
      <c r="AD859" s="8" t="s">
        <v>3580</v>
      </c>
      <c r="AE859" s="12">
        <v>31562848</v>
      </c>
      <c r="AF859" s="8">
        <v>4.1900000000000004</v>
      </c>
      <c r="AG859" s="8">
        <f ca="1">IFERROR(__xludf.DUMMYFUNCTION("GOOGLEFINANCE(""BOM:"" &amp; AC859,""price"")"),3.7)</f>
        <v>3.7</v>
      </c>
      <c r="AH859" s="8">
        <f t="shared" ca="1" si="295"/>
        <v>-11.694510739856806</v>
      </c>
      <c r="AI859" s="12">
        <f t="shared" si="291"/>
        <v>132248333.12000002</v>
      </c>
      <c r="AJ859" s="13">
        <f t="shared" ca="1" si="292"/>
        <v>116782537.60000001</v>
      </c>
    </row>
    <row r="860" spans="1:36" x14ac:dyDescent="0.25">
      <c r="A860" s="63"/>
      <c r="B860" s="8">
        <v>523222</v>
      </c>
      <c r="C860" s="8" t="s">
        <v>3581</v>
      </c>
      <c r="D860" s="12">
        <v>8036950</v>
      </c>
      <c r="E860" s="8">
        <v>37.270000000000003</v>
      </c>
      <c r="F860" s="8">
        <f ca="1">IFERROR(__xludf.DUMMYFUNCTION("GOOGLEFINANCE(""BOM:"" &amp; B860,""price"")"),25.62)</f>
        <v>25.62</v>
      </c>
      <c r="G860" s="8">
        <f t="shared" ca="1" si="273"/>
        <v>-31.25838475986048</v>
      </c>
      <c r="H860" s="12">
        <f t="shared" si="274"/>
        <v>299537126.5</v>
      </c>
      <c r="I860" s="13">
        <f t="shared" ca="1" si="275"/>
        <v>205906659</v>
      </c>
      <c r="J860" s="63"/>
      <c r="K860" s="8">
        <v>519105</v>
      </c>
      <c r="L860" s="8" t="s">
        <v>3582</v>
      </c>
      <c r="M860" s="12">
        <v>146875562</v>
      </c>
      <c r="N860" s="10">
        <v>103.15</v>
      </c>
      <c r="O860" s="10">
        <f ca="1">IFERROR(__xludf.DUMMYFUNCTION("GOOGLEFINANCE(""BOM:"" &amp; K860,""price"")"),84.45)</f>
        <v>84.45</v>
      </c>
      <c r="P860" s="8">
        <f t="shared" ca="1" si="286"/>
        <v>-18.128938439166266</v>
      </c>
      <c r="Q860" s="12">
        <f t="shared" si="293"/>
        <v>15150214220.300001</v>
      </c>
      <c r="R860" s="13">
        <f t="shared" ca="1" si="294"/>
        <v>12403641210.9</v>
      </c>
      <c r="S860" s="63"/>
      <c r="T860" s="8">
        <v>506618</v>
      </c>
      <c r="U860" s="8" t="s">
        <v>3583</v>
      </c>
      <c r="V860" s="20">
        <v>12153852</v>
      </c>
      <c r="W860" s="8">
        <v>1033.8499999999999</v>
      </c>
      <c r="X860" s="11">
        <f ca="1">IFERROR(__xludf.DUMMYFUNCTION("GOOGLEFINANCE(""BOM:"" &amp; T860,""price"")"),977.3)</f>
        <v>977.3</v>
      </c>
      <c r="Y860" s="8">
        <f t="shared" ca="1" si="296"/>
        <v>-5.4698457223001364</v>
      </c>
      <c r="Z860" s="12">
        <f t="shared" si="297"/>
        <v>12565259890.199999</v>
      </c>
      <c r="AA860" s="13">
        <f t="shared" ca="1" si="298"/>
        <v>11877959559.6</v>
      </c>
      <c r="AB860" s="63"/>
      <c r="AC860" s="8">
        <v>539561</v>
      </c>
      <c r="AD860" s="8" t="s">
        <v>3584</v>
      </c>
      <c r="AE860" s="12">
        <v>98352000</v>
      </c>
      <c r="AF860" s="8">
        <v>127</v>
      </c>
      <c r="AG860" s="8">
        <f ca="1">IFERROR(__xludf.DUMMYFUNCTION("GOOGLEFINANCE(""BOM:"" &amp; AC860,""price"")"),108.5)</f>
        <v>108.5</v>
      </c>
      <c r="AH860" s="8">
        <f t="shared" ca="1" si="295"/>
        <v>-14.566929133858267</v>
      </c>
      <c r="AI860" s="12">
        <f t="shared" si="291"/>
        <v>12490704000</v>
      </c>
      <c r="AJ860" s="13">
        <f t="shared" ca="1" si="292"/>
        <v>10671192000</v>
      </c>
    </row>
    <row r="861" spans="1:36" x14ac:dyDescent="0.25">
      <c r="A861" s="63"/>
      <c r="B861" s="8">
        <v>517530</v>
      </c>
      <c r="C861" s="8" t="s">
        <v>3585</v>
      </c>
      <c r="D861" s="12">
        <v>133559865</v>
      </c>
      <c r="E861" s="8">
        <v>17.649999999999999</v>
      </c>
      <c r="F861" s="8">
        <f ca="1">IFERROR(__xludf.DUMMYFUNCTION("GOOGLEFINANCE(""BOM:"" &amp; B861,""price"")"),14.81)</f>
        <v>14.81</v>
      </c>
      <c r="G861" s="8">
        <f t="shared" ca="1" si="273"/>
        <v>-16.090651558073645</v>
      </c>
      <c r="H861" s="12">
        <f t="shared" si="274"/>
        <v>2357331617.25</v>
      </c>
      <c r="I861" s="13">
        <f t="shared" ca="1" si="275"/>
        <v>1978021600.6500001</v>
      </c>
      <c r="J861" s="63"/>
      <c r="K861" s="8">
        <v>530307</v>
      </c>
      <c r="L861" s="8" t="s">
        <v>3586</v>
      </c>
      <c r="M861" s="12">
        <v>51308362</v>
      </c>
      <c r="N861" s="10">
        <v>232</v>
      </c>
      <c r="O861" s="10">
        <f ca="1">IFERROR(__xludf.DUMMYFUNCTION("GOOGLEFINANCE(""BOM:"" &amp; K861,""price"")"),203)</f>
        <v>203</v>
      </c>
      <c r="P861" s="8">
        <f t="shared" ca="1" si="286"/>
        <v>-12.5</v>
      </c>
      <c r="Q861" s="12">
        <f t="shared" si="293"/>
        <v>11903539984</v>
      </c>
      <c r="R861" s="13">
        <f t="shared" ca="1" si="294"/>
        <v>10415597486</v>
      </c>
      <c r="S861" s="63"/>
      <c r="T861" s="8">
        <v>500355</v>
      </c>
      <c r="U861" s="8" t="s">
        <v>3587</v>
      </c>
      <c r="V861" s="20">
        <v>193030190</v>
      </c>
      <c r="W861" s="8">
        <v>253</v>
      </c>
      <c r="X861" s="11">
        <f ca="1">IFERROR(__xludf.DUMMYFUNCTION("GOOGLEFINANCE(""BOM:"" &amp; T861,""price"")"),250.6)</f>
        <v>250.6</v>
      </c>
      <c r="Y861" s="8">
        <f t="shared" ca="1" si="296"/>
        <v>-0.94861660079051613</v>
      </c>
      <c r="Z861" s="12">
        <f t="shared" si="297"/>
        <v>48836638070</v>
      </c>
      <c r="AA861" s="13">
        <f t="shared" ca="1" si="298"/>
        <v>48373365614</v>
      </c>
      <c r="AB861" s="63"/>
      <c r="AC861" s="8">
        <v>539922</v>
      </c>
      <c r="AD861" s="8" t="s">
        <v>3588</v>
      </c>
      <c r="AE861" s="12">
        <v>3244500</v>
      </c>
      <c r="AF861" s="8">
        <v>38.89</v>
      </c>
      <c r="AG861" s="8">
        <f ca="1">IFERROR(__xludf.DUMMYFUNCTION("GOOGLEFINANCE(""BOM:"" &amp; AC861,""price"")"),38.89)</f>
        <v>38.89</v>
      </c>
      <c r="AH861" s="8">
        <f t="shared" ca="1" si="295"/>
        <v>0</v>
      </c>
      <c r="AI861" s="12">
        <f t="shared" si="291"/>
        <v>126178605</v>
      </c>
      <c r="AJ861" s="13">
        <f t="shared" ca="1" si="292"/>
        <v>126178605</v>
      </c>
    </row>
    <row r="862" spans="1:36" x14ac:dyDescent="0.25">
      <c r="A862" s="63"/>
      <c r="B862" s="8">
        <v>532874</v>
      </c>
      <c r="C862" s="8" t="s">
        <v>3589</v>
      </c>
      <c r="D862" s="12">
        <v>149546539</v>
      </c>
      <c r="E862" s="8" t="s">
        <v>44</v>
      </c>
      <c r="F862" s="8" t="s">
        <v>44</v>
      </c>
      <c r="G862" s="8"/>
      <c r="H862" s="12"/>
      <c r="I862" s="13"/>
      <c r="J862" s="63"/>
      <c r="K862" s="8">
        <v>500125</v>
      </c>
      <c r="L862" s="8" t="s">
        <v>3590</v>
      </c>
      <c r="M862" s="12">
        <v>175539199</v>
      </c>
      <c r="N862" s="10">
        <v>623.65</v>
      </c>
      <c r="O862" s="10">
        <f ca="1">IFERROR(__xludf.DUMMYFUNCTION("GOOGLEFINANCE(""BOM:"" &amp; K862,""price"")"),545.65)</f>
        <v>545.65</v>
      </c>
      <c r="P862" s="8">
        <f t="shared" ca="1" si="286"/>
        <v>-12.507015152729897</v>
      </c>
      <c r="Q862" s="12">
        <f t="shared" si="293"/>
        <v>109475021456.34999</v>
      </c>
      <c r="R862" s="13">
        <f t="shared" ca="1" si="294"/>
        <v>95782963934.349991</v>
      </c>
      <c r="S862" s="63"/>
      <c r="T862" s="8">
        <v>538666</v>
      </c>
      <c r="U862" s="8" t="s">
        <v>3591</v>
      </c>
      <c r="V862" s="20">
        <v>90220493</v>
      </c>
      <c r="W862" s="8">
        <v>355.4</v>
      </c>
      <c r="X862" s="11">
        <f ca="1">IFERROR(__xludf.DUMMYFUNCTION("GOOGLEFINANCE(""BOM:"" &amp; T862,""price"")"),321.85)</f>
        <v>321.85000000000002</v>
      </c>
      <c r="Y862" s="8">
        <f t="shared" ca="1" si="296"/>
        <v>-9.4400675295441641</v>
      </c>
      <c r="Z862" s="12">
        <f t="shared" si="297"/>
        <v>32064363212.199997</v>
      </c>
      <c r="AA862" s="13">
        <f t="shared" ca="1" si="298"/>
        <v>29037465672.050003</v>
      </c>
      <c r="AB862" s="63"/>
      <c r="AC862" s="8">
        <v>519230</v>
      </c>
      <c r="AD862" s="8" t="s">
        <v>3592</v>
      </c>
      <c r="AE862" s="12">
        <v>3867085</v>
      </c>
      <c r="AF862" s="8">
        <v>9.06</v>
      </c>
      <c r="AG862" s="8">
        <f ca="1">IFERROR(__xludf.DUMMYFUNCTION("GOOGLEFINANCE(""BOM:"" &amp; AC862,""price"")"),9.51)</f>
        <v>9.51</v>
      </c>
      <c r="AH862" s="8">
        <f t="shared" ca="1" si="295"/>
        <v>4.9668874172185351</v>
      </c>
      <c r="AI862" s="12">
        <f t="shared" si="291"/>
        <v>35035790.100000001</v>
      </c>
      <c r="AJ862" s="13">
        <f t="shared" ca="1" si="292"/>
        <v>36775978.350000001</v>
      </c>
    </row>
    <row r="863" spans="1:36" x14ac:dyDescent="0.25">
      <c r="A863" s="63"/>
      <c r="B863" s="8">
        <v>500400</v>
      </c>
      <c r="C863" s="8" t="s">
        <v>3593</v>
      </c>
      <c r="D863" s="12">
        <v>3159580510</v>
      </c>
      <c r="E863" s="8">
        <v>377.4</v>
      </c>
      <c r="F863" s="8">
        <f ca="1">IFERROR(__xludf.DUMMYFUNCTION("GOOGLEFINANCE(""BOM:"" &amp; B863,""price"")"),394.15)</f>
        <v>394.15</v>
      </c>
      <c r="G863" s="8">
        <f t="shared" ref="G863:G884" ca="1" si="299">((F863-E863)/E863)*100</f>
        <v>4.4382617912029678</v>
      </c>
      <c r="H863" s="12">
        <f t="shared" ref="H863:H884" si="300">D863*E863</f>
        <v>1192425684474</v>
      </c>
      <c r="I863" s="13">
        <f t="shared" ref="I863:I884" ca="1" si="301">D863*F863</f>
        <v>1245348658016.5</v>
      </c>
      <c r="J863" s="63"/>
      <c r="K863" s="8">
        <v>526473</v>
      </c>
      <c r="L863" s="8" t="s">
        <v>3594</v>
      </c>
      <c r="M863" s="12">
        <v>18191500</v>
      </c>
      <c r="N863" s="10">
        <v>6.5</v>
      </c>
      <c r="O863" s="10">
        <f ca="1">IFERROR(__xludf.DUMMYFUNCTION("GOOGLEFINANCE(""BOM:"" &amp; K863,""price"")"),5.88)</f>
        <v>5.88</v>
      </c>
      <c r="P863" s="8">
        <f t="shared" ca="1" si="286"/>
        <v>-9.5384615384615401</v>
      </c>
      <c r="Q863" s="12">
        <f t="shared" si="293"/>
        <v>118244750</v>
      </c>
      <c r="R863" s="13">
        <f t="shared" ca="1" si="294"/>
        <v>106966020</v>
      </c>
      <c r="S863" s="63"/>
      <c r="T863" s="8">
        <v>539148</v>
      </c>
      <c r="U863" s="8" t="s">
        <v>3595</v>
      </c>
      <c r="V863" s="20">
        <v>14251086</v>
      </c>
      <c r="W863" s="8">
        <v>597</v>
      </c>
      <c r="X863" s="11">
        <f ca="1">IFERROR(__xludf.DUMMYFUNCTION("GOOGLEFINANCE(""BOM:"" &amp; T863,""price"")"),567.45)</f>
        <v>567.45000000000005</v>
      </c>
      <c r="Y863" s="8">
        <f t="shared" ca="1" si="296"/>
        <v>-4.9497487437185859</v>
      </c>
      <c r="Z863" s="12">
        <f t="shared" si="297"/>
        <v>8507898342</v>
      </c>
      <c r="AA863" s="13">
        <f t="shared" ca="1" si="298"/>
        <v>8086778750.7000008</v>
      </c>
      <c r="AB863" s="63"/>
      <c r="AC863" s="8">
        <v>524480</v>
      </c>
      <c r="AD863" s="8" t="s">
        <v>3596</v>
      </c>
      <c r="AE863" s="12">
        <v>7079042</v>
      </c>
      <c r="AF863" s="8">
        <v>585</v>
      </c>
      <c r="AG863" s="8">
        <f ca="1">IFERROR(__xludf.DUMMYFUNCTION("GOOGLEFINANCE(""BOM:"" &amp; AC863,""price"")"),504.25)</f>
        <v>504.25</v>
      </c>
      <c r="AH863" s="8">
        <f t="shared" ca="1" si="295"/>
        <v>-13.803418803418804</v>
      </c>
      <c r="AI863" s="12">
        <f t="shared" si="291"/>
        <v>4141239570</v>
      </c>
      <c r="AJ863" s="13">
        <f t="shared" ca="1" si="292"/>
        <v>3569606928.5</v>
      </c>
    </row>
    <row r="864" spans="1:36" x14ac:dyDescent="0.25">
      <c r="A864" s="63"/>
      <c r="B864" s="8">
        <v>532779</v>
      </c>
      <c r="C864" s="8" t="s">
        <v>3597</v>
      </c>
      <c r="D864" s="12">
        <v>469090157</v>
      </c>
      <c r="E864" s="8">
        <v>1116.6500000000001</v>
      </c>
      <c r="F864" s="8">
        <f ca="1">IFERROR(__xludf.DUMMYFUNCTION("GOOGLEFINANCE(""BOM:"" &amp; B864,""price"")"),1343)</f>
        <v>1343</v>
      </c>
      <c r="G864" s="8">
        <f t="shared" ca="1" si="299"/>
        <v>20.270451797788017</v>
      </c>
      <c r="H864" s="12">
        <f t="shared" si="300"/>
        <v>523809523814.05005</v>
      </c>
      <c r="I864" s="13">
        <f t="shared" ca="1" si="301"/>
        <v>629988080851</v>
      </c>
      <c r="J864" s="63"/>
      <c r="K864" s="8">
        <v>523672</v>
      </c>
      <c r="L864" s="8" t="s">
        <v>3598</v>
      </c>
      <c r="M864" s="12">
        <v>12067714</v>
      </c>
      <c r="N864" s="10">
        <v>104.8</v>
      </c>
      <c r="O864" s="10">
        <f ca="1">IFERROR(__xludf.DUMMYFUNCTION("GOOGLEFINANCE(""BOM:"" &amp; K864,""price"")"),109.65)</f>
        <v>109.65</v>
      </c>
      <c r="P864" s="8">
        <f t="shared" ca="1" si="286"/>
        <v>4.627862595419856</v>
      </c>
      <c r="Q864" s="12">
        <f t="shared" si="293"/>
        <v>1264696427.2</v>
      </c>
      <c r="R864" s="13">
        <f t="shared" ca="1" si="294"/>
        <v>1323224840.1000001</v>
      </c>
      <c r="S864" s="63"/>
      <c r="T864" s="8">
        <v>530883</v>
      </c>
      <c r="U864" s="8" t="s">
        <v>3599</v>
      </c>
      <c r="V864" s="20">
        <v>38994305</v>
      </c>
      <c r="W864" s="8">
        <v>18.809999999999999</v>
      </c>
      <c r="X864" s="11">
        <f ca="1">IFERROR(__xludf.DUMMYFUNCTION("GOOGLEFINANCE(""BOM:"" &amp; T864,""price"")"),14.32)</f>
        <v>14.32</v>
      </c>
      <c r="Y864" s="8">
        <f t="shared" ca="1" si="296"/>
        <v>-23.8702817650186</v>
      </c>
      <c r="Z864" s="12">
        <f t="shared" si="297"/>
        <v>733482877.04999995</v>
      </c>
      <c r="AA864" s="13">
        <f t="shared" ca="1" si="298"/>
        <v>558398447.60000002</v>
      </c>
      <c r="AB864" s="63"/>
      <c r="AC864" s="8">
        <v>530251</v>
      </c>
      <c r="AD864" s="8" t="s">
        <v>3600</v>
      </c>
      <c r="AE864" s="12">
        <v>158720308</v>
      </c>
      <c r="AF864" s="8">
        <v>0.76</v>
      </c>
      <c r="AG864" s="8">
        <f ca="1">IFERROR(__xludf.DUMMYFUNCTION("GOOGLEFINANCE(""BOM:"" &amp; AC864,""price"")"),0.63)</f>
        <v>0.63</v>
      </c>
      <c r="AH864" s="8">
        <f t="shared" ca="1" si="295"/>
        <v>-17.105263157894736</v>
      </c>
      <c r="AI864" s="12">
        <f t="shared" si="291"/>
        <v>120627434.08</v>
      </c>
      <c r="AJ864" s="13">
        <f t="shared" ca="1" si="292"/>
        <v>99993794.040000007</v>
      </c>
    </row>
    <row r="865" spans="1:36" x14ac:dyDescent="0.25">
      <c r="A865" s="63"/>
      <c r="B865" s="8">
        <v>503657</v>
      </c>
      <c r="C865" s="8" t="s">
        <v>3601</v>
      </c>
      <c r="D865" s="12">
        <v>11509930</v>
      </c>
      <c r="E865" s="8">
        <v>24.62</v>
      </c>
      <c r="F865" s="8">
        <f ca="1">IFERROR(__xludf.DUMMYFUNCTION("GOOGLEFINANCE(""BOM:"" &amp; B865,""price"")"),19.9)</f>
        <v>19.899999999999999</v>
      </c>
      <c r="G865" s="8">
        <f t="shared" ca="1" si="299"/>
        <v>-19.171405361494728</v>
      </c>
      <c r="H865" s="12">
        <f t="shared" si="300"/>
        <v>283374476.60000002</v>
      </c>
      <c r="I865" s="13">
        <f t="shared" ca="1" si="301"/>
        <v>229047606.99999997</v>
      </c>
      <c r="J865" s="63"/>
      <c r="K865" s="8">
        <v>530077</v>
      </c>
      <c r="L865" s="8" t="s">
        <v>3602</v>
      </c>
      <c r="M865" s="12">
        <v>10523092</v>
      </c>
      <c r="N865" s="10">
        <v>161.94999999999999</v>
      </c>
      <c r="O865" s="10">
        <f ca="1">IFERROR(__xludf.DUMMYFUNCTION("GOOGLEFINANCE(""BOM:"" &amp; K865,""price"")"),165.25)</f>
        <v>165.25</v>
      </c>
      <c r="P865" s="8">
        <f t="shared" ca="1" si="286"/>
        <v>2.0376659462797231</v>
      </c>
      <c r="Q865" s="12">
        <f t="shared" si="293"/>
        <v>1704214749.3999999</v>
      </c>
      <c r="R865" s="13">
        <f t="shared" ca="1" si="294"/>
        <v>1738940953</v>
      </c>
      <c r="S865" s="63"/>
      <c r="T865" s="8">
        <v>542920</v>
      </c>
      <c r="U865" s="8" t="s">
        <v>3603</v>
      </c>
      <c r="V865" s="20">
        <v>495622187</v>
      </c>
      <c r="W865" s="8">
        <v>375</v>
      </c>
      <c r="X865" s="11">
        <f ca="1">IFERROR(__xludf.DUMMYFUNCTION("GOOGLEFINANCE(""BOM:"" &amp; T865,""price"")"),348)</f>
        <v>348</v>
      </c>
      <c r="Y865" s="8">
        <f t="shared" ca="1" si="296"/>
        <v>-7.1999999999999993</v>
      </c>
      <c r="Z865" s="12">
        <f t="shared" si="297"/>
        <v>185858320125</v>
      </c>
      <c r="AA865" s="13">
        <f t="shared" ca="1" si="298"/>
        <v>172476521076</v>
      </c>
      <c r="AB865" s="63"/>
      <c r="AC865" s="8">
        <v>542145</v>
      </c>
      <c r="AD865" s="8" t="s">
        <v>3604</v>
      </c>
      <c r="AE865" s="12">
        <v>4335916</v>
      </c>
      <c r="AF865" s="8">
        <v>40.82</v>
      </c>
      <c r="AG865" s="8">
        <f ca="1">IFERROR(__xludf.DUMMYFUNCTION("GOOGLEFINANCE(""BOM:"" &amp; AC865,""price"")"),43.21)</f>
        <v>43.21</v>
      </c>
      <c r="AH865" s="8">
        <f t="shared" ca="1" si="295"/>
        <v>5.854973052425283</v>
      </c>
      <c r="AI865" s="12">
        <f t="shared" si="291"/>
        <v>176992091.12</v>
      </c>
      <c r="AJ865" s="13">
        <f t="shared" ca="1" si="292"/>
        <v>187354930.36000001</v>
      </c>
    </row>
    <row r="866" spans="1:36" x14ac:dyDescent="0.25">
      <c r="A866" s="63"/>
      <c r="B866" s="8">
        <v>541445</v>
      </c>
      <c r="C866" s="8" t="s">
        <v>3605</v>
      </c>
      <c r="D866" s="12">
        <v>13266764</v>
      </c>
      <c r="E866" s="8">
        <v>158.55000000000001</v>
      </c>
      <c r="F866" s="8">
        <f ca="1">IFERROR(__xludf.DUMMYFUNCTION("GOOGLEFINANCE(""BOM:"" &amp; B866,""price"")"),113.7)</f>
        <v>113.7</v>
      </c>
      <c r="G866" s="8">
        <f t="shared" ca="1" si="299"/>
        <v>-28.2876064333018</v>
      </c>
      <c r="H866" s="12">
        <f t="shared" si="300"/>
        <v>2103445432.2</v>
      </c>
      <c r="I866" s="13">
        <f t="shared" ca="1" si="301"/>
        <v>1508431066.8</v>
      </c>
      <c r="J866" s="63"/>
      <c r="K866" s="8">
        <v>524226</v>
      </c>
      <c r="L866" s="8" t="s">
        <v>3606</v>
      </c>
      <c r="M866" s="12">
        <v>435956672</v>
      </c>
      <c r="N866" s="10">
        <v>200.35</v>
      </c>
      <c r="O866" s="10">
        <f ca="1">IFERROR(__xludf.DUMMYFUNCTION("GOOGLEFINANCE(""BOM:"" &amp; K866,""price"")"),158.5)</f>
        <v>158.5</v>
      </c>
      <c r="P866" s="8">
        <f t="shared" ca="1" si="286"/>
        <v>-20.888445220863485</v>
      </c>
      <c r="Q866" s="12">
        <f t="shared" si="293"/>
        <v>87343919235.199997</v>
      </c>
      <c r="R866" s="13">
        <f t="shared" ca="1" si="294"/>
        <v>69099132512</v>
      </c>
      <c r="S866" s="64"/>
      <c r="T866" s="14">
        <v>512070</v>
      </c>
      <c r="U866" s="14" t="s">
        <v>3607</v>
      </c>
      <c r="V866" s="21">
        <v>758938419</v>
      </c>
      <c r="W866" s="14">
        <v>474.7</v>
      </c>
      <c r="X866" s="26">
        <f ca="1">IFERROR(__xludf.DUMMYFUNCTION("GOOGLEFINANCE(""BOM:"" &amp; T866,""price"")"),455.85)</f>
        <v>455.85</v>
      </c>
      <c r="Y866" s="14">
        <f t="shared" ca="1" si="296"/>
        <v>-3.9709290077943895</v>
      </c>
      <c r="Z866" s="15">
        <f t="shared" si="297"/>
        <v>360268067499.29999</v>
      </c>
      <c r="AA866" s="16">
        <f t="shared" ca="1" si="298"/>
        <v>345962078301.15002</v>
      </c>
      <c r="AB866" s="63"/>
      <c r="AC866" s="8">
        <v>512115</v>
      </c>
      <c r="AD866" s="8" t="s">
        <v>3608</v>
      </c>
      <c r="AE866" s="12">
        <v>896535</v>
      </c>
      <c r="AF866" s="8">
        <v>149</v>
      </c>
      <c r="AG866" s="8">
        <f ca="1">IFERROR(__xludf.DUMMYFUNCTION("GOOGLEFINANCE(""BOM:"" &amp; AC866,""price"")"),129)</f>
        <v>129</v>
      </c>
      <c r="AH866" s="8">
        <f t="shared" ca="1" si="295"/>
        <v>-13.422818791946309</v>
      </c>
      <c r="AI866" s="12">
        <f t="shared" si="291"/>
        <v>133583715</v>
      </c>
      <c r="AJ866" s="13">
        <f t="shared" ca="1" si="292"/>
        <v>115653015</v>
      </c>
    </row>
    <row r="867" spans="1:36" x14ac:dyDescent="0.25">
      <c r="A867" s="63"/>
      <c r="B867" s="8">
        <v>539337</v>
      </c>
      <c r="C867" s="8" t="s">
        <v>3609</v>
      </c>
      <c r="D867" s="12">
        <v>10768139</v>
      </c>
      <c r="E867" s="8">
        <v>1670</v>
      </c>
      <c r="F867" s="8">
        <f ca="1">IFERROR(__xludf.DUMMYFUNCTION("GOOGLEFINANCE(""BOM:"" &amp; B867,""price"")"),1350)</f>
        <v>1350</v>
      </c>
      <c r="G867" s="8">
        <f t="shared" ca="1" si="299"/>
        <v>-19.161676646706589</v>
      </c>
      <c r="H867" s="12">
        <f t="shared" si="300"/>
        <v>17982792130</v>
      </c>
      <c r="I867" s="13">
        <f t="shared" ca="1" si="301"/>
        <v>14536987650</v>
      </c>
      <c r="J867" s="63"/>
      <c r="K867" s="8">
        <v>541999</v>
      </c>
      <c r="L867" s="8" t="s">
        <v>3610</v>
      </c>
      <c r="M867" s="12">
        <v>8329525</v>
      </c>
      <c r="N867" s="8" t="s">
        <v>44</v>
      </c>
      <c r="O867" s="8" t="s">
        <v>44</v>
      </c>
      <c r="P867" s="8"/>
      <c r="Q867" s="12"/>
      <c r="R867" s="13"/>
      <c r="S867" s="62" t="s">
        <v>3611</v>
      </c>
      <c r="T867" s="6">
        <v>530027</v>
      </c>
      <c r="U867" s="6" t="s">
        <v>3612</v>
      </c>
      <c r="V867" s="7">
        <v>9203243</v>
      </c>
      <c r="W867" s="8">
        <v>6.31</v>
      </c>
      <c r="X867" s="11">
        <f ca="1">IFERROR(__xludf.DUMMYFUNCTION("GOOGLEFINANCE(""BOM:"" &amp; T867,""price"")"),6.32)</f>
        <v>6.32</v>
      </c>
      <c r="Y867" s="8">
        <f t="shared" ca="1" si="296"/>
        <v>0.15847860538828329</v>
      </c>
      <c r="Z867" s="7">
        <f t="shared" si="297"/>
        <v>58072463.329999998</v>
      </c>
      <c r="AA867" s="9">
        <f t="shared" ca="1" si="298"/>
        <v>58164495.760000005</v>
      </c>
      <c r="AB867" s="63"/>
      <c r="AC867" s="8">
        <v>512565</v>
      </c>
      <c r="AD867" s="8" t="s">
        <v>3613</v>
      </c>
      <c r="AE867" s="12">
        <v>4181462</v>
      </c>
      <c r="AF867" s="8">
        <v>48.99</v>
      </c>
      <c r="AG867" s="8">
        <f ca="1">IFERROR(__xludf.DUMMYFUNCTION("GOOGLEFINANCE(""BOM:"" &amp; AC867,""price"")"),37.82)</f>
        <v>37.82</v>
      </c>
      <c r="AH867" s="8">
        <f t="shared" ca="1" si="295"/>
        <v>-22.800571545213309</v>
      </c>
      <c r="AI867" s="12">
        <f t="shared" si="291"/>
        <v>204849823.38</v>
      </c>
      <c r="AJ867" s="13">
        <f t="shared" ca="1" si="292"/>
        <v>158142892.84</v>
      </c>
    </row>
    <row r="868" spans="1:36" x14ac:dyDescent="0.25">
      <c r="A868" s="64"/>
      <c r="B868" s="14">
        <v>534618</v>
      </c>
      <c r="C868" s="14" t="s">
        <v>3614</v>
      </c>
      <c r="D868" s="15">
        <v>104149265</v>
      </c>
      <c r="E868" s="8">
        <v>1167.05</v>
      </c>
      <c r="F868" s="14">
        <f ca="1">IFERROR(__xludf.DUMMYFUNCTION("GOOGLEFINANCE(""BOM:"" &amp; B868,""price"")"),1405.45)</f>
        <v>1405.45</v>
      </c>
      <c r="G868" s="14">
        <f t="shared" ca="1" si="299"/>
        <v>20.427573797180933</v>
      </c>
      <c r="H868" s="15">
        <f t="shared" si="300"/>
        <v>121547399718.25</v>
      </c>
      <c r="I868" s="16">
        <f t="shared" ca="1" si="301"/>
        <v>146376584494.25</v>
      </c>
      <c r="J868" s="63"/>
      <c r="K868" s="8">
        <v>531449</v>
      </c>
      <c r="L868" s="8" t="s">
        <v>3615</v>
      </c>
      <c r="M868" s="12">
        <v>59804000</v>
      </c>
      <c r="N868" s="10">
        <v>179.55</v>
      </c>
      <c r="O868" s="10">
        <f ca="1">IFERROR(__xludf.DUMMYFUNCTION("GOOGLEFINANCE(""BOM:"" &amp; K868,""price"")"),119.35)</f>
        <v>119.35</v>
      </c>
      <c r="P868" s="8">
        <f t="shared" ref="P868:P945" ca="1" si="302">((O868-N868)/N868)*100</f>
        <v>-33.528265107212484</v>
      </c>
      <c r="Q868" s="12">
        <f t="shared" ref="Q868:Q945" si="303">M868*N868</f>
        <v>10737808200</v>
      </c>
      <c r="R868" s="13">
        <f t="shared" ref="R868:R945" ca="1" si="304">M868*O868</f>
        <v>7137607400</v>
      </c>
      <c r="S868" s="63"/>
      <c r="T868" s="8">
        <v>531921</v>
      </c>
      <c r="U868" s="8" t="s">
        <v>3616</v>
      </c>
      <c r="V868" s="12">
        <v>14447984</v>
      </c>
      <c r="W868" s="8">
        <v>958</v>
      </c>
      <c r="X868" s="11">
        <f ca="1">IFERROR(__xludf.DUMMYFUNCTION("GOOGLEFINANCE(""BOM:"" &amp; T868,""price"")"),805.5)</f>
        <v>805.5</v>
      </c>
      <c r="Y868" s="8">
        <f t="shared" ca="1" si="296"/>
        <v>-15.918580375782881</v>
      </c>
      <c r="Z868" s="12">
        <f t="shared" si="297"/>
        <v>13841168672</v>
      </c>
      <c r="AA868" s="13">
        <f t="shared" ca="1" si="298"/>
        <v>11637851112</v>
      </c>
      <c r="AB868" s="63"/>
      <c r="AC868" s="8">
        <v>512097</v>
      </c>
      <c r="AD868" s="8" t="s">
        <v>3617</v>
      </c>
      <c r="AE868" s="12">
        <v>98465820</v>
      </c>
      <c r="AF868" s="8">
        <v>0.67</v>
      </c>
      <c r="AG868" s="8">
        <f ca="1">IFERROR(__xludf.DUMMYFUNCTION("GOOGLEFINANCE(""BOM:"" &amp; AC868,""price"")"),0.65)</f>
        <v>0.65</v>
      </c>
      <c r="AH868" s="8">
        <f t="shared" ca="1" si="295"/>
        <v>-2.985074626865674</v>
      </c>
      <c r="AI868" s="12">
        <f t="shared" si="291"/>
        <v>65972099.400000006</v>
      </c>
      <c r="AJ868" s="13">
        <f t="shared" ca="1" si="292"/>
        <v>64002783</v>
      </c>
    </row>
    <row r="869" spans="1:36" x14ac:dyDescent="0.25">
      <c r="A869" s="62" t="s">
        <v>3618</v>
      </c>
      <c r="B869" s="6">
        <v>517041</v>
      </c>
      <c r="C869" s="6" t="s">
        <v>3619</v>
      </c>
      <c r="D869" s="7">
        <v>13164054</v>
      </c>
      <c r="E869" s="6">
        <v>1451.1</v>
      </c>
      <c r="F869" s="8">
        <f ca="1">IFERROR(__xludf.DUMMYFUNCTION("GOOGLEFINANCE(""BOM:"" &amp; B869,""price"")"),1400)</f>
        <v>1400</v>
      </c>
      <c r="G869" s="8">
        <f t="shared" ca="1" si="299"/>
        <v>-3.5214664737095931</v>
      </c>
      <c r="H869" s="7">
        <f t="shared" si="300"/>
        <v>19102358759.399998</v>
      </c>
      <c r="I869" s="9">
        <f t="shared" ca="1" si="301"/>
        <v>18429675600</v>
      </c>
      <c r="J869" s="63"/>
      <c r="K869" s="8">
        <v>539854</v>
      </c>
      <c r="L869" s="8" t="s">
        <v>3620</v>
      </c>
      <c r="M869" s="12">
        <v>3052080</v>
      </c>
      <c r="N869" s="10">
        <v>250</v>
      </c>
      <c r="O869" s="10">
        <f ca="1">IFERROR(__xludf.DUMMYFUNCTION("GOOGLEFINANCE(""BOM:"" &amp; K869,""price"")"),271.4)</f>
        <v>271.39999999999998</v>
      </c>
      <c r="P869" s="8">
        <f t="shared" ca="1" si="302"/>
        <v>8.5599999999999916</v>
      </c>
      <c r="Q869" s="12">
        <f t="shared" si="303"/>
        <v>763020000</v>
      </c>
      <c r="R869" s="13">
        <f t="shared" ca="1" si="304"/>
        <v>828334511.99999988</v>
      </c>
      <c r="S869" s="63"/>
      <c r="T869" s="8">
        <v>500117</v>
      </c>
      <c r="U869" s="8" t="s">
        <v>3621</v>
      </c>
      <c r="V869" s="12">
        <v>275898702</v>
      </c>
      <c r="W869" s="8">
        <v>57.65</v>
      </c>
      <c r="X869" s="11">
        <f ca="1">IFERROR(__xludf.DUMMYFUNCTION("GOOGLEFINANCE(""BOM:"" &amp; T869,""price"")"),51.5)</f>
        <v>51.5</v>
      </c>
      <c r="Y869" s="8">
        <f t="shared" ca="1" si="296"/>
        <v>-10.667823070251515</v>
      </c>
      <c r="Z869" s="12">
        <f t="shared" si="297"/>
        <v>15905560170.299999</v>
      </c>
      <c r="AA869" s="13">
        <f t="shared" ca="1" si="298"/>
        <v>14208783153</v>
      </c>
      <c r="AB869" s="63"/>
      <c r="AC869" s="8">
        <v>532713</v>
      </c>
      <c r="AD869" s="8" t="s">
        <v>3622</v>
      </c>
      <c r="AE869" s="12">
        <v>234554060</v>
      </c>
      <c r="AF869" s="8">
        <v>25.8</v>
      </c>
      <c r="AG869" s="8">
        <f ca="1">IFERROR(__xludf.DUMMYFUNCTION("GOOGLEFINANCE(""BOM:"" &amp; AC869,""price"")"),25.15)</f>
        <v>25.15</v>
      </c>
      <c r="AH869" s="8">
        <f t="shared" ca="1" si="295"/>
        <v>-2.5193798449612488</v>
      </c>
      <c r="AI869" s="12">
        <f t="shared" si="291"/>
        <v>6051494748</v>
      </c>
      <c r="AJ869" s="13">
        <f t="shared" ca="1" si="292"/>
        <v>5899034609</v>
      </c>
    </row>
    <row r="870" spans="1:36" x14ac:dyDescent="0.25">
      <c r="A870" s="63"/>
      <c r="B870" s="8">
        <v>590031</v>
      </c>
      <c r="C870" s="8" t="s">
        <v>3623</v>
      </c>
      <c r="D870" s="12">
        <v>5225557</v>
      </c>
      <c r="E870" s="8">
        <v>1753.05</v>
      </c>
      <c r="F870" s="8">
        <f ca="1">IFERROR(__xludf.DUMMYFUNCTION("GOOGLEFINANCE(""BOM:"" &amp; B870,""price"")"),1632.2)</f>
        <v>1632.2</v>
      </c>
      <c r="G870" s="8">
        <f t="shared" ca="1" si="299"/>
        <v>-6.8936995522090028</v>
      </c>
      <c r="H870" s="12">
        <f t="shared" si="300"/>
        <v>9160662698.8500004</v>
      </c>
      <c r="I870" s="13">
        <f t="shared" ca="1" si="301"/>
        <v>8529154135.4000006</v>
      </c>
      <c r="J870" s="63"/>
      <c r="K870" s="8">
        <v>519463</v>
      </c>
      <c r="L870" s="8" t="s">
        <v>3624</v>
      </c>
      <c r="M870" s="12">
        <v>977637</v>
      </c>
      <c r="N870" s="10">
        <v>121</v>
      </c>
      <c r="O870" s="10">
        <f ca="1">IFERROR(__xludf.DUMMYFUNCTION("GOOGLEFINANCE(""BOM:"" &amp; K870,""price"")"),116.25)</f>
        <v>116.25</v>
      </c>
      <c r="P870" s="8">
        <f t="shared" ca="1" si="302"/>
        <v>-3.9256198347107438</v>
      </c>
      <c r="Q870" s="12">
        <f t="shared" si="303"/>
        <v>118294077</v>
      </c>
      <c r="R870" s="13">
        <f t="shared" ca="1" si="304"/>
        <v>113650301.25</v>
      </c>
      <c r="S870" s="63"/>
      <c r="T870" s="8">
        <v>506858</v>
      </c>
      <c r="U870" s="8" t="s">
        <v>3625</v>
      </c>
      <c r="V870" s="12">
        <v>4191533</v>
      </c>
      <c r="W870" s="8">
        <v>62.51</v>
      </c>
      <c r="X870" s="11">
        <f ca="1">IFERROR(__xludf.DUMMYFUNCTION("GOOGLEFINANCE(""BOM:"" &amp; T870,""price"")"),48)</f>
        <v>48</v>
      </c>
      <c r="Y870" s="8">
        <f t="shared" ca="1" si="296"/>
        <v>-23.21228603423452</v>
      </c>
      <c r="Z870" s="12">
        <f t="shared" si="297"/>
        <v>262012727.82999998</v>
      </c>
      <c r="AA870" s="13">
        <f t="shared" ca="1" si="298"/>
        <v>201193584</v>
      </c>
      <c r="AB870" s="63"/>
      <c r="AC870" s="8">
        <v>500370</v>
      </c>
      <c r="AD870" s="8" t="s">
        <v>3626</v>
      </c>
      <c r="AE870" s="12">
        <v>8710402</v>
      </c>
      <c r="AF870" s="8">
        <v>58.5</v>
      </c>
      <c r="AG870" s="8">
        <f ca="1">IFERROR(__xludf.DUMMYFUNCTION("GOOGLEFINANCE(""BOM:"" &amp; AC870,""price"")"),62.3)</f>
        <v>62.3</v>
      </c>
      <c r="AH870" s="8">
        <f t="shared" ca="1" si="295"/>
        <v>6.4957264957264904</v>
      </c>
      <c r="AI870" s="12">
        <f t="shared" si="291"/>
        <v>509558517</v>
      </c>
      <c r="AJ870" s="13">
        <f t="shared" ca="1" si="292"/>
        <v>542658044.60000002</v>
      </c>
    </row>
    <row r="871" spans="1:36" x14ac:dyDescent="0.25">
      <c r="A871" s="63"/>
      <c r="B871" s="8">
        <v>509488</v>
      </c>
      <c r="C871" s="8" t="s">
        <v>3627</v>
      </c>
      <c r="D871" s="12">
        <v>194130604</v>
      </c>
      <c r="E871" s="8">
        <v>602.20000000000005</v>
      </c>
      <c r="F871" s="8">
        <f ca="1">IFERROR(__xludf.DUMMYFUNCTION("GOOGLEFINANCE(""BOM:"" &amp; B871,""price"")"),603.45)</f>
        <v>603.45000000000005</v>
      </c>
      <c r="G871" s="8">
        <f t="shared" ca="1" si="299"/>
        <v>0.20757223513782797</v>
      </c>
      <c r="H871" s="12">
        <f t="shared" si="300"/>
        <v>116905449728.8</v>
      </c>
      <c r="I871" s="13">
        <f t="shared" ca="1" si="301"/>
        <v>117148112983.8</v>
      </c>
      <c r="J871" s="63"/>
      <c r="K871" s="8">
        <v>541304</v>
      </c>
      <c r="L871" s="8" t="s">
        <v>3628</v>
      </c>
      <c r="M871" s="12">
        <v>20051912</v>
      </c>
      <c r="N871" s="10">
        <v>248</v>
      </c>
      <c r="O871" s="10">
        <f ca="1">IFERROR(__xludf.DUMMYFUNCTION("GOOGLEFINANCE(""BOM:"" &amp; K871,""price"")"),221.95)</f>
        <v>221.95</v>
      </c>
      <c r="P871" s="8">
        <f t="shared" ca="1" si="302"/>
        <v>-10.50403225806452</v>
      </c>
      <c r="Q871" s="12">
        <f t="shared" si="303"/>
        <v>4972874176</v>
      </c>
      <c r="R871" s="13">
        <f t="shared" ca="1" si="304"/>
        <v>4450521868.3999996</v>
      </c>
      <c r="S871" s="63"/>
      <c r="T871" s="8">
        <v>514165</v>
      </c>
      <c r="U871" s="8" t="s">
        <v>3629</v>
      </c>
      <c r="V871" s="12">
        <v>126413642</v>
      </c>
      <c r="W871" s="8">
        <v>15</v>
      </c>
      <c r="X871" s="11">
        <f ca="1">IFERROR(__xludf.DUMMYFUNCTION("GOOGLEFINANCE(""BOM:"" &amp; T871,""price"")"),12.06)</f>
        <v>12.06</v>
      </c>
      <c r="Y871" s="8">
        <f t="shared" ca="1" si="296"/>
        <v>-19.599999999999998</v>
      </c>
      <c r="Z871" s="12">
        <f t="shared" si="297"/>
        <v>1896204630</v>
      </c>
      <c r="AA871" s="13">
        <f t="shared" ca="1" si="298"/>
        <v>1524548522.52</v>
      </c>
      <c r="AB871" s="63"/>
      <c r="AC871" s="8">
        <v>530993</v>
      </c>
      <c r="AD871" s="8" t="s">
        <v>3630</v>
      </c>
      <c r="AE871" s="12">
        <v>887300</v>
      </c>
      <c r="AF871" s="8">
        <v>12.42</v>
      </c>
      <c r="AG871" s="8">
        <f ca="1">IFERROR(__xludf.DUMMYFUNCTION("GOOGLEFINANCE(""BOM:"" &amp; AC871,""price"")"),13.69)</f>
        <v>13.69</v>
      </c>
      <c r="AH871" s="8">
        <f t="shared" ca="1" si="295"/>
        <v>10.225442834138484</v>
      </c>
      <c r="AI871" s="12">
        <f t="shared" si="291"/>
        <v>11020266</v>
      </c>
      <c r="AJ871" s="13">
        <f t="shared" ca="1" si="292"/>
        <v>12147137</v>
      </c>
    </row>
    <row r="872" spans="1:36" x14ac:dyDescent="0.25">
      <c r="A872" s="63"/>
      <c r="B872" s="8">
        <v>509631</v>
      </c>
      <c r="C872" s="8" t="s">
        <v>3631</v>
      </c>
      <c r="D872" s="12">
        <v>38209877</v>
      </c>
      <c r="E872" s="8">
        <v>1650</v>
      </c>
      <c r="F872" s="8">
        <f ca="1">IFERROR(__xludf.DUMMYFUNCTION("GOOGLEFINANCE(""BOM:"" &amp; B872,""price"")"),1837.75)</f>
        <v>1837.75</v>
      </c>
      <c r="G872" s="8">
        <f t="shared" ca="1" si="299"/>
        <v>11.378787878787879</v>
      </c>
      <c r="H872" s="12">
        <f t="shared" si="300"/>
        <v>63046297050</v>
      </c>
      <c r="I872" s="13">
        <f t="shared" ca="1" si="301"/>
        <v>70220201456.75</v>
      </c>
      <c r="J872" s="63"/>
      <c r="K872" s="8">
        <v>526445</v>
      </c>
      <c r="L872" s="8" t="s">
        <v>3632</v>
      </c>
      <c r="M872" s="12">
        <v>33926396</v>
      </c>
      <c r="N872" s="10">
        <v>65.650000000000006</v>
      </c>
      <c r="O872" s="10">
        <f ca="1">IFERROR(__xludf.DUMMYFUNCTION("GOOGLEFINANCE(""BOM:"" &amp; K872,""price"")"),48.27)</f>
        <v>48.27</v>
      </c>
      <c r="P872" s="8">
        <f t="shared" ca="1" si="302"/>
        <v>-26.473724295506472</v>
      </c>
      <c r="Q872" s="12">
        <f t="shared" si="303"/>
        <v>2227267897.4000001</v>
      </c>
      <c r="R872" s="13">
        <f t="shared" ca="1" si="304"/>
        <v>1637627134.9200001</v>
      </c>
      <c r="S872" s="63"/>
      <c r="T872" s="8">
        <v>514034</v>
      </c>
      <c r="U872" s="8" t="s">
        <v>3633</v>
      </c>
      <c r="V872" s="12">
        <v>81327880</v>
      </c>
      <c r="W872" s="8">
        <v>4.42</v>
      </c>
      <c r="X872" s="11">
        <f ca="1">IFERROR(__xludf.DUMMYFUNCTION("GOOGLEFINANCE(""BOM:"" &amp; T872,""price"")"),4.42)</f>
        <v>4.42</v>
      </c>
      <c r="Y872" s="8">
        <f t="shared" ca="1" si="296"/>
        <v>0</v>
      </c>
      <c r="Z872" s="12">
        <f t="shared" si="297"/>
        <v>359469229.60000002</v>
      </c>
      <c r="AA872" s="13">
        <f t="shared" ca="1" si="298"/>
        <v>359469229.60000002</v>
      </c>
      <c r="AB872" s="63"/>
      <c r="AC872" s="8">
        <v>531930</v>
      </c>
      <c r="AD872" s="8" t="s">
        <v>3634</v>
      </c>
      <c r="AE872" s="12">
        <v>7630314</v>
      </c>
      <c r="AF872" s="8">
        <v>27.3</v>
      </c>
      <c r="AG872" s="8">
        <f ca="1">IFERROR(__xludf.DUMMYFUNCTION("GOOGLEFINANCE(""BOM:"" &amp; AC872,""price"")"),22.22)</f>
        <v>22.22</v>
      </c>
      <c r="AH872" s="8">
        <f t="shared" ca="1" si="295"/>
        <v>-18.608058608058613</v>
      </c>
      <c r="AI872" s="12">
        <f t="shared" si="291"/>
        <v>208307572.20000002</v>
      </c>
      <c r="AJ872" s="13">
        <f t="shared" ca="1" si="292"/>
        <v>169545577.07999998</v>
      </c>
    </row>
    <row r="873" spans="1:36" x14ac:dyDescent="0.25">
      <c r="A873" s="64"/>
      <c r="B873" s="14">
        <v>508941</v>
      </c>
      <c r="C873" s="14" t="s">
        <v>3635</v>
      </c>
      <c r="D873" s="15">
        <v>4735915</v>
      </c>
      <c r="E873" s="8">
        <v>500.4</v>
      </c>
      <c r="F873" s="14">
        <f ca="1">IFERROR(__xludf.DUMMYFUNCTION("GOOGLEFINANCE(""BOM:"" &amp; B873,""price"")"),431.8)</f>
        <v>431.8</v>
      </c>
      <c r="G873" s="14">
        <f t="shared" ca="1" si="299"/>
        <v>-13.709032773780969</v>
      </c>
      <c r="H873" s="15">
        <f t="shared" si="300"/>
        <v>2369851866</v>
      </c>
      <c r="I873" s="16">
        <f t="shared" ca="1" si="301"/>
        <v>2044968097</v>
      </c>
      <c r="J873" s="63"/>
      <c r="K873" s="8">
        <v>536493</v>
      </c>
      <c r="L873" s="8" t="s">
        <v>3636</v>
      </c>
      <c r="M873" s="12">
        <v>4623808</v>
      </c>
      <c r="N873" s="10">
        <v>410</v>
      </c>
      <c r="O873" s="10">
        <f ca="1">IFERROR(__xludf.DUMMYFUNCTION("GOOGLEFINANCE(""BOM:"" &amp; K873,""price"")"),365.35)</f>
        <v>365.35</v>
      </c>
      <c r="P873" s="8">
        <f t="shared" ca="1" si="302"/>
        <v>-10.890243902439019</v>
      </c>
      <c r="Q873" s="12">
        <f t="shared" si="303"/>
        <v>1895761280</v>
      </c>
      <c r="R873" s="13">
        <f t="shared" ca="1" si="304"/>
        <v>1689308252.8000002</v>
      </c>
      <c r="S873" s="63"/>
      <c r="T873" s="8">
        <v>500268</v>
      </c>
      <c r="U873" s="8" t="s">
        <v>3637</v>
      </c>
      <c r="V873" s="12">
        <v>165496698</v>
      </c>
      <c r="W873" s="8">
        <v>69.03</v>
      </c>
      <c r="X873" s="11">
        <f ca="1">IFERROR(__xludf.DUMMYFUNCTION("GOOGLEFINANCE(""BOM:"" &amp; T873,""price"")"),56.2)</f>
        <v>56.2</v>
      </c>
      <c r="Y873" s="8">
        <f t="shared" ca="1" si="296"/>
        <v>-18.586121975952484</v>
      </c>
      <c r="Z873" s="12">
        <f t="shared" si="297"/>
        <v>11424237062.940001</v>
      </c>
      <c r="AA873" s="13">
        <f t="shared" ca="1" si="298"/>
        <v>9300914427.6000004</v>
      </c>
      <c r="AB873" s="63"/>
      <c r="AC873" s="8">
        <v>517360</v>
      </c>
      <c r="AD873" s="8" t="s">
        <v>3638</v>
      </c>
      <c r="AE873" s="12">
        <v>3337204</v>
      </c>
      <c r="AF873" s="8">
        <v>34.6</v>
      </c>
      <c r="AG873" s="8">
        <f ca="1">IFERROR(__xludf.DUMMYFUNCTION("GOOGLEFINANCE(""BOM:"" &amp; AC873,""price"")"),28)</f>
        <v>28</v>
      </c>
      <c r="AH873" s="8">
        <f t="shared" ca="1" si="295"/>
        <v>-19.075144508670526</v>
      </c>
      <c r="AI873" s="12">
        <f t="shared" si="291"/>
        <v>115467258.40000001</v>
      </c>
      <c r="AJ873" s="13">
        <f t="shared" ca="1" si="292"/>
        <v>93441712</v>
      </c>
    </row>
    <row r="874" spans="1:36" x14ac:dyDescent="0.25">
      <c r="A874" s="62" t="s">
        <v>3639</v>
      </c>
      <c r="B874" s="6">
        <v>532640</v>
      </c>
      <c r="C874" s="6" t="s">
        <v>3640</v>
      </c>
      <c r="D874" s="7">
        <v>15457644</v>
      </c>
      <c r="E874" s="6">
        <v>26.6</v>
      </c>
      <c r="F874" s="8">
        <f ca="1">IFERROR(__xludf.DUMMYFUNCTION("GOOGLEFINANCE(""BOM:"" &amp; B874,""price"")"),23.66)</f>
        <v>23.66</v>
      </c>
      <c r="G874" s="8">
        <f t="shared" ca="1" si="299"/>
        <v>-11.052631578947372</v>
      </c>
      <c r="H874" s="7">
        <f t="shared" si="300"/>
        <v>411173330.40000004</v>
      </c>
      <c r="I874" s="9">
        <f t="shared" ca="1" si="301"/>
        <v>365727857.04000002</v>
      </c>
      <c r="J874" s="63"/>
      <c r="K874" s="8">
        <v>512559</v>
      </c>
      <c r="L874" s="8" t="s">
        <v>3641</v>
      </c>
      <c r="M874" s="12">
        <v>36647078</v>
      </c>
      <c r="N874" s="10">
        <v>41</v>
      </c>
      <c r="O874" s="10">
        <f ca="1">IFERROR(__xludf.DUMMYFUNCTION("GOOGLEFINANCE(""BOM:"" &amp; K874,""price"")"),39)</f>
        <v>39</v>
      </c>
      <c r="P874" s="8">
        <f t="shared" ca="1" si="302"/>
        <v>-4.8780487804878048</v>
      </c>
      <c r="Q874" s="12">
        <f t="shared" si="303"/>
        <v>1502530198</v>
      </c>
      <c r="R874" s="13">
        <f t="shared" ca="1" si="304"/>
        <v>1429236042</v>
      </c>
      <c r="S874" s="63"/>
      <c r="T874" s="8">
        <v>500456</v>
      </c>
      <c r="U874" s="8" t="s">
        <v>3642</v>
      </c>
      <c r="V874" s="12">
        <v>82574179</v>
      </c>
      <c r="W874" s="8">
        <v>46.42</v>
      </c>
      <c r="X874" s="11">
        <f ca="1">IFERROR(__xludf.DUMMYFUNCTION("GOOGLEFINANCE(""BOM:"" &amp; T874,""price"")"),35.84)</f>
        <v>35.840000000000003</v>
      </c>
      <c r="Y874" s="8">
        <f t="shared" ca="1" si="296"/>
        <v>-22.791900043084873</v>
      </c>
      <c r="Z874" s="12">
        <f t="shared" si="297"/>
        <v>3833093389.1800003</v>
      </c>
      <c r="AA874" s="13">
        <f t="shared" ca="1" si="298"/>
        <v>2959458575.3600001</v>
      </c>
      <c r="AB874" s="63"/>
      <c r="AC874" s="8">
        <v>539526</v>
      </c>
      <c r="AD874" s="8" t="s">
        <v>3643</v>
      </c>
      <c r="AE874" s="12">
        <v>157436250</v>
      </c>
      <c r="AF874" s="8">
        <v>1.22</v>
      </c>
      <c r="AG874" s="8">
        <f ca="1">IFERROR(__xludf.DUMMYFUNCTION("GOOGLEFINANCE(""BOM:"" &amp; AC874,""price"")"),1.06)</f>
        <v>1.06</v>
      </c>
      <c r="AH874" s="8">
        <f t="shared" ca="1" si="295"/>
        <v>-13.114754098360649</v>
      </c>
      <c r="AI874" s="12">
        <f t="shared" si="291"/>
        <v>192072225</v>
      </c>
      <c r="AJ874" s="13">
        <f t="shared" ca="1" si="292"/>
        <v>166882425</v>
      </c>
    </row>
    <row r="875" spans="1:36" x14ac:dyDescent="0.25">
      <c r="A875" s="63"/>
      <c r="B875" s="8">
        <v>540081</v>
      </c>
      <c r="C875" s="8" t="s">
        <v>3644</v>
      </c>
      <c r="D875" s="12">
        <v>10470445</v>
      </c>
      <c r="E875" s="8">
        <v>7.39</v>
      </c>
      <c r="F875" s="8">
        <f ca="1">IFERROR(__xludf.DUMMYFUNCTION("GOOGLEFINANCE(""BOM:"" &amp; B875,""price"")"),4.86)</f>
        <v>4.8600000000000003</v>
      </c>
      <c r="G875" s="8">
        <f t="shared" ca="1" si="299"/>
        <v>-34.235453315290926</v>
      </c>
      <c r="H875" s="12">
        <f t="shared" si="300"/>
        <v>77376588.549999997</v>
      </c>
      <c r="I875" s="13">
        <f t="shared" ca="1" si="301"/>
        <v>50886362.700000003</v>
      </c>
      <c r="J875" s="63"/>
      <c r="K875" s="8">
        <v>530813</v>
      </c>
      <c r="L875" s="8" t="s">
        <v>3645</v>
      </c>
      <c r="M875" s="12">
        <v>235270540</v>
      </c>
      <c r="N875" s="10">
        <v>313.64999999999998</v>
      </c>
      <c r="O875" s="10">
        <f ca="1">IFERROR(__xludf.DUMMYFUNCTION("GOOGLEFINANCE(""BOM:"" &amp; K875,""price"")"),277.5)</f>
        <v>277.5</v>
      </c>
      <c r="P875" s="8">
        <f t="shared" ca="1" si="302"/>
        <v>-11.52558584409373</v>
      </c>
      <c r="Q875" s="12">
        <f t="shared" si="303"/>
        <v>73792604871</v>
      </c>
      <c r="R875" s="13">
        <f t="shared" ca="1" si="304"/>
        <v>65287574850</v>
      </c>
      <c r="S875" s="63"/>
      <c r="T875" s="8">
        <v>531454</v>
      </c>
      <c r="U875" s="8" t="s">
        <v>3646</v>
      </c>
      <c r="V875" s="12">
        <v>21672480</v>
      </c>
      <c r="W875" s="8">
        <v>36.69</v>
      </c>
      <c r="X875" s="11">
        <f ca="1">IFERROR(__xludf.DUMMYFUNCTION("GOOGLEFINANCE(""BOM:"" &amp; T875,""price"")"),24.5)</f>
        <v>24.5</v>
      </c>
      <c r="Y875" s="8">
        <f t="shared" ca="1" si="296"/>
        <v>-33.224311801580811</v>
      </c>
      <c r="Z875" s="12">
        <f t="shared" si="297"/>
        <v>795163291.19999993</v>
      </c>
      <c r="AA875" s="13">
        <f t="shared" ca="1" si="298"/>
        <v>530975760</v>
      </c>
      <c r="AB875" s="63"/>
      <c r="AC875" s="8">
        <v>521182</v>
      </c>
      <c r="AD875" s="8" t="s">
        <v>3647</v>
      </c>
      <c r="AE875" s="12">
        <v>6886591</v>
      </c>
      <c r="AF875" s="8" t="s">
        <v>44</v>
      </c>
      <c r="AG875" s="8" t="s">
        <v>44</v>
      </c>
      <c r="AH875" s="8">
        <v>0</v>
      </c>
      <c r="AI875" s="12">
        <v>0</v>
      </c>
      <c r="AJ875" s="13">
        <v>0</v>
      </c>
    </row>
    <row r="876" spans="1:36" x14ac:dyDescent="0.25">
      <c r="A876" s="64"/>
      <c r="B876" s="14">
        <v>539515</v>
      </c>
      <c r="C876" s="14" t="s">
        <v>3648</v>
      </c>
      <c r="D876" s="15">
        <v>21763348</v>
      </c>
      <c r="E876" s="8">
        <v>131</v>
      </c>
      <c r="F876" s="14">
        <f ca="1">IFERROR(__xludf.DUMMYFUNCTION("GOOGLEFINANCE(""BOM:"" &amp; B876,""price"")"),106.2)</f>
        <v>106.2</v>
      </c>
      <c r="G876" s="14">
        <f t="shared" ca="1" si="299"/>
        <v>-18.931297709923662</v>
      </c>
      <c r="H876" s="15">
        <f t="shared" si="300"/>
        <v>2850998588</v>
      </c>
      <c r="I876" s="16">
        <f t="shared" ca="1" si="301"/>
        <v>2311267557.5999999</v>
      </c>
      <c r="J876" s="63"/>
      <c r="K876" s="8">
        <v>532899</v>
      </c>
      <c r="L876" s="8" t="s">
        <v>3649</v>
      </c>
      <c r="M876" s="12">
        <v>58321639</v>
      </c>
      <c r="N876" s="10">
        <v>668.45</v>
      </c>
      <c r="O876" s="10">
        <f ca="1">IFERROR(__xludf.DUMMYFUNCTION("GOOGLEFINANCE(""BOM:"" &amp; K876,""price"")"),625.75)</f>
        <v>625.75</v>
      </c>
      <c r="P876" s="8">
        <f t="shared" ca="1" si="302"/>
        <v>-6.3879123345052049</v>
      </c>
      <c r="Q876" s="12">
        <f t="shared" si="303"/>
        <v>38985099589.550003</v>
      </c>
      <c r="R876" s="13">
        <f t="shared" ca="1" si="304"/>
        <v>36494765604.25</v>
      </c>
      <c r="S876" s="63"/>
      <c r="T876" s="8">
        <v>500339</v>
      </c>
      <c r="U876" s="8" t="s">
        <v>3650</v>
      </c>
      <c r="V876" s="12">
        <v>330709024</v>
      </c>
      <c r="W876" s="8">
        <v>181.15</v>
      </c>
      <c r="X876" s="11">
        <f ca="1">IFERROR(__xludf.DUMMYFUNCTION("GOOGLEFINANCE(""BOM:"" &amp; T876,""price"")"),150.6)</f>
        <v>150.6</v>
      </c>
      <c r="Y876" s="8">
        <f t="shared" ca="1" si="296"/>
        <v>-16.864476952801553</v>
      </c>
      <c r="Z876" s="12">
        <f t="shared" si="297"/>
        <v>59907939697.599998</v>
      </c>
      <c r="AA876" s="13">
        <f t="shared" ca="1" si="298"/>
        <v>49804779014.400002</v>
      </c>
      <c r="AB876" s="63"/>
      <c r="AC876" s="8">
        <v>543515</v>
      </c>
      <c r="AD876" s="8" t="s">
        <v>3651</v>
      </c>
      <c r="AE876" s="12">
        <v>10000000</v>
      </c>
      <c r="AF876" s="8">
        <v>112</v>
      </c>
      <c r="AG876" s="8">
        <f ca="1">IFERROR(__xludf.DUMMYFUNCTION("GOOGLEFINANCE(""BOM:"" &amp; AC876,""price"")"),96.6)</f>
        <v>96.6</v>
      </c>
      <c r="AH876" s="8">
        <f ca="1">((AG876-AF876)/AF876)*100</f>
        <v>-13.750000000000004</v>
      </c>
      <c r="AI876" s="12">
        <f t="shared" ref="AI876:AI879" si="305">AE876*AF876</f>
        <v>1120000000</v>
      </c>
      <c r="AJ876" s="13">
        <f t="shared" ref="AJ876:AJ879" ca="1" si="306">AE876*AG876</f>
        <v>966000000</v>
      </c>
    </row>
    <row r="877" spans="1:36" x14ac:dyDescent="0.25">
      <c r="A877" s="62" t="s">
        <v>3652</v>
      </c>
      <c r="B877" s="6">
        <v>522217</v>
      </c>
      <c r="C877" s="6" t="s">
        <v>3653</v>
      </c>
      <c r="D877" s="7">
        <v>11651521</v>
      </c>
      <c r="E877" s="6">
        <v>275</v>
      </c>
      <c r="F877" s="8">
        <f ca="1">IFERROR(__xludf.DUMMYFUNCTION("GOOGLEFINANCE(""BOM:"" &amp; B877,""price"")"),211.8)</f>
        <v>211.8</v>
      </c>
      <c r="G877" s="8">
        <f t="shared" ca="1" si="299"/>
        <v>-22.981818181818177</v>
      </c>
      <c r="H877" s="7">
        <f t="shared" si="300"/>
        <v>3204168275</v>
      </c>
      <c r="I877" s="9">
        <f t="shared" ca="1" si="301"/>
        <v>2467792147.8000002</v>
      </c>
      <c r="J877" s="63"/>
      <c r="K877" s="8">
        <v>519279</v>
      </c>
      <c r="L877" s="8" t="s">
        <v>3654</v>
      </c>
      <c r="M877" s="12">
        <v>3425500</v>
      </c>
      <c r="N877" s="10">
        <v>5.34</v>
      </c>
      <c r="O877" s="10">
        <f ca="1">IFERROR(__xludf.DUMMYFUNCTION("GOOGLEFINANCE(""BOM:"" &amp; K877,""price"")"),4.2)</f>
        <v>4.2</v>
      </c>
      <c r="P877" s="8">
        <f t="shared" ca="1" si="302"/>
        <v>-21.348314606741567</v>
      </c>
      <c r="Q877" s="12">
        <f t="shared" si="303"/>
        <v>18292170</v>
      </c>
      <c r="R877" s="13">
        <f t="shared" ca="1" si="304"/>
        <v>14387100</v>
      </c>
      <c r="S877" s="63"/>
      <c r="T877" s="8">
        <v>500405</v>
      </c>
      <c r="U877" s="8" t="s">
        <v>3655</v>
      </c>
      <c r="V877" s="12">
        <v>184681658</v>
      </c>
      <c r="W877" s="8">
        <v>723.15</v>
      </c>
      <c r="X877" s="11">
        <f ca="1">IFERROR(__xludf.DUMMYFUNCTION("GOOGLEFINANCE(""BOM:"" &amp; T877,""price"")"),619.05)</f>
        <v>619.04999999999995</v>
      </c>
      <c r="Y877" s="8">
        <f t="shared" ca="1" si="296"/>
        <v>-14.395353661066174</v>
      </c>
      <c r="Z877" s="12">
        <f t="shared" si="297"/>
        <v>133552540982.7</v>
      </c>
      <c r="AA877" s="13">
        <f t="shared" ca="1" si="298"/>
        <v>114327180384.89999</v>
      </c>
      <c r="AB877" s="63"/>
      <c r="AC877" s="8">
        <v>501479</v>
      </c>
      <c r="AD877" s="8" t="s">
        <v>3656</v>
      </c>
      <c r="AE877" s="12">
        <v>35050</v>
      </c>
      <c r="AF877" s="8">
        <v>0</v>
      </c>
      <c r="AG877" s="8">
        <f ca="1">IFERROR(__xludf.DUMMYFUNCTION("GOOGLEFINANCE(""BOM:"" &amp; AC877,""price"")"),0)</f>
        <v>0</v>
      </c>
      <c r="AH877" s="8">
        <v>0</v>
      </c>
      <c r="AI877" s="12">
        <f t="shared" si="305"/>
        <v>0</v>
      </c>
      <c r="AJ877" s="13">
        <f t="shared" ca="1" si="306"/>
        <v>0</v>
      </c>
    </row>
    <row r="878" spans="1:36" x14ac:dyDescent="0.25">
      <c r="A878" s="63"/>
      <c r="B878" s="8">
        <v>504741</v>
      </c>
      <c r="C878" s="8" t="s">
        <v>3657</v>
      </c>
      <c r="D878" s="12">
        <v>47897080</v>
      </c>
      <c r="E878" s="8">
        <v>296.64999999999998</v>
      </c>
      <c r="F878" s="8">
        <f ca="1">IFERROR(__xludf.DUMMYFUNCTION("GOOGLEFINANCE(""BOM:"" &amp; B878,""price"")"),253.7)</f>
        <v>253.7</v>
      </c>
      <c r="G878" s="8">
        <f t="shared" ca="1" si="299"/>
        <v>-14.478341479858416</v>
      </c>
      <c r="H878" s="12">
        <f t="shared" si="300"/>
        <v>14208668781.999998</v>
      </c>
      <c r="I878" s="13">
        <f t="shared" ca="1" si="301"/>
        <v>12151489196</v>
      </c>
      <c r="J878" s="63"/>
      <c r="K878" s="8">
        <v>539762</v>
      </c>
      <c r="L878" s="8" t="s">
        <v>3658</v>
      </c>
      <c r="M878" s="12">
        <v>3069525</v>
      </c>
      <c r="N878" s="10">
        <v>69.23</v>
      </c>
      <c r="O878" s="10">
        <f ca="1">IFERROR(__xludf.DUMMYFUNCTION("GOOGLEFINANCE(""BOM:"" &amp; K878,""price"")"),95.44)</f>
        <v>95.44</v>
      </c>
      <c r="P878" s="8">
        <f t="shared" ca="1" si="302"/>
        <v>37.859309547883853</v>
      </c>
      <c r="Q878" s="12">
        <f t="shared" si="303"/>
        <v>212503215.75</v>
      </c>
      <c r="R878" s="13">
        <f t="shared" ca="1" si="304"/>
        <v>292955466</v>
      </c>
      <c r="S878" s="64"/>
      <c r="T878" s="14">
        <v>500777</v>
      </c>
      <c r="U878" s="14" t="s">
        <v>3659</v>
      </c>
      <c r="V878" s="15">
        <v>85466149</v>
      </c>
      <c r="W878" s="14">
        <v>93.15</v>
      </c>
      <c r="X878" s="26">
        <f ca="1">IFERROR(__xludf.DUMMYFUNCTION("GOOGLEFINANCE(""BOM:"" &amp; T878,""price"")"),78.09)</f>
        <v>78.09</v>
      </c>
      <c r="Y878" s="14">
        <f t="shared" ca="1" si="296"/>
        <v>-16.167471819645733</v>
      </c>
      <c r="Z878" s="15">
        <f t="shared" si="297"/>
        <v>7961171779.3500004</v>
      </c>
      <c r="AA878" s="16">
        <f t="shared" ca="1" si="298"/>
        <v>6674051575.4099998</v>
      </c>
      <c r="AB878" s="63"/>
      <c r="AC878" s="8">
        <v>531240</v>
      </c>
      <c r="AD878" s="8" t="s">
        <v>3660</v>
      </c>
      <c r="AE878" s="12">
        <v>3904176</v>
      </c>
      <c r="AF878" s="8">
        <v>10.4</v>
      </c>
      <c r="AG878" s="8">
        <f ca="1">IFERROR(__xludf.DUMMYFUNCTION("GOOGLEFINANCE(""BOM:"" &amp; AC878,""price"")"),9.55)</f>
        <v>9.5500000000000007</v>
      </c>
      <c r="AH878" s="8">
        <f t="shared" ref="AH878:AH879" ca="1" si="307">((AG878-AF878)/AF878)*100</f>
        <v>-8.1730769230769198</v>
      </c>
      <c r="AI878" s="12">
        <f t="shared" si="305"/>
        <v>40603430.399999999</v>
      </c>
      <c r="AJ878" s="13">
        <f t="shared" ca="1" si="306"/>
        <v>37284880.800000004</v>
      </c>
    </row>
    <row r="879" spans="1:36" x14ac:dyDescent="0.25">
      <c r="A879" s="63"/>
      <c r="B879" s="8">
        <v>541353</v>
      </c>
      <c r="C879" s="8" t="s">
        <v>3661</v>
      </c>
      <c r="D879" s="12">
        <v>18867808</v>
      </c>
      <c r="E879" s="8">
        <v>187.5</v>
      </c>
      <c r="F879" s="8">
        <f ca="1">IFERROR(__xludf.DUMMYFUNCTION("GOOGLEFINANCE(""BOM:"" &amp; B879,""price"")"),160.15)</f>
        <v>160.15</v>
      </c>
      <c r="G879" s="8">
        <f t="shared" ca="1" si="299"/>
        <v>-14.586666666666664</v>
      </c>
      <c r="H879" s="12">
        <f t="shared" si="300"/>
        <v>3537714000</v>
      </c>
      <c r="I879" s="13">
        <f t="shared" ca="1" si="301"/>
        <v>3021679451.2000003</v>
      </c>
      <c r="J879" s="63"/>
      <c r="K879" s="8">
        <v>519003</v>
      </c>
      <c r="L879" s="8" t="s">
        <v>3662</v>
      </c>
      <c r="M879" s="12">
        <v>11738968</v>
      </c>
      <c r="N879" s="10">
        <v>249.05</v>
      </c>
      <c r="O879" s="10">
        <f ca="1">IFERROR(__xludf.DUMMYFUNCTION("GOOGLEFINANCE(""BOM:"" &amp; K879,""price"")"),191.25)</f>
        <v>191.25</v>
      </c>
      <c r="P879" s="8">
        <f t="shared" ca="1" si="302"/>
        <v>-23.208191126279868</v>
      </c>
      <c r="Q879" s="12">
        <f t="shared" si="303"/>
        <v>2923589980.4000001</v>
      </c>
      <c r="R879" s="13">
        <f t="shared" ca="1" si="304"/>
        <v>2245077630</v>
      </c>
      <c r="S879" s="62" t="s">
        <v>3663</v>
      </c>
      <c r="T879" s="6">
        <v>543427</v>
      </c>
      <c r="U879" s="6" t="s">
        <v>3664</v>
      </c>
      <c r="V879" s="7">
        <v>119256536</v>
      </c>
      <c r="W879" s="8">
        <v>699.4</v>
      </c>
      <c r="X879" s="11">
        <f ca="1">IFERROR(__xludf.DUMMYFUNCTION("GOOGLEFINANCE(""BOM:"" &amp; T879,""price"")"),690)</f>
        <v>690</v>
      </c>
      <c r="Y879" s="8">
        <f t="shared" ca="1" si="296"/>
        <v>-1.3440091507005973</v>
      </c>
      <c r="Z879" s="7">
        <f t="shared" si="297"/>
        <v>83408021278.399994</v>
      </c>
      <c r="AA879" s="9">
        <f t="shared" ca="1" si="298"/>
        <v>82287009840</v>
      </c>
      <c r="AB879" s="63"/>
      <c r="AC879" s="8">
        <v>540786</v>
      </c>
      <c r="AD879" s="8" t="s">
        <v>3665</v>
      </c>
      <c r="AE879" s="12">
        <v>43300000</v>
      </c>
      <c r="AF879" s="8">
        <v>11.64</v>
      </c>
      <c r="AG879" s="8">
        <f ca="1">IFERROR(__xludf.DUMMYFUNCTION("GOOGLEFINANCE(""BOM:"" &amp; AC879,""price"")"),8.9)</f>
        <v>8.9</v>
      </c>
      <c r="AH879" s="8">
        <f t="shared" ca="1" si="307"/>
        <v>-23.539518900343641</v>
      </c>
      <c r="AI879" s="12">
        <f t="shared" si="305"/>
        <v>504012000</v>
      </c>
      <c r="AJ879" s="13">
        <f t="shared" ca="1" si="306"/>
        <v>385370000</v>
      </c>
    </row>
    <row r="880" spans="1:36" x14ac:dyDescent="0.25">
      <c r="A880" s="63"/>
      <c r="B880" s="8">
        <v>513228</v>
      </c>
      <c r="C880" s="8" t="s">
        <v>3666</v>
      </c>
      <c r="D880" s="12">
        <v>139636008</v>
      </c>
      <c r="E880" s="8">
        <v>137.25</v>
      </c>
      <c r="F880" s="8">
        <f ca="1">IFERROR(__xludf.DUMMYFUNCTION("GOOGLEFINANCE(""BOM:"" &amp; B880,""price"")"),132.85)</f>
        <v>132.85</v>
      </c>
      <c r="G880" s="8">
        <f t="shared" ca="1" si="299"/>
        <v>-3.2058287795992757</v>
      </c>
      <c r="H880" s="12">
        <f t="shared" si="300"/>
        <v>19165042098</v>
      </c>
      <c r="I880" s="13">
        <f t="shared" ca="1" si="301"/>
        <v>18550643662.799999</v>
      </c>
      <c r="J880" s="63"/>
      <c r="K880" s="8">
        <v>539275</v>
      </c>
      <c r="L880" s="8" t="s">
        <v>3667</v>
      </c>
      <c r="M880" s="12">
        <v>10980158</v>
      </c>
      <c r="N880" s="10">
        <v>318</v>
      </c>
      <c r="O880" s="10">
        <f ca="1">IFERROR(__xludf.DUMMYFUNCTION("GOOGLEFINANCE(""BOM:"" &amp; K880,""price"")"),254.25)</f>
        <v>254.25</v>
      </c>
      <c r="P880" s="8">
        <f t="shared" ca="1" si="302"/>
        <v>-20.047169811320757</v>
      </c>
      <c r="Q880" s="12">
        <f t="shared" si="303"/>
        <v>3491690244</v>
      </c>
      <c r="R880" s="13">
        <f t="shared" ca="1" si="304"/>
        <v>2791705171.5</v>
      </c>
      <c r="S880" s="64"/>
      <c r="T880" s="14">
        <v>536565</v>
      </c>
      <c r="U880" s="14" t="s">
        <v>3668</v>
      </c>
      <c r="V880" s="15">
        <v>7731070</v>
      </c>
      <c r="W880" s="14">
        <v>12.85</v>
      </c>
      <c r="X880" s="26">
        <f ca="1">IFERROR(__xludf.DUMMYFUNCTION("GOOGLEFINANCE(""BOM:"" &amp; T880,""price"")"),17.19)</f>
        <v>17.190000000000001</v>
      </c>
      <c r="Y880" s="14">
        <f t="shared" ca="1" si="296"/>
        <v>33.774319066147875</v>
      </c>
      <c r="Z880" s="15">
        <f t="shared" si="297"/>
        <v>99344249.5</v>
      </c>
      <c r="AA880" s="16">
        <f t="shared" ca="1" si="298"/>
        <v>132897093.30000001</v>
      </c>
      <c r="AB880" s="63"/>
      <c r="AC880" s="8">
        <v>540221</v>
      </c>
      <c r="AD880" s="8" t="s">
        <v>3669</v>
      </c>
      <c r="AE880" s="12">
        <v>2343600</v>
      </c>
      <c r="AF880" s="8" t="s">
        <v>44</v>
      </c>
      <c r="AG880" s="8" t="s">
        <v>44</v>
      </c>
      <c r="AH880" s="8">
        <v>0</v>
      </c>
      <c r="AI880" s="12">
        <v>0</v>
      </c>
      <c r="AJ880" s="13">
        <v>0</v>
      </c>
    </row>
    <row r="881" spans="1:36" x14ac:dyDescent="0.25">
      <c r="A881" s="63"/>
      <c r="B881" s="8">
        <v>522205</v>
      </c>
      <c r="C881" s="8" t="s">
        <v>3670</v>
      </c>
      <c r="D881" s="12">
        <v>183492228</v>
      </c>
      <c r="E881" s="8">
        <v>504.45</v>
      </c>
      <c r="F881" s="8">
        <f ca="1">IFERROR(__xludf.DUMMYFUNCTION("GOOGLEFINANCE(""BOM:"" &amp; B881,""price"")"),532.7)</f>
        <v>532.70000000000005</v>
      </c>
      <c r="G881" s="8">
        <f t="shared" ca="1" si="299"/>
        <v>5.6001585885618113</v>
      </c>
      <c r="H881" s="12">
        <f t="shared" si="300"/>
        <v>92562654414.599991</v>
      </c>
      <c r="I881" s="13">
        <f t="shared" ca="1" si="301"/>
        <v>97746309855.600006</v>
      </c>
      <c r="J881" s="63"/>
      <c r="K881" s="8">
        <v>531832</v>
      </c>
      <c r="L881" s="8" t="s">
        <v>3671</v>
      </c>
      <c r="M881" s="12">
        <v>7846900</v>
      </c>
      <c r="N881" s="10">
        <v>13.05</v>
      </c>
      <c r="O881" s="10">
        <f ca="1">IFERROR(__xludf.DUMMYFUNCTION("GOOGLEFINANCE(""BOM:"" &amp; K881,""price"")"),10)</f>
        <v>10</v>
      </c>
      <c r="P881" s="8">
        <f t="shared" ca="1" si="302"/>
        <v>-23.371647509578548</v>
      </c>
      <c r="Q881" s="12">
        <f t="shared" si="303"/>
        <v>102402045</v>
      </c>
      <c r="R881" s="13">
        <f t="shared" ca="1" si="304"/>
        <v>78469000</v>
      </c>
      <c r="S881" s="62" t="s">
        <v>3672</v>
      </c>
      <c r="T881" s="6">
        <v>530427</v>
      </c>
      <c r="U881" s="6" t="s">
        <v>3673</v>
      </c>
      <c r="V881" s="7">
        <v>3768900</v>
      </c>
      <c r="W881" s="8">
        <v>69.400000000000006</v>
      </c>
      <c r="X881" s="11">
        <f ca="1">IFERROR(__xludf.DUMMYFUNCTION("GOOGLEFINANCE(""BOM:"" &amp; T881,""price"")"),59.5)</f>
        <v>59.5</v>
      </c>
      <c r="Y881" s="8">
        <f t="shared" ca="1" si="296"/>
        <v>-14.265129682997124</v>
      </c>
      <c r="Z881" s="7">
        <f t="shared" si="297"/>
        <v>261561660.00000003</v>
      </c>
      <c r="AA881" s="9">
        <f t="shared" ca="1" si="298"/>
        <v>224249550</v>
      </c>
      <c r="AB881" s="63"/>
      <c r="AC881" s="8">
        <v>530797</v>
      </c>
      <c r="AD881" s="8" t="s">
        <v>3674</v>
      </c>
      <c r="AE881" s="12">
        <v>1806000</v>
      </c>
      <c r="AF881" s="8">
        <v>21.97</v>
      </c>
      <c r="AG881" s="8">
        <f ca="1">IFERROR(__xludf.DUMMYFUNCTION("GOOGLEFINANCE(""BOM:"" &amp; AC881,""price"")"),21.32)</f>
        <v>21.32</v>
      </c>
      <c r="AH881" s="8">
        <f ca="1">((AG881-AF881)/AF881)*100</f>
        <v>-2.9585798816567985</v>
      </c>
      <c r="AI881" s="12">
        <f t="shared" ref="AI881:AI890" si="308">AE881*AF881</f>
        <v>39677820</v>
      </c>
      <c r="AJ881" s="13">
        <f t="shared" ref="AJ881:AJ890" ca="1" si="309">AE881*AG881</f>
        <v>38503920</v>
      </c>
    </row>
    <row r="882" spans="1:36" x14ac:dyDescent="0.25">
      <c r="A882" s="63"/>
      <c r="B882" s="8">
        <v>500540</v>
      </c>
      <c r="C882" s="8" t="s">
        <v>3675</v>
      </c>
      <c r="D882" s="12">
        <v>28815792</v>
      </c>
      <c r="E882" s="8">
        <v>3.04</v>
      </c>
      <c r="F882" s="8">
        <f ca="1">IFERROR(__xludf.DUMMYFUNCTION("GOOGLEFINANCE(""BOM:"" &amp; B882,""price"")"),3.11)</f>
        <v>3.11</v>
      </c>
      <c r="G882" s="8">
        <f t="shared" ca="1" si="299"/>
        <v>2.3026315789473633</v>
      </c>
      <c r="H882" s="12">
        <f t="shared" si="300"/>
        <v>87600007.680000007</v>
      </c>
      <c r="I882" s="13">
        <f t="shared" ca="1" si="301"/>
        <v>89617113.11999999</v>
      </c>
      <c r="J882" s="63"/>
      <c r="K882" s="8">
        <v>538926</v>
      </c>
      <c r="L882" s="8" t="s">
        <v>3676</v>
      </c>
      <c r="M882" s="12">
        <v>4548800</v>
      </c>
      <c r="N882" s="10">
        <v>105.85</v>
      </c>
      <c r="O882" s="10">
        <f ca="1">IFERROR(__xludf.DUMMYFUNCTION("GOOGLEFINANCE(""BOM:"" &amp; K882,""price"")"),101)</f>
        <v>101</v>
      </c>
      <c r="P882" s="8">
        <f t="shared" ca="1" si="302"/>
        <v>-4.581955597543689</v>
      </c>
      <c r="Q882" s="12">
        <f t="shared" si="303"/>
        <v>481490480</v>
      </c>
      <c r="R882" s="13">
        <f t="shared" ca="1" si="304"/>
        <v>459428800</v>
      </c>
      <c r="S882" s="63"/>
      <c r="T882" s="8">
        <v>532624</v>
      </c>
      <c r="U882" s="8" t="s">
        <v>3677</v>
      </c>
      <c r="V882" s="12">
        <v>10174704</v>
      </c>
      <c r="W882" s="8">
        <v>642.65</v>
      </c>
      <c r="X882" s="11">
        <f ca="1">IFERROR(__xludf.DUMMYFUNCTION("GOOGLEFINANCE(""BOM:"" &amp; T882,""price"")"),546)</f>
        <v>546</v>
      </c>
      <c r="Y882" s="8">
        <f t="shared" ca="1" si="296"/>
        <v>-15.039290438030029</v>
      </c>
      <c r="Z882" s="12">
        <f t="shared" si="297"/>
        <v>6538773525.5999994</v>
      </c>
      <c r="AA882" s="13">
        <f t="shared" ca="1" si="298"/>
        <v>5555388384</v>
      </c>
      <c r="AB882" s="63"/>
      <c r="AC882" s="8">
        <v>521003</v>
      </c>
      <c r="AD882" s="8" t="s">
        <v>3678</v>
      </c>
      <c r="AE882" s="12">
        <v>18080</v>
      </c>
      <c r="AF882" s="8">
        <v>28.52</v>
      </c>
      <c r="AG882" s="8">
        <f ca="1">IFERROR(__xludf.DUMMYFUNCTION("GOOGLEFINANCE(""BOM:"" &amp; AC882,""price"")"),25.75)</f>
        <v>25.75</v>
      </c>
      <c r="AH882" s="8">
        <v>0</v>
      </c>
      <c r="AI882" s="12">
        <f t="shared" si="308"/>
        <v>515641.59999999998</v>
      </c>
      <c r="AJ882" s="13">
        <f t="shared" ca="1" si="309"/>
        <v>465560</v>
      </c>
    </row>
    <row r="883" spans="1:36" x14ac:dyDescent="0.25">
      <c r="A883" s="64"/>
      <c r="B883" s="14">
        <v>540642</v>
      </c>
      <c r="C883" s="14" t="s">
        <v>3679</v>
      </c>
      <c r="D883" s="15">
        <v>1578520900</v>
      </c>
      <c r="E883" s="8">
        <v>24.68</v>
      </c>
      <c r="F883" s="14">
        <f ca="1">IFERROR(__xludf.DUMMYFUNCTION("GOOGLEFINANCE(""BOM:"" &amp; B883,""price"")"),20.01)</f>
        <v>20.010000000000002</v>
      </c>
      <c r="G883" s="14">
        <f t="shared" ca="1" si="299"/>
        <v>-18.922204213938404</v>
      </c>
      <c r="H883" s="15">
        <f t="shared" si="300"/>
        <v>38957895812</v>
      </c>
      <c r="I883" s="16">
        <f t="shared" ca="1" si="301"/>
        <v>31586203209.000004</v>
      </c>
      <c r="J883" s="63"/>
      <c r="K883" s="8">
        <v>537291</v>
      </c>
      <c r="L883" s="8" t="s">
        <v>3680</v>
      </c>
      <c r="M883" s="12">
        <v>18711281</v>
      </c>
      <c r="N883" s="10">
        <v>205.75</v>
      </c>
      <c r="O883" s="10">
        <f ca="1">IFERROR(__xludf.DUMMYFUNCTION("GOOGLEFINANCE(""BOM:"" &amp; K883,""price"")"),173.75)</f>
        <v>173.75</v>
      </c>
      <c r="P883" s="8">
        <f t="shared" ca="1" si="302"/>
        <v>-15.552855407047387</v>
      </c>
      <c r="Q883" s="12">
        <f t="shared" si="303"/>
        <v>3849846065.75</v>
      </c>
      <c r="R883" s="13">
        <f t="shared" ca="1" si="304"/>
        <v>3251085073.75</v>
      </c>
      <c r="S883" s="63"/>
      <c r="T883" s="8">
        <v>526588</v>
      </c>
      <c r="U883" s="8" t="s">
        <v>3681</v>
      </c>
      <c r="V883" s="12">
        <v>4398349</v>
      </c>
      <c r="W883" s="8">
        <v>24.7</v>
      </c>
      <c r="X883" s="11">
        <f ca="1">IFERROR(__xludf.DUMMYFUNCTION("GOOGLEFINANCE(""BOM:"" &amp; T883,""price"")"),21.01)</f>
        <v>21.01</v>
      </c>
      <c r="Y883" s="8">
        <f t="shared" ca="1" si="296"/>
        <v>-14.939271255060721</v>
      </c>
      <c r="Z883" s="12">
        <f t="shared" si="297"/>
        <v>108639220.3</v>
      </c>
      <c r="AA883" s="13">
        <f t="shared" ca="1" si="298"/>
        <v>92409312.49000001</v>
      </c>
      <c r="AB883" s="63"/>
      <c r="AC883" s="8">
        <v>517411</v>
      </c>
      <c r="AD883" s="8" t="s">
        <v>3682</v>
      </c>
      <c r="AE883" s="12">
        <v>11249059</v>
      </c>
      <c r="AF883" s="8">
        <v>12.95</v>
      </c>
      <c r="AG883" s="8">
        <f ca="1">IFERROR(__xludf.DUMMYFUNCTION("GOOGLEFINANCE(""BOM:"" &amp; AC883,""price"")"),8.46)</f>
        <v>8.4600000000000009</v>
      </c>
      <c r="AH883" s="8">
        <f t="shared" ref="AH883:AH884" ca="1" si="310">((AG883-AF883)/AF883)*100</f>
        <v>-34.671814671814658</v>
      </c>
      <c r="AI883" s="12">
        <f t="shared" si="308"/>
        <v>145675314.04999998</v>
      </c>
      <c r="AJ883" s="13">
        <f t="shared" ca="1" si="309"/>
        <v>95167039.140000015</v>
      </c>
    </row>
    <row r="884" spans="1:36" x14ac:dyDescent="0.25">
      <c r="A884" s="62" t="s">
        <v>3683</v>
      </c>
      <c r="B884" s="6">
        <v>533292</v>
      </c>
      <c r="C884" s="6" t="s">
        <v>3684</v>
      </c>
      <c r="D884" s="7">
        <v>176114915</v>
      </c>
      <c r="E884" s="6">
        <v>15.77</v>
      </c>
      <c r="F884" s="8">
        <f ca="1">IFERROR(__xludf.DUMMYFUNCTION("GOOGLEFINANCE(""BOM:"" &amp; B884,""price"")"),13.43)</f>
        <v>13.43</v>
      </c>
      <c r="G884" s="8">
        <f t="shared" ca="1" si="299"/>
        <v>-14.838300570703868</v>
      </c>
      <c r="H884" s="7">
        <f t="shared" si="300"/>
        <v>2777332209.5499997</v>
      </c>
      <c r="I884" s="9">
        <f t="shared" ca="1" si="301"/>
        <v>2365223308.4499998</v>
      </c>
      <c r="J884" s="63"/>
      <c r="K884" s="8">
        <v>531834</v>
      </c>
      <c r="L884" s="8" t="s">
        <v>3685</v>
      </c>
      <c r="M884" s="12">
        <v>3286450</v>
      </c>
      <c r="N884" s="10">
        <v>7.15</v>
      </c>
      <c r="O884" s="10">
        <f ca="1">IFERROR(__xludf.DUMMYFUNCTION("GOOGLEFINANCE(""BOM:"" &amp; K884,""price"")"),7.3)</f>
        <v>7.3</v>
      </c>
      <c r="P884" s="8">
        <f t="shared" ca="1" si="302"/>
        <v>2.0979020979020904</v>
      </c>
      <c r="Q884" s="12">
        <f t="shared" si="303"/>
        <v>23498117.5</v>
      </c>
      <c r="R884" s="13">
        <f t="shared" ca="1" si="304"/>
        <v>23991085</v>
      </c>
      <c r="S884" s="64"/>
      <c r="T884" s="14">
        <v>542933</v>
      </c>
      <c r="U884" s="14" t="s">
        <v>3686</v>
      </c>
      <c r="V884" s="15">
        <v>10888190</v>
      </c>
      <c r="W884" s="14">
        <v>393</v>
      </c>
      <c r="X884" s="26">
        <f ca="1">IFERROR(__xludf.DUMMYFUNCTION("GOOGLEFINANCE(""BOM:"" &amp; T884,""price"")"),331.8)</f>
        <v>331.8</v>
      </c>
      <c r="Y884" s="14">
        <f t="shared" ca="1" si="296"/>
        <v>-15.572519083969464</v>
      </c>
      <c r="Z884" s="15">
        <f t="shared" si="297"/>
        <v>4279058670</v>
      </c>
      <c r="AA884" s="16">
        <f t="shared" ca="1" si="298"/>
        <v>3612701442</v>
      </c>
      <c r="AB884" s="63"/>
      <c r="AC884" s="8">
        <v>533014</v>
      </c>
      <c r="AD884" s="8" t="s">
        <v>3687</v>
      </c>
      <c r="AE884" s="12">
        <v>38867413</v>
      </c>
      <c r="AF884" s="8">
        <v>61.4</v>
      </c>
      <c r="AG884" s="8">
        <v>61.4</v>
      </c>
      <c r="AH884" s="8">
        <f t="shared" si="310"/>
        <v>0</v>
      </c>
      <c r="AI884" s="12">
        <f t="shared" si="308"/>
        <v>2386459158.1999998</v>
      </c>
      <c r="AJ884" s="13">
        <f t="shared" si="309"/>
        <v>2386459158.1999998</v>
      </c>
    </row>
    <row r="885" spans="1:36" x14ac:dyDescent="0.25">
      <c r="A885" s="63"/>
      <c r="B885" s="8">
        <v>532959</v>
      </c>
      <c r="C885" s="8" t="s">
        <v>3688</v>
      </c>
      <c r="D885" s="12">
        <v>941828121</v>
      </c>
      <c r="E885" s="8" t="s">
        <v>44</v>
      </c>
      <c r="F885" s="8" t="s">
        <v>44</v>
      </c>
      <c r="G885" s="8"/>
      <c r="H885" s="12"/>
      <c r="I885" s="13"/>
      <c r="J885" s="63"/>
      <c r="K885" s="8">
        <v>507609</v>
      </c>
      <c r="L885" s="8" t="s">
        <v>3689</v>
      </c>
      <c r="M885" s="12">
        <v>2652450</v>
      </c>
      <c r="N885" s="10">
        <v>16.670000000000002</v>
      </c>
      <c r="O885" s="10">
        <f ca="1">IFERROR(__xludf.DUMMYFUNCTION("GOOGLEFINANCE(""BOM:"" &amp; K885,""price"")"),34.56)</f>
        <v>34.56</v>
      </c>
      <c r="P885" s="8">
        <f t="shared" ca="1" si="302"/>
        <v>107.31853629274144</v>
      </c>
      <c r="Q885" s="12">
        <f t="shared" si="303"/>
        <v>44216341.500000007</v>
      </c>
      <c r="R885" s="13">
        <f t="shared" ca="1" si="304"/>
        <v>91668672</v>
      </c>
      <c r="S885" s="62" t="s">
        <v>3690</v>
      </c>
      <c r="T885" s="6">
        <v>532976</v>
      </c>
      <c r="U885" s="6" t="s">
        <v>3691</v>
      </c>
      <c r="V885" s="7">
        <v>110447680</v>
      </c>
      <c r="W885" s="8">
        <v>1251.2</v>
      </c>
      <c r="X885" s="11">
        <f ca="1">IFERROR(__xludf.DUMMYFUNCTION("GOOGLEFINANCE(""BOM:"" &amp; T885,""price"")"),925)</f>
        <v>925</v>
      </c>
      <c r="Y885" s="8">
        <f t="shared" ca="1" si="296"/>
        <v>-26.070971867007675</v>
      </c>
      <c r="Z885" s="7">
        <f t="shared" si="297"/>
        <v>138192137216</v>
      </c>
      <c r="AA885" s="9">
        <f t="shared" ca="1" si="298"/>
        <v>102164104000</v>
      </c>
      <c r="AB885" s="63"/>
      <c r="AC885" s="8">
        <v>526877</v>
      </c>
      <c r="AD885" s="8" t="s">
        <v>3692</v>
      </c>
      <c r="AE885" s="12">
        <v>641259</v>
      </c>
      <c r="AF885" s="8">
        <v>13.69</v>
      </c>
      <c r="AG885" s="8">
        <f ca="1">IFERROR(__xludf.DUMMYFUNCTION("GOOGLEFINANCE(""BOM:"" &amp; AC885,""price"")"),14.13)</f>
        <v>14.13</v>
      </c>
      <c r="AH885" s="8">
        <v>0</v>
      </c>
      <c r="AI885" s="12">
        <f t="shared" si="308"/>
        <v>8778835.709999999</v>
      </c>
      <c r="AJ885" s="13">
        <f t="shared" ca="1" si="309"/>
        <v>9060989.6699999999</v>
      </c>
    </row>
    <row r="886" spans="1:36" x14ac:dyDescent="0.25">
      <c r="A886" s="63"/>
      <c r="B886" s="8">
        <v>542057</v>
      </c>
      <c r="C886" s="8" t="s">
        <v>3693</v>
      </c>
      <c r="D886" s="12">
        <v>16723638</v>
      </c>
      <c r="E886" s="8">
        <v>115.3</v>
      </c>
      <c r="F886" s="8">
        <f ca="1">IFERROR(__xludf.DUMMYFUNCTION("GOOGLEFINANCE(""BOM:"" &amp; B886,""price"")"),95.2)</f>
        <v>95.2</v>
      </c>
      <c r="G886" s="8">
        <f t="shared" ref="G886:G909" ca="1" si="311">((F886-E886)/E886)*100</f>
        <v>-17.432784041630526</v>
      </c>
      <c r="H886" s="12">
        <f t="shared" ref="H886:H909" si="312">D886*E886</f>
        <v>1928235461.3999999</v>
      </c>
      <c r="I886" s="13">
        <f t="shared" ref="I886:I909" ca="1" si="313">D886*F886</f>
        <v>1592090337.6000001</v>
      </c>
      <c r="J886" s="63"/>
      <c r="K886" s="8">
        <v>539291</v>
      </c>
      <c r="L886" s="8" t="s">
        <v>3694</v>
      </c>
      <c r="M886" s="12">
        <v>3298314</v>
      </c>
      <c r="N886" s="10">
        <v>17.29</v>
      </c>
      <c r="O886" s="10">
        <f ca="1">IFERROR(__xludf.DUMMYFUNCTION("GOOGLEFINANCE(""BOM:"" &amp; K886,""price"")"),20.4)</f>
        <v>20.399999999999999</v>
      </c>
      <c r="P886" s="8">
        <f t="shared" ca="1" si="302"/>
        <v>17.987275882012721</v>
      </c>
      <c r="Q886" s="12">
        <f t="shared" si="303"/>
        <v>57027849.059999995</v>
      </c>
      <c r="R886" s="13">
        <f t="shared" ca="1" si="304"/>
        <v>67285605.599999994</v>
      </c>
      <c r="S886" s="63"/>
      <c r="T886" s="8">
        <v>500245</v>
      </c>
      <c r="U886" s="8" t="s">
        <v>3695</v>
      </c>
      <c r="V886" s="12">
        <v>135754161</v>
      </c>
      <c r="W886" s="8">
        <v>528.15</v>
      </c>
      <c r="X886" s="11">
        <f ca="1">IFERROR(__xludf.DUMMYFUNCTION("GOOGLEFINANCE(""BOM:"" &amp; T886,""price"")"),540)</f>
        <v>540</v>
      </c>
      <c r="Y886" s="8">
        <f t="shared" ca="1" si="296"/>
        <v>2.2436807725078145</v>
      </c>
      <c r="Z886" s="12">
        <f t="shared" si="297"/>
        <v>71698560132.149994</v>
      </c>
      <c r="AA886" s="13">
        <f t="shared" ca="1" si="298"/>
        <v>73307246940</v>
      </c>
      <c r="AB886" s="63"/>
      <c r="AC886" s="8">
        <v>512131</v>
      </c>
      <c r="AD886" s="8" t="s">
        <v>3696</v>
      </c>
      <c r="AE886" s="12">
        <v>29408500</v>
      </c>
      <c r="AF886" s="8">
        <v>72.45</v>
      </c>
      <c r="AG886" s="8">
        <f ca="1">IFERROR(__xludf.DUMMYFUNCTION("GOOGLEFINANCE(""BOM:"" &amp; AC886,""price"")"),61.75)</f>
        <v>61.75</v>
      </c>
      <c r="AH886" s="8">
        <f t="shared" ref="AH886:AH890" ca="1" si="314">((AG886-AF886)/AF886)*100</f>
        <v>-14.768806073153904</v>
      </c>
      <c r="AI886" s="12">
        <f t="shared" si="308"/>
        <v>2130645825</v>
      </c>
      <c r="AJ886" s="13">
        <f t="shared" ca="1" si="309"/>
        <v>1815974875</v>
      </c>
    </row>
    <row r="887" spans="1:36" x14ac:dyDescent="0.25">
      <c r="A887" s="63"/>
      <c r="B887" s="8">
        <v>532930</v>
      </c>
      <c r="C887" s="8" t="s">
        <v>3697</v>
      </c>
      <c r="D887" s="12">
        <v>72161077</v>
      </c>
      <c r="E887" s="8">
        <v>51.52</v>
      </c>
      <c r="F887" s="8">
        <f ca="1">IFERROR(__xludf.DUMMYFUNCTION("GOOGLEFINANCE(""BOM:"" &amp; B887,""price"")"),34.77)</f>
        <v>34.770000000000003</v>
      </c>
      <c r="G887" s="8">
        <f t="shared" ca="1" si="311"/>
        <v>-32.511645962732914</v>
      </c>
      <c r="H887" s="12">
        <f t="shared" si="312"/>
        <v>3717738687.0400004</v>
      </c>
      <c r="I887" s="13">
        <f t="shared" ca="1" si="313"/>
        <v>2509040647.2900004</v>
      </c>
      <c r="J887" s="63"/>
      <c r="K887" s="8">
        <v>543540</v>
      </c>
      <c r="L887" s="8" t="s">
        <v>3698</v>
      </c>
      <c r="M887" s="12">
        <v>1737500</v>
      </c>
      <c r="N887" s="10">
        <v>251</v>
      </c>
      <c r="O887" s="10">
        <f ca="1">IFERROR(__xludf.DUMMYFUNCTION("GOOGLEFINANCE(""BOM:"" &amp; K887,""price"")"),228)</f>
        <v>228</v>
      </c>
      <c r="P887" s="8">
        <f t="shared" ca="1" si="302"/>
        <v>-9.1633466135458175</v>
      </c>
      <c r="Q887" s="12">
        <f t="shared" si="303"/>
        <v>436112500</v>
      </c>
      <c r="R887" s="13">
        <f t="shared" ca="1" si="304"/>
        <v>396150000</v>
      </c>
      <c r="S887" s="63"/>
      <c r="T887" s="8">
        <v>526093</v>
      </c>
      <c r="U887" s="8" t="s">
        <v>3699</v>
      </c>
      <c r="V887" s="12">
        <v>49748723</v>
      </c>
      <c r="W887" s="8" t="s">
        <v>44</v>
      </c>
      <c r="X887" s="8" t="s">
        <v>44</v>
      </c>
      <c r="Y887" s="8"/>
      <c r="Z887" s="12"/>
      <c r="AA887" s="13"/>
      <c r="AB887" s="63"/>
      <c r="AC887" s="8">
        <v>540132</v>
      </c>
      <c r="AD887" s="8" t="s">
        <v>3700</v>
      </c>
      <c r="AE887" s="12">
        <v>8501500</v>
      </c>
      <c r="AF887" s="8">
        <v>5.64</v>
      </c>
      <c r="AG887" s="8">
        <f ca="1">IFERROR(__xludf.DUMMYFUNCTION("GOOGLEFINANCE(""BOM:"" &amp; AC887,""price"")"),6.21)</f>
        <v>6.21</v>
      </c>
      <c r="AH887" s="8">
        <f t="shared" ca="1" si="314"/>
        <v>10.10638297872341</v>
      </c>
      <c r="AI887" s="12">
        <f t="shared" si="308"/>
        <v>47948460</v>
      </c>
      <c r="AJ887" s="13">
        <f t="shared" ca="1" si="309"/>
        <v>52794315</v>
      </c>
    </row>
    <row r="888" spans="1:36" x14ac:dyDescent="0.25">
      <c r="A888" s="63"/>
      <c r="B888" s="8">
        <v>535693</v>
      </c>
      <c r="C888" s="8" t="s">
        <v>3701</v>
      </c>
      <c r="D888" s="12">
        <v>28505950</v>
      </c>
      <c r="E888" s="8">
        <v>74.900000000000006</v>
      </c>
      <c r="F888" s="8">
        <f ca="1">IFERROR(__xludf.DUMMYFUNCTION("GOOGLEFINANCE(""BOM:"" &amp; B888,""price"")"),72.7)</f>
        <v>72.7</v>
      </c>
      <c r="G888" s="8">
        <f t="shared" ca="1" si="311"/>
        <v>-2.9372496662216325</v>
      </c>
      <c r="H888" s="12">
        <f t="shared" si="312"/>
        <v>2135095655.0000002</v>
      </c>
      <c r="I888" s="13">
        <f t="shared" ca="1" si="313"/>
        <v>2072382565</v>
      </c>
      <c r="J888" s="63"/>
      <c r="K888" s="8">
        <v>519262</v>
      </c>
      <c r="L888" s="8" t="s">
        <v>3702</v>
      </c>
      <c r="M888" s="12">
        <v>2948700</v>
      </c>
      <c r="N888" s="10">
        <v>28.4</v>
      </c>
      <c r="O888" s="10">
        <f ca="1">IFERROR(__xludf.DUMMYFUNCTION("GOOGLEFINANCE(""BOM:"" &amp; K888,""price"")"),25.8)</f>
        <v>25.8</v>
      </c>
      <c r="P888" s="8">
        <f t="shared" ca="1" si="302"/>
        <v>-9.1549295774647828</v>
      </c>
      <c r="Q888" s="12">
        <f t="shared" si="303"/>
        <v>83743080</v>
      </c>
      <c r="R888" s="13">
        <f t="shared" ca="1" si="304"/>
        <v>76076460</v>
      </c>
      <c r="S888" s="64"/>
      <c r="T888" s="14">
        <v>513434</v>
      </c>
      <c r="U888" s="14" t="s">
        <v>3703</v>
      </c>
      <c r="V888" s="15">
        <v>30453917</v>
      </c>
      <c r="W888" s="14" t="s">
        <v>44</v>
      </c>
      <c r="X888" s="26" t="s">
        <v>44</v>
      </c>
      <c r="Y888" s="14"/>
      <c r="Z888" s="15"/>
      <c r="AA888" s="16"/>
      <c r="AB888" s="63"/>
      <c r="AC888" s="8">
        <v>539584</v>
      </c>
      <c r="AD888" s="8" t="s">
        <v>3704</v>
      </c>
      <c r="AE888" s="12">
        <v>49873000</v>
      </c>
      <c r="AF888" s="8">
        <v>0.85</v>
      </c>
      <c r="AG888" s="8">
        <f ca="1">IFERROR(__xludf.DUMMYFUNCTION("GOOGLEFINANCE(""BOM:"" &amp; AC888,""price"")"),0.74)</f>
        <v>0.74</v>
      </c>
      <c r="AH888" s="8">
        <f t="shared" ca="1" si="314"/>
        <v>-12.941176470588234</v>
      </c>
      <c r="AI888" s="12">
        <f t="shared" si="308"/>
        <v>42392050</v>
      </c>
      <c r="AJ888" s="13">
        <f t="shared" ca="1" si="309"/>
        <v>36906020</v>
      </c>
    </row>
    <row r="889" spans="1:36" x14ac:dyDescent="0.25">
      <c r="A889" s="63"/>
      <c r="B889" s="8">
        <v>540710</v>
      </c>
      <c r="C889" s="8" t="s">
        <v>3705</v>
      </c>
      <c r="D889" s="12">
        <v>67891492</v>
      </c>
      <c r="E889" s="8">
        <v>267.14999999999998</v>
      </c>
      <c r="F889" s="8">
        <f ca="1">IFERROR(__xludf.DUMMYFUNCTION("GOOGLEFINANCE(""BOM:"" &amp; B889,""price"")"),262.3)</f>
        <v>262.3</v>
      </c>
      <c r="G889" s="8">
        <f t="shared" ca="1" si="311"/>
        <v>-1.8154594796930439</v>
      </c>
      <c r="H889" s="12">
        <f t="shared" si="312"/>
        <v>18137212087.799999</v>
      </c>
      <c r="I889" s="13">
        <f t="shared" ca="1" si="313"/>
        <v>17807938351.600002</v>
      </c>
      <c r="J889" s="63"/>
      <c r="K889" s="8">
        <v>540404</v>
      </c>
      <c r="L889" s="8" t="s">
        <v>3706</v>
      </c>
      <c r="M889" s="12">
        <v>11693748</v>
      </c>
      <c r="N889" s="10">
        <v>290</v>
      </c>
      <c r="O889" s="10">
        <f ca="1">IFERROR(__xludf.DUMMYFUNCTION("GOOGLEFINANCE(""BOM:"" &amp; K889,""price"")"),247.5)</f>
        <v>247.5</v>
      </c>
      <c r="P889" s="8">
        <f t="shared" ca="1" si="302"/>
        <v>-14.655172413793101</v>
      </c>
      <c r="Q889" s="12">
        <f t="shared" si="303"/>
        <v>3391186920</v>
      </c>
      <c r="R889" s="13">
        <f t="shared" ca="1" si="304"/>
        <v>2894202630</v>
      </c>
      <c r="S889" s="62" t="s">
        <v>3707</v>
      </c>
      <c r="T889" s="6">
        <v>543512</v>
      </c>
      <c r="U889" s="6" t="s">
        <v>3708</v>
      </c>
      <c r="V889" s="7">
        <v>10087400</v>
      </c>
      <c r="W889" s="8">
        <v>143.4</v>
      </c>
      <c r="X889" s="11">
        <f ca="1">IFERROR(__xludf.DUMMYFUNCTION("GOOGLEFINANCE(""BOM:"" &amp; T889,""price"")"),107)</f>
        <v>107</v>
      </c>
      <c r="Y889" s="8">
        <f t="shared" ref="Y889:Y934" ca="1" si="315">((X889-W889)/W889)*100</f>
        <v>-25.383542538354259</v>
      </c>
      <c r="Z889" s="7">
        <f t="shared" ref="Z889:Z942" si="316">V889*W889</f>
        <v>1446533160</v>
      </c>
      <c r="AA889" s="9">
        <f t="shared" ref="AA889:AA942" ca="1" si="317">V889*X889</f>
        <v>1079351800</v>
      </c>
      <c r="AB889" s="63"/>
      <c r="AC889" s="8">
        <v>538667</v>
      </c>
      <c r="AD889" s="8" t="s">
        <v>3709</v>
      </c>
      <c r="AE889" s="12">
        <v>7628492</v>
      </c>
      <c r="AF889" s="8">
        <v>6.44</v>
      </c>
      <c r="AG889" s="8">
        <f ca="1">IFERROR(__xludf.DUMMYFUNCTION("GOOGLEFINANCE(""BOM:"" &amp; AC889,""price"")"),5.82)</f>
        <v>5.82</v>
      </c>
      <c r="AH889" s="8">
        <f t="shared" ca="1" si="314"/>
        <v>-9.6273291925465863</v>
      </c>
      <c r="AI889" s="12">
        <f t="shared" si="308"/>
        <v>49127488.480000004</v>
      </c>
      <c r="AJ889" s="13">
        <f t="shared" ca="1" si="309"/>
        <v>44397823.440000005</v>
      </c>
    </row>
    <row r="890" spans="1:36" x14ac:dyDescent="0.25">
      <c r="A890" s="63"/>
      <c r="B890" s="8">
        <v>532178</v>
      </c>
      <c r="C890" s="8" t="s">
        <v>3710</v>
      </c>
      <c r="D890" s="12">
        <v>561595380</v>
      </c>
      <c r="E890" s="8">
        <v>215.75</v>
      </c>
      <c r="F890" s="8">
        <f ca="1">IFERROR(__xludf.DUMMYFUNCTION("GOOGLEFINANCE(""BOM:"" &amp; B890,""price"")"),201.95)</f>
        <v>201.95</v>
      </c>
      <c r="G890" s="8">
        <f t="shared" ca="1" si="311"/>
        <v>-6.3962920046349998</v>
      </c>
      <c r="H890" s="12">
        <f t="shared" si="312"/>
        <v>121164203235</v>
      </c>
      <c r="I890" s="13">
        <f t="shared" ca="1" si="313"/>
        <v>113414186991</v>
      </c>
      <c r="J890" s="63"/>
      <c r="K890" s="8">
        <v>538921</v>
      </c>
      <c r="L890" s="8" t="s">
        <v>3711</v>
      </c>
      <c r="M890" s="12">
        <v>11777550</v>
      </c>
      <c r="N890" s="10">
        <v>380</v>
      </c>
      <c r="O890" s="10">
        <f ca="1">IFERROR(__xludf.DUMMYFUNCTION("GOOGLEFINANCE(""BOM:"" &amp; K890,""price"")"),201.5)</f>
        <v>201.5</v>
      </c>
      <c r="P890" s="8">
        <f t="shared" ca="1" si="302"/>
        <v>-46.973684210526315</v>
      </c>
      <c r="Q890" s="12">
        <f t="shared" si="303"/>
        <v>4475469000</v>
      </c>
      <c r="R890" s="13">
        <f t="shared" ca="1" si="304"/>
        <v>2373176325</v>
      </c>
      <c r="S890" s="63"/>
      <c r="T890" s="8">
        <v>523385</v>
      </c>
      <c r="U890" s="8" t="s">
        <v>3712</v>
      </c>
      <c r="V890" s="12">
        <v>14823742</v>
      </c>
      <c r="W890" s="8">
        <v>1947.2</v>
      </c>
      <c r="X890" s="11">
        <f ca="1">IFERROR(__xludf.DUMMYFUNCTION("GOOGLEFINANCE(""BOM:"" &amp; T890,""price"")"),1705)</f>
        <v>1705</v>
      </c>
      <c r="Y890" s="8">
        <f t="shared" ca="1" si="315"/>
        <v>-12.438373048479869</v>
      </c>
      <c r="Z890" s="12">
        <f t="shared" si="316"/>
        <v>28864790422.400002</v>
      </c>
      <c r="AA890" s="13">
        <f t="shared" ca="1" si="317"/>
        <v>25274480110</v>
      </c>
      <c r="AB890" s="63"/>
      <c r="AC890" s="8">
        <v>512589</v>
      </c>
      <c r="AD890" s="8" t="s">
        <v>3713</v>
      </c>
      <c r="AE890" s="12">
        <v>2713100</v>
      </c>
      <c r="AF890" s="8">
        <v>42</v>
      </c>
      <c r="AG890" s="8">
        <f ca="1">IFERROR(__xludf.DUMMYFUNCTION("GOOGLEFINANCE(""BOM:"" &amp; AC890,""price"")"),41.56)</f>
        <v>41.56</v>
      </c>
      <c r="AH890" s="8">
        <f t="shared" ca="1" si="314"/>
        <v>-1.0476190476190421</v>
      </c>
      <c r="AI890" s="12">
        <f t="shared" si="308"/>
        <v>113950200</v>
      </c>
      <c r="AJ890" s="13">
        <f t="shared" ca="1" si="309"/>
        <v>112756436</v>
      </c>
    </row>
    <row r="891" spans="1:36" x14ac:dyDescent="0.25">
      <c r="A891" s="63"/>
      <c r="B891" s="8">
        <v>543490</v>
      </c>
      <c r="C891" s="8" t="s">
        <v>3714</v>
      </c>
      <c r="D891" s="12">
        <v>603594528</v>
      </c>
      <c r="E891" s="8">
        <v>52.18</v>
      </c>
      <c r="F891" s="8">
        <f ca="1">IFERROR(__xludf.DUMMYFUNCTION("GOOGLEFINANCE(""BOM:"" &amp; B891,""price"")"),42.85)</f>
        <v>42.85</v>
      </c>
      <c r="G891" s="8">
        <f t="shared" ca="1" si="311"/>
        <v>-17.880413951705631</v>
      </c>
      <c r="H891" s="12">
        <f t="shared" si="312"/>
        <v>31495562471.040001</v>
      </c>
      <c r="I891" s="13">
        <f t="shared" ca="1" si="313"/>
        <v>25864025524.799999</v>
      </c>
      <c r="J891" s="63"/>
      <c r="K891" s="8">
        <v>536456</v>
      </c>
      <c r="L891" s="8" t="s">
        <v>3715</v>
      </c>
      <c r="M891" s="12">
        <v>8203700</v>
      </c>
      <c r="N891" s="10">
        <v>3.38</v>
      </c>
      <c r="O891" s="10">
        <f ca="1">IFERROR(__xludf.DUMMYFUNCTION("GOOGLEFINANCE(""BOM:"" &amp; K891,""price"")"),3.41)</f>
        <v>3.41</v>
      </c>
      <c r="P891" s="8">
        <f t="shared" ca="1" si="302"/>
        <v>0.88757396449704873</v>
      </c>
      <c r="Q891" s="12">
        <f t="shared" si="303"/>
        <v>27728506</v>
      </c>
      <c r="R891" s="13">
        <f t="shared" ca="1" si="304"/>
        <v>27974617</v>
      </c>
      <c r="S891" s="63"/>
      <c r="T891" s="8">
        <v>523260</v>
      </c>
      <c r="U891" s="8" t="s">
        <v>3716</v>
      </c>
      <c r="V891" s="12">
        <v>16082732</v>
      </c>
      <c r="W891" s="8">
        <v>38.67</v>
      </c>
      <c r="X891" s="11">
        <f ca="1">IFERROR(__xludf.DUMMYFUNCTION("GOOGLEFINANCE(""BOM:"" &amp; T891,""price"")"),33.91)</f>
        <v>33.909999999999997</v>
      </c>
      <c r="Y891" s="8">
        <f t="shared" ca="1" si="315"/>
        <v>-12.309283682441182</v>
      </c>
      <c r="Z891" s="12">
        <f t="shared" si="316"/>
        <v>621919246.44000006</v>
      </c>
      <c r="AA891" s="13">
        <f t="shared" ca="1" si="317"/>
        <v>545365442.11999989</v>
      </c>
      <c r="AB891" s="63"/>
      <c r="AC891" s="8">
        <v>538575</v>
      </c>
      <c r="AD891" s="8" t="s">
        <v>3717</v>
      </c>
      <c r="AE891" s="12">
        <v>30768390</v>
      </c>
      <c r="AF891" s="8" t="s">
        <v>44</v>
      </c>
      <c r="AG891" s="8" t="s">
        <v>44</v>
      </c>
      <c r="AH891" s="8"/>
      <c r="AI891" s="12"/>
      <c r="AJ891" s="13"/>
    </row>
    <row r="892" spans="1:36" x14ac:dyDescent="0.25">
      <c r="A892" s="63"/>
      <c r="B892" s="8">
        <v>500185</v>
      </c>
      <c r="C892" s="8" t="s">
        <v>3718</v>
      </c>
      <c r="D892" s="12">
        <v>1508797174</v>
      </c>
      <c r="E892" s="8">
        <v>41.77</v>
      </c>
      <c r="F892" s="8">
        <f ca="1">IFERROR(__xludf.DUMMYFUNCTION("GOOGLEFINANCE(""BOM:"" &amp; B892,""price"")"),31.56)</f>
        <v>31.56</v>
      </c>
      <c r="G892" s="8">
        <f t="shared" ca="1" si="311"/>
        <v>-24.443380416566924</v>
      </c>
      <c r="H892" s="12">
        <f t="shared" si="312"/>
        <v>63022457957.980003</v>
      </c>
      <c r="I892" s="13">
        <f t="shared" ca="1" si="313"/>
        <v>47617638811.439995</v>
      </c>
      <c r="J892" s="63"/>
      <c r="K892" s="8">
        <v>540728</v>
      </c>
      <c r="L892" s="8" t="s">
        <v>3719</v>
      </c>
      <c r="M892" s="12">
        <v>5887220</v>
      </c>
      <c r="N892" s="10">
        <v>190</v>
      </c>
      <c r="O892" s="10">
        <f ca="1">IFERROR(__xludf.DUMMYFUNCTION("GOOGLEFINANCE(""BOM:"" &amp; K892,""price"")"),171.05)</f>
        <v>171.05</v>
      </c>
      <c r="P892" s="8">
        <f t="shared" ca="1" si="302"/>
        <v>-9.9736842105263097</v>
      </c>
      <c r="Q892" s="12">
        <f t="shared" si="303"/>
        <v>1118571800</v>
      </c>
      <c r="R892" s="13">
        <f t="shared" ca="1" si="304"/>
        <v>1007008981.0000001</v>
      </c>
      <c r="S892" s="63"/>
      <c r="T892" s="8">
        <v>500327</v>
      </c>
      <c r="U892" s="8" t="s">
        <v>3720</v>
      </c>
      <c r="V892" s="12">
        <v>233724500</v>
      </c>
      <c r="W892" s="8">
        <v>14.55</v>
      </c>
      <c r="X892" s="11">
        <f ca="1">IFERROR(__xludf.DUMMYFUNCTION("GOOGLEFINANCE(""BOM:"" &amp; T892,""price"")"),11.74)</f>
        <v>11.74</v>
      </c>
      <c r="Y892" s="8">
        <f t="shared" ca="1" si="315"/>
        <v>-19.312714776632305</v>
      </c>
      <c r="Z892" s="12">
        <f t="shared" si="316"/>
        <v>3400691475</v>
      </c>
      <c r="AA892" s="13">
        <f t="shared" ca="1" si="317"/>
        <v>2743925630</v>
      </c>
      <c r="AB892" s="63"/>
      <c r="AC892" s="8">
        <v>530177</v>
      </c>
      <c r="AD892" s="8" t="s">
        <v>3721</v>
      </c>
      <c r="AE892" s="12">
        <v>3542690</v>
      </c>
      <c r="AF892" s="8">
        <v>33.25</v>
      </c>
      <c r="AG892" s="8">
        <f ca="1">IFERROR(__xludf.DUMMYFUNCTION("GOOGLEFINANCE(""BOM:"" &amp; AC892,""price"")"),33.99)</f>
        <v>33.99</v>
      </c>
      <c r="AH892" s="8">
        <f t="shared" ref="AH892:AH906" ca="1" si="318">((AG892-AF892)/AF892)*100</f>
        <v>2.2255639097744422</v>
      </c>
      <c r="AI892" s="12">
        <f t="shared" ref="AI892:AI906" si="319">AE892*AF892</f>
        <v>117794442.5</v>
      </c>
      <c r="AJ892" s="13">
        <f t="shared" ref="AJ892:AJ906" ca="1" si="320">AE892*AG892</f>
        <v>120416033.10000001</v>
      </c>
    </row>
    <row r="893" spans="1:36" x14ac:dyDescent="0.25">
      <c r="A893" s="63"/>
      <c r="B893" s="8">
        <v>541019</v>
      </c>
      <c r="C893" s="8" t="s">
        <v>3722</v>
      </c>
      <c r="D893" s="12">
        <v>65171111</v>
      </c>
      <c r="E893" s="8">
        <v>899.35</v>
      </c>
      <c r="F893" s="8">
        <f ca="1">IFERROR(__xludf.DUMMYFUNCTION("GOOGLEFINANCE(""BOM:"" &amp; B893,""price"")"),918)</f>
        <v>918</v>
      </c>
      <c r="G893" s="8">
        <f t="shared" ca="1" si="311"/>
        <v>2.073719908823036</v>
      </c>
      <c r="H893" s="12">
        <f t="shared" si="312"/>
        <v>58611638677.849998</v>
      </c>
      <c r="I893" s="13">
        <f t="shared" ca="1" si="313"/>
        <v>59827079898</v>
      </c>
      <c r="J893" s="63"/>
      <c r="K893" s="8">
        <v>519238</v>
      </c>
      <c r="L893" s="8" t="s">
        <v>3723</v>
      </c>
      <c r="M893" s="12">
        <v>29097182</v>
      </c>
      <c r="N893" s="10">
        <v>23.6</v>
      </c>
      <c r="O893" s="10">
        <f ca="1">IFERROR(__xludf.DUMMYFUNCTION("GOOGLEFINANCE(""BOM:"" &amp; K893,""price"")"),25.17)</f>
        <v>25.17</v>
      </c>
      <c r="P893" s="8">
        <f t="shared" ca="1" si="302"/>
        <v>6.6525423728813564</v>
      </c>
      <c r="Q893" s="12">
        <f t="shared" si="303"/>
        <v>686693495.20000005</v>
      </c>
      <c r="R893" s="13">
        <f t="shared" ca="1" si="304"/>
        <v>732376070.94000006</v>
      </c>
      <c r="S893" s="63"/>
      <c r="T893" s="8">
        <v>530589</v>
      </c>
      <c r="U893" s="8" t="s">
        <v>3724</v>
      </c>
      <c r="V893" s="12">
        <v>10784870</v>
      </c>
      <c r="W893" s="8">
        <v>203</v>
      </c>
      <c r="X893" s="11">
        <f ca="1">IFERROR(__xludf.DUMMYFUNCTION("GOOGLEFINANCE(""BOM:"" &amp; T893,""price"")"),174)</f>
        <v>174</v>
      </c>
      <c r="Y893" s="8">
        <f t="shared" ca="1" si="315"/>
        <v>-14.285714285714285</v>
      </c>
      <c r="Z893" s="12">
        <f t="shared" si="316"/>
        <v>2189328610</v>
      </c>
      <c r="AA893" s="13">
        <f t="shared" ca="1" si="317"/>
        <v>1876567380</v>
      </c>
      <c r="AB893" s="63"/>
      <c r="AC893" s="8">
        <v>540914</v>
      </c>
      <c r="AD893" s="8" t="s">
        <v>3725</v>
      </c>
      <c r="AE893" s="12">
        <v>11313300</v>
      </c>
      <c r="AF893" s="8">
        <v>10.37</v>
      </c>
      <c r="AG893" s="8">
        <f ca="1">IFERROR(__xludf.DUMMYFUNCTION("GOOGLEFINANCE(""BOM:"" &amp; AC893,""price"")"),8.94)</f>
        <v>8.94</v>
      </c>
      <c r="AH893" s="8">
        <f t="shared" ca="1" si="318"/>
        <v>-13.789778206364511</v>
      </c>
      <c r="AI893" s="12">
        <f t="shared" si="319"/>
        <v>117318920.99999999</v>
      </c>
      <c r="AJ893" s="13">
        <f t="shared" ca="1" si="320"/>
        <v>101140902</v>
      </c>
    </row>
    <row r="894" spans="1:36" x14ac:dyDescent="0.25">
      <c r="A894" s="63"/>
      <c r="B894" s="8">
        <v>532907</v>
      </c>
      <c r="C894" s="8" t="s">
        <v>3726</v>
      </c>
      <c r="D894" s="12">
        <v>131121078</v>
      </c>
      <c r="E894" s="8">
        <v>45.14</v>
      </c>
      <c r="F894" s="8">
        <f ca="1">IFERROR(__xludf.DUMMYFUNCTION("GOOGLEFINANCE(""BOM:"" &amp; B894,""price"")"),32.77)</f>
        <v>32.770000000000003</v>
      </c>
      <c r="G894" s="8">
        <f t="shared" ca="1" si="311"/>
        <v>-27.403633141338052</v>
      </c>
      <c r="H894" s="12">
        <f t="shared" si="312"/>
        <v>5918805460.9200001</v>
      </c>
      <c r="I894" s="13">
        <f t="shared" ca="1" si="313"/>
        <v>4296837726.0600004</v>
      </c>
      <c r="J894" s="63"/>
      <c r="K894" s="8">
        <v>524542</v>
      </c>
      <c r="L894" s="8" t="s">
        <v>3727</v>
      </c>
      <c r="M894" s="12">
        <v>15209471</v>
      </c>
      <c r="N894" s="10">
        <v>476.15</v>
      </c>
      <c r="O894" s="10">
        <f ca="1">IFERROR(__xludf.DUMMYFUNCTION("GOOGLEFINANCE(""BOM:"" &amp; K894,""price"")"),459.9)</f>
        <v>459.9</v>
      </c>
      <c r="P894" s="8">
        <f t="shared" ca="1" si="302"/>
        <v>-3.4127900871574086</v>
      </c>
      <c r="Q894" s="12">
        <f t="shared" si="303"/>
        <v>7241989616.6499996</v>
      </c>
      <c r="R894" s="13">
        <f t="shared" ca="1" si="304"/>
        <v>6994835712.8999996</v>
      </c>
      <c r="S894" s="63"/>
      <c r="T894" s="8">
        <v>523025</v>
      </c>
      <c r="U894" s="8" t="s">
        <v>3728</v>
      </c>
      <c r="V894" s="12">
        <v>47267204</v>
      </c>
      <c r="W894" s="8">
        <v>1988.1</v>
      </c>
      <c r="X894" s="11">
        <f ca="1">IFERROR(__xludf.DUMMYFUNCTION("GOOGLEFINANCE(""BOM:"" &amp; T894,""price"")"),1730)</f>
        <v>1730</v>
      </c>
      <c r="Y894" s="8">
        <f t="shared" ca="1" si="315"/>
        <v>-12.982244353905736</v>
      </c>
      <c r="Z894" s="12">
        <f t="shared" si="316"/>
        <v>93971928272.399994</v>
      </c>
      <c r="AA894" s="13">
        <f t="shared" ca="1" si="317"/>
        <v>81772262920</v>
      </c>
      <c r="AB894" s="63"/>
      <c r="AC894" s="8">
        <v>543461</v>
      </c>
      <c r="AD894" s="8" t="s">
        <v>3729</v>
      </c>
      <c r="AE894" s="12">
        <v>15077550</v>
      </c>
      <c r="AF894" s="8">
        <v>13.4</v>
      </c>
      <c r="AG894" s="8">
        <f ca="1">IFERROR(__xludf.DUMMYFUNCTION("GOOGLEFINANCE(""BOM:"" &amp; AC894,""price"")"),12)</f>
        <v>12</v>
      </c>
      <c r="AH894" s="8">
        <f t="shared" ca="1" si="318"/>
        <v>-10.447761194029853</v>
      </c>
      <c r="AI894" s="12">
        <f t="shared" si="319"/>
        <v>202039170</v>
      </c>
      <c r="AJ894" s="13">
        <f t="shared" ca="1" si="320"/>
        <v>180930600</v>
      </c>
    </row>
    <row r="895" spans="1:36" x14ac:dyDescent="0.25">
      <c r="A895" s="63"/>
      <c r="B895" s="8">
        <v>500214</v>
      </c>
      <c r="C895" s="8" t="s">
        <v>3730</v>
      </c>
      <c r="D895" s="12">
        <v>144003240</v>
      </c>
      <c r="E895" s="8">
        <v>482.45</v>
      </c>
      <c r="F895" s="8">
        <f ca="1">IFERROR(__xludf.DUMMYFUNCTION("GOOGLEFINANCE(""BOM:"" &amp; B895,""price"")"),506)</f>
        <v>506</v>
      </c>
      <c r="G895" s="8">
        <f t="shared" ca="1" si="311"/>
        <v>4.8813348533526817</v>
      </c>
      <c r="H895" s="12">
        <f t="shared" si="312"/>
        <v>69474363138</v>
      </c>
      <c r="I895" s="13">
        <f t="shared" ca="1" si="313"/>
        <v>72865639440</v>
      </c>
      <c r="J895" s="63"/>
      <c r="K895" s="8">
        <v>530953</v>
      </c>
      <c r="L895" s="8" t="s">
        <v>3731</v>
      </c>
      <c r="M895" s="12">
        <v>2911040</v>
      </c>
      <c r="N895" s="10">
        <v>160</v>
      </c>
      <c r="O895" s="10">
        <f ca="1">IFERROR(__xludf.DUMMYFUNCTION("GOOGLEFINANCE(""BOM:"" &amp; K895,""price"")"),146)</f>
        <v>146</v>
      </c>
      <c r="P895" s="8">
        <f t="shared" ca="1" si="302"/>
        <v>-8.75</v>
      </c>
      <c r="Q895" s="12">
        <f t="shared" si="303"/>
        <v>465766400</v>
      </c>
      <c r="R895" s="13">
        <f t="shared" ca="1" si="304"/>
        <v>425011840</v>
      </c>
      <c r="S895" s="63"/>
      <c r="T895" s="8">
        <v>500418</v>
      </c>
      <c r="U895" s="8" t="s">
        <v>3732</v>
      </c>
      <c r="V895" s="12">
        <v>8743650</v>
      </c>
      <c r="W895" s="8">
        <v>110.8</v>
      </c>
      <c r="X895" s="11">
        <f ca="1">IFERROR(__xludf.DUMMYFUNCTION("GOOGLEFINANCE(""BOM:"" &amp; T895,""price"")"),96.6)</f>
        <v>96.6</v>
      </c>
      <c r="Y895" s="8">
        <f t="shared" ca="1" si="315"/>
        <v>-12.815884476534297</v>
      </c>
      <c r="Z895" s="12">
        <f t="shared" si="316"/>
        <v>968796420</v>
      </c>
      <c r="AA895" s="13">
        <f t="shared" ca="1" si="317"/>
        <v>844636590</v>
      </c>
      <c r="AB895" s="63"/>
      <c r="AC895" s="8">
        <v>517548</v>
      </c>
      <c r="AD895" s="8" t="s">
        <v>3733</v>
      </c>
      <c r="AE895" s="12">
        <v>15613436</v>
      </c>
      <c r="AF895" s="8">
        <v>2.63</v>
      </c>
      <c r="AG895" s="8">
        <f ca="1">IFERROR(__xludf.DUMMYFUNCTION("GOOGLEFINANCE(""BOM:"" &amp; AC895,""price"")"),2.8)</f>
        <v>2.8</v>
      </c>
      <c r="AH895" s="8">
        <f t="shared" ca="1" si="318"/>
        <v>6.4638783269961948</v>
      </c>
      <c r="AI895" s="12">
        <f t="shared" si="319"/>
        <v>41063336.68</v>
      </c>
      <c r="AJ895" s="13">
        <f t="shared" ca="1" si="320"/>
        <v>43717620.799999997</v>
      </c>
    </row>
    <row r="896" spans="1:36" x14ac:dyDescent="0.25">
      <c r="A896" s="63"/>
      <c r="B896" s="8">
        <v>541956</v>
      </c>
      <c r="C896" s="8" t="s">
        <v>3734</v>
      </c>
      <c r="D896" s="12">
        <v>940510133</v>
      </c>
      <c r="E896" s="8">
        <v>227.6</v>
      </c>
      <c r="F896" s="8">
        <f ca="1">IFERROR(__xludf.DUMMYFUNCTION("GOOGLEFINANCE(""BOM:"" &amp; B896,""price"")"),218.9)</f>
        <v>218.9</v>
      </c>
      <c r="G896" s="8">
        <f t="shared" ca="1" si="311"/>
        <v>-3.8224956063268847</v>
      </c>
      <c r="H896" s="12">
        <f t="shared" si="312"/>
        <v>214060106270.79999</v>
      </c>
      <c r="I896" s="13">
        <f t="shared" ca="1" si="313"/>
        <v>205877668113.70001</v>
      </c>
      <c r="J896" s="63"/>
      <c r="K896" s="8">
        <v>519285</v>
      </c>
      <c r="L896" s="8" t="s">
        <v>3735</v>
      </c>
      <c r="M896" s="12">
        <v>12831369</v>
      </c>
      <c r="N896" s="10">
        <v>12.6</v>
      </c>
      <c r="O896" s="10">
        <f ca="1">IFERROR(__xludf.DUMMYFUNCTION("GOOGLEFINANCE(""BOM:"" &amp; K896,""price"")"),10.68)</f>
        <v>10.68</v>
      </c>
      <c r="P896" s="8">
        <f t="shared" ca="1" si="302"/>
        <v>-15.238095238095237</v>
      </c>
      <c r="Q896" s="12">
        <f t="shared" si="303"/>
        <v>161675249.40000001</v>
      </c>
      <c r="R896" s="13">
        <f t="shared" ca="1" si="304"/>
        <v>137039020.91999999</v>
      </c>
      <c r="S896" s="63"/>
      <c r="T896" s="8">
        <v>507880</v>
      </c>
      <c r="U896" s="8" t="s">
        <v>3736</v>
      </c>
      <c r="V896" s="12">
        <v>139490289</v>
      </c>
      <c r="W896" s="8">
        <v>557.75</v>
      </c>
      <c r="X896" s="11">
        <f ca="1">IFERROR(__xludf.DUMMYFUNCTION("GOOGLEFINANCE(""BOM:"" &amp; T896,""price"")"),525.85)</f>
        <v>525.85</v>
      </c>
      <c r="Y896" s="8">
        <f t="shared" ca="1" si="315"/>
        <v>-5.7194083370685753</v>
      </c>
      <c r="Z896" s="12">
        <f t="shared" si="316"/>
        <v>77800708689.75</v>
      </c>
      <c r="AA896" s="13">
        <f t="shared" ca="1" si="317"/>
        <v>73350968470.650009</v>
      </c>
      <c r="AB896" s="63"/>
      <c r="AC896" s="8">
        <v>512531</v>
      </c>
      <c r="AD896" s="8" t="s">
        <v>3737</v>
      </c>
      <c r="AE896" s="12">
        <v>59992226</v>
      </c>
      <c r="AF896" s="8">
        <v>156.15</v>
      </c>
      <c r="AG896" s="8">
        <f ca="1">IFERROR(__xludf.DUMMYFUNCTION("GOOGLEFINANCE(""BOM:"" &amp; AC896,""price"")"),124.1)</f>
        <v>124.1</v>
      </c>
      <c r="AH896" s="8">
        <f t="shared" ca="1" si="318"/>
        <v>-20.525136087095746</v>
      </c>
      <c r="AI896" s="12">
        <f t="shared" si="319"/>
        <v>9367786089.8999996</v>
      </c>
      <c r="AJ896" s="13">
        <f t="shared" ca="1" si="320"/>
        <v>7445035246.5999994</v>
      </c>
    </row>
    <row r="897" spans="1:36" x14ac:dyDescent="0.25">
      <c r="A897" s="63"/>
      <c r="B897" s="8">
        <v>533033</v>
      </c>
      <c r="C897" s="8" t="s">
        <v>3738</v>
      </c>
      <c r="D897" s="12">
        <v>72436160</v>
      </c>
      <c r="E897" s="8">
        <v>879</v>
      </c>
      <c r="F897" s="8">
        <f ca="1">IFERROR(__xludf.DUMMYFUNCTION("GOOGLEFINANCE(""BOM:"" &amp; B897,""price"")"),882)</f>
        <v>882</v>
      </c>
      <c r="G897" s="8">
        <f t="shared" ca="1" si="311"/>
        <v>0.34129692832764508</v>
      </c>
      <c r="H897" s="12">
        <f t="shared" si="312"/>
        <v>63671384640</v>
      </c>
      <c r="I897" s="13">
        <f t="shared" ca="1" si="313"/>
        <v>63888693120</v>
      </c>
      <c r="J897" s="63"/>
      <c r="K897" s="8">
        <v>543531</v>
      </c>
      <c r="L897" s="8" t="s">
        <v>3739</v>
      </c>
      <c r="M897" s="12">
        <v>25155165</v>
      </c>
      <c r="N897" s="10">
        <v>67.75</v>
      </c>
      <c r="O897" s="10">
        <f ca="1">IFERROR(__xludf.DUMMYFUNCTION("GOOGLEFINANCE(""BOM:"" &amp; K897,""price"")"),66)</f>
        <v>66</v>
      </c>
      <c r="P897" s="8">
        <f t="shared" ca="1" si="302"/>
        <v>-2.5830258302583027</v>
      </c>
      <c r="Q897" s="12">
        <f t="shared" si="303"/>
        <v>1704262428.75</v>
      </c>
      <c r="R897" s="13">
        <f t="shared" ca="1" si="304"/>
        <v>1660240890</v>
      </c>
      <c r="S897" s="64"/>
      <c r="T897" s="14">
        <v>526586</v>
      </c>
      <c r="U897" s="14" t="s">
        <v>3740</v>
      </c>
      <c r="V897" s="15">
        <v>11871708</v>
      </c>
      <c r="W897" s="14">
        <v>582.1</v>
      </c>
      <c r="X897" s="26">
        <f ca="1">IFERROR(__xludf.DUMMYFUNCTION("GOOGLEFINANCE(""BOM:"" &amp; T897,""price"")"),501)</f>
        <v>501</v>
      </c>
      <c r="Y897" s="14">
        <f t="shared" ca="1" si="315"/>
        <v>-13.932314035389112</v>
      </c>
      <c r="Z897" s="15">
        <f t="shared" si="316"/>
        <v>6910521226.8000002</v>
      </c>
      <c r="AA897" s="16">
        <f t="shared" ca="1" si="317"/>
        <v>5947725708</v>
      </c>
      <c r="AB897" s="63"/>
      <c r="AC897" s="8">
        <v>530495</v>
      </c>
      <c r="AD897" s="8" t="s">
        <v>3741</v>
      </c>
      <c r="AE897" s="12">
        <v>3071864</v>
      </c>
      <c r="AF897" s="8">
        <v>75.22</v>
      </c>
      <c r="AG897" s="8">
        <f ca="1">IFERROR(__xludf.DUMMYFUNCTION("GOOGLEFINANCE(""BOM:"" &amp; AC897,""price"")"),52.46)</f>
        <v>52.46</v>
      </c>
      <c r="AH897" s="8">
        <f t="shared" ca="1" si="318"/>
        <v>-30.2579101302845</v>
      </c>
      <c r="AI897" s="12">
        <f t="shared" si="319"/>
        <v>231065610.07999998</v>
      </c>
      <c r="AJ897" s="13">
        <f t="shared" ca="1" si="320"/>
        <v>161149985.44</v>
      </c>
    </row>
    <row r="898" spans="1:36" x14ac:dyDescent="0.25">
      <c r="A898" s="63"/>
      <c r="B898" s="8">
        <v>543544</v>
      </c>
      <c r="C898" s="8" t="s">
        <v>3742</v>
      </c>
      <c r="D898" s="12">
        <v>9706686</v>
      </c>
      <c r="E898" s="8">
        <v>287</v>
      </c>
      <c r="F898" s="8">
        <f ca="1">IFERROR(__xludf.DUMMYFUNCTION("GOOGLEFINANCE(""BOM:"" &amp; B898,""price"")"),223)</f>
        <v>223</v>
      </c>
      <c r="G898" s="8">
        <f t="shared" ca="1" si="311"/>
        <v>-22.299651567944252</v>
      </c>
      <c r="H898" s="12">
        <f t="shared" si="312"/>
        <v>2785818882</v>
      </c>
      <c r="I898" s="13">
        <f t="shared" ca="1" si="313"/>
        <v>2164590978</v>
      </c>
      <c r="J898" s="63"/>
      <c r="K898" s="8">
        <v>543310</v>
      </c>
      <c r="L898" s="8" t="s">
        <v>3743</v>
      </c>
      <c r="M898" s="12">
        <v>1657000</v>
      </c>
      <c r="N898" s="10">
        <v>82</v>
      </c>
      <c r="O898" s="10">
        <f ca="1">IFERROR(__xludf.DUMMYFUNCTION("GOOGLEFINANCE(""BOM:"" &amp; K898,""price"")"),80)</f>
        <v>80</v>
      </c>
      <c r="P898" s="8">
        <f t="shared" ca="1" si="302"/>
        <v>-2.4390243902439024</v>
      </c>
      <c r="Q898" s="12">
        <f t="shared" si="303"/>
        <v>135874000</v>
      </c>
      <c r="R898" s="13">
        <f t="shared" ca="1" si="304"/>
        <v>132560000</v>
      </c>
      <c r="S898" s="62" t="s">
        <v>3744</v>
      </c>
      <c r="T898" s="6">
        <v>530973</v>
      </c>
      <c r="U898" s="6" t="s">
        <v>3745</v>
      </c>
      <c r="V898" s="7">
        <v>3388125</v>
      </c>
      <c r="W898" s="8">
        <v>62.99</v>
      </c>
      <c r="X898" s="11">
        <f ca="1">IFERROR(__xludf.DUMMYFUNCTION("GOOGLEFINANCE(""BOM:"" &amp; T898,""price"")"),55.13)</f>
        <v>55.13</v>
      </c>
      <c r="Y898" s="8">
        <f t="shared" ca="1" si="315"/>
        <v>-12.478171138275917</v>
      </c>
      <c r="Z898" s="7">
        <f t="shared" si="316"/>
        <v>213417993.75</v>
      </c>
      <c r="AA898" s="9">
        <f t="shared" ca="1" si="317"/>
        <v>186787331.25</v>
      </c>
      <c r="AB898" s="63"/>
      <c r="AC898" s="8">
        <v>530445</v>
      </c>
      <c r="AD898" s="8" t="s">
        <v>3746</v>
      </c>
      <c r="AE898" s="12">
        <v>56243499</v>
      </c>
      <c r="AF898" s="8">
        <v>2.42</v>
      </c>
      <c r="AG898" s="8">
        <f ca="1">IFERROR(__xludf.DUMMYFUNCTION("GOOGLEFINANCE(""BOM:"" &amp; AC898,""price"")"),1.84)</f>
        <v>1.84</v>
      </c>
      <c r="AH898" s="8">
        <f t="shared" ca="1" si="318"/>
        <v>-23.966942148760324</v>
      </c>
      <c r="AI898" s="12">
        <f t="shared" si="319"/>
        <v>136109267.57999998</v>
      </c>
      <c r="AJ898" s="13">
        <f t="shared" ca="1" si="320"/>
        <v>103488038.16000001</v>
      </c>
    </row>
    <row r="899" spans="1:36" x14ac:dyDescent="0.25">
      <c r="A899" s="63"/>
      <c r="B899" s="8">
        <v>522287</v>
      </c>
      <c r="C899" s="8" t="s">
        <v>3747</v>
      </c>
      <c r="D899" s="12">
        <v>148511223</v>
      </c>
      <c r="E899" s="8">
        <v>969</v>
      </c>
      <c r="F899" s="8">
        <f ca="1">IFERROR(__xludf.DUMMYFUNCTION("GOOGLEFINANCE(""BOM:"" &amp; B899,""price"")"),1075.45)</f>
        <v>1075.45</v>
      </c>
      <c r="G899" s="8">
        <f t="shared" ca="1" si="311"/>
        <v>10.985552115583081</v>
      </c>
      <c r="H899" s="12">
        <f t="shared" si="312"/>
        <v>143907375087</v>
      </c>
      <c r="I899" s="13">
        <f t="shared" ca="1" si="313"/>
        <v>159716394775.35001</v>
      </c>
      <c r="J899" s="63"/>
      <c r="K899" s="8">
        <v>530997</v>
      </c>
      <c r="L899" s="8" t="s">
        <v>3748</v>
      </c>
      <c r="M899" s="12">
        <v>5291600</v>
      </c>
      <c r="N899" s="10">
        <v>123</v>
      </c>
      <c r="O899" s="10">
        <f ca="1">IFERROR(__xludf.DUMMYFUNCTION("GOOGLEFINANCE(""BOM:"" &amp; K899,""price"")"),123.35)</f>
        <v>123.35</v>
      </c>
      <c r="P899" s="8">
        <f t="shared" ca="1" si="302"/>
        <v>0.28455284552845067</v>
      </c>
      <c r="Q899" s="12">
        <f t="shared" si="303"/>
        <v>650866800</v>
      </c>
      <c r="R899" s="13">
        <f t="shared" ca="1" si="304"/>
        <v>652718860</v>
      </c>
      <c r="S899" s="63"/>
      <c r="T899" s="8">
        <v>531681</v>
      </c>
      <c r="U899" s="8" t="s">
        <v>3749</v>
      </c>
      <c r="V899" s="12">
        <v>66035000</v>
      </c>
      <c r="W899" s="8">
        <v>0.7</v>
      </c>
      <c r="X899" s="11">
        <f ca="1">IFERROR(__xludf.DUMMYFUNCTION("GOOGLEFINANCE(""BOM:"" &amp; T899,""price"")"),0.66)</f>
        <v>0.66</v>
      </c>
      <c r="Y899" s="8">
        <f t="shared" ca="1" si="315"/>
        <v>-5.7142857142857038</v>
      </c>
      <c r="Z899" s="12">
        <f t="shared" si="316"/>
        <v>46224500</v>
      </c>
      <c r="AA899" s="13">
        <f t="shared" ca="1" si="317"/>
        <v>43583100</v>
      </c>
      <c r="AB899" s="63"/>
      <c r="AC899" s="8">
        <v>521232</v>
      </c>
      <c r="AD899" s="8" t="s">
        <v>3750</v>
      </c>
      <c r="AE899" s="12">
        <v>2817600</v>
      </c>
      <c r="AF899" s="8">
        <v>50</v>
      </c>
      <c r="AG899" s="8">
        <f ca="1">IFERROR(__xludf.DUMMYFUNCTION("GOOGLEFINANCE(""BOM:"" &amp; AC899,""price"")"),49.61)</f>
        <v>49.61</v>
      </c>
      <c r="AH899" s="8">
        <f t="shared" ca="1" si="318"/>
        <v>-0.78000000000000114</v>
      </c>
      <c r="AI899" s="12">
        <f t="shared" si="319"/>
        <v>140880000</v>
      </c>
      <c r="AJ899" s="13">
        <f t="shared" ca="1" si="320"/>
        <v>139781136</v>
      </c>
    </row>
    <row r="900" spans="1:36" x14ac:dyDescent="0.25">
      <c r="A900" s="63"/>
      <c r="B900" s="8">
        <v>533482</v>
      </c>
      <c r="C900" s="8" t="s">
        <v>3751</v>
      </c>
      <c r="D900" s="12">
        <v>94714180</v>
      </c>
      <c r="E900" s="8">
        <v>6.49</v>
      </c>
      <c r="F900" s="8">
        <f ca="1">IFERROR(__xludf.DUMMYFUNCTION("GOOGLEFINANCE(""BOM:"" &amp; B900,""price"")"),4.68)</f>
        <v>4.68</v>
      </c>
      <c r="G900" s="8">
        <f t="shared" ca="1" si="311"/>
        <v>-27.889060092449931</v>
      </c>
      <c r="H900" s="12">
        <f t="shared" si="312"/>
        <v>614695028.20000005</v>
      </c>
      <c r="I900" s="13">
        <f t="shared" ca="1" si="313"/>
        <v>443262362.39999998</v>
      </c>
      <c r="J900" s="63"/>
      <c r="K900" s="8">
        <v>524408</v>
      </c>
      <c r="L900" s="8" t="s">
        <v>3752</v>
      </c>
      <c r="M900" s="12">
        <v>3541485</v>
      </c>
      <c r="N900" s="10">
        <v>156.85</v>
      </c>
      <c r="O900" s="10">
        <f ca="1">IFERROR(__xludf.DUMMYFUNCTION("GOOGLEFINANCE(""BOM:"" &amp; K900,""price"")"),185)</f>
        <v>185</v>
      </c>
      <c r="P900" s="8">
        <f t="shared" ca="1" si="302"/>
        <v>17.947083200510043</v>
      </c>
      <c r="Q900" s="12">
        <f t="shared" si="303"/>
        <v>555481922.25</v>
      </c>
      <c r="R900" s="13">
        <f t="shared" ca="1" si="304"/>
        <v>655174725</v>
      </c>
      <c r="S900" s="63"/>
      <c r="T900" s="8">
        <v>531761</v>
      </c>
      <c r="U900" s="8" t="s">
        <v>3753</v>
      </c>
      <c r="V900" s="12">
        <v>39308756</v>
      </c>
      <c r="W900" s="8">
        <v>694</v>
      </c>
      <c r="X900" s="11">
        <f ca="1">IFERROR(__xludf.DUMMYFUNCTION("GOOGLEFINANCE(""BOM:"" &amp; T900,""price"")"),636.05)</f>
        <v>636.04999999999995</v>
      </c>
      <c r="Y900" s="8">
        <f t="shared" ca="1" si="315"/>
        <v>-8.3501440922190273</v>
      </c>
      <c r="Z900" s="12">
        <f t="shared" si="316"/>
        <v>27280276664</v>
      </c>
      <c r="AA900" s="13">
        <f t="shared" ca="1" si="317"/>
        <v>25002334253.799999</v>
      </c>
      <c r="AB900" s="63"/>
      <c r="AC900" s="8">
        <v>542025</v>
      </c>
      <c r="AD900" s="8" t="s">
        <v>3754</v>
      </c>
      <c r="AE900" s="12">
        <v>155166240</v>
      </c>
      <c r="AF900" s="8">
        <v>0.81</v>
      </c>
      <c r="AG900" s="8">
        <f ca="1">IFERROR(__xludf.DUMMYFUNCTION("GOOGLEFINANCE(""BOM:"" &amp; AC900,""price"")"),0.68)</f>
        <v>0.68</v>
      </c>
      <c r="AH900" s="8">
        <f t="shared" ca="1" si="318"/>
        <v>-16.049382716049383</v>
      </c>
      <c r="AI900" s="12">
        <f t="shared" si="319"/>
        <v>125684654.40000001</v>
      </c>
      <c r="AJ900" s="13">
        <f t="shared" ca="1" si="320"/>
        <v>105513043.2</v>
      </c>
    </row>
    <row r="901" spans="1:36" x14ac:dyDescent="0.25">
      <c r="A901" s="63"/>
      <c r="B901" s="8">
        <v>512329</v>
      </c>
      <c r="C901" s="8" t="s">
        <v>3755</v>
      </c>
      <c r="D901" s="12">
        <v>111486000</v>
      </c>
      <c r="E901" s="8">
        <v>558.85</v>
      </c>
      <c r="F901" s="8">
        <f ca="1">IFERROR(__xludf.DUMMYFUNCTION("GOOGLEFINANCE(""BOM:"" &amp; B901,""price"")"),495)</f>
        <v>495</v>
      </c>
      <c r="G901" s="8">
        <f t="shared" ca="1" si="311"/>
        <v>-11.425248277713164</v>
      </c>
      <c r="H901" s="12">
        <f t="shared" si="312"/>
        <v>62303951100</v>
      </c>
      <c r="I901" s="13">
        <f t="shared" ca="1" si="313"/>
        <v>55185570000</v>
      </c>
      <c r="J901" s="63"/>
      <c r="K901" s="8">
        <v>531518</v>
      </c>
      <c r="L901" s="8" t="s">
        <v>3756</v>
      </c>
      <c r="M901" s="12">
        <v>509214000</v>
      </c>
      <c r="N901" s="10">
        <v>0.63</v>
      </c>
      <c r="O901" s="10">
        <f ca="1">IFERROR(__xludf.DUMMYFUNCTION("GOOGLEFINANCE(""BOM:"" &amp; K901,""price"")"),0.5)</f>
        <v>0.5</v>
      </c>
      <c r="P901" s="8">
        <f t="shared" ca="1" si="302"/>
        <v>-20.634920634920636</v>
      </c>
      <c r="Q901" s="12">
        <f t="shared" si="303"/>
        <v>320804820</v>
      </c>
      <c r="R901" s="13">
        <f t="shared" ca="1" si="304"/>
        <v>254607000</v>
      </c>
      <c r="S901" s="63"/>
      <c r="T901" s="8">
        <v>520121</v>
      </c>
      <c r="U901" s="8" t="s">
        <v>3757</v>
      </c>
      <c r="V901" s="12">
        <v>3634965</v>
      </c>
      <c r="W901" s="8">
        <v>6.32</v>
      </c>
      <c r="X901" s="11">
        <f ca="1">IFERROR(__xludf.DUMMYFUNCTION("GOOGLEFINANCE(""BOM:"" &amp; T901,""price"")"),5.31)</f>
        <v>5.31</v>
      </c>
      <c r="Y901" s="8">
        <f t="shared" ca="1" si="315"/>
        <v>-15.981012658227858</v>
      </c>
      <c r="Z901" s="12">
        <f t="shared" si="316"/>
        <v>22972978.800000001</v>
      </c>
      <c r="AA901" s="13">
        <f t="shared" ca="1" si="317"/>
        <v>19301664.149999999</v>
      </c>
      <c r="AB901" s="63"/>
      <c r="AC901" s="8">
        <v>531885</v>
      </c>
      <c r="AD901" s="8" t="s">
        <v>3758</v>
      </c>
      <c r="AE901" s="12">
        <v>2845290</v>
      </c>
      <c r="AF901" s="8">
        <v>8.1300000000000008</v>
      </c>
      <c r="AG901" s="8">
        <f ca="1">IFERROR(__xludf.DUMMYFUNCTION("GOOGLEFINANCE(""BOM:"" &amp; AC901,""price"")"),8.13)</f>
        <v>8.1300000000000008</v>
      </c>
      <c r="AH901" s="8">
        <f t="shared" ca="1" si="318"/>
        <v>0</v>
      </c>
      <c r="AI901" s="12">
        <f t="shared" si="319"/>
        <v>23132207.700000003</v>
      </c>
      <c r="AJ901" s="13">
        <f t="shared" ca="1" si="320"/>
        <v>23132207.700000003</v>
      </c>
    </row>
    <row r="902" spans="1:36" x14ac:dyDescent="0.25">
      <c r="A902" s="63"/>
      <c r="B902" s="8">
        <v>514360</v>
      </c>
      <c r="C902" s="8" t="s">
        <v>3759</v>
      </c>
      <c r="D902" s="12">
        <v>15148530</v>
      </c>
      <c r="E902" s="8">
        <v>675</v>
      </c>
      <c r="F902" s="8">
        <f ca="1">IFERROR(__xludf.DUMMYFUNCTION("GOOGLEFINANCE(""BOM:"" &amp; B902,""price"")"),551.5)</f>
        <v>551.5</v>
      </c>
      <c r="G902" s="8">
        <f t="shared" ca="1" si="311"/>
        <v>-18.296296296296298</v>
      </c>
      <c r="H902" s="12">
        <f t="shared" si="312"/>
        <v>10225257750</v>
      </c>
      <c r="I902" s="13">
        <f t="shared" ca="1" si="313"/>
        <v>8354414295</v>
      </c>
      <c r="J902" s="63"/>
      <c r="K902" s="8">
        <v>519307</v>
      </c>
      <c r="L902" s="8" t="s">
        <v>3760</v>
      </c>
      <c r="M902" s="12">
        <v>201538418</v>
      </c>
      <c r="N902" s="10">
        <v>1.58</v>
      </c>
      <c r="O902" s="10">
        <f ca="1">IFERROR(__xludf.DUMMYFUNCTION("GOOGLEFINANCE(""BOM:"" &amp; K902,""price"")"),1.31)</f>
        <v>1.31</v>
      </c>
      <c r="P902" s="8">
        <f t="shared" ca="1" si="302"/>
        <v>-17.088607594936708</v>
      </c>
      <c r="Q902" s="12">
        <f t="shared" si="303"/>
        <v>318430700.44</v>
      </c>
      <c r="R902" s="13">
        <f t="shared" ca="1" si="304"/>
        <v>264015327.58000001</v>
      </c>
      <c r="S902" s="63"/>
      <c r="T902" s="8">
        <v>530429</v>
      </c>
      <c r="U902" s="8" t="s">
        <v>3761</v>
      </c>
      <c r="V902" s="12">
        <v>3397500</v>
      </c>
      <c r="W902" s="8">
        <v>28.02</v>
      </c>
      <c r="X902" s="11">
        <f ca="1">IFERROR(__xludf.DUMMYFUNCTION("GOOGLEFINANCE(""BOM:"" &amp; T902,""price"")"),26.96)</f>
        <v>26.96</v>
      </c>
      <c r="Y902" s="8">
        <f t="shared" ca="1" si="315"/>
        <v>-3.7830121341898599</v>
      </c>
      <c r="Z902" s="12">
        <f t="shared" si="316"/>
        <v>95197950</v>
      </c>
      <c r="AA902" s="13">
        <f t="shared" ca="1" si="317"/>
        <v>91596600</v>
      </c>
      <c r="AB902" s="63"/>
      <c r="AC902" s="8">
        <v>539041</v>
      </c>
      <c r="AD902" s="8" t="s">
        <v>3762</v>
      </c>
      <c r="AE902" s="12">
        <v>11009400</v>
      </c>
      <c r="AF902" s="8">
        <v>95</v>
      </c>
      <c r="AG902" s="8">
        <f ca="1">IFERROR(__xludf.DUMMYFUNCTION("GOOGLEFINANCE(""BOM:"" &amp; AC902,""price"")"),75.5)</f>
        <v>75.5</v>
      </c>
      <c r="AH902" s="8">
        <f t="shared" ca="1" si="318"/>
        <v>-20.526315789473685</v>
      </c>
      <c r="AI902" s="12">
        <f t="shared" si="319"/>
        <v>1045893000</v>
      </c>
      <c r="AJ902" s="13">
        <f t="shared" ca="1" si="320"/>
        <v>831209700</v>
      </c>
    </row>
    <row r="903" spans="1:36" x14ac:dyDescent="0.25">
      <c r="A903" s="63"/>
      <c r="B903" s="8">
        <v>500510</v>
      </c>
      <c r="C903" s="8" t="s">
        <v>3763</v>
      </c>
      <c r="D903" s="12">
        <v>1389393268</v>
      </c>
      <c r="E903" s="8">
        <v>3634.5</v>
      </c>
      <c r="F903" s="8">
        <f ca="1">IFERROR(__xludf.DUMMYFUNCTION("GOOGLEFINANCE(""BOM:"" &amp; B903,""price"")"),3774.1)</f>
        <v>3774.1</v>
      </c>
      <c r="G903" s="8">
        <f t="shared" ca="1" si="311"/>
        <v>3.8409684963543791</v>
      </c>
      <c r="H903" s="12">
        <f t="shared" si="312"/>
        <v>5049749832546</v>
      </c>
      <c r="I903" s="13">
        <f t="shared" ca="1" si="313"/>
        <v>5243709132758.7998</v>
      </c>
      <c r="J903" s="63"/>
      <c r="K903" s="8">
        <v>513713</v>
      </c>
      <c r="L903" s="8" t="s">
        <v>3764</v>
      </c>
      <c r="M903" s="12">
        <v>32024400</v>
      </c>
      <c r="N903" s="10">
        <v>10.59</v>
      </c>
      <c r="O903" s="10">
        <f ca="1">IFERROR(__xludf.DUMMYFUNCTION("GOOGLEFINANCE(""BOM:"" &amp; K903,""price"")"),9.11)</f>
        <v>9.11</v>
      </c>
      <c r="P903" s="8">
        <f t="shared" ca="1" si="302"/>
        <v>-13.975448536355056</v>
      </c>
      <c r="Q903" s="12">
        <f t="shared" si="303"/>
        <v>339138396</v>
      </c>
      <c r="R903" s="13">
        <f t="shared" ca="1" si="304"/>
        <v>291742284</v>
      </c>
      <c r="S903" s="63"/>
      <c r="T903" s="8">
        <v>532830</v>
      </c>
      <c r="U903" s="8" t="s">
        <v>3765</v>
      </c>
      <c r="V903" s="12">
        <v>268596485</v>
      </c>
      <c r="W903" s="8">
        <v>2072.75</v>
      </c>
      <c r="X903" s="11">
        <f ca="1">IFERROR(__xludf.DUMMYFUNCTION("GOOGLEFINANCE(""BOM:"" &amp; T903,""price"")"),1996.4)</f>
        <v>1996.4</v>
      </c>
      <c r="Y903" s="8">
        <f t="shared" ca="1" si="315"/>
        <v>-3.6835122421903224</v>
      </c>
      <c r="Z903" s="12">
        <f t="shared" si="316"/>
        <v>556733364283.75</v>
      </c>
      <c r="AA903" s="13">
        <f t="shared" ca="1" si="317"/>
        <v>536226022654</v>
      </c>
      <c r="AB903" s="63"/>
      <c r="AC903" s="8">
        <v>539406</v>
      </c>
      <c r="AD903" s="8" t="s">
        <v>3766</v>
      </c>
      <c r="AE903" s="12">
        <v>1129074</v>
      </c>
      <c r="AF903" s="8">
        <v>84.84</v>
      </c>
      <c r="AG903" s="8">
        <f ca="1">IFERROR(__xludf.DUMMYFUNCTION("GOOGLEFINANCE(""BOM:"" &amp; AC903,""price"")"),53.43)</f>
        <v>53.43</v>
      </c>
      <c r="AH903" s="8">
        <f t="shared" ca="1" si="318"/>
        <v>-37.022630834512029</v>
      </c>
      <c r="AI903" s="12">
        <f t="shared" si="319"/>
        <v>95790638.159999996</v>
      </c>
      <c r="AJ903" s="13">
        <f t="shared" ca="1" si="320"/>
        <v>60326423.82</v>
      </c>
    </row>
    <row r="904" spans="1:36" x14ac:dyDescent="0.25">
      <c r="A904" s="63"/>
      <c r="B904" s="8">
        <v>533169</v>
      </c>
      <c r="C904" s="8" t="s">
        <v>3767</v>
      </c>
      <c r="D904" s="12">
        <v>371200699</v>
      </c>
      <c r="E904" s="8">
        <v>216.6</v>
      </c>
      <c r="F904" s="8">
        <f ca="1">IFERROR(__xludf.DUMMYFUNCTION("GOOGLEFINANCE(""BOM:"" &amp; B904,""price"")"),206.25)</f>
        <v>206.25</v>
      </c>
      <c r="G904" s="8">
        <f t="shared" ca="1" si="311"/>
        <v>-4.7783933518005517</v>
      </c>
      <c r="H904" s="12">
        <f t="shared" si="312"/>
        <v>80402071403.399994</v>
      </c>
      <c r="I904" s="13">
        <f t="shared" ca="1" si="313"/>
        <v>76560144168.75</v>
      </c>
      <c r="J904" s="64"/>
      <c r="K904" s="14">
        <v>519064</v>
      </c>
      <c r="L904" s="14" t="s">
        <v>3768</v>
      </c>
      <c r="M904" s="15">
        <v>433800</v>
      </c>
      <c r="N904" s="17">
        <v>63.94</v>
      </c>
      <c r="O904" s="17">
        <f ca="1">IFERROR(__xludf.DUMMYFUNCTION("GOOGLEFINANCE(""BOM:"" &amp; K904,""price"")"),76.37)</f>
        <v>76.37</v>
      </c>
      <c r="P904" s="14">
        <f t="shared" ca="1" si="302"/>
        <v>19.440100093837984</v>
      </c>
      <c r="Q904" s="15">
        <f t="shared" si="303"/>
        <v>27737172</v>
      </c>
      <c r="R904" s="16">
        <f t="shared" ca="1" si="304"/>
        <v>33129306.000000004</v>
      </c>
      <c r="S904" s="63"/>
      <c r="T904" s="8">
        <v>513642</v>
      </c>
      <c r="U904" s="8" t="s">
        <v>3769</v>
      </c>
      <c r="V904" s="12">
        <v>6776880</v>
      </c>
      <c r="W904" s="8">
        <v>65.45</v>
      </c>
      <c r="X904" s="11">
        <f ca="1">IFERROR(__xludf.DUMMYFUNCTION("GOOGLEFINANCE(""BOM:"" &amp; T904,""price"")"),72.84)</f>
        <v>72.84</v>
      </c>
      <c r="Y904" s="8">
        <f t="shared" ca="1" si="315"/>
        <v>11.291061879297173</v>
      </c>
      <c r="Z904" s="12">
        <f t="shared" si="316"/>
        <v>443546796</v>
      </c>
      <c r="AA904" s="13">
        <f t="shared" ca="1" si="317"/>
        <v>493627939.20000005</v>
      </c>
      <c r="AB904" s="63"/>
      <c r="AC904" s="8">
        <v>512359</v>
      </c>
      <c r="AD904" s="8" t="s">
        <v>3770</v>
      </c>
      <c r="AE904" s="12">
        <v>216085060</v>
      </c>
      <c r="AF904" s="8">
        <v>0.36</v>
      </c>
      <c r="AG904" s="8">
        <f ca="1">IFERROR(__xludf.DUMMYFUNCTION("GOOGLEFINANCE(""BOM:"" &amp; AC904,""price"")"),0.32)</f>
        <v>0.32</v>
      </c>
      <c r="AH904" s="8">
        <f t="shared" ca="1" si="318"/>
        <v>-11.111111111111107</v>
      </c>
      <c r="AI904" s="12">
        <f t="shared" si="319"/>
        <v>77790621.599999994</v>
      </c>
      <c r="AJ904" s="13">
        <f t="shared" ca="1" si="320"/>
        <v>69147219.200000003</v>
      </c>
    </row>
    <row r="905" spans="1:36" x14ac:dyDescent="0.25">
      <c r="A905" s="63"/>
      <c r="B905" s="8">
        <v>532629</v>
      </c>
      <c r="C905" s="8" t="s">
        <v>3771</v>
      </c>
      <c r="D905" s="12">
        <v>172090158</v>
      </c>
      <c r="E905" s="8">
        <v>6.54</v>
      </c>
      <c r="F905" s="8">
        <f ca="1">IFERROR(__xludf.DUMMYFUNCTION("GOOGLEFINANCE(""BOM:"" &amp; B905,""price"")"),4.75)</f>
        <v>4.75</v>
      </c>
      <c r="G905" s="8">
        <f t="shared" ca="1" si="311"/>
        <v>-27.370030581039757</v>
      </c>
      <c r="H905" s="12">
        <f t="shared" si="312"/>
        <v>1125469633.3199999</v>
      </c>
      <c r="I905" s="13">
        <f t="shared" ca="1" si="313"/>
        <v>817428250.5</v>
      </c>
      <c r="J905" s="62" t="s">
        <v>3772</v>
      </c>
      <c r="K905" s="6">
        <v>540611</v>
      </c>
      <c r="L905" s="6" t="s">
        <v>3773</v>
      </c>
      <c r="M905" s="7">
        <v>630172828</v>
      </c>
      <c r="N905" s="10">
        <v>576.6</v>
      </c>
      <c r="O905" s="10">
        <f ca="1">IFERROR(__xludf.DUMMYFUNCTION("GOOGLEFINANCE(""BOM:"" &amp; K905,""price"")"),565.55)</f>
        <v>565.54999999999995</v>
      </c>
      <c r="P905" s="8">
        <f t="shared" ca="1" si="302"/>
        <v>-1.9164065209850967</v>
      </c>
      <c r="Q905" s="7">
        <f t="shared" si="303"/>
        <v>363357652624.79999</v>
      </c>
      <c r="R905" s="9">
        <f t="shared" ca="1" si="304"/>
        <v>356394242875.39996</v>
      </c>
      <c r="S905" s="63"/>
      <c r="T905" s="8">
        <v>526225</v>
      </c>
      <c r="U905" s="8" t="s">
        <v>3774</v>
      </c>
      <c r="V905" s="12">
        <v>6673705</v>
      </c>
      <c r="W905" s="8">
        <v>10.45</v>
      </c>
      <c r="X905" s="11">
        <f ca="1">IFERROR(__xludf.DUMMYFUNCTION("GOOGLEFINANCE(""BOM:"" &amp; T905,""price"")"),10.8)</f>
        <v>10.8</v>
      </c>
      <c r="Y905" s="8">
        <f t="shared" ca="1" si="315"/>
        <v>3.3492822966507316</v>
      </c>
      <c r="Z905" s="12">
        <f t="shared" si="316"/>
        <v>69740217.25</v>
      </c>
      <c r="AA905" s="13">
        <f t="shared" ca="1" si="317"/>
        <v>72076014</v>
      </c>
      <c r="AB905" s="63"/>
      <c r="AC905" s="8">
        <v>519483</v>
      </c>
      <c r="AD905" s="8" t="s">
        <v>3775</v>
      </c>
      <c r="AE905" s="12">
        <v>4162222</v>
      </c>
      <c r="AF905" s="8">
        <v>43.6</v>
      </c>
      <c r="AG905" s="8">
        <f ca="1">IFERROR(__xludf.DUMMYFUNCTION("GOOGLEFINANCE(""BOM:"" &amp; AC905,""price"")"),40.44)</f>
        <v>40.44</v>
      </c>
      <c r="AH905" s="8">
        <f t="shared" ca="1" si="318"/>
        <v>-7.2477064220183571</v>
      </c>
      <c r="AI905" s="12">
        <f t="shared" si="319"/>
        <v>181472879.20000002</v>
      </c>
      <c r="AJ905" s="13">
        <f t="shared" ca="1" si="320"/>
        <v>168320257.67999998</v>
      </c>
    </row>
    <row r="906" spans="1:36" x14ac:dyDescent="0.25">
      <c r="A906" s="63"/>
      <c r="B906" s="8">
        <v>534309</v>
      </c>
      <c r="C906" s="8" t="s">
        <v>3776</v>
      </c>
      <c r="D906" s="12">
        <v>1799984625</v>
      </c>
      <c r="E906" s="8">
        <v>133.05000000000001</v>
      </c>
      <c r="F906" s="8">
        <f ca="1">IFERROR(__xludf.DUMMYFUNCTION("GOOGLEFINANCE(""BOM:"" &amp; B906,""price"")"),119.05)</f>
        <v>119.05</v>
      </c>
      <c r="G906" s="8">
        <f t="shared" ca="1" si="311"/>
        <v>-10.522360015031952</v>
      </c>
      <c r="H906" s="12">
        <f t="shared" si="312"/>
        <v>239487954356.25003</v>
      </c>
      <c r="I906" s="13">
        <f t="shared" ca="1" si="313"/>
        <v>214288169606.25</v>
      </c>
      <c r="J906" s="63"/>
      <c r="K906" s="8">
        <v>543243</v>
      </c>
      <c r="L906" s="8" t="s">
        <v>3777</v>
      </c>
      <c r="M906" s="12">
        <v>1252906129</v>
      </c>
      <c r="N906" s="10">
        <v>101.47</v>
      </c>
      <c r="O906" s="10">
        <f ca="1">IFERROR(__xludf.DUMMYFUNCTION("GOOGLEFINANCE(""BOM:"" &amp; K906,""price"")"),92.41)</f>
        <v>92.41</v>
      </c>
      <c r="P906" s="8">
        <f t="shared" ca="1" si="302"/>
        <v>-8.9287474130284838</v>
      </c>
      <c r="Q906" s="12">
        <f t="shared" si="303"/>
        <v>127132384909.63</v>
      </c>
      <c r="R906" s="13">
        <f t="shared" ca="1" si="304"/>
        <v>115781055380.89</v>
      </c>
      <c r="S906" s="63"/>
      <c r="T906" s="8">
        <v>526731</v>
      </c>
      <c r="U906" s="8" t="s">
        <v>3778</v>
      </c>
      <c r="V906" s="12">
        <v>5538060</v>
      </c>
      <c r="W906" s="8">
        <v>158.35</v>
      </c>
      <c r="X906" s="11">
        <f ca="1">IFERROR(__xludf.DUMMYFUNCTION("GOOGLEFINANCE(""BOM:"" &amp; T906,""price"")"),160.05)</f>
        <v>160.05000000000001</v>
      </c>
      <c r="Y906" s="8">
        <f t="shared" ca="1" si="315"/>
        <v>1.0735712030312707</v>
      </c>
      <c r="Z906" s="12">
        <f t="shared" si="316"/>
        <v>876951801</v>
      </c>
      <c r="AA906" s="13">
        <f t="shared" ca="1" si="317"/>
        <v>886366503.00000012</v>
      </c>
      <c r="AB906" s="63"/>
      <c r="AC906" s="8">
        <v>531190</v>
      </c>
      <c r="AD906" s="8" t="s">
        <v>3779</v>
      </c>
      <c r="AE906" s="12">
        <v>5860980</v>
      </c>
      <c r="AF906" s="8">
        <v>26.58</v>
      </c>
      <c r="AG906" s="8">
        <f ca="1">IFERROR(__xludf.DUMMYFUNCTION("GOOGLEFINANCE(""BOM:"" &amp; AC906,""price"")"),27.9)</f>
        <v>27.9</v>
      </c>
      <c r="AH906" s="8">
        <f t="shared" ca="1" si="318"/>
        <v>4.9661399548532739</v>
      </c>
      <c r="AI906" s="12">
        <f t="shared" si="319"/>
        <v>155784848.39999998</v>
      </c>
      <c r="AJ906" s="13">
        <f t="shared" ca="1" si="320"/>
        <v>163521342</v>
      </c>
    </row>
    <row r="907" spans="1:36" x14ac:dyDescent="0.25">
      <c r="A907" s="63"/>
      <c r="B907" s="8">
        <v>531092</v>
      </c>
      <c r="C907" s="8" t="s">
        <v>3780</v>
      </c>
      <c r="D907" s="12">
        <v>96261499</v>
      </c>
      <c r="E907" s="8">
        <v>125.2</v>
      </c>
      <c r="F907" s="8">
        <f ca="1">IFERROR(__xludf.DUMMYFUNCTION("GOOGLEFINANCE(""BOM:"" &amp; B907,""price"")"),130)</f>
        <v>130</v>
      </c>
      <c r="G907" s="8">
        <f t="shared" ca="1" si="311"/>
        <v>3.8338658146964835</v>
      </c>
      <c r="H907" s="12">
        <f t="shared" si="312"/>
        <v>12051939674.800001</v>
      </c>
      <c r="I907" s="13">
        <f t="shared" ca="1" si="313"/>
        <v>12513994870</v>
      </c>
      <c r="J907" s="63"/>
      <c r="K907" s="8">
        <v>543386</v>
      </c>
      <c r="L907" s="8" t="s">
        <v>3781</v>
      </c>
      <c r="M907" s="12">
        <v>83214302</v>
      </c>
      <c r="N907" s="10">
        <v>302.45</v>
      </c>
      <c r="O907" s="10">
        <f ca="1">IFERROR(__xludf.DUMMYFUNCTION("GOOGLEFINANCE(""BOM:"" &amp; K907,""price"")"),282.45)</f>
        <v>282.45</v>
      </c>
      <c r="P907" s="8">
        <f t="shared" ca="1" si="302"/>
        <v>-6.6126632501239877</v>
      </c>
      <c r="Q907" s="12">
        <f t="shared" si="303"/>
        <v>25168165639.899998</v>
      </c>
      <c r="R907" s="13">
        <f t="shared" ca="1" si="304"/>
        <v>23503879599.899998</v>
      </c>
      <c r="S907" s="63"/>
      <c r="T907" s="8">
        <v>522292</v>
      </c>
      <c r="U907" s="8" t="s">
        <v>3782</v>
      </c>
      <c r="V907" s="12">
        <v>16739538</v>
      </c>
      <c r="W907" s="8">
        <v>50.3</v>
      </c>
      <c r="X907" s="11">
        <f ca="1">IFERROR(__xludf.DUMMYFUNCTION("GOOGLEFINANCE(""BOM:"" &amp; T907,""price"")"),39.5)</f>
        <v>39.5</v>
      </c>
      <c r="Y907" s="8">
        <f t="shared" ca="1" si="315"/>
        <v>-21.471172962226635</v>
      </c>
      <c r="Z907" s="12">
        <f t="shared" si="316"/>
        <v>841998761.39999998</v>
      </c>
      <c r="AA907" s="13">
        <f t="shared" ca="1" si="317"/>
        <v>661211751</v>
      </c>
      <c r="AB907" s="63"/>
      <c r="AC907" s="8">
        <v>531205</v>
      </c>
      <c r="AD907" s="8" t="s">
        <v>3783</v>
      </c>
      <c r="AE907" s="12">
        <v>3432600</v>
      </c>
      <c r="AF907" s="8" t="s">
        <v>44</v>
      </c>
      <c r="AG907" s="8" t="s">
        <v>44</v>
      </c>
      <c r="AH907" s="8"/>
      <c r="AI907" s="12"/>
      <c r="AJ907" s="13"/>
    </row>
    <row r="908" spans="1:36" x14ac:dyDescent="0.25">
      <c r="A908" s="63"/>
      <c r="B908" s="8">
        <v>539302</v>
      </c>
      <c r="C908" s="8" t="s">
        <v>3784</v>
      </c>
      <c r="D908" s="12">
        <v>14701278</v>
      </c>
      <c r="E908" s="8">
        <v>5123.55</v>
      </c>
      <c r="F908" s="8">
        <f ca="1">IFERROR(__xludf.DUMMYFUNCTION("GOOGLEFINANCE(""BOM:"" &amp; B908,""price"")"),5011.5)</f>
        <v>5011.5</v>
      </c>
      <c r="G908" s="8">
        <f t="shared" ca="1" si="311"/>
        <v>-2.1869602131334753</v>
      </c>
      <c r="H908" s="12">
        <f t="shared" si="312"/>
        <v>75322732896.900009</v>
      </c>
      <c r="I908" s="13">
        <f t="shared" ca="1" si="313"/>
        <v>73675454697</v>
      </c>
      <c r="J908" s="63"/>
      <c r="K908" s="8">
        <v>543279</v>
      </c>
      <c r="L908" s="8" t="s">
        <v>3785</v>
      </c>
      <c r="M908" s="12">
        <v>106156495</v>
      </c>
      <c r="N908" s="10">
        <v>187.9</v>
      </c>
      <c r="O908" s="10">
        <f ca="1">IFERROR(__xludf.DUMMYFUNCTION("GOOGLEFINANCE(""BOM:"" &amp; K908,""price"")"),161.4)</f>
        <v>161.4</v>
      </c>
      <c r="P908" s="8">
        <f t="shared" ca="1" si="302"/>
        <v>-14.103246407663651</v>
      </c>
      <c r="Q908" s="12">
        <f t="shared" si="303"/>
        <v>19946805410.5</v>
      </c>
      <c r="R908" s="13">
        <f t="shared" ca="1" si="304"/>
        <v>17133658293</v>
      </c>
      <c r="S908" s="63"/>
      <c r="T908" s="8">
        <v>538817</v>
      </c>
      <c r="U908" s="8" t="s">
        <v>3786</v>
      </c>
      <c r="V908" s="12">
        <v>4548560</v>
      </c>
      <c r="W908" s="8">
        <v>18.28</v>
      </c>
      <c r="X908" s="11">
        <v>18.28</v>
      </c>
      <c r="Y908" s="8">
        <f t="shared" si="315"/>
        <v>0</v>
      </c>
      <c r="Z908" s="12">
        <f t="shared" si="316"/>
        <v>83147676.800000012</v>
      </c>
      <c r="AA908" s="13">
        <f t="shared" si="317"/>
        <v>83147676.800000012</v>
      </c>
      <c r="AB908" s="63"/>
      <c r="AC908" s="8">
        <v>541741</v>
      </c>
      <c r="AD908" s="8" t="s">
        <v>3787</v>
      </c>
      <c r="AE908" s="12">
        <v>7972143</v>
      </c>
      <c r="AF908" s="8">
        <v>79.290000000000006</v>
      </c>
      <c r="AG908" s="8">
        <f ca="1">IFERROR(__xludf.DUMMYFUNCTION("GOOGLEFINANCE(""BOM:"" &amp; AC908,""price"")"),110.95)</f>
        <v>110.95</v>
      </c>
      <c r="AH908" s="8">
        <f t="shared" ref="AH908:AH910" ca="1" si="321">((AG908-AF908)/AF908)*100</f>
        <v>39.929373187034926</v>
      </c>
      <c r="AI908" s="12">
        <f t="shared" ref="AI908:AI934" si="322">AE908*AF908</f>
        <v>632111218.47000003</v>
      </c>
      <c r="AJ908" s="13">
        <f t="shared" ref="AJ908:AJ934" ca="1" si="323">AE908*AG908</f>
        <v>884509265.85000002</v>
      </c>
    </row>
    <row r="909" spans="1:36" x14ac:dyDescent="0.25">
      <c r="A909" s="63"/>
      <c r="B909" s="8">
        <v>543375</v>
      </c>
      <c r="C909" s="8" t="s">
        <v>3788</v>
      </c>
      <c r="D909" s="12">
        <v>6000000</v>
      </c>
      <c r="E909" s="8">
        <v>159.57</v>
      </c>
      <c r="F909" s="8">
        <f ca="1">IFERROR(__xludf.DUMMYFUNCTION("GOOGLEFINANCE(""BOM:"" &amp; B909,""price"")"),136.85)</f>
        <v>136.85</v>
      </c>
      <c r="G909" s="8">
        <f t="shared" ca="1" si="311"/>
        <v>-14.238265338096134</v>
      </c>
      <c r="H909" s="12">
        <f t="shared" si="312"/>
        <v>957420000</v>
      </c>
      <c r="I909" s="13">
        <f t="shared" ca="1" si="313"/>
        <v>821100000</v>
      </c>
      <c r="J909" s="64"/>
      <c r="K909" s="14">
        <v>542904</v>
      </c>
      <c r="L909" s="14" t="s">
        <v>3789</v>
      </c>
      <c r="M909" s="15">
        <v>1728313635</v>
      </c>
      <c r="N909" s="17">
        <v>53.04</v>
      </c>
      <c r="O909" s="17">
        <f ca="1">IFERROR(__xludf.DUMMYFUNCTION("GOOGLEFINANCE(""BOM:"" &amp; K909,""price"")"),44.31)</f>
        <v>44.31</v>
      </c>
      <c r="P909" s="14">
        <f t="shared" ca="1" si="302"/>
        <v>-16.459276018099541</v>
      </c>
      <c r="Q909" s="15">
        <f t="shared" si="303"/>
        <v>91669755200.399994</v>
      </c>
      <c r="R909" s="16">
        <f t="shared" ca="1" si="304"/>
        <v>76581577166.850006</v>
      </c>
      <c r="S909" s="63"/>
      <c r="T909" s="8">
        <v>509486</v>
      </c>
      <c r="U909" s="8" t="s">
        <v>3790</v>
      </c>
      <c r="V909" s="12">
        <v>12979313</v>
      </c>
      <c r="W909" s="8">
        <v>177</v>
      </c>
      <c r="X909" s="11">
        <f ca="1">IFERROR(__xludf.DUMMYFUNCTION("GOOGLEFINANCE(""BOM:"" &amp; T909,""price"")"),150.45)</f>
        <v>150.44999999999999</v>
      </c>
      <c r="Y909" s="8">
        <f t="shared" ca="1" si="315"/>
        <v>-15.000000000000007</v>
      </c>
      <c r="Z909" s="12">
        <f t="shared" si="316"/>
        <v>2297338401</v>
      </c>
      <c r="AA909" s="13">
        <f t="shared" ca="1" si="317"/>
        <v>1952737640.8499999</v>
      </c>
      <c r="AB909" s="63"/>
      <c r="AC909" s="8">
        <v>538569</v>
      </c>
      <c r="AD909" s="8" t="s">
        <v>3791</v>
      </c>
      <c r="AE909" s="12">
        <v>56859000</v>
      </c>
      <c r="AF909" s="8">
        <v>1.66</v>
      </c>
      <c r="AG909" s="8">
        <f ca="1">IFERROR(__xludf.DUMMYFUNCTION("GOOGLEFINANCE(""BOM:"" &amp; AC909,""price"")"),1.76)</f>
        <v>1.76</v>
      </c>
      <c r="AH909" s="8">
        <f t="shared" ca="1" si="321"/>
        <v>6.0240963855421743</v>
      </c>
      <c r="AI909" s="12">
        <f t="shared" si="322"/>
        <v>94385940</v>
      </c>
      <c r="AJ909" s="13">
        <f t="shared" ca="1" si="323"/>
        <v>100071840</v>
      </c>
    </row>
    <row r="910" spans="1:36" x14ac:dyDescent="0.25">
      <c r="A910" s="63"/>
      <c r="B910" s="8">
        <v>532693</v>
      </c>
      <c r="C910" s="8" t="s">
        <v>3792</v>
      </c>
      <c r="D910" s="12">
        <v>335576954</v>
      </c>
      <c r="E910" s="8" t="s">
        <v>44</v>
      </c>
      <c r="F910" s="8" t="s">
        <v>44</v>
      </c>
      <c r="G910" s="8"/>
      <c r="H910" s="12"/>
      <c r="I910" s="13"/>
      <c r="J910" s="62" t="s">
        <v>3793</v>
      </c>
      <c r="K910" s="6">
        <v>531406</v>
      </c>
      <c r="L910" s="6" t="s">
        <v>3794</v>
      </c>
      <c r="M910" s="7">
        <v>6189000</v>
      </c>
      <c r="N910" s="10">
        <v>12.5</v>
      </c>
      <c r="O910" s="10">
        <f ca="1">IFERROR(__xludf.DUMMYFUNCTION("GOOGLEFINANCE(""BOM:"" &amp; K910,""price"")"),10.82)</f>
        <v>10.82</v>
      </c>
      <c r="P910" s="8">
        <f t="shared" ca="1" si="302"/>
        <v>-13.439999999999996</v>
      </c>
      <c r="Q910" s="7">
        <f t="shared" si="303"/>
        <v>77362500</v>
      </c>
      <c r="R910" s="9">
        <f t="shared" ca="1" si="304"/>
        <v>66964980</v>
      </c>
      <c r="S910" s="63"/>
      <c r="T910" s="8">
        <v>534796</v>
      </c>
      <c r="U910" s="8" t="s">
        <v>3795</v>
      </c>
      <c r="V910" s="12">
        <v>2952991</v>
      </c>
      <c r="W910" s="8">
        <v>49.93</v>
      </c>
      <c r="X910" s="11">
        <f ca="1">IFERROR(__xludf.DUMMYFUNCTION("GOOGLEFINANCE(""BOM:"" &amp; T910,""price"")"),38.71)</f>
        <v>38.71</v>
      </c>
      <c r="Y910" s="8">
        <f t="shared" ca="1" si="315"/>
        <v>-22.471460044061683</v>
      </c>
      <c r="Z910" s="12">
        <f t="shared" si="316"/>
        <v>147442840.63</v>
      </c>
      <c r="AA910" s="13">
        <f t="shared" ca="1" si="317"/>
        <v>114310281.61</v>
      </c>
      <c r="AB910" s="63"/>
      <c r="AC910" s="8">
        <v>538579</v>
      </c>
      <c r="AD910" s="8" t="s">
        <v>3796</v>
      </c>
      <c r="AE910" s="12">
        <v>7114500</v>
      </c>
      <c r="AF910" s="8">
        <v>20</v>
      </c>
      <c r="AG910" s="8">
        <f ca="1">IFERROR(__xludf.DUMMYFUNCTION("GOOGLEFINANCE(""BOM:"" &amp; AC910,""price"")"),20)</f>
        <v>20</v>
      </c>
      <c r="AH910" s="8">
        <f t="shared" ca="1" si="321"/>
        <v>0</v>
      </c>
      <c r="AI910" s="12">
        <f t="shared" si="322"/>
        <v>142290000</v>
      </c>
      <c r="AJ910" s="13">
        <f t="shared" ca="1" si="323"/>
        <v>142290000</v>
      </c>
    </row>
    <row r="911" spans="1:36" x14ac:dyDescent="0.25">
      <c r="A911" s="63"/>
      <c r="B911" s="8">
        <v>541556</v>
      </c>
      <c r="C911" s="8" t="s">
        <v>3797</v>
      </c>
      <c r="D911" s="12">
        <v>240300691</v>
      </c>
      <c r="E911" s="8">
        <v>788.95</v>
      </c>
      <c r="F911" s="8">
        <f ca="1">IFERROR(__xludf.DUMMYFUNCTION("GOOGLEFINANCE(""BOM:"" &amp; B911,""price"")"),664.3)</f>
        <v>664.3</v>
      </c>
      <c r="G911" s="8">
        <f t="shared" ref="G911:G974" ca="1" si="324">((F911-E911)/E911)*100</f>
        <v>-15.799480321946902</v>
      </c>
      <c r="H911" s="12">
        <f t="shared" ref="H911:H974" si="325">D911*E911</f>
        <v>189585230164.45001</v>
      </c>
      <c r="I911" s="13">
        <f t="shared" ref="I911:I974" ca="1" si="326">D911*F911</f>
        <v>159631749031.29999</v>
      </c>
      <c r="J911" s="63"/>
      <c r="K911" s="8">
        <v>507690</v>
      </c>
      <c r="L911" s="8" t="s">
        <v>3798</v>
      </c>
      <c r="M911" s="12">
        <v>2034210</v>
      </c>
      <c r="N911" s="10">
        <v>359.25</v>
      </c>
      <c r="O911" s="10">
        <f ca="1">IFERROR(__xludf.DUMMYFUNCTION("GOOGLEFINANCE(""BOM:"" &amp; K911,""price"")"),304.75)</f>
        <v>304.75</v>
      </c>
      <c r="P911" s="8">
        <f t="shared" ca="1" si="302"/>
        <v>-15.170494084899094</v>
      </c>
      <c r="Q911" s="12">
        <f t="shared" si="303"/>
        <v>730789942.5</v>
      </c>
      <c r="R911" s="13">
        <f t="shared" ca="1" si="304"/>
        <v>619925497.5</v>
      </c>
      <c r="S911" s="63"/>
      <c r="T911" s="8">
        <v>536974</v>
      </c>
      <c r="U911" s="8" t="s">
        <v>3799</v>
      </c>
      <c r="V911" s="12">
        <v>50378790</v>
      </c>
      <c r="W911" s="8">
        <v>48.7</v>
      </c>
      <c r="X911" s="11">
        <f ca="1">IFERROR(__xludf.DUMMYFUNCTION("GOOGLEFINANCE(""BOM:"" &amp; T911,""price"")"),53.96)</f>
        <v>53.96</v>
      </c>
      <c r="Y911" s="8">
        <f t="shared" ca="1" si="315"/>
        <v>10.800821355236135</v>
      </c>
      <c r="Z911" s="12">
        <f t="shared" si="316"/>
        <v>2453447073</v>
      </c>
      <c r="AA911" s="13">
        <f t="shared" ca="1" si="317"/>
        <v>2718439508.4000001</v>
      </c>
      <c r="AB911" s="63"/>
      <c r="AC911" s="8">
        <v>514236</v>
      </c>
      <c r="AD911" s="8" t="s">
        <v>3800</v>
      </c>
      <c r="AE911" s="12">
        <v>19772</v>
      </c>
      <c r="AF911" s="8">
        <v>0</v>
      </c>
      <c r="AG911" s="8">
        <f ca="1">IFERROR(__xludf.DUMMYFUNCTION("GOOGLEFINANCE(""BOM:"" &amp; AC911,""price"")"),0)</f>
        <v>0</v>
      </c>
      <c r="AH911" s="8">
        <v>0</v>
      </c>
      <c r="AI911" s="12">
        <f t="shared" si="322"/>
        <v>0</v>
      </c>
      <c r="AJ911" s="13">
        <f t="shared" ca="1" si="323"/>
        <v>0</v>
      </c>
    </row>
    <row r="912" spans="1:36" x14ac:dyDescent="0.25">
      <c r="A912" s="63"/>
      <c r="B912" s="8">
        <v>542649</v>
      </c>
      <c r="C912" s="8" t="s">
        <v>3801</v>
      </c>
      <c r="D912" s="12">
        <v>2085018456</v>
      </c>
      <c r="E912" s="8">
        <v>246.25</v>
      </c>
      <c r="F912" s="8">
        <f ca="1">IFERROR(__xludf.DUMMYFUNCTION("GOOGLEFINANCE(""BOM:"" &amp; B912,""price"")"),252.95)</f>
        <v>252.95</v>
      </c>
      <c r="G912" s="8">
        <f t="shared" ca="1" si="324"/>
        <v>2.720812182741112</v>
      </c>
      <c r="H912" s="12">
        <f t="shared" si="325"/>
        <v>513435794790</v>
      </c>
      <c r="I912" s="13">
        <f t="shared" ca="1" si="326"/>
        <v>527405418445.19995</v>
      </c>
      <c r="J912" s="63"/>
      <c r="K912" s="8">
        <v>519367</v>
      </c>
      <c r="L912" s="8" t="s">
        <v>3802</v>
      </c>
      <c r="M912" s="12">
        <v>135162</v>
      </c>
      <c r="N912" s="10">
        <v>129.05000000000001</v>
      </c>
      <c r="O912" s="10">
        <f ca="1">IFERROR(__xludf.DUMMYFUNCTION("GOOGLEFINANCE(""BOM:"" &amp; K912,""price"")"),142.9)</f>
        <v>142.9</v>
      </c>
      <c r="P912" s="8">
        <f t="shared" ca="1" si="302"/>
        <v>10.732274312282057</v>
      </c>
      <c r="Q912" s="12">
        <f t="shared" si="303"/>
        <v>17442656.100000001</v>
      </c>
      <c r="R912" s="13">
        <f t="shared" ca="1" si="304"/>
        <v>19314649.800000001</v>
      </c>
      <c r="S912" s="63"/>
      <c r="T912" s="8">
        <v>538715</v>
      </c>
      <c r="U912" s="8" t="s">
        <v>3803</v>
      </c>
      <c r="V912" s="12">
        <v>10824245</v>
      </c>
      <c r="W912" s="8">
        <v>298</v>
      </c>
      <c r="X912" s="11">
        <f ca="1">IFERROR(__xludf.DUMMYFUNCTION("GOOGLEFINANCE(""BOM:"" &amp; T912,""price"")"),254.5)</f>
        <v>254.5</v>
      </c>
      <c r="Y912" s="8">
        <f t="shared" ca="1" si="315"/>
        <v>-14.597315436241612</v>
      </c>
      <c r="Z912" s="12">
        <f t="shared" si="316"/>
        <v>3225625010</v>
      </c>
      <c r="AA912" s="13">
        <f t="shared" ca="1" si="317"/>
        <v>2754770352.5</v>
      </c>
      <c r="AB912" s="63"/>
      <c r="AC912" s="8">
        <v>543513</v>
      </c>
      <c r="AD912" s="8" t="s">
        <v>3804</v>
      </c>
      <c r="AE912" s="12">
        <v>33759830</v>
      </c>
      <c r="AF912" s="8">
        <v>91.93</v>
      </c>
      <c r="AG912" s="8">
        <f ca="1">IFERROR(__xludf.DUMMYFUNCTION("GOOGLEFINANCE(""BOM:"" &amp; AC912,""price"")"),85.9)</f>
        <v>85.9</v>
      </c>
      <c r="AH912" s="8">
        <f t="shared" ref="AH912:AH934" ca="1" si="327">((AG912-AF912)/AF912)*100</f>
        <v>-6.5593386272163619</v>
      </c>
      <c r="AI912" s="12">
        <f t="shared" si="322"/>
        <v>3103541171.9000001</v>
      </c>
      <c r="AJ912" s="13">
        <f t="shared" ca="1" si="323"/>
        <v>2899969397</v>
      </c>
    </row>
    <row r="913" spans="1:36" x14ac:dyDescent="0.25">
      <c r="A913" s="63"/>
      <c r="B913" s="8">
        <v>532710</v>
      </c>
      <c r="C913" s="8" t="s">
        <v>3805</v>
      </c>
      <c r="D913" s="12">
        <v>171570330</v>
      </c>
      <c r="E913" s="8">
        <v>32.700000000000003</v>
      </c>
      <c r="F913" s="8">
        <f ca="1">IFERROR(__xludf.DUMMYFUNCTION("GOOGLEFINANCE(""BOM:"" &amp; B913,""price"")"),28.63)</f>
        <v>28.63</v>
      </c>
      <c r="G913" s="8">
        <f t="shared" ca="1" si="324"/>
        <v>-12.446483180428146</v>
      </c>
      <c r="H913" s="12">
        <f t="shared" si="325"/>
        <v>5610349791.000001</v>
      </c>
      <c r="I913" s="13">
        <f t="shared" ca="1" si="326"/>
        <v>4912058547.8999996</v>
      </c>
      <c r="J913" s="63"/>
      <c r="K913" s="8">
        <v>542910</v>
      </c>
      <c r="L913" s="8" t="s">
        <v>3806</v>
      </c>
      <c r="M913" s="12">
        <v>5585341</v>
      </c>
      <c r="N913" s="10">
        <v>91.61</v>
      </c>
      <c r="O913" s="10">
        <f ca="1">IFERROR(__xludf.DUMMYFUNCTION("GOOGLEFINANCE(""BOM:"" &amp; K913,""price"")"),50.54)</f>
        <v>50.54</v>
      </c>
      <c r="P913" s="8">
        <f t="shared" ca="1" si="302"/>
        <v>-44.831350289269736</v>
      </c>
      <c r="Q913" s="12">
        <f t="shared" si="303"/>
        <v>511673089.00999999</v>
      </c>
      <c r="R913" s="13">
        <f t="shared" ca="1" si="304"/>
        <v>282283134.13999999</v>
      </c>
      <c r="S913" s="63"/>
      <c r="T913" s="8">
        <v>526355</v>
      </c>
      <c r="U913" s="8" t="s">
        <v>3807</v>
      </c>
      <c r="V913" s="12">
        <v>3330940</v>
      </c>
      <c r="W913" s="8">
        <v>100</v>
      </c>
      <c r="X913" s="11">
        <f ca="1">IFERROR(__xludf.DUMMYFUNCTION("GOOGLEFINANCE(""BOM:"" &amp; T913,""price"")"),87)</f>
        <v>87</v>
      </c>
      <c r="Y913" s="8">
        <f t="shared" ca="1" si="315"/>
        <v>-13</v>
      </c>
      <c r="Z913" s="12">
        <f t="shared" si="316"/>
        <v>333094000</v>
      </c>
      <c r="AA913" s="13">
        <f t="shared" ca="1" si="317"/>
        <v>289791780</v>
      </c>
      <c r="AB913" s="63"/>
      <c r="AC913" s="8">
        <v>523519</v>
      </c>
      <c r="AD913" s="8" t="s">
        <v>3808</v>
      </c>
      <c r="AE913" s="12">
        <v>13932697</v>
      </c>
      <c r="AF913" s="8">
        <v>4.68</v>
      </c>
      <c r="AG913" s="8">
        <f ca="1">IFERROR(__xludf.DUMMYFUNCTION("GOOGLEFINANCE(""BOM:"" &amp; AC913,""price"")"),5.5)</f>
        <v>5.5</v>
      </c>
      <c r="AH913" s="8">
        <f t="shared" ca="1" si="327"/>
        <v>17.52136752136753</v>
      </c>
      <c r="AI913" s="12">
        <f t="shared" si="322"/>
        <v>65205021.959999993</v>
      </c>
      <c r="AJ913" s="13">
        <f t="shared" ca="1" si="323"/>
        <v>76629833.5</v>
      </c>
    </row>
    <row r="914" spans="1:36" x14ac:dyDescent="0.25">
      <c r="A914" s="63"/>
      <c r="B914" s="8">
        <v>539346</v>
      </c>
      <c r="C914" s="8" t="s">
        <v>3809</v>
      </c>
      <c r="D914" s="12">
        <v>352225213</v>
      </c>
      <c r="E914" s="8">
        <v>8.4499999999999993</v>
      </c>
      <c r="F914" s="8">
        <f ca="1">IFERROR(__xludf.DUMMYFUNCTION("GOOGLEFINANCE(""BOM:"" &amp; B914,""price"")"),6.93)</f>
        <v>6.93</v>
      </c>
      <c r="G914" s="8">
        <f t="shared" ca="1" si="324"/>
        <v>-17.988165680473369</v>
      </c>
      <c r="H914" s="12">
        <f t="shared" si="325"/>
        <v>2976303049.8499999</v>
      </c>
      <c r="I914" s="13">
        <f t="shared" ca="1" si="326"/>
        <v>2440920726.0899997</v>
      </c>
      <c r="J914" s="64"/>
      <c r="K914" s="14">
        <v>540180</v>
      </c>
      <c r="L914" s="14" t="s">
        <v>3810</v>
      </c>
      <c r="M914" s="15">
        <v>1299109118</v>
      </c>
      <c r="N914" s="17">
        <v>1418.45</v>
      </c>
      <c r="O914" s="17">
        <f ca="1">IFERROR(__xludf.DUMMYFUNCTION("GOOGLEFINANCE(""BOM:"" &amp; K914,""price"")"),1400.65)</f>
        <v>1400.65</v>
      </c>
      <c r="P914" s="14">
        <f t="shared" ca="1" si="302"/>
        <v>-1.2548909020409571</v>
      </c>
      <c r="Q914" s="15">
        <f t="shared" si="303"/>
        <v>1842721328427.1001</v>
      </c>
      <c r="R914" s="16">
        <f t="shared" ca="1" si="304"/>
        <v>1819597186126.7002</v>
      </c>
      <c r="S914" s="63"/>
      <c r="T914" s="8">
        <v>517437</v>
      </c>
      <c r="U914" s="8" t="s">
        <v>3811</v>
      </c>
      <c r="V914" s="12">
        <v>4296280</v>
      </c>
      <c r="W914" s="8">
        <v>155</v>
      </c>
      <c r="X914" s="11">
        <f ca="1">IFERROR(__xludf.DUMMYFUNCTION("GOOGLEFINANCE(""BOM:"" &amp; T914,""price"")"),146.05)</f>
        <v>146.05000000000001</v>
      </c>
      <c r="Y914" s="8">
        <f t="shared" ca="1" si="315"/>
        <v>-5.7741935483870899</v>
      </c>
      <c r="Z914" s="12">
        <f t="shared" si="316"/>
        <v>665923400</v>
      </c>
      <c r="AA914" s="13">
        <f t="shared" ca="1" si="317"/>
        <v>627471694</v>
      </c>
      <c r="AB914" s="63"/>
      <c r="AC914" s="8">
        <v>540570</v>
      </c>
      <c r="AD914" s="8" t="s">
        <v>3812</v>
      </c>
      <c r="AE914" s="12">
        <v>172378000</v>
      </c>
      <c r="AF914" s="8">
        <v>31.6</v>
      </c>
      <c r="AG914" s="8">
        <f ca="1">IFERROR(__xludf.DUMMYFUNCTION("GOOGLEFINANCE(""BOM:"" &amp; AC914,""price"")"),27.78)</f>
        <v>27.78</v>
      </c>
      <c r="AH914" s="8">
        <f t="shared" ca="1" si="327"/>
        <v>-12.088607594936709</v>
      </c>
      <c r="AI914" s="12">
        <f t="shared" si="322"/>
        <v>5447144800</v>
      </c>
      <c r="AJ914" s="13">
        <f t="shared" ca="1" si="323"/>
        <v>4788660840</v>
      </c>
    </row>
    <row r="915" spans="1:36" x14ac:dyDescent="0.25">
      <c r="A915" s="63"/>
      <c r="B915" s="8">
        <v>532945</v>
      </c>
      <c r="C915" s="8" t="s">
        <v>3813</v>
      </c>
      <c r="D915" s="12">
        <v>971527757</v>
      </c>
      <c r="E915" s="8">
        <v>21.14</v>
      </c>
      <c r="F915" s="8">
        <f ca="1">IFERROR(__xludf.DUMMYFUNCTION("GOOGLEFINANCE(""BOM:"" &amp; B915,""price"")"),16.66)</f>
        <v>16.66</v>
      </c>
      <c r="G915" s="8">
        <f t="shared" ca="1" si="324"/>
        <v>-21.192052980132452</v>
      </c>
      <c r="H915" s="12">
        <f t="shared" si="325"/>
        <v>20538096782.98</v>
      </c>
      <c r="I915" s="13">
        <f t="shared" ca="1" si="326"/>
        <v>16185652431.620001</v>
      </c>
      <c r="J915" s="62" t="s">
        <v>3814</v>
      </c>
      <c r="K915" s="6">
        <v>526921</v>
      </c>
      <c r="L915" s="6" t="s">
        <v>3815</v>
      </c>
      <c r="M915" s="7">
        <v>9465416</v>
      </c>
      <c r="N915" s="10">
        <v>50.29</v>
      </c>
      <c r="O915" s="10">
        <f ca="1">IFERROR(__xludf.DUMMYFUNCTION("GOOGLEFINANCE(""BOM:"" &amp; K915,""price"")"),42.99)</f>
        <v>42.99</v>
      </c>
      <c r="P915" s="8">
        <f t="shared" ca="1" si="302"/>
        <v>-14.515808311791604</v>
      </c>
      <c r="Q915" s="7">
        <f t="shared" si="303"/>
        <v>476015770.63999999</v>
      </c>
      <c r="R915" s="9">
        <f t="shared" ca="1" si="304"/>
        <v>406918233.84000003</v>
      </c>
      <c r="S915" s="63"/>
      <c r="T915" s="8">
        <v>526703</v>
      </c>
      <c r="U915" s="8" t="s">
        <v>3816</v>
      </c>
      <c r="V915" s="12">
        <v>2933405</v>
      </c>
      <c r="W915" s="8">
        <v>377.9</v>
      </c>
      <c r="X915" s="11">
        <f ca="1">IFERROR(__xludf.DUMMYFUNCTION("GOOGLEFINANCE(""BOM:"" &amp; T915,""price"")"),282.2)</f>
        <v>282.2</v>
      </c>
      <c r="Y915" s="8">
        <f t="shared" ca="1" si="315"/>
        <v>-25.32415983064303</v>
      </c>
      <c r="Z915" s="12">
        <f t="shared" si="316"/>
        <v>1108533749.5</v>
      </c>
      <c r="AA915" s="13">
        <f t="shared" ca="1" si="317"/>
        <v>827806891</v>
      </c>
      <c r="AB915" s="63"/>
      <c r="AC915" s="8">
        <v>512229</v>
      </c>
      <c r="AD915" s="8" t="s">
        <v>3817</v>
      </c>
      <c r="AE915" s="12">
        <v>22810000</v>
      </c>
      <c r="AF915" s="8">
        <v>808.6</v>
      </c>
      <c r="AG915" s="8">
        <f ca="1">IFERROR(__xludf.DUMMYFUNCTION("GOOGLEFINANCE(""BOM:"" &amp; AC915,""price"")"),1070.3)</f>
        <v>1070.3</v>
      </c>
      <c r="AH915" s="8">
        <f t="shared" ca="1" si="327"/>
        <v>32.364580756863703</v>
      </c>
      <c r="AI915" s="12">
        <f t="shared" si="322"/>
        <v>18444166000</v>
      </c>
      <c r="AJ915" s="13">
        <f t="shared" ca="1" si="323"/>
        <v>24413543000</v>
      </c>
    </row>
    <row r="916" spans="1:36" x14ac:dyDescent="0.25">
      <c r="A916" s="63"/>
      <c r="B916" s="8">
        <v>531260</v>
      </c>
      <c r="C916" s="8" t="s">
        <v>3818</v>
      </c>
      <c r="D916" s="12">
        <v>4142990</v>
      </c>
      <c r="E916" s="8">
        <v>584.95000000000005</v>
      </c>
      <c r="F916" s="8">
        <f ca="1">IFERROR(__xludf.DUMMYFUNCTION("GOOGLEFINANCE(""BOM:"" &amp; B916,""price"")"),446)</f>
        <v>446</v>
      </c>
      <c r="G916" s="8">
        <f t="shared" ca="1" si="324"/>
        <v>-23.754167022822472</v>
      </c>
      <c r="H916" s="12">
        <f t="shared" si="325"/>
        <v>2423442000.5</v>
      </c>
      <c r="I916" s="13">
        <f t="shared" ca="1" si="326"/>
        <v>1847773540</v>
      </c>
      <c r="J916" s="63"/>
      <c r="K916" s="8">
        <v>543324</v>
      </c>
      <c r="L916" s="8" t="s">
        <v>3819</v>
      </c>
      <c r="M916" s="12">
        <v>1137345</v>
      </c>
      <c r="N916" s="10">
        <v>351.5</v>
      </c>
      <c r="O916" s="10">
        <f ca="1">IFERROR(__xludf.DUMMYFUNCTION("GOOGLEFINANCE(""BOM:"" &amp; K916,""price"")"),366)</f>
        <v>366</v>
      </c>
      <c r="P916" s="8">
        <f t="shared" ca="1" si="302"/>
        <v>4.1251778093883358</v>
      </c>
      <c r="Q916" s="12">
        <f t="shared" si="303"/>
        <v>399776767.5</v>
      </c>
      <c r="R916" s="13">
        <f t="shared" ca="1" si="304"/>
        <v>416268270</v>
      </c>
      <c r="S916" s="63"/>
      <c r="T916" s="8">
        <v>500940</v>
      </c>
      <c r="U916" s="8" t="s">
        <v>3820</v>
      </c>
      <c r="V916" s="12">
        <v>594388785</v>
      </c>
      <c r="W916" s="8">
        <v>221</v>
      </c>
      <c r="X916" s="11">
        <f ca="1">IFERROR(__xludf.DUMMYFUNCTION("GOOGLEFINANCE(""BOM:"" &amp; T916,""price"")"),246.9)</f>
        <v>246.9</v>
      </c>
      <c r="Y916" s="8">
        <f t="shared" ca="1" si="315"/>
        <v>11.719457013574663</v>
      </c>
      <c r="Z916" s="12">
        <f t="shared" si="316"/>
        <v>131359921485</v>
      </c>
      <c r="AA916" s="13">
        <f t="shared" ca="1" si="317"/>
        <v>146754591016.5</v>
      </c>
      <c r="AB916" s="63"/>
      <c r="AC916" s="8">
        <v>542655</v>
      </c>
      <c r="AD916" s="8" t="s">
        <v>3821</v>
      </c>
      <c r="AE916" s="12">
        <v>1228230628</v>
      </c>
      <c r="AF916" s="8">
        <v>6</v>
      </c>
      <c r="AG916" s="8">
        <f ca="1">IFERROR(__xludf.DUMMYFUNCTION("GOOGLEFINANCE(""BOM:"" &amp; AC916,""price"")"),4.85)</f>
        <v>4.8499999999999996</v>
      </c>
      <c r="AH916" s="8">
        <f t="shared" ca="1" si="327"/>
        <v>-19.166666666666675</v>
      </c>
      <c r="AI916" s="12">
        <f t="shared" si="322"/>
        <v>7369383768</v>
      </c>
      <c r="AJ916" s="13">
        <f t="shared" ca="1" si="323"/>
        <v>5956918545.7999992</v>
      </c>
    </row>
    <row r="917" spans="1:36" x14ac:dyDescent="0.25">
      <c r="A917" s="63"/>
      <c r="B917" s="8">
        <v>532904</v>
      </c>
      <c r="C917" s="8" t="s">
        <v>3822</v>
      </c>
      <c r="D917" s="12">
        <v>25698361</v>
      </c>
      <c r="E917" s="8">
        <v>74.27</v>
      </c>
      <c r="F917" s="8">
        <f ca="1">IFERROR(__xludf.DUMMYFUNCTION("GOOGLEFINANCE(""BOM:"" &amp; B917,""price"")"),65.83)</f>
        <v>65.83</v>
      </c>
      <c r="G917" s="8">
        <f t="shared" ca="1" si="324"/>
        <v>-11.363942372424933</v>
      </c>
      <c r="H917" s="12">
        <f t="shared" si="325"/>
        <v>1908617271.4699998</v>
      </c>
      <c r="I917" s="13">
        <f t="shared" ca="1" si="326"/>
        <v>1691723104.6299999</v>
      </c>
      <c r="J917" s="63"/>
      <c r="K917" s="8">
        <v>531176</v>
      </c>
      <c r="L917" s="8" t="s">
        <v>3823</v>
      </c>
      <c r="M917" s="12">
        <v>8798043</v>
      </c>
      <c r="N917" s="10">
        <v>14.84</v>
      </c>
      <c r="O917" s="10">
        <f ca="1">IFERROR(__xludf.DUMMYFUNCTION("GOOGLEFINANCE(""BOM:"" &amp; K917,""price"")"),12.48)</f>
        <v>12.48</v>
      </c>
      <c r="P917" s="8">
        <f t="shared" ca="1" si="302"/>
        <v>-15.902964959568729</v>
      </c>
      <c r="Q917" s="12">
        <f t="shared" si="303"/>
        <v>130562958.12</v>
      </c>
      <c r="R917" s="13">
        <f t="shared" ca="1" si="304"/>
        <v>109799576.64</v>
      </c>
      <c r="S917" s="63"/>
      <c r="T917" s="8">
        <v>543239</v>
      </c>
      <c r="U917" s="8" t="s">
        <v>3824</v>
      </c>
      <c r="V917" s="12">
        <v>13459600</v>
      </c>
      <c r="W917" s="8">
        <v>190.5</v>
      </c>
      <c r="X917" s="11">
        <f ca="1">IFERROR(__xludf.DUMMYFUNCTION("GOOGLEFINANCE(""BOM:"" &amp; T917,""price"")"),169.5)</f>
        <v>169.5</v>
      </c>
      <c r="Y917" s="8">
        <f t="shared" ca="1" si="315"/>
        <v>-11.023622047244094</v>
      </c>
      <c r="Z917" s="12">
        <f t="shared" si="316"/>
        <v>2564053800</v>
      </c>
      <c r="AA917" s="13">
        <f t="shared" ca="1" si="317"/>
        <v>2281402200</v>
      </c>
      <c r="AB917" s="63"/>
      <c r="AC917" s="8">
        <v>506196</v>
      </c>
      <c r="AD917" s="8" t="s">
        <v>3825</v>
      </c>
      <c r="AE917" s="12">
        <v>400</v>
      </c>
      <c r="AF917" s="8">
        <v>4.25</v>
      </c>
      <c r="AG917" s="8">
        <v>4.25</v>
      </c>
      <c r="AH917" s="8">
        <f t="shared" si="327"/>
        <v>0</v>
      </c>
      <c r="AI917" s="12">
        <f t="shared" si="322"/>
        <v>1700</v>
      </c>
      <c r="AJ917" s="13">
        <f t="shared" si="323"/>
        <v>1700</v>
      </c>
    </row>
    <row r="918" spans="1:36" x14ac:dyDescent="0.25">
      <c r="A918" s="63"/>
      <c r="B918" s="8">
        <v>542760</v>
      </c>
      <c r="C918" s="8" t="s">
        <v>3826</v>
      </c>
      <c r="D918" s="12">
        <v>189693333</v>
      </c>
      <c r="E918" s="8">
        <v>597.9</v>
      </c>
      <c r="F918" s="8">
        <f ca="1">IFERROR(__xludf.DUMMYFUNCTION("GOOGLEFINANCE(""BOM:"" &amp; B918,""price"")"),522.9)</f>
        <v>522.9</v>
      </c>
      <c r="G918" s="8">
        <f t="shared" ca="1" si="324"/>
        <v>-12.543903662819869</v>
      </c>
      <c r="H918" s="12">
        <f t="shared" si="325"/>
        <v>113417643800.7</v>
      </c>
      <c r="I918" s="13">
        <f t="shared" ca="1" si="326"/>
        <v>99190643825.699997</v>
      </c>
      <c r="J918" s="64"/>
      <c r="K918" s="14">
        <v>500069</v>
      </c>
      <c r="L918" s="14" t="s">
        <v>3827</v>
      </c>
      <c r="M918" s="15">
        <v>9877372</v>
      </c>
      <c r="N918" s="17">
        <v>344</v>
      </c>
      <c r="O918" s="17">
        <f ca="1">IFERROR(__xludf.DUMMYFUNCTION("GOOGLEFINANCE(""BOM:"" &amp; K918,""price"")"),330)</f>
        <v>330</v>
      </c>
      <c r="P918" s="14">
        <f t="shared" ca="1" si="302"/>
        <v>-4.0697674418604652</v>
      </c>
      <c r="Q918" s="15">
        <f t="shared" si="303"/>
        <v>3397815968</v>
      </c>
      <c r="R918" s="16">
        <f t="shared" ca="1" si="304"/>
        <v>3259532760</v>
      </c>
      <c r="S918" s="63"/>
      <c r="T918" s="8">
        <v>500655</v>
      </c>
      <c r="U918" s="8" t="s">
        <v>3828</v>
      </c>
      <c r="V918" s="12">
        <v>22564360</v>
      </c>
      <c r="W918" s="8">
        <v>1965</v>
      </c>
      <c r="X918" s="11">
        <f ca="1">IFERROR(__xludf.DUMMYFUNCTION("GOOGLEFINANCE(""BOM:"" &amp; T918,""price"")"),1740.75)</f>
        <v>1740.75</v>
      </c>
      <c r="Y918" s="8">
        <f t="shared" ca="1" si="315"/>
        <v>-11.412213740458016</v>
      </c>
      <c r="Z918" s="12">
        <f t="shared" si="316"/>
        <v>44338967400</v>
      </c>
      <c r="AA918" s="13">
        <f t="shared" ca="1" si="317"/>
        <v>39278909670</v>
      </c>
      <c r="AB918" s="63"/>
      <c r="AC918" s="8">
        <v>538920</v>
      </c>
      <c r="AD918" s="8" t="s">
        <v>3829</v>
      </c>
      <c r="AE918" s="12">
        <v>69742858</v>
      </c>
      <c r="AF918" s="8">
        <v>58.02</v>
      </c>
      <c r="AG918" s="8">
        <f ca="1">IFERROR(__xludf.DUMMYFUNCTION("GOOGLEFINANCE(""BOM:"" &amp; AC918,""price"")"),55.11)</f>
        <v>55.11</v>
      </c>
      <c r="AH918" s="8">
        <f t="shared" ca="1" si="327"/>
        <v>-5.0155118924508848</v>
      </c>
      <c r="AI918" s="12">
        <f t="shared" si="322"/>
        <v>4046480621.1600003</v>
      </c>
      <c r="AJ918" s="13">
        <f t="shared" ca="1" si="323"/>
        <v>3843528904.3800001</v>
      </c>
    </row>
    <row r="919" spans="1:36" x14ac:dyDescent="0.25">
      <c r="A919" s="63"/>
      <c r="B919" s="8">
        <v>542141</v>
      </c>
      <c r="C919" s="8" t="s">
        <v>3830</v>
      </c>
      <c r="D919" s="12">
        <v>109875701</v>
      </c>
      <c r="E919" s="8">
        <v>726.35</v>
      </c>
      <c r="F919" s="8">
        <f ca="1">IFERROR(__xludf.DUMMYFUNCTION("GOOGLEFINANCE(""BOM:"" &amp; B919,""price"")"),765)</f>
        <v>765</v>
      </c>
      <c r="G919" s="8">
        <f t="shared" ca="1" si="324"/>
        <v>5.3211261788393989</v>
      </c>
      <c r="H919" s="12">
        <f t="shared" si="325"/>
        <v>79808215421.350006</v>
      </c>
      <c r="I919" s="13">
        <f t="shared" ca="1" si="326"/>
        <v>84054911265</v>
      </c>
      <c r="J919" s="62" t="s">
        <v>3831</v>
      </c>
      <c r="K919" s="6">
        <v>514171</v>
      </c>
      <c r="L919" s="6" t="s">
        <v>3832</v>
      </c>
      <c r="M919" s="7">
        <v>11233300</v>
      </c>
      <c r="N919" s="10">
        <v>33.57</v>
      </c>
      <c r="O919" s="10">
        <f ca="1">IFERROR(__xludf.DUMMYFUNCTION("GOOGLEFINANCE(""BOM:"" &amp; K919,""price"")"),32.35)</f>
        <v>32.35</v>
      </c>
      <c r="P919" s="8">
        <f t="shared" ca="1" si="302"/>
        <v>-3.6341971998808424</v>
      </c>
      <c r="Q919" s="7">
        <f t="shared" si="303"/>
        <v>377101881</v>
      </c>
      <c r="R919" s="9">
        <f t="shared" ca="1" si="304"/>
        <v>363397255</v>
      </c>
      <c r="S919" s="63"/>
      <c r="T919" s="8">
        <v>514428</v>
      </c>
      <c r="U919" s="8" t="s">
        <v>3833</v>
      </c>
      <c r="V919" s="12">
        <v>4677327</v>
      </c>
      <c r="W919" s="8">
        <v>439.7</v>
      </c>
      <c r="X919" s="11">
        <f ca="1">IFERROR(__xludf.DUMMYFUNCTION("GOOGLEFINANCE(""BOM:"" &amp; T919,""price"")"),365)</f>
        <v>365</v>
      </c>
      <c r="Y919" s="8">
        <f t="shared" ca="1" si="315"/>
        <v>-16.988856038207867</v>
      </c>
      <c r="Z919" s="12">
        <f t="shared" si="316"/>
        <v>2056620681.8999999</v>
      </c>
      <c r="AA919" s="13">
        <f t="shared" ca="1" si="317"/>
        <v>1707224355</v>
      </c>
      <c r="AB919" s="63"/>
      <c r="AC919" s="8">
        <v>540823</v>
      </c>
      <c r="AD919" s="8" t="s">
        <v>3834</v>
      </c>
      <c r="AE919" s="12">
        <v>4319658</v>
      </c>
      <c r="AF919" s="8">
        <v>14.88</v>
      </c>
      <c r="AG919" s="8">
        <f ca="1">IFERROR(__xludf.DUMMYFUNCTION("GOOGLEFINANCE(""BOM:"" &amp; AC919,""price"")"),12.14)</f>
        <v>12.14</v>
      </c>
      <c r="AH919" s="8">
        <f t="shared" ca="1" si="327"/>
        <v>-18.413978494623656</v>
      </c>
      <c r="AI919" s="12">
        <f t="shared" si="322"/>
        <v>64276511.040000007</v>
      </c>
      <c r="AJ919" s="13">
        <f t="shared" ca="1" si="323"/>
        <v>52440648.120000005</v>
      </c>
    </row>
    <row r="920" spans="1:36" x14ac:dyDescent="0.25">
      <c r="A920" s="63"/>
      <c r="B920" s="8">
        <v>533156</v>
      </c>
      <c r="C920" s="8" t="s">
        <v>3835</v>
      </c>
      <c r="D920" s="12">
        <v>217317109</v>
      </c>
      <c r="E920" s="8">
        <v>76.39</v>
      </c>
      <c r="F920" s="8">
        <f ca="1">IFERROR(__xludf.DUMMYFUNCTION("GOOGLEFINANCE(""BOM:"" &amp; B920,""price"")"),61.2)</f>
        <v>61.2</v>
      </c>
      <c r="G920" s="8">
        <f t="shared" ca="1" si="324"/>
        <v>-19.884801675611989</v>
      </c>
      <c r="H920" s="12">
        <f t="shared" si="325"/>
        <v>16600853956.51</v>
      </c>
      <c r="I920" s="13">
        <f t="shared" ca="1" si="326"/>
        <v>13299807070.800001</v>
      </c>
      <c r="J920" s="63"/>
      <c r="K920" s="8">
        <v>526315</v>
      </c>
      <c r="L920" s="8" t="s">
        <v>3836</v>
      </c>
      <c r="M920" s="12">
        <v>9860857</v>
      </c>
      <c r="N920" s="10">
        <v>77.900000000000006</v>
      </c>
      <c r="O920" s="10">
        <f ca="1">IFERROR(__xludf.DUMMYFUNCTION("GOOGLEFINANCE(""BOM:"" &amp; K920,""price"")"),75.22)</f>
        <v>75.22</v>
      </c>
      <c r="P920" s="8">
        <f t="shared" ca="1" si="302"/>
        <v>-3.4403080872914078</v>
      </c>
      <c r="Q920" s="12">
        <f t="shared" si="303"/>
        <v>768160760.30000007</v>
      </c>
      <c r="R920" s="13">
        <f t="shared" ca="1" si="304"/>
        <v>741733663.53999996</v>
      </c>
      <c r="S920" s="63"/>
      <c r="T920" s="8">
        <v>531929</v>
      </c>
      <c r="U920" s="8" t="s">
        <v>3837</v>
      </c>
      <c r="V920" s="12">
        <v>7704299</v>
      </c>
      <c r="W920" s="8">
        <v>5.85</v>
      </c>
      <c r="X920" s="11">
        <f ca="1">IFERROR(__xludf.DUMMYFUNCTION("GOOGLEFINANCE(""BOM:"" &amp; T920,""price"")"),4.99)</f>
        <v>4.99</v>
      </c>
      <c r="Y920" s="8">
        <f t="shared" ca="1" si="315"/>
        <v>-14.700854700854693</v>
      </c>
      <c r="Z920" s="12">
        <f t="shared" si="316"/>
        <v>45070149.149999999</v>
      </c>
      <c r="AA920" s="13">
        <f t="shared" ca="1" si="317"/>
        <v>38444452.010000005</v>
      </c>
      <c r="AB920" s="63"/>
      <c r="AC920" s="8">
        <v>542667</v>
      </c>
      <c r="AD920" s="8" t="s">
        <v>3838</v>
      </c>
      <c r="AE920" s="12">
        <v>32724000</v>
      </c>
      <c r="AF920" s="8">
        <v>7.43</v>
      </c>
      <c r="AG920" s="8">
        <f ca="1">IFERROR(__xludf.DUMMYFUNCTION("GOOGLEFINANCE(""BOM:"" &amp; AC920,""price"")"),6.8)</f>
        <v>6.8</v>
      </c>
      <c r="AH920" s="8">
        <f t="shared" ca="1" si="327"/>
        <v>-8.4791386271870781</v>
      </c>
      <c r="AI920" s="12">
        <f t="shared" si="322"/>
        <v>243139320</v>
      </c>
      <c r="AJ920" s="13">
        <f t="shared" ca="1" si="323"/>
        <v>222523200</v>
      </c>
    </row>
    <row r="921" spans="1:36" x14ac:dyDescent="0.25">
      <c r="A921" s="63"/>
      <c r="B921" s="8">
        <v>532553</v>
      </c>
      <c r="C921" s="8" t="s">
        <v>3839</v>
      </c>
      <c r="D921" s="12">
        <v>149552517</v>
      </c>
      <c r="E921" s="8">
        <v>329</v>
      </c>
      <c r="F921" s="8">
        <f ca="1">IFERROR(__xludf.DUMMYFUNCTION("GOOGLEFINANCE(""BOM:"" &amp; B921,""price"")"),303)</f>
        <v>303</v>
      </c>
      <c r="G921" s="8">
        <f t="shared" ca="1" si="324"/>
        <v>-7.9027355623100304</v>
      </c>
      <c r="H921" s="12">
        <f t="shared" si="325"/>
        <v>49202778093</v>
      </c>
      <c r="I921" s="13">
        <f t="shared" ca="1" si="326"/>
        <v>45314412651</v>
      </c>
      <c r="J921" s="63"/>
      <c r="K921" s="8">
        <v>513528</v>
      </c>
      <c r="L921" s="8" t="s">
        <v>3840</v>
      </c>
      <c r="M921" s="12">
        <v>24779070</v>
      </c>
      <c r="N921" s="10">
        <v>3.45</v>
      </c>
      <c r="O921" s="10">
        <f ca="1">IFERROR(__xludf.DUMMYFUNCTION("GOOGLEFINANCE(""BOM:"" &amp; K921,""price"")"),3.05)</f>
        <v>3.05</v>
      </c>
      <c r="P921" s="8">
        <f t="shared" ca="1" si="302"/>
        <v>-11.594202898550735</v>
      </c>
      <c r="Q921" s="12">
        <f t="shared" si="303"/>
        <v>85487791.5</v>
      </c>
      <c r="R921" s="13">
        <f t="shared" ca="1" si="304"/>
        <v>75576163.5</v>
      </c>
      <c r="S921" s="63"/>
      <c r="T921" s="8">
        <v>512237</v>
      </c>
      <c r="U921" s="8" t="s">
        <v>3841</v>
      </c>
      <c r="V921" s="12">
        <v>178052117</v>
      </c>
      <c r="W921" s="8">
        <v>316</v>
      </c>
      <c r="X921" s="11">
        <f ca="1">IFERROR(__xludf.DUMMYFUNCTION("GOOGLEFINANCE(""BOM:"" &amp; T921,""price"")"),281)</f>
        <v>281</v>
      </c>
      <c r="Y921" s="8">
        <f t="shared" ca="1" si="315"/>
        <v>-11.075949367088606</v>
      </c>
      <c r="Z921" s="12">
        <f t="shared" si="316"/>
        <v>56264468972</v>
      </c>
      <c r="AA921" s="13">
        <f t="shared" ca="1" si="317"/>
        <v>50032644877</v>
      </c>
      <c r="AB921" s="63"/>
      <c r="AC921" s="8">
        <v>526525</v>
      </c>
      <c r="AD921" s="8" t="s">
        <v>3842</v>
      </c>
      <c r="AE921" s="12">
        <v>2678962</v>
      </c>
      <c r="AF921" s="8">
        <v>17.37</v>
      </c>
      <c r="AG921" s="8">
        <f ca="1">IFERROR(__xludf.DUMMYFUNCTION("GOOGLEFINANCE(""BOM:"" &amp; AC921,""price"")"),14.74)</f>
        <v>14.74</v>
      </c>
      <c r="AH921" s="8">
        <f t="shared" ca="1" si="327"/>
        <v>-15.141047783534834</v>
      </c>
      <c r="AI921" s="12">
        <f t="shared" si="322"/>
        <v>46533569.940000005</v>
      </c>
      <c r="AJ921" s="13">
        <f t="shared" ca="1" si="323"/>
        <v>39487899.880000003</v>
      </c>
    </row>
    <row r="922" spans="1:36" x14ac:dyDescent="0.25">
      <c r="A922" s="64"/>
      <c r="B922" s="14">
        <v>543416</v>
      </c>
      <c r="C922" s="14" t="s">
        <v>3843</v>
      </c>
      <c r="D922" s="15">
        <v>14618640</v>
      </c>
      <c r="E922" s="8">
        <v>398.75</v>
      </c>
      <c r="F922" s="14">
        <f ca="1">IFERROR(__xludf.DUMMYFUNCTION("GOOGLEFINANCE(""BOM:"" &amp; B922,""price"")"),388.8)</f>
        <v>388.8</v>
      </c>
      <c r="G922" s="14">
        <f t="shared" ca="1" si="324"/>
        <v>-2.4952978056426307</v>
      </c>
      <c r="H922" s="15">
        <f t="shared" si="325"/>
        <v>5829182700</v>
      </c>
      <c r="I922" s="16">
        <f t="shared" ca="1" si="326"/>
        <v>5683727232</v>
      </c>
      <c r="J922" s="63"/>
      <c r="K922" s="8">
        <v>531129</v>
      </c>
      <c r="L922" s="8" t="s">
        <v>3844</v>
      </c>
      <c r="M922" s="12">
        <v>18112925</v>
      </c>
      <c r="N922" s="10">
        <v>23.31</v>
      </c>
      <c r="O922" s="10">
        <f ca="1">IFERROR(__xludf.DUMMYFUNCTION("GOOGLEFINANCE(""BOM:"" &amp; K922,""price"")"),21.25)</f>
        <v>21.25</v>
      </c>
      <c r="P922" s="8">
        <f t="shared" ca="1" si="302"/>
        <v>-8.837408837408832</v>
      </c>
      <c r="Q922" s="12">
        <f t="shared" si="303"/>
        <v>422212281.75</v>
      </c>
      <c r="R922" s="13">
        <f t="shared" ca="1" si="304"/>
        <v>384899656.25</v>
      </c>
      <c r="S922" s="63"/>
      <c r="T922" s="8">
        <v>570004</v>
      </c>
      <c r="U922" s="8" t="s">
        <v>3845</v>
      </c>
      <c r="V922" s="12">
        <v>19181839</v>
      </c>
      <c r="W922" s="8">
        <v>32.67</v>
      </c>
      <c r="X922" s="11">
        <f ca="1">IFERROR(__xludf.DUMMYFUNCTION("GOOGLEFINANCE(""BOM:"" &amp; T922,""price"")"),28.84)</f>
        <v>28.84</v>
      </c>
      <c r="Y922" s="8">
        <f t="shared" ca="1" si="315"/>
        <v>-11.723293541475364</v>
      </c>
      <c r="Z922" s="12">
        <f t="shared" si="316"/>
        <v>626670680.13</v>
      </c>
      <c r="AA922" s="13">
        <f t="shared" ca="1" si="317"/>
        <v>553204236.75999999</v>
      </c>
      <c r="AB922" s="63"/>
      <c r="AC922" s="8">
        <v>514378</v>
      </c>
      <c r="AD922" s="8" t="s">
        <v>3846</v>
      </c>
      <c r="AE922" s="12">
        <v>3533959</v>
      </c>
      <c r="AF922" s="8">
        <v>30.01</v>
      </c>
      <c r="AG922" s="8">
        <f ca="1">IFERROR(__xludf.DUMMYFUNCTION("GOOGLEFINANCE(""BOM:"" &amp; AC922,""price"")"),23.4)</f>
        <v>23.4</v>
      </c>
      <c r="AH922" s="8">
        <f t="shared" ca="1" si="327"/>
        <v>-22.025991336221267</v>
      </c>
      <c r="AI922" s="12">
        <f t="shared" si="322"/>
        <v>106054109.59</v>
      </c>
      <c r="AJ922" s="13">
        <f t="shared" ca="1" si="323"/>
        <v>82694640.599999994</v>
      </c>
    </row>
    <row r="923" spans="1:36" x14ac:dyDescent="0.25">
      <c r="A923" s="62" t="s">
        <v>3847</v>
      </c>
      <c r="B923" s="6">
        <v>541865</v>
      </c>
      <c r="C923" s="6" t="s">
        <v>3848</v>
      </c>
      <c r="D923" s="7">
        <v>19255154</v>
      </c>
      <c r="E923" s="6">
        <v>28.1</v>
      </c>
      <c r="F923" s="8">
        <f ca="1">IFERROR(__xludf.DUMMYFUNCTION("GOOGLEFINANCE(""BOM:"" &amp; B923,""price"")"),18.71)</f>
        <v>18.71</v>
      </c>
      <c r="G923" s="8">
        <f t="shared" ca="1" si="324"/>
        <v>-33.416370106761569</v>
      </c>
      <c r="H923" s="7">
        <f t="shared" si="325"/>
        <v>541069827.39999998</v>
      </c>
      <c r="I923" s="9">
        <f t="shared" ca="1" si="326"/>
        <v>360263931.34000003</v>
      </c>
      <c r="J923" s="63"/>
      <c r="K923" s="8">
        <v>523467</v>
      </c>
      <c r="L923" s="8" t="s">
        <v>3849</v>
      </c>
      <c r="M923" s="12">
        <v>98759317</v>
      </c>
      <c r="N923" s="10">
        <v>2.0099999999999998</v>
      </c>
      <c r="O923" s="10">
        <f ca="1">IFERROR(__xludf.DUMMYFUNCTION("GOOGLEFINANCE(""BOM:"" &amp; K923,""price"")"),1.69)</f>
        <v>1.69</v>
      </c>
      <c r="P923" s="8">
        <f t="shared" ca="1" si="302"/>
        <v>-15.920398009950244</v>
      </c>
      <c r="Q923" s="12">
        <f t="shared" si="303"/>
        <v>198506227.16999999</v>
      </c>
      <c r="R923" s="13">
        <f t="shared" ca="1" si="304"/>
        <v>166903245.72999999</v>
      </c>
      <c r="S923" s="63"/>
      <c r="T923" s="8">
        <v>500219</v>
      </c>
      <c r="U923" s="8" t="s">
        <v>3850</v>
      </c>
      <c r="V923" s="12">
        <v>591088206</v>
      </c>
      <c r="W923" s="8">
        <v>56.81</v>
      </c>
      <c r="X923" s="11">
        <f ca="1">IFERROR(__xludf.DUMMYFUNCTION("GOOGLEFINANCE(""BOM:"" &amp; T923,""price"")"),48.95)</f>
        <v>48.95</v>
      </c>
      <c r="Y923" s="8">
        <f t="shared" ca="1" si="315"/>
        <v>-13.83559232529484</v>
      </c>
      <c r="Z923" s="12">
        <f t="shared" si="316"/>
        <v>33579720982.860001</v>
      </c>
      <c r="AA923" s="13">
        <f t="shared" ca="1" si="317"/>
        <v>28933767683.700001</v>
      </c>
      <c r="AB923" s="63"/>
      <c r="AC923" s="8">
        <v>511601</v>
      </c>
      <c r="AD923" s="8" t="s">
        <v>3851</v>
      </c>
      <c r="AE923" s="12">
        <v>16692049</v>
      </c>
      <c r="AF923" s="8">
        <v>15.81</v>
      </c>
      <c r="AG923" s="8">
        <f ca="1">IFERROR(__xludf.DUMMYFUNCTION("GOOGLEFINANCE(""BOM:"" &amp; AC923,""price"")"),12.8)</f>
        <v>12.8</v>
      </c>
      <c r="AH923" s="8">
        <f t="shared" ca="1" si="327"/>
        <v>-19.038583175205563</v>
      </c>
      <c r="AI923" s="12">
        <f t="shared" si="322"/>
        <v>263901294.69</v>
      </c>
      <c r="AJ923" s="13">
        <f t="shared" ca="1" si="323"/>
        <v>213658227.20000002</v>
      </c>
    </row>
    <row r="924" spans="1:36" x14ac:dyDescent="0.25">
      <c r="A924" s="63"/>
      <c r="B924" s="8">
        <v>543333</v>
      </c>
      <c r="C924" s="8" t="s">
        <v>3852</v>
      </c>
      <c r="D924" s="12">
        <v>46597117</v>
      </c>
      <c r="E924" s="8">
        <v>772.95</v>
      </c>
      <c r="F924" s="8">
        <f ca="1">IFERROR(__xludf.DUMMYFUNCTION("GOOGLEFINANCE(""BOM:"" &amp; B924,""price"")"),637.35)</f>
        <v>637.35</v>
      </c>
      <c r="G924" s="8">
        <f t="shared" ca="1" si="324"/>
        <v>-17.543178730836409</v>
      </c>
      <c r="H924" s="12">
        <f t="shared" si="325"/>
        <v>36017241585.150002</v>
      </c>
      <c r="I924" s="13">
        <f t="shared" ca="1" si="326"/>
        <v>29698672519.950001</v>
      </c>
      <c r="J924" s="63"/>
      <c r="K924" s="8">
        <v>539119</v>
      </c>
      <c r="L924" s="8" t="s">
        <v>3853</v>
      </c>
      <c r="M924" s="12">
        <v>2191000</v>
      </c>
      <c r="N924" s="10">
        <v>22.06</v>
      </c>
      <c r="O924" s="10">
        <f ca="1">IFERROR(__xludf.DUMMYFUNCTION("GOOGLEFINANCE(""BOM:"" &amp; K924,""price"")"),23.16)</f>
        <v>23.16</v>
      </c>
      <c r="P924" s="8">
        <f t="shared" ca="1" si="302"/>
        <v>4.9864007252946578</v>
      </c>
      <c r="Q924" s="12">
        <f t="shared" si="303"/>
        <v>48333460</v>
      </c>
      <c r="R924" s="13">
        <f t="shared" ca="1" si="304"/>
        <v>50743560</v>
      </c>
      <c r="S924" s="63"/>
      <c r="T924" s="8">
        <v>523712</v>
      </c>
      <c r="U924" s="8" t="s">
        <v>3854</v>
      </c>
      <c r="V924" s="12">
        <v>19709037</v>
      </c>
      <c r="W924" s="8">
        <v>2.21</v>
      </c>
      <c r="X924" s="11">
        <f ca="1">IFERROR(__xludf.DUMMYFUNCTION("GOOGLEFINANCE(""BOM:"" &amp; T924,""price"")"),1.92)</f>
        <v>1.92</v>
      </c>
      <c r="Y924" s="8">
        <f t="shared" ca="1" si="315"/>
        <v>-13.122171945701359</v>
      </c>
      <c r="Z924" s="12">
        <f t="shared" si="316"/>
        <v>43556971.769999996</v>
      </c>
      <c r="AA924" s="13">
        <f t="shared" ca="1" si="317"/>
        <v>37841351.039999999</v>
      </c>
      <c r="AB924" s="63"/>
      <c r="AC924" s="8">
        <v>540980</v>
      </c>
      <c r="AD924" s="8" t="s">
        <v>3855</v>
      </c>
      <c r="AE924" s="12">
        <v>302926</v>
      </c>
      <c r="AF924" s="8">
        <v>26500</v>
      </c>
      <c r="AG924" s="8">
        <f ca="1">IFERROR(__xludf.DUMMYFUNCTION("GOOGLEFINANCE(""BOM:"" &amp; AC924,""price"")"),24000)</f>
        <v>24000</v>
      </c>
      <c r="AH924" s="8">
        <f t="shared" ca="1" si="327"/>
        <v>-9.433962264150944</v>
      </c>
      <c r="AI924" s="12">
        <f t="shared" si="322"/>
        <v>8027539000</v>
      </c>
      <c r="AJ924" s="13">
        <f t="shared" ca="1" si="323"/>
        <v>7270224000</v>
      </c>
    </row>
    <row r="925" spans="1:36" x14ac:dyDescent="0.25">
      <c r="A925" s="63"/>
      <c r="B925" s="8">
        <v>543521</v>
      </c>
      <c r="C925" s="8" t="s">
        <v>3856</v>
      </c>
      <c r="D925" s="12">
        <v>5750000</v>
      </c>
      <c r="E925" s="8">
        <v>5.52</v>
      </c>
      <c r="F925" s="8">
        <f ca="1">IFERROR(__xludf.DUMMYFUNCTION("GOOGLEFINANCE(""BOM:"" &amp; B925,""price"")"),4.57)</f>
        <v>4.57</v>
      </c>
      <c r="G925" s="8">
        <f t="shared" ca="1" si="324"/>
        <v>-17.21014492753622</v>
      </c>
      <c r="H925" s="12">
        <f t="shared" si="325"/>
        <v>31739999.999999996</v>
      </c>
      <c r="I925" s="13">
        <f t="shared" ca="1" si="326"/>
        <v>26277500</v>
      </c>
      <c r="J925" s="63"/>
      <c r="K925" s="8">
        <v>502250</v>
      </c>
      <c r="L925" s="8" t="s">
        <v>3857</v>
      </c>
      <c r="M925" s="12">
        <v>694670</v>
      </c>
      <c r="N925" s="10">
        <v>480.1</v>
      </c>
      <c r="O925" s="10">
        <f ca="1">IFERROR(__xludf.DUMMYFUNCTION("GOOGLEFINANCE(""BOM:"" &amp; K925,""price"")"),375.25)</f>
        <v>375.25</v>
      </c>
      <c r="P925" s="8">
        <f t="shared" ca="1" si="302"/>
        <v>-21.839200166631954</v>
      </c>
      <c r="Q925" s="12">
        <f t="shared" si="303"/>
        <v>333511067</v>
      </c>
      <c r="R925" s="13">
        <f t="shared" ca="1" si="304"/>
        <v>260674917.5</v>
      </c>
      <c r="S925" s="63"/>
      <c r="T925" s="8">
        <v>524019</v>
      </c>
      <c r="U925" s="8" t="s">
        <v>3858</v>
      </c>
      <c r="V925" s="12">
        <v>12042631</v>
      </c>
      <c r="W925" s="8">
        <v>1930</v>
      </c>
      <c r="X925" s="11">
        <f ca="1">IFERROR(__xludf.DUMMYFUNCTION("GOOGLEFINANCE(""BOM:"" &amp; T925,""price"")"),1938.5)</f>
        <v>1938.5</v>
      </c>
      <c r="Y925" s="8">
        <f t="shared" ca="1" si="315"/>
        <v>0.44041450777202068</v>
      </c>
      <c r="Z925" s="12">
        <f t="shared" si="316"/>
        <v>23242277830</v>
      </c>
      <c r="AA925" s="13">
        <f t="shared" ca="1" si="317"/>
        <v>23344640193.5</v>
      </c>
      <c r="AB925" s="63"/>
      <c r="AC925" s="8">
        <v>501111</v>
      </c>
      <c r="AD925" s="8" t="s">
        <v>3859</v>
      </c>
      <c r="AE925" s="12">
        <v>768030</v>
      </c>
      <c r="AF925" s="8">
        <v>11.02</v>
      </c>
      <c r="AG925" s="8">
        <f ca="1">IFERROR(__xludf.DUMMYFUNCTION("GOOGLEFINANCE(""BOM:"" &amp; AC925,""price"")"),11.02)</f>
        <v>11.02</v>
      </c>
      <c r="AH925" s="8">
        <f t="shared" ca="1" si="327"/>
        <v>0</v>
      </c>
      <c r="AI925" s="12">
        <f t="shared" si="322"/>
        <v>8463690.5999999996</v>
      </c>
      <c r="AJ925" s="13">
        <f t="shared" ca="1" si="323"/>
        <v>8463690.5999999996</v>
      </c>
    </row>
    <row r="926" spans="1:36" x14ac:dyDescent="0.25">
      <c r="A926" s="63"/>
      <c r="B926" s="8">
        <v>533181</v>
      </c>
      <c r="C926" s="8" t="s">
        <v>3860</v>
      </c>
      <c r="D926" s="12">
        <v>14711651</v>
      </c>
      <c r="E926" s="8">
        <v>156.5</v>
      </c>
      <c r="F926" s="8">
        <f ca="1">IFERROR(__xludf.DUMMYFUNCTION("GOOGLEFINANCE(""BOM:"" &amp; B926,""price"")"),110)</f>
        <v>110</v>
      </c>
      <c r="G926" s="8">
        <f t="shared" ca="1" si="324"/>
        <v>-29.712460063897762</v>
      </c>
      <c r="H926" s="12">
        <f t="shared" si="325"/>
        <v>2302373381.5</v>
      </c>
      <c r="I926" s="13">
        <f t="shared" ca="1" si="326"/>
        <v>1618281610</v>
      </c>
      <c r="J926" s="63"/>
      <c r="K926" s="8">
        <v>531281</v>
      </c>
      <c r="L926" s="8" t="s">
        <v>3861</v>
      </c>
      <c r="M926" s="12">
        <v>10039108</v>
      </c>
      <c r="N926" s="10">
        <v>19</v>
      </c>
      <c r="O926" s="10">
        <f ca="1">IFERROR(__xludf.DUMMYFUNCTION("GOOGLEFINANCE(""BOM:"" &amp; K926,""price"")"),15.44)</f>
        <v>15.44</v>
      </c>
      <c r="P926" s="8">
        <f t="shared" ca="1" si="302"/>
        <v>-18.736842105263161</v>
      </c>
      <c r="Q926" s="12">
        <f t="shared" si="303"/>
        <v>190743052</v>
      </c>
      <c r="R926" s="13">
        <f t="shared" ca="1" si="304"/>
        <v>155003827.51999998</v>
      </c>
      <c r="S926" s="63"/>
      <c r="T926" s="8">
        <v>530145</v>
      </c>
      <c r="U926" s="8" t="s">
        <v>3862</v>
      </c>
      <c r="V926" s="12">
        <v>33725265</v>
      </c>
      <c r="W926" s="8">
        <v>42.47</v>
      </c>
      <c r="X926" s="11">
        <f ca="1">IFERROR(__xludf.DUMMYFUNCTION("GOOGLEFINANCE(""BOM:"" &amp; T926,""price"")"),60.54)</f>
        <v>60.54</v>
      </c>
      <c r="Y926" s="8">
        <f t="shared" ca="1" si="315"/>
        <v>42.547680715799387</v>
      </c>
      <c r="Z926" s="12">
        <f t="shared" si="316"/>
        <v>1432312004.55</v>
      </c>
      <c r="AA926" s="13">
        <f t="shared" ca="1" si="317"/>
        <v>2041727543.0999999</v>
      </c>
      <c r="AB926" s="64"/>
      <c r="AC926" s="14">
        <v>506178</v>
      </c>
      <c r="AD926" s="14" t="s">
        <v>3863</v>
      </c>
      <c r="AE926" s="15">
        <v>163492</v>
      </c>
      <c r="AF926" s="14">
        <v>17.010000000000002</v>
      </c>
      <c r="AG926" s="14">
        <f ca="1">IFERROR(__xludf.DUMMYFUNCTION("GOOGLEFINANCE(""BOM:"" &amp; AC926,""price"")"),17.01)</f>
        <v>17.010000000000002</v>
      </c>
      <c r="AH926" s="14">
        <f t="shared" ca="1" si="327"/>
        <v>0</v>
      </c>
      <c r="AI926" s="15">
        <f t="shared" si="322"/>
        <v>2780998.9200000004</v>
      </c>
      <c r="AJ926" s="16">
        <f t="shared" ca="1" si="323"/>
        <v>2780998.9200000004</v>
      </c>
    </row>
    <row r="927" spans="1:36" x14ac:dyDescent="0.25">
      <c r="A927" s="63"/>
      <c r="B927" s="8">
        <v>543384</v>
      </c>
      <c r="C927" s="8" t="s">
        <v>3864</v>
      </c>
      <c r="D927" s="12">
        <v>2848275684</v>
      </c>
      <c r="E927" s="8">
        <v>157.4</v>
      </c>
      <c r="F927" s="8">
        <f ca="1">IFERROR(__xludf.DUMMYFUNCTION("GOOGLEFINANCE(""BOM:"" &amp; B927,""price"")"),161.85)</f>
        <v>161.85</v>
      </c>
      <c r="G927" s="8">
        <f t="shared" ca="1" si="324"/>
        <v>2.8271918678525974</v>
      </c>
      <c r="H927" s="12">
        <f t="shared" si="325"/>
        <v>448318592661.60004</v>
      </c>
      <c r="I927" s="13">
        <f t="shared" ca="1" si="326"/>
        <v>460993419455.39996</v>
      </c>
      <c r="J927" s="63"/>
      <c r="K927" s="8">
        <v>531221</v>
      </c>
      <c r="L927" s="8" t="s">
        <v>3865</v>
      </c>
      <c r="M927" s="12">
        <v>2515640</v>
      </c>
      <c r="N927" s="10">
        <v>10.15</v>
      </c>
      <c r="O927" s="10">
        <f ca="1">IFERROR(__xludf.DUMMYFUNCTION("GOOGLEFINANCE(""BOM:"" &amp; K927,""price"")"),10.47)</f>
        <v>10.47</v>
      </c>
      <c r="P927" s="8">
        <f t="shared" ca="1" si="302"/>
        <v>3.1527093596059137</v>
      </c>
      <c r="Q927" s="12">
        <f t="shared" si="303"/>
        <v>25533746</v>
      </c>
      <c r="R927" s="13">
        <f t="shared" ca="1" si="304"/>
        <v>26338750.800000001</v>
      </c>
      <c r="S927" s="63"/>
      <c r="T927" s="8">
        <v>523652</v>
      </c>
      <c r="U927" s="8" t="s">
        <v>3866</v>
      </c>
      <c r="V927" s="12">
        <v>4219200</v>
      </c>
      <c r="W927" s="8">
        <v>24.78</v>
      </c>
      <c r="X927" s="11">
        <f ca="1">IFERROR(__xludf.DUMMYFUNCTION("GOOGLEFINANCE(""BOM:"" &amp; T927,""price"")"),27.55)</f>
        <v>27.55</v>
      </c>
      <c r="Y927" s="8">
        <f t="shared" ca="1" si="315"/>
        <v>11.178369652945921</v>
      </c>
      <c r="Z927" s="12">
        <f t="shared" si="316"/>
        <v>104551776</v>
      </c>
      <c r="AA927" s="13">
        <f t="shared" ca="1" si="317"/>
        <v>116238960</v>
      </c>
      <c r="AB927" s="31" t="s">
        <v>3867</v>
      </c>
      <c r="AC927" s="28">
        <v>532686</v>
      </c>
      <c r="AD927" s="28" t="s">
        <v>3868</v>
      </c>
      <c r="AE927" s="29">
        <v>13225762</v>
      </c>
      <c r="AF927" s="14">
        <v>658.9</v>
      </c>
      <c r="AG927" s="14">
        <f ca="1">IFERROR(__xludf.DUMMYFUNCTION("GOOGLEFINANCE(""BOM:"" &amp; AC927,""price"")"),560)</f>
        <v>560</v>
      </c>
      <c r="AH927" s="14">
        <f t="shared" ca="1" si="327"/>
        <v>-15.009864926392469</v>
      </c>
      <c r="AI927" s="29">
        <f t="shared" si="322"/>
        <v>8714454581.7999992</v>
      </c>
      <c r="AJ927" s="30">
        <f t="shared" ca="1" si="323"/>
        <v>7406426720</v>
      </c>
    </row>
    <row r="928" spans="1:36" x14ac:dyDescent="0.25">
      <c r="A928" s="64"/>
      <c r="B928" s="14">
        <v>543320</v>
      </c>
      <c r="C928" s="14" t="s">
        <v>3869</v>
      </c>
      <c r="D928" s="15">
        <v>6488543108</v>
      </c>
      <c r="E928" s="8">
        <v>166.5</v>
      </c>
      <c r="F928" s="14">
        <f ca="1">IFERROR(__xludf.DUMMYFUNCTION("GOOGLEFINANCE(""BOM:"" &amp; B928,""price"")"),182.35)</f>
        <v>182.35</v>
      </c>
      <c r="G928" s="14">
        <f t="shared" ca="1" si="324"/>
        <v>9.5195195195195161</v>
      </c>
      <c r="H928" s="15">
        <f t="shared" si="325"/>
        <v>1080342427482</v>
      </c>
      <c r="I928" s="16">
        <f t="shared" ca="1" si="326"/>
        <v>1183185835743.8</v>
      </c>
      <c r="J928" s="63"/>
      <c r="K928" s="8">
        <v>531338</v>
      </c>
      <c r="L928" s="8" t="s">
        <v>3870</v>
      </c>
      <c r="M928" s="12">
        <v>4542085</v>
      </c>
      <c r="N928" s="10">
        <v>33</v>
      </c>
      <c r="O928" s="10">
        <f ca="1">IFERROR(__xludf.DUMMYFUNCTION("GOOGLEFINANCE(""BOM:"" &amp; K928,""price"")"),27.9)</f>
        <v>27.9</v>
      </c>
      <c r="P928" s="8">
        <f t="shared" ca="1" si="302"/>
        <v>-15.45454545454546</v>
      </c>
      <c r="Q928" s="12">
        <f t="shared" si="303"/>
        <v>149888805</v>
      </c>
      <c r="R928" s="13">
        <f t="shared" ca="1" si="304"/>
        <v>126724171.5</v>
      </c>
      <c r="S928" s="63"/>
      <c r="T928" s="8">
        <v>500248</v>
      </c>
      <c r="U928" s="8" t="s">
        <v>3871</v>
      </c>
      <c r="V928" s="12">
        <v>5844464</v>
      </c>
      <c r="W928" s="8">
        <v>4.09</v>
      </c>
      <c r="X928" s="11">
        <f ca="1">IFERROR(__xludf.DUMMYFUNCTION("GOOGLEFINANCE(""BOM:"" &amp; T928,""price"")"),4.46)</f>
        <v>4.46</v>
      </c>
      <c r="Y928" s="8">
        <f t="shared" ca="1" si="315"/>
        <v>9.0464547677261642</v>
      </c>
      <c r="Z928" s="12">
        <f t="shared" si="316"/>
        <v>23903857.759999998</v>
      </c>
      <c r="AA928" s="13">
        <f t="shared" ca="1" si="317"/>
        <v>26066309.440000001</v>
      </c>
      <c r="AB928" s="65" t="s">
        <v>3872</v>
      </c>
      <c r="AC928" s="6">
        <v>532507</v>
      </c>
      <c r="AD928" s="6" t="s">
        <v>3873</v>
      </c>
      <c r="AE928" s="7">
        <v>197598137</v>
      </c>
      <c r="AF928" s="8">
        <v>10.130000000000001</v>
      </c>
      <c r="AG928" s="8">
        <f ca="1">IFERROR(__xludf.DUMMYFUNCTION("GOOGLEFINANCE(""BOM:"" &amp; AC928,""price"")"),8.26)</f>
        <v>8.26</v>
      </c>
      <c r="AH928" s="8">
        <f t="shared" ca="1" si="327"/>
        <v>-18.460019743336634</v>
      </c>
      <c r="AI928" s="7">
        <f t="shared" si="322"/>
        <v>2001669127.8100002</v>
      </c>
      <c r="AJ928" s="9">
        <f t="shared" ca="1" si="323"/>
        <v>1632160611.6199999</v>
      </c>
    </row>
    <row r="929" spans="1:36" x14ac:dyDescent="0.25">
      <c r="A929" s="62" t="s">
        <v>3874</v>
      </c>
      <c r="B929" s="6">
        <v>540750</v>
      </c>
      <c r="C929" s="6" t="s">
        <v>3875</v>
      </c>
      <c r="D929" s="7">
        <v>898061077</v>
      </c>
      <c r="E929" s="6">
        <v>144.30000000000001</v>
      </c>
      <c r="F929" s="8">
        <f ca="1">IFERROR(__xludf.DUMMYFUNCTION("GOOGLEFINANCE(""BOM:"" &amp; B929,""price"")"),134.3)</f>
        <v>134.30000000000001</v>
      </c>
      <c r="G929" s="8">
        <f t="shared" ca="1" si="324"/>
        <v>-6.9300069300069298</v>
      </c>
      <c r="H929" s="7">
        <f t="shared" si="325"/>
        <v>129590213411.10001</v>
      </c>
      <c r="I929" s="9">
        <f t="shared" ca="1" si="326"/>
        <v>120609602641.10001</v>
      </c>
      <c r="J929" s="63"/>
      <c r="K929" s="8">
        <v>531049</v>
      </c>
      <c r="L929" s="8" t="s">
        <v>3876</v>
      </c>
      <c r="M929" s="12">
        <v>4309180</v>
      </c>
      <c r="N929" s="10">
        <v>13.57</v>
      </c>
      <c r="O929" s="10">
        <f ca="1">IFERROR(__xludf.DUMMYFUNCTION("GOOGLEFINANCE(""BOM:"" &amp; K929,""price"")"),13.5)</f>
        <v>13.5</v>
      </c>
      <c r="P929" s="8">
        <f t="shared" ca="1" si="302"/>
        <v>-0.51584377302874196</v>
      </c>
      <c r="Q929" s="12">
        <f t="shared" si="303"/>
        <v>58475572.600000001</v>
      </c>
      <c r="R929" s="13">
        <f t="shared" ca="1" si="304"/>
        <v>58173930</v>
      </c>
      <c r="S929" s="63"/>
      <c r="T929" s="8">
        <v>526423</v>
      </c>
      <c r="U929" s="8" t="s">
        <v>3877</v>
      </c>
      <c r="V929" s="12">
        <v>48579440</v>
      </c>
      <c r="W929" s="8">
        <v>156.6</v>
      </c>
      <c r="X929" s="11">
        <f ca="1">IFERROR(__xludf.DUMMYFUNCTION("GOOGLEFINANCE(""BOM:"" &amp; T929,""price"")"),131.85)</f>
        <v>131.85</v>
      </c>
      <c r="Y929" s="8">
        <f t="shared" ca="1" si="315"/>
        <v>-15.804597701149426</v>
      </c>
      <c r="Z929" s="12">
        <f t="shared" si="316"/>
        <v>7607540304</v>
      </c>
      <c r="AA929" s="13">
        <f t="shared" ca="1" si="317"/>
        <v>6405199164</v>
      </c>
      <c r="AB929" s="63"/>
      <c r="AC929" s="8">
        <v>540023</v>
      </c>
      <c r="AD929" s="8" t="s">
        <v>3878</v>
      </c>
      <c r="AE929" s="12">
        <v>17007910</v>
      </c>
      <c r="AF929" s="8">
        <v>5.29</v>
      </c>
      <c r="AG929" s="8">
        <f ca="1">IFERROR(__xludf.DUMMYFUNCTION("GOOGLEFINANCE(""BOM:"" &amp; AC929,""price"")"),3.76)</f>
        <v>3.76</v>
      </c>
      <c r="AH929" s="8">
        <f t="shared" ca="1" si="327"/>
        <v>-28.922495274102083</v>
      </c>
      <c r="AI929" s="12">
        <f t="shared" si="322"/>
        <v>89971843.900000006</v>
      </c>
      <c r="AJ929" s="13">
        <f t="shared" ca="1" si="323"/>
        <v>63949741.599999994</v>
      </c>
    </row>
    <row r="930" spans="1:36" x14ac:dyDescent="0.25">
      <c r="A930" s="64"/>
      <c r="B930" s="14">
        <v>534091</v>
      </c>
      <c r="C930" s="14" t="s">
        <v>3879</v>
      </c>
      <c r="D930" s="15">
        <v>50998307</v>
      </c>
      <c r="E930" s="8">
        <v>3819.3</v>
      </c>
      <c r="F930" s="14">
        <f ca="1">IFERROR(__xludf.DUMMYFUNCTION("GOOGLEFINANCE(""BOM:"" &amp; B930,""price"")"),3355)</f>
        <v>3355</v>
      </c>
      <c r="G930" s="14">
        <f t="shared" ca="1" si="324"/>
        <v>-12.156677925274268</v>
      </c>
      <c r="H930" s="15">
        <f t="shared" si="325"/>
        <v>194777833925.10001</v>
      </c>
      <c r="I930" s="16">
        <f t="shared" ca="1" si="326"/>
        <v>171099319985</v>
      </c>
      <c r="J930" s="63"/>
      <c r="K930" s="8">
        <v>512103</v>
      </c>
      <c r="L930" s="8" t="s">
        <v>3880</v>
      </c>
      <c r="M930" s="12">
        <v>630289</v>
      </c>
      <c r="N930" s="10">
        <v>160</v>
      </c>
      <c r="O930" s="10">
        <f ca="1">IFERROR(__xludf.DUMMYFUNCTION("GOOGLEFINANCE(""BOM:"" &amp; K930,""price"")"),218.55)</f>
        <v>218.55</v>
      </c>
      <c r="P930" s="8">
        <f t="shared" ca="1" si="302"/>
        <v>36.593750000000007</v>
      </c>
      <c r="Q930" s="12">
        <f t="shared" si="303"/>
        <v>100846240</v>
      </c>
      <c r="R930" s="13">
        <f t="shared" ca="1" si="304"/>
        <v>137749660.95000002</v>
      </c>
      <c r="S930" s="63"/>
      <c r="T930" s="8">
        <v>523594</v>
      </c>
      <c r="U930" s="8" t="s">
        <v>3881</v>
      </c>
      <c r="V930" s="12">
        <v>5464709</v>
      </c>
      <c r="W930" s="8">
        <v>33.5</v>
      </c>
      <c r="X930" s="11">
        <f ca="1">IFERROR(__xludf.DUMMYFUNCTION("GOOGLEFINANCE(""BOM:"" &amp; T930,""price"")"),29)</f>
        <v>29</v>
      </c>
      <c r="Y930" s="8">
        <f t="shared" ca="1" si="315"/>
        <v>-13.432835820895523</v>
      </c>
      <c r="Z930" s="12">
        <f t="shared" si="316"/>
        <v>183067751.5</v>
      </c>
      <c r="AA930" s="13">
        <f t="shared" ca="1" si="317"/>
        <v>158476561</v>
      </c>
      <c r="AB930" s="63"/>
      <c r="AC930" s="8">
        <v>533137</v>
      </c>
      <c r="AD930" s="8" t="s">
        <v>3882</v>
      </c>
      <c r="AE930" s="12">
        <v>477033522</v>
      </c>
      <c r="AF930" s="8">
        <v>55.55</v>
      </c>
      <c r="AG930" s="8">
        <f ca="1">IFERROR(__xludf.DUMMYFUNCTION("GOOGLEFINANCE(""BOM:"" &amp; AC930,""price"")"),47.4)</f>
        <v>47.4</v>
      </c>
      <c r="AH930" s="8">
        <f t="shared" ca="1" si="327"/>
        <v>-14.67146714671467</v>
      </c>
      <c r="AI930" s="12">
        <f t="shared" si="322"/>
        <v>26499212147.099998</v>
      </c>
      <c r="AJ930" s="13">
        <f t="shared" ca="1" si="323"/>
        <v>22611388942.799999</v>
      </c>
    </row>
    <row r="931" spans="1:36" x14ac:dyDescent="0.25">
      <c r="A931" s="62" t="s">
        <v>3883</v>
      </c>
      <c r="B931" s="6">
        <v>506480</v>
      </c>
      <c r="C931" s="6" t="s">
        <v>3884</v>
      </c>
      <c r="D931" s="7">
        <v>49247483</v>
      </c>
      <c r="E931" s="6">
        <v>484.2</v>
      </c>
      <c r="F931" s="8">
        <f ca="1">IFERROR(__xludf.DUMMYFUNCTION("GOOGLEFINANCE(""BOM:"" &amp; B931,""price"")"),453.35)</f>
        <v>453.35</v>
      </c>
      <c r="G931" s="8">
        <f t="shared" ca="1" si="324"/>
        <v>-6.3713341594382413</v>
      </c>
      <c r="H931" s="7">
        <f t="shared" si="325"/>
        <v>23845631268.599998</v>
      </c>
      <c r="I931" s="9">
        <f t="shared" ca="1" si="326"/>
        <v>22326346418.049999</v>
      </c>
      <c r="J931" s="63"/>
      <c r="K931" s="8">
        <v>526095</v>
      </c>
      <c r="L931" s="8" t="s">
        <v>3885</v>
      </c>
      <c r="M931" s="12">
        <v>9510792</v>
      </c>
      <c r="N931" s="10">
        <v>35.56</v>
      </c>
      <c r="O931" s="10">
        <f ca="1">IFERROR(__xludf.DUMMYFUNCTION("GOOGLEFINANCE(""BOM:"" &amp; K931,""price"")"),36.14)</f>
        <v>36.14</v>
      </c>
      <c r="P931" s="8">
        <f t="shared" ca="1" si="302"/>
        <v>1.6310461192350907</v>
      </c>
      <c r="Q931" s="12">
        <f t="shared" si="303"/>
        <v>338203763.52000004</v>
      </c>
      <c r="R931" s="13">
        <f t="shared" ca="1" si="304"/>
        <v>343720022.88</v>
      </c>
      <c r="S931" s="63"/>
      <c r="T931" s="8">
        <v>523248</v>
      </c>
      <c r="U931" s="8" t="s">
        <v>3886</v>
      </c>
      <c r="V931" s="12">
        <v>6006231</v>
      </c>
      <c r="W931" s="8">
        <v>225</v>
      </c>
      <c r="X931" s="11">
        <f ca="1">IFERROR(__xludf.DUMMYFUNCTION("GOOGLEFINANCE(""BOM:"" &amp; T931,""price"")"),240)</f>
        <v>240</v>
      </c>
      <c r="Y931" s="8">
        <f t="shared" ca="1" si="315"/>
        <v>6.666666666666667</v>
      </c>
      <c r="Z931" s="12">
        <f t="shared" si="316"/>
        <v>1351401975</v>
      </c>
      <c r="AA931" s="13">
        <f t="shared" ca="1" si="317"/>
        <v>1441495440</v>
      </c>
      <c r="AB931" s="63"/>
      <c r="AC931" s="8">
        <v>532839</v>
      </c>
      <c r="AD931" s="8" t="s">
        <v>3887</v>
      </c>
      <c r="AE931" s="12">
        <v>1840939706</v>
      </c>
      <c r="AF931" s="8">
        <v>21.08</v>
      </c>
      <c r="AG931" s="8">
        <f ca="1">IFERROR(__xludf.DUMMYFUNCTION("GOOGLEFINANCE(""BOM:"" &amp; AC931,""price"")"),16.77)</f>
        <v>16.77</v>
      </c>
      <c r="AH931" s="8">
        <f t="shared" ca="1" si="327"/>
        <v>-20.445920303605309</v>
      </c>
      <c r="AI931" s="12">
        <f t="shared" si="322"/>
        <v>38807009002.479996</v>
      </c>
      <c r="AJ931" s="13">
        <f t="shared" ca="1" si="323"/>
        <v>30872558869.619999</v>
      </c>
    </row>
    <row r="932" spans="1:36" x14ac:dyDescent="0.25">
      <c r="A932" s="63"/>
      <c r="B932" s="8">
        <v>506528</v>
      </c>
      <c r="C932" s="8" t="s">
        <v>3888</v>
      </c>
      <c r="D932" s="12">
        <v>914106</v>
      </c>
      <c r="E932" s="8">
        <v>2579.5</v>
      </c>
      <c r="F932" s="8">
        <f ca="1">IFERROR(__xludf.DUMMYFUNCTION("GOOGLEFINANCE(""BOM:"" &amp; B932,""price"")"),2723.5)</f>
        <v>2723.5</v>
      </c>
      <c r="G932" s="8">
        <f t="shared" ca="1" si="324"/>
        <v>5.5824772242682688</v>
      </c>
      <c r="H932" s="12">
        <f t="shared" si="325"/>
        <v>2357936427</v>
      </c>
      <c r="I932" s="13">
        <f t="shared" ca="1" si="326"/>
        <v>2489567691</v>
      </c>
      <c r="J932" s="63"/>
      <c r="K932" s="8">
        <v>506313</v>
      </c>
      <c r="L932" s="8" t="s">
        <v>3889</v>
      </c>
      <c r="M932" s="12">
        <v>224767</v>
      </c>
      <c r="N932" s="10">
        <v>124.55</v>
      </c>
      <c r="O932" s="10">
        <f ca="1">IFERROR(__xludf.DUMMYFUNCTION("GOOGLEFINANCE(""BOM:"" &amp; K932,""price"")"),158.85)</f>
        <v>158.85</v>
      </c>
      <c r="P932" s="8">
        <f t="shared" ca="1" si="302"/>
        <v>27.539140907266159</v>
      </c>
      <c r="Q932" s="12">
        <f t="shared" si="303"/>
        <v>27994729.849999998</v>
      </c>
      <c r="R932" s="13">
        <f t="shared" ca="1" si="304"/>
        <v>35704237.949999996</v>
      </c>
      <c r="S932" s="63"/>
      <c r="T932" s="8">
        <v>517431</v>
      </c>
      <c r="U932" s="8" t="s">
        <v>3890</v>
      </c>
      <c r="V932" s="12">
        <v>2000500</v>
      </c>
      <c r="W932" s="8">
        <v>11.33</v>
      </c>
      <c r="X932" s="11">
        <f ca="1">IFERROR(__xludf.DUMMYFUNCTION("GOOGLEFINANCE(""BOM:"" &amp; T932,""price"")"),10)</f>
        <v>10</v>
      </c>
      <c r="Y932" s="8">
        <f t="shared" ca="1" si="315"/>
        <v>-11.738746690203001</v>
      </c>
      <c r="Z932" s="12">
        <f t="shared" si="316"/>
        <v>22665665</v>
      </c>
      <c r="AA932" s="13">
        <f t="shared" ca="1" si="317"/>
        <v>20005000</v>
      </c>
      <c r="AB932" s="63"/>
      <c r="AC932" s="8">
        <v>540602</v>
      </c>
      <c r="AD932" s="8" t="s">
        <v>3891</v>
      </c>
      <c r="AE932" s="12">
        <v>112463038</v>
      </c>
      <c r="AF932" s="8">
        <v>196.5</v>
      </c>
      <c r="AG932" s="8">
        <f ca="1">IFERROR(__xludf.DUMMYFUNCTION("GOOGLEFINANCE(""BOM:"" &amp; AC932,""price"")"),165.35)</f>
        <v>165.35</v>
      </c>
      <c r="AH932" s="8">
        <f t="shared" ca="1" si="327"/>
        <v>-15.852417302798985</v>
      </c>
      <c r="AI932" s="12">
        <f t="shared" si="322"/>
        <v>22098986967</v>
      </c>
      <c r="AJ932" s="13">
        <f t="shared" ca="1" si="323"/>
        <v>18595763333.299999</v>
      </c>
    </row>
    <row r="933" spans="1:36" x14ac:dyDescent="0.25">
      <c r="A933" s="63"/>
      <c r="B933" s="8">
        <v>526247</v>
      </c>
      <c r="C933" s="8" t="s">
        <v>3892</v>
      </c>
      <c r="D933" s="12">
        <v>10629727</v>
      </c>
      <c r="E933" s="8">
        <v>1543.9</v>
      </c>
      <c r="F933" s="8">
        <f ca="1">IFERROR(__xludf.DUMMYFUNCTION("GOOGLEFINANCE(""BOM:"" &amp; B933,""price"")"),1523)</f>
        <v>1523</v>
      </c>
      <c r="G933" s="8">
        <f t="shared" ca="1" si="324"/>
        <v>-1.3537146188224685</v>
      </c>
      <c r="H933" s="12">
        <f t="shared" si="325"/>
        <v>16411235515.300001</v>
      </c>
      <c r="I933" s="13">
        <f t="shared" ca="1" si="326"/>
        <v>16189074221</v>
      </c>
      <c r="J933" s="63"/>
      <c r="K933" s="8">
        <v>540072</v>
      </c>
      <c r="L933" s="8" t="s">
        <v>3893</v>
      </c>
      <c r="M933" s="12">
        <v>13215050</v>
      </c>
      <c r="N933" s="10">
        <v>9.02</v>
      </c>
      <c r="O933" s="10">
        <f ca="1">IFERROR(__xludf.DUMMYFUNCTION("GOOGLEFINANCE(""BOM:"" &amp; K933,""price"")"),9.69)</f>
        <v>9.69</v>
      </c>
      <c r="P933" s="8">
        <f t="shared" ca="1" si="302"/>
        <v>7.4279379157427936</v>
      </c>
      <c r="Q933" s="12">
        <f t="shared" si="303"/>
        <v>119199751</v>
      </c>
      <c r="R933" s="13">
        <f t="shared" ca="1" si="304"/>
        <v>128053834.5</v>
      </c>
      <c r="S933" s="63"/>
      <c r="T933" s="8">
        <v>526616</v>
      </c>
      <c r="U933" s="8" t="s">
        <v>3894</v>
      </c>
      <c r="V933" s="12">
        <v>8594584</v>
      </c>
      <c r="W933" s="8">
        <v>83.95</v>
      </c>
      <c r="X933" s="11">
        <f ca="1">IFERROR(__xludf.DUMMYFUNCTION("GOOGLEFINANCE(""BOM:"" &amp; T933,""price"")"),64.05)</f>
        <v>64.05</v>
      </c>
      <c r="Y933" s="8">
        <f t="shared" ca="1" si="315"/>
        <v>-23.704586063132822</v>
      </c>
      <c r="Z933" s="12">
        <f t="shared" si="316"/>
        <v>721515326.80000007</v>
      </c>
      <c r="AA933" s="13">
        <f t="shared" ca="1" si="317"/>
        <v>550483105.19999993</v>
      </c>
      <c r="AB933" s="63"/>
      <c r="AC933" s="8">
        <v>533162</v>
      </c>
      <c r="AD933" s="8" t="s">
        <v>3895</v>
      </c>
      <c r="AE933" s="12">
        <v>1770104484</v>
      </c>
      <c r="AF933" s="8">
        <v>22.66</v>
      </c>
      <c r="AG933" s="8">
        <f ca="1">IFERROR(__xludf.DUMMYFUNCTION("GOOGLEFINANCE(""BOM:"" &amp; AC933,""price"")"),19.53)</f>
        <v>19.53</v>
      </c>
      <c r="AH933" s="8">
        <f t="shared" ca="1" si="327"/>
        <v>-13.812886142983228</v>
      </c>
      <c r="AI933" s="12">
        <f t="shared" si="322"/>
        <v>40110567607.440002</v>
      </c>
      <c r="AJ933" s="13">
        <f t="shared" ca="1" si="323"/>
        <v>34570140572.520004</v>
      </c>
    </row>
    <row r="934" spans="1:36" x14ac:dyDescent="0.25">
      <c r="A934" s="64"/>
      <c r="B934" s="14">
        <v>532725</v>
      </c>
      <c r="C934" s="14" t="s">
        <v>3896</v>
      </c>
      <c r="D934" s="15">
        <v>90490000</v>
      </c>
      <c r="E934" s="8">
        <v>6832</v>
      </c>
      <c r="F934" s="14">
        <f ca="1">IFERROR(__xludf.DUMMYFUNCTION("GOOGLEFINANCE(""BOM:"" &amp; B934,""price"")"),8800)</f>
        <v>8800</v>
      </c>
      <c r="G934" s="14">
        <f t="shared" ca="1" si="324"/>
        <v>28.805620608899297</v>
      </c>
      <c r="H934" s="15">
        <f t="shared" si="325"/>
        <v>618227680000</v>
      </c>
      <c r="I934" s="16">
        <f t="shared" ca="1" si="326"/>
        <v>796312000000</v>
      </c>
      <c r="J934" s="63"/>
      <c r="K934" s="8">
        <v>513699</v>
      </c>
      <c r="L934" s="8" t="s">
        <v>3897</v>
      </c>
      <c r="M934" s="12">
        <v>5237580</v>
      </c>
      <c r="N934" s="10">
        <v>35.950000000000003</v>
      </c>
      <c r="O934" s="10">
        <f ca="1">IFERROR(__xludf.DUMMYFUNCTION("GOOGLEFINANCE(""BOM:"" &amp; K934,""price"")"),31)</f>
        <v>31</v>
      </c>
      <c r="P934" s="8">
        <f t="shared" ca="1" si="302"/>
        <v>-13.769123783031995</v>
      </c>
      <c r="Q934" s="12">
        <f t="shared" si="303"/>
        <v>188291001</v>
      </c>
      <c r="R934" s="13">
        <f t="shared" ca="1" si="304"/>
        <v>162364980</v>
      </c>
      <c r="S934" s="63"/>
      <c r="T934" s="8">
        <v>531287</v>
      </c>
      <c r="U934" s="8" t="s">
        <v>3898</v>
      </c>
      <c r="V934" s="12">
        <v>5714470</v>
      </c>
      <c r="W934" s="8">
        <v>426.3</v>
      </c>
      <c r="X934" s="11">
        <f ca="1">IFERROR(__xludf.DUMMYFUNCTION("GOOGLEFINANCE(""BOM:"" &amp; T934,""price"")"),435.2)</f>
        <v>435.2</v>
      </c>
      <c r="Y934" s="8">
        <f t="shared" ca="1" si="315"/>
        <v>2.0877316443818854</v>
      </c>
      <c r="Z934" s="12">
        <f t="shared" si="316"/>
        <v>2436078561</v>
      </c>
      <c r="AA934" s="13">
        <f t="shared" ca="1" si="317"/>
        <v>2486937344</v>
      </c>
      <c r="AB934" s="63"/>
      <c r="AC934" s="8">
        <v>509073</v>
      </c>
      <c r="AD934" s="8" t="s">
        <v>3899</v>
      </c>
      <c r="AE934" s="12">
        <v>7972329</v>
      </c>
      <c r="AF934" s="8">
        <v>20.73</v>
      </c>
      <c r="AG934" s="8">
        <f ca="1">IFERROR(__xludf.DUMMYFUNCTION("GOOGLEFINANCE(""BOM:"" &amp; AC934,""price"")"),16.52)</f>
        <v>16.52</v>
      </c>
      <c r="AH934" s="8">
        <f t="shared" ca="1" si="327"/>
        <v>-20.308731307284134</v>
      </c>
      <c r="AI934" s="12">
        <f t="shared" si="322"/>
        <v>165266380.17000002</v>
      </c>
      <c r="AJ934" s="13">
        <f t="shared" ca="1" si="323"/>
        <v>131702875.08</v>
      </c>
    </row>
    <row r="935" spans="1:36" x14ac:dyDescent="0.25">
      <c r="A935" s="62" t="s">
        <v>3900</v>
      </c>
      <c r="B935" s="6">
        <v>506079</v>
      </c>
      <c r="C935" s="6" t="s">
        <v>3901</v>
      </c>
      <c r="D935" s="7">
        <v>10643696</v>
      </c>
      <c r="E935" s="6">
        <v>5.81</v>
      </c>
      <c r="F935" s="8">
        <f ca="1">IFERROR(__xludf.DUMMYFUNCTION("GOOGLEFINANCE(""BOM:"" &amp; B935,""price"")"),4.76)</f>
        <v>4.76</v>
      </c>
      <c r="G935" s="8">
        <f t="shared" ca="1" si="324"/>
        <v>-18.072289156626503</v>
      </c>
      <c r="H935" s="7">
        <f t="shared" si="325"/>
        <v>61839873.759999998</v>
      </c>
      <c r="I935" s="9">
        <f t="shared" ca="1" si="326"/>
        <v>50663992.960000001</v>
      </c>
      <c r="J935" s="64"/>
      <c r="K935" s="14">
        <v>502281</v>
      </c>
      <c r="L935" s="14" t="s">
        <v>3902</v>
      </c>
      <c r="M935" s="15">
        <v>11935690</v>
      </c>
      <c r="N935" s="17">
        <v>26.25</v>
      </c>
      <c r="O935" s="17">
        <f ca="1">IFERROR(__xludf.DUMMYFUNCTION("GOOGLEFINANCE(""BOM:"" &amp; K935,""price"")"),21.4)</f>
        <v>21.4</v>
      </c>
      <c r="P935" s="14">
        <f t="shared" ca="1" si="302"/>
        <v>-18.476190476190482</v>
      </c>
      <c r="Q935" s="15">
        <f t="shared" si="303"/>
        <v>313311862.5</v>
      </c>
      <c r="R935" s="16">
        <f t="shared" ca="1" si="304"/>
        <v>255423765.99999997</v>
      </c>
      <c r="S935" s="63"/>
      <c r="T935" s="8">
        <v>524046</v>
      </c>
      <c r="U935" s="8" t="s">
        <v>3903</v>
      </c>
      <c r="V935" s="12">
        <v>306300</v>
      </c>
      <c r="W935" s="8">
        <v>0</v>
      </c>
      <c r="X935" s="11">
        <f ca="1">IFERROR(__xludf.DUMMYFUNCTION("GOOGLEFINANCE(""BOM:"" &amp; T935,""price"")"),0)</f>
        <v>0</v>
      </c>
      <c r="Y935" s="8">
        <v>0</v>
      </c>
      <c r="Z935" s="12">
        <f t="shared" si="316"/>
        <v>0</v>
      </c>
      <c r="AA935" s="13">
        <f t="shared" ca="1" si="317"/>
        <v>0</v>
      </c>
      <c r="AB935" s="63"/>
      <c r="AC935" s="8">
        <v>532033</v>
      </c>
      <c r="AD935" s="8" t="s">
        <v>3904</v>
      </c>
      <c r="AE935" s="12">
        <v>4805167</v>
      </c>
      <c r="AF935" s="8" t="s">
        <v>44</v>
      </c>
      <c r="AG935" s="8" t="s">
        <v>44</v>
      </c>
      <c r="AH935" s="8"/>
      <c r="AI935" s="12"/>
      <c r="AJ935" s="13"/>
    </row>
    <row r="936" spans="1:36" x14ac:dyDescent="0.25">
      <c r="A936" s="63"/>
      <c r="B936" s="8">
        <v>507998</v>
      </c>
      <c r="C936" s="8" t="s">
        <v>3905</v>
      </c>
      <c r="D936" s="12">
        <v>10899365</v>
      </c>
      <c r="E936" s="8">
        <v>78.989999999999995</v>
      </c>
      <c r="F936" s="8">
        <f ca="1">IFERROR(__xludf.DUMMYFUNCTION("GOOGLEFINANCE(""BOM:"" &amp; B936,""price"")"),69)</f>
        <v>69</v>
      </c>
      <c r="G936" s="8">
        <f t="shared" ca="1" si="324"/>
        <v>-12.64717052791492</v>
      </c>
      <c r="H936" s="12">
        <f t="shared" si="325"/>
        <v>860940841.3499999</v>
      </c>
      <c r="I936" s="13">
        <f t="shared" ca="1" si="326"/>
        <v>752056185</v>
      </c>
      <c r="J936" s="62" t="s">
        <v>3906</v>
      </c>
      <c r="K936" s="6">
        <v>539196</v>
      </c>
      <c r="L936" s="6" t="s">
        <v>3907</v>
      </c>
      <c r="M936" s="7">
        <v>11789622</v>
      </c>
      <c r="N936" s="10">
        <v>131</v>
      </c>
      <c r="O936" s="10">
        <f ca="1">IFERROR(__xludf.DUMMYFUNCTION("GOOGLEFINANCE(""BOM:"" &amp; K936,""price"")"),123)</f>
        <v>123</v>
      </c>
      <c r="P936" s="8">
        <f t="shared" ca="1" si="302"/>
        <v>-6.1068702290076331</v>
      </c>
      <c r="Q936" s="7">
        <f t="shared" si="303"/>
        <v>1544440482</v>
      </c>
      <c r="R936" s="9">
        <f t="shared" ca="1" si="304"/>
        <v>1450123506</v>
      </c>
      <c r="S936" s="63"/>
      <c r="T936" s="8">
        <v>537573</v>
      </c>
      <c r="U936" s="8" t="s">
        <v>3908</v>
      </c>
      <c r="V936" s="12">
        <v>4723600</v>
      </c>
      <c r="W936" s="8">
        <v>40.1</v>
      </c>
      <c r="X936" s="11">
        <f ca="1">IFERROR(__xludf.DUMMYFUNCTION("GOOGLEFINANCE(""BOM:"" &amp; T936,""price"")"),41.1)</f>
        <v>41.1</v>
      </c>
      <c r="Y936" s="8">
        <f t="shared" ref="Y936:Y942" ca="1" si="328">((X936-W936)/W936)*100</f>
        <v>2.4937655860349124</v>
      </c>
      <c r="Z936" s="12">
        <f t="shared" si="316"/>
        <v>189416360</v>
      </c>
      <c r="AA936" s="13">
        <f t="shared" ca="1" si="317"/>
        <v>194139960</v>
      </c>
      <c r="AB936" s="63"/>
      <c r="AC936" s="8">
        <v>532529</v>
      </c>
      <c r="AD936" s="8" t="s">
        <v>3909</v>
      </c>
      <c r="AE936" s="12">
        <v>64436405</v>
      </c>
      <c r="AF936" s="8">
        <v>257</v>
      </c>
      <c r="AG936" s="8">
        <f ca="1">IFERROR(__xludf.DUMMYFUNCTION("GOOGLEFINANCE(""BOM:"" &amp; AC936,""price"")"),210.2)</f>
        <v>210.2</v>
      </c>
      <c r="AH936" s="8">
        <f t="shared" ref="AH936:AH940" ca="1" si="329">((AG936-AF936)/AF936)*100</f>
        <v>-18.210116731517516</v>
      </c>
      <c r="AI936" s="12">
        <f t="shared" ref="AI936:AI940" si="330">AE936*AF936</f>
        <v>16560156085</v>
      </c>
      <c r="AJ936" s="13">
        <f t="shared" ref="AJ936:AJ940" ca="1" si="331">AE936*AG936</f>
        <v>13544532331</v>
      </c>
    </row>
    <row r="937" spans="1:36" x14ac:dyDescent="0.25">
      <c r="A937" s="63"/>
      <c r="B937" s="8">
        <v>530759</v>
      </c>
      <c r="C937" s="8" t="s">
        <v>3910</v>
      </c>
      <c r="D937" s="12">
        <v>35932619</v>
      </c>
      <c r="E937" s="8">
        <v>371.3</v>
      </c>
      <c r="F937" s="8">
        <f ca="1">IFERROR(__xludf.DUMMYFUNCTION("GOOGLEFINANCE(""BOM:"" &amp; B937,""price"")"),306.2)</f>
        <v>306.2</v>
      </c>
      <c r="G937" s="8">
        <f t="shared" ca="1" si="324"/>
        <v>-17.532992189604098</v>
      </c>
      <c r="H937" s="12">
        <f t="shared" si="325"/>
        <v>13341781434.700001</v>
      </c>
      <c r="I937" s="13">
        <f t="shared" ca="1" si="326"/>
        <v>11002567937.799999</v>
      </c>
      <c r="J937" s="63"/>
      <c r="K937" s="8">
        <v>542670</v>
      </c>
      <c r="L937" s="8" t="s">
        <v>3911</v>
      </c>
      <c r="M937" s="12">
        <v>251036900</v>
      </c>
      <c r="N937" s="10">
        <v>37.22</v>
      </c>
      <c r="O937" s="10">
        <f ca="1">IFERROR(__xludf.DUMMYFUNCTION("GOOGLEFINANCE(""BOM:"" &amp; K937,""price"")"),35.45)</f>
        <v>35.450000000000003</v>
      </c>
      <c r="P937" s="8">
        <f t="shared" ca="1" si="302"/>
        <v>-4.7555077915099302</v>
      </c>
      <c r="Q937" s="12">
        <f t="shared" si="303"/>
        <v>9343593418</v>
      </c>
      <c r="R937" s="13">
        <f t="shared" ca="1" si="304"/>
        <v>8899258105</v>
      </c>
      <c r="S937" s="63"/>
      <c r="T937" s="8">
        <v>542684</v>
      </c>
      <c r="U937" s="8" t="s">
        <v>3912</v>
      </c>
      <c r="V937" s="12">
        <v>23754094</v>
      </c>
      <c r="W937" s="8">
        <v>411</v>
      </c>
      <c r="X937" s="11">
        <v>411</v>
      </c>
      <c r="Y937" s="8">
        <f t="shared" si="328"/>
        <v>0</v>
      </c>
      <c r="Z937" s="12">
        <f t="shared" si="316"/>
        <v>9762932634</v>
      </c>
      <c r="AA937" s="13">
        <f t="shared" si="317"/>
        <v>9762932634</v>
      </c>
      <c r="AB937" s="63"/>
      <c r="AC937" s="8">
        <v>500189</v>
      </c>
      <c r="AD937" s="8" t="s">
        <v>3913</v>
      </c>
      <c r="AE937" s="12">
        <v>33038412</v>
      </c>
      <c r="AF937" s="8">
        <v>107.5</v>
      </c>
      <c r="AG937" s="8">
        <f ca="1">IFERROR(__xludf.DUMMYFUNCTION("GOOGLEFINANCE(""BOM:"" &amp; AC937,""price"")"),91.9)</f>
        <v>91.9</v>
      </c>
      <c r="AH937" s="8">
        <f t="shared" ca="1" si="329"/>
        <v>-14.51162790697674</v>
      </c>
      <c r="AI937" s="12">
        <f t="shared" si="330"/>
        <v>3551629290</v>
      </c>
      <c r="AJ937" s="13">
        <f t="shared" ca="1" si="331"/>
        <v>3036230062.8000002</v>
      </c>
    </row>
    <row r="938" spans="1:36" x14ac:dyDescent="0.25">
      <c r="A938" s="64"/>
      <c r="B938" s="14">
        <v>500403</v>
      </c>
      <c r="C938" s="14" t="s">
        <v>3914</v>
      </c>
      <c r="D938" s="15">
        <v>207935046</v>
      </c>
      <c r="E938" s="8">
        <v>1088.45</v>
      </c>
      <c r="F938" s="14">
        <f ca="1">IFERROR(__xludf.DUMMYFUNCTION("GOOGLEFINANCE(""BOM:"" &amp; B938,""price"")"),1107.1)</f>
        <v>1107.0999999999999</v>
      </c>
      <c r="G938" s="14">
        <f t="shared" ca="1" si="324"/>
        <v>1.7134457255730502</v>
      </c>
      <c r="H938" s="15">
        <f t="shared" si="325"/>
        <v>226326900818.70001</v>
      </c>
      <c r="I938" s="16">
        <f t="shared" ca="1" si="326"/>
        <v>230204889426.59998</v>
      </c>
      <c r="J938" s="63"/>
      <c r="K938" s="8">
        <v>517546</v>
      </c>
      <c r="L938" s="8" t="s">
        <v>3915</v>
      </c>
      <c r="M938" s="12">
        <v>8915993</v>
      </c>
      <c r="N938" s="10">
        <v>87.78</v>
      </c>
      <c r="O938" s="10">
        <f ca="1">IFERROR(__xludf.DUMMYFUNCTION("GOOGLEFINANCE(""BOM:"" &amp; K938,""price"")"),88.2)</f>
        <v>88.2</v>
      </c>
      <c r="P938" s="8">
        <f t="shared" ca="1" si="302"/>
        <v>0.4784688995215331</v>
      </c>
      <c r="Q938" s="12">
        <f t="shared" si="303"/>
        <v>782645865.53999996</v>
      </c>
      <c r="R938" s="13">
        <f t="shared" ca="1" si="304"/>
        <v>786390582.60000002</v>
      </c>
      <c r="S938" s="63"/>
      <c r="T938" s="8">
        <v>514354</v>
      </c>
      <c r="U938" s="8" t="s">
        <v>3916</v>
      </c>
      <c r="V938" s="12">
        <v>19602609</v>
      </c>
      <c r="W938" s="8">
        <v>210.35</v>
      </c>
      <c r="X938" s="11">
        <f ca="1">IFERROR(__xludf.DUMMYFUNCTION("GOOGLEFINANCE(""BOM:"" &amp; T938,""price"")"),194.85)</f>
        <v>194.85</v>
      </c>
      <c r="Y938" s="8">
        <f t="shared" ca="1" si="328"/>
        <v>-7.3686712621820778</v>
      </c>
      <c r="Z938" s="12">
        <f t="shared" si="316"/>
        <v>4123408803.1500001</v>
      </c>
      <c r="AA938" s="13">
        <f t="shared" ca="1" si="317"/>
        <v>3819568363.6500001</v>
      </c>
      <c r="AB938" s="63"/>
      <c r="AC938" s="8">
        <v>521062</v>
      </c>
      <c r="AD938" s="8" t="s">
        <v>3917</v>
      </c>
      <c r="AE938" s="12">
        <v>32619600</v>
      </c>
      <c r="AF938" s="8">
        <v>2.86</v>
      </c>
      <c r="AG938" s="8">
        <f ca="1">IFERROR(__xludf.DUMMYFUNCTION("GOOGLEFINANCE(""BOM:"" &amp; AC938,""price"")"),2.22)</f>
        <v>2.2200000000000002</v>
      </c>
      <c r="AH938" s="8">
        <f t="shared" ca="1" si="329"/>
        <v>-22.377622377622366</v>
      </c>
      <c r="AI938" s="12">
        <f t="shared" si="330"/>
        <v>93292056</v>
      </c>
      <c r="AJ938" s="13">
        <f t="shared" ca="1" si="331"/>
        <v>72415512</v>
      </c>
    </row>
    <row r="939" spans="1:36" x14ac:dyDescent="0.25">
      <c r="A939" s="62" t="s">
        <v>3918</v>
      </c>
      <c r="B939" s="6">
        <v>532656</v>
      </c>
      <c r="C939" s="6" t="s">
        <v>3919</v>
      </c>
      <c r="D939" s="7">
        <v>195224994</v>
      </c>
      <c r="E939" s="6">
        <v>8.83</v>
      </c>
      <c r="F939" s="8">
        <f ca="1">IFERROR(__xludf.DUMMYFUNCTION("GOOGLEFINANCE(""BOM:"" &amp; B939,""price"")"),7.08)</f>
        <v>7.08</v>
      </c>
      <c r="G939" s="8">
        <f t="shared" ca="1" si="324"/>
        <v>-19.818799546998868</v>
      </c>
      <c r="H939" s="7">
        <f t="shared" si="325"/>
        <v>1723836697.02</v>
      </c>
      <c r="I939" s="9">
        <f t="shared" ca="1" si="326"/>
        <v>1382192957.52</v>
      </c>
      <c r="J939" s="63"/>
      <c r="K939" s="8">
        <v>532259</v>
      </c>
      <c r="L939" s="8" t="s">
        <v>3920</v>
      </c>
      <c r="M939" s="12">
        <v>38155973</v>
      </c>
      <c r="N939" s="10">
        <v>6302.85</v>
      </c>
      <c r="O939" s="10">
        <f ca="1">IFERROR(__xludf.DUMMYFUNCTION("GOOGLEFINANCE(""BOM:"" &amp; K939,""price"")"),6986.8)</f>
        <v>6986.8</v>
      </c>
      <c r="P939" s="8">
        <f t="shared" ca="1" si="302"/>
        <v>10.851440221487103</v>
      </c>
      <c r="Q939" s="12">
        <f t="shared" si="303"/>
        <v>240491374423.05002</v>
      </c>
      <c r="R939" s="13">
        <f t="shared" ca="1" si="304"/>
        <v>266588152156.39999</v>
      </c>
      <c r="S939" s="63"/>
      <c r="T939" s="8">
        <v>542907</v>
      </c>
      <c r="U939" s="8" t="s">
        <v>3921</v>
      </c>
      <c r="V939" s="12">
        <v>110561079</v>
      </c>
      <c r="W939" s="8">
        <v>570.65</v>
      </c>
      <c r="X939" s="11">
        <f ca="1">IFERROR(__xludf.DUMMYFUNCTION("GOOGLEFINANCE(""BOM:"" &amp; T939,""price"")"),549.45)</f>
        <v>549.45000000000005</v>
      </c>
      <c r="Y939" s="8">
        <f t="shared" ca="1" si="328"/>
        <v>-3.7150617716638799</v>
      </c>
      <c r="Z939" s="12">
        <f t="shared" si="316"/>
        <v>63091679731.349998</v>
      </c>
      <c r="AA939" s="13">
        <f t="shared" ca="1" si="317"/>
        <v>60747784856.550003</v>
      </c>
      <c r="AB939" s="63"/>
      <c r="AC939" s="8">
        <v>539015</v>
      </c>
      <c r="AD939" s="8" t="s">
        <v>3922</v>
      </c>
      <c r="AE939" s="12">
        <v>32640369</v>
      </c>
      <c r="AF939" s="8">
        <v>1.37</v>
      </c>
      <c r="AG939" s="8">
        <f ca="1">IFERROR(__xludf.DUMMYFUNCTION("GOOGLEFINANCE(""BOM:"" &amp; AC939,""price"")"),1.25)</f>
        <v>1.25</v>
      </c>
      <c r="AH939" s="8">
        <f t="shared" ca="1" si="329"/>
        <v>-8.7591240875912479</v>
      </c>
      <c r="AI939" s="12">
        <f t="shared" si="330"/>
        <v>44717305.530000001</v>
      </c>
      <c r="AJ939" s="13">
        <f t="shared" ca="1" si="331"/>
        <v>40800461.25</v>
      </c>
    </row>
    <row r="940" spans="1:36" x14ac:dyDescent="0.25">
      <c r="A940" s="63"/>
      <c r="B940" s="8">
        <v>533047</v>
      </c>
      <c r="C940" s="8" t="s">
        <v>3923</v>
      </c>
      <c r="D940" s="12">
        <v>53668257</v>
      </c>
      <c r="E940" s="8">
        <v>619.1</v>
      </c>
      <c r="F940" s="8">
        <f ca="1">IFERROR(__xludf.DUMMYFUNCTION("GOOGLEFINANCE(""BOM:"" &amp; B940,""price"")"),638.35)</f>
        <v>638.35</v>
      </c>
      <c r="G940" s="8">
        <f t="shared" ca="1" si="324"/>
        <v>3.1093522855758358</v>
      </c>
      <c r="H940" s="12">
        <f t="shared" si="325"/>
        <v>33226017908.700001</v>
      </c>
      <c r="I940" s="13">
        <f t="shared" ca="1" si="326"/>
        <v>34259131855.950001</v>
      </c>
      <c r="J940" s="63"/>
      <c r="K940" s="8">
        <v>517096</v>
      </c>
      <c r="L940" s="8" t="s">
        <v>3924</v>
      </c>
      <c r="M940" s="12">
        <v>9819828</v>
      </c>
      <c r="N940" s="10">
        <v>85.99</v>
      </c>
      <c r="O940" s="10">
        <f ca="1">IFERROR(__xludf.DUMMYFUNCTION("GOOGLEFINANCE(""BOM:"" &amp; K940,""price"")"),75)</f>
        <v>75</v>
      </c>
      <c r="P940" s="8">
        <f t="shared" ca="1" si="302"/>
        <v>-12.78055587859053</v>
      </c>
      <c r="Q940" s="12">
        <f t="shared" si="303"/>
        <v>844407009.71999991</v>
      </c>
      <c r="R940" s="13">
        <f t="shared" ca="1" si="304"/>
        <v>736487100</v>
      </c>
      <c r="S940" s="63"/>
      <c r="T940" s="8">
        <v>530449</v>
      </c>
      <c r="U940" s="8" t="s">
        <v>3925</v>
      </c>
      <c r="V940" s="12">
        <v>5711234</v>
      </c>
      <c r="W940" s="8">
        <v>71</v>
      </c>
      <c r="X940" s="11">
        <f ca="1">IFERROR(__xludf.DUMMYFUNCTION("GOOGLEFINANCE(""BOM:"" &amp; T940,""price"")"),67.26)</f>
        <v>67.260000000000005</v>
      </c>
      <c r="Y940" s="8">
        <f t="shared" ca="1" si="328"/>
        <v>-5.2676056338028099</v>
      </c>
      <c r="Z940" s="12">
        <f t="shared" si="316"/>
        <v>405497614</v>
      </c>
      <c r="AA940" s="13">
        <f t="shared" ca="1" si="317"/>
        <v>384137598.84000003</v>
      </c>
      <c r="AB940" s="63"/>
      <c r="AC940" s="8">
        <v>532826</v>
      </c>
      <c r="AD940" s="8" t="s">
        <v>3926</v>
      </c>
      <c r="AE940" s="12">
        <v>51912887</v>
      </c>
      <c r="AF940" s="8">
        <v>60</v>
      </c>
      <c r="AG940" s="8">
        <f ca="1">IFERROR(__xludf.DUMMYFUNCTION("GOOGLEFINANCE(""BOM:"" &amp; AC940,""price"")"),58.65)</f>
        <v>58.65</v>
      </c>
      <c r="AH940" s="8">
        <f t="shared" ca="1" si="329"/>
        <v>-2.2500000000000022</v>
      </c>
      <c r="AI940" s="12">
        <f t="shared" si="330"/>
        <v>3114773220</v>
      </c>
      <c r="AJ940" s="13">
        <f t="shared" ca="1" si="331"/>
        <v>3044690822.5499997</v>
      </c>
    </row>
    <row r="941" spans="1:36" x14ac:dyDescent="0.25">
      <c r="A941" s="63"/>
      <c r="B941" s="8">
        <v>532614</v>
      </c>
      <c r="C941" s="8" t="s">
        <v>3927</v>
      </c>
      <c r="D941" s="12">
        <v>87174634</v>
      </c>
      <c r="E941" s="8">
        <v>4.84</v>
      </c>
      <c r="F941" s="8">
        <f ca="1">IFERROR(__xludf.DUMMYFUNCTION("GOOGLEFINANCE(""BOM:"" &amp; B941,""price"")"),3.45)</f>
        <v>3.45</v>
      </c>
      <c r="G941" s="8">
        <f t="shared" ca="1" si="324"/>
        <v>-28.719008264462804</v>
      </c>
      <c r="H941" s="12">
        <f t="shared" si="325"/>
        <v>421925228.56</v>
      </c>
      <c r="I941" s="13">
        <f t="shared" ca="1" si="326"/>
        <v>300752487.30000001</v>
      </c>
      <c r="J941" s="63"/>
      <c r="K941" s="8">
        <v>503960</v>
      </c>
      <c r="L941" s="8" t="s">
        <v>3928</v>
      </c>
      <c r="M941" s="12">
        <v>5597582</v>
      </c>
      <c r="N941" s="10">
        <v>5976.05</v>
      </c>
      <c r="O941" s="10">
        <f ca="1">IFERROR(__xludf.DUMMYFUNCTION("GOOGLEFINANCE(""BOM:"" &amp; K941,""price"")"),6390)</f>
        <v>6390</v>
      </c>
      <c r="P941" s="8">
        <f t="shared" ca="1" si="302"/>
        <v>6.9268162080303846</v>
      </c>
      <c r="Q941" s="12">
        <f t="shared" si="303"/>
        <v>33451429911.100002</v>
      </c>
      <c r="R941" s="13">
        <f t="shared" ca="1" si="304"/>
        <v>35768548980</v>
      </c>
      <c r="S941" s="63"/>
      <c r="T941" s="8">
        <v>501423</v>
      </c>
      <c r="U941" s="8" t="s">
        <v>3929</v>
      </c>
      <c r="V941" s="12">
        <v>45842750</v>
      </c>
      <c r="W941" s="8">
        <v>543</v>
      </c>
      <c r="X941" s="11">
        <f ca="1">IFERROR(__xludf.DUMMYFUNCTION("GOOGLEFINANCE(""BOM:"" &amp; T941,""price"")"),530.55)</f>
        <v>530.54999999999995</v>
      </c>
      <c r="Y941" s="8">
        <f t="shared" ca="1" si="328"/>
        <v>-2.2928176795580195</v>
      </c>
      <c r="Z941" s="12">
        <f t="shared" si="316"/>
        <v>24892613250</v>
      </c>
      <c r="AA941" s="13">
        <f t="shared" ca="1" si="317"/>
        <v>24321871012.499996</v>
      </c>
      <c r="AB941" s="63"/>
      <c r="AC941" s="8">
        <v>530943</v>
      </c>
      <c r="AD941" s="8" t="s">
        <v>3930</v>
      </c>
      <c r="AE941" s="12">
        <v>34944500</v>
      </c>
      <c r="AF941" s="8" t="s">
        <v>44</v>
      </c>
      <c r="AG941" s="8" t="s">
        <v>44</v>
      </c>
      <c r="AH941" s="8"/>
      <c r="AI941" s="12"/>
      <c r="AJ941" s="13"/>
    </row>
    <row r="942" spans="1:36" x14ac:dyDescent="0.25">
      <c r="A942" s="63"/>
      <c r="B942" s="8">
        <v>522165</v>
      </c>
      <c r="C942" s="8" t="s">
        <v>3931</v>
      </c>
      <c r="D942" s="12">
        <v>27466586</v>
      </c>
      <c r="E942" s="8">
        <v>55.7</v>
      </c>
      <c r="F942" s="8">
        <f ca="1">IFERROR(__xludf.DUMMYFUNCTION("GOOGLEFINANCE(""BOM:"" &amp; B942,""price"")"),44.23)</f>
        <v>44.23</v>
      </c>
      <c r="G942" s="8">
        <f t="shared" ca="1" si="324"/>
        <v>-20.592459605026939</v>
      </c>
      <c r="H942" s="12">
        <f t="shared" si="325"/>
        <v>1529888840.2</v>
      </c>
      <c r="I942" s="13">
        <f t="shared" ca="1" si="326"/>
        <v>1214847098.78</v>
      </c>
      <c r="J942" s="63"/>
      <c r="K942" s="8">
        <v>531460</v>
      </c>
      <c r="L942" s="8" t="s">
        <v>3932</v>
      </c>
      <c r="M942" s="12">
        <v>5760614</v>
      </c>
      <c r="N942" s="10">
        <v>6.21</v>
      </c>
      <c r="O942" s="10">
        <f ca="1">IFERROR(__xludf.DUMMYFUNCTION("GOOGLEFINANCE(""BOM:"" &amp; K942,""price"")"),10.53)</f>
        <v>10.53</v>
      </c>
      <c r="P942" s="8">
        <f t="shared" ca="1" si="302"/>
        <v>69.56521739130433</v>
      </c>
      <c r="Q942" s="12">
        <f t="shared" si="303"/>
        <v>35773412.939999998</v>
      </c>
      <c r="R942" s="13">
        <f t="shared" ca="1" si="304"/>
        <v>60659265.419999994</v>
      </c>
      <c r="S942" s="63"/>
      <c r="T942" s="8">
        <v>540693</v>
      </c>
      <c r="U942" s="8" t="s">
        <v>3933</v>
      </c>
      <c r="V942" s="12">
        <v>34191399</v>
      </c>
      <c r="W942" s="8">
        <v>123.05</v>
      </c>
      <c r="X942" s="11">
        <f ca="1">IFERROR(__xludf.DUMMYFUNCTION("GOOGLEFINANCE(""BOM:"" &amp; T942,""price"")"),119.1)</f>
        <v>119.1</v>
      </c>
      <c r="Y942" s="8">
        <f t="shared" ca="1" si="328"/>
        <v>-3.2100772043884627</v>
      </c>
      <c r="Z942" s="12">
        <f t="shared" si="316"/>
        <v>4207251646.9499998</v>
      </c>
      <c r="AA942" s="13">
        <f t="shared" ca="1" si="317"/>
        <v>4072195620.8999996</v>
      </c>
      <c r="AB942" s="63"/>
      <c r="AC942" s="8">
        <v>540821</v>
      </c>
      <c r="AD942" s="8" t="s">
        <v>3934</v>
      </c>
      <c r="AE942" s="12">
        <v>96918990</v>
      </c>
      <c r="AF942" s="8">
        <v>4.8099999999999996</v>
      </c>
      <c r="AG942" s="8">
        <f ca="1">IFERROR(__xludf.DUMMYFUNCTION("GOOGLEFINANCE(""BOM:"" &amp; AC942,""price"")"),4.22)</f>
        <v>4.22</v>
      </c>
      <c r="AH942" s="8">
        <f ca="1">((AG942-AF942)/AF942)*100</f>
        <v>-12.266112266112264</v>
      </c>
      <c r="AI942" s="12">
        <f>AE942*AF942</f>
        <v>466180341.89999998</v>
      </c>
      <c r="AJ942" s="13">
        <f ca="1">AE942*AG942</f>
        <v>408998137.79999995</v>
      </c>
    </row>
    <row r="943" spans="1:36" x14ac:dyDescent="0.25">
      <c r="A943" s="63"/>
      <c r="B943" s="8">
        <v>590078</v>
      </c>
      <c r="C943" s="8" t="s">
        <v>3935</v>
      </c>
      <c r="D943" s="12">
        <v>29086495</v>
      </c>
      <c r="E943" s="8">
        <v>1089.5</v>
      </c>
      <c r="F943" s="8">
        <f ca="1">IFERROR(__xludf.DUMMYFUNCTION("GOOGLEFINANCE(""BOM:"" &amp; B943,""price"")"),980)</f>
        <v>980</v>
      </c>
      <c r="G943" s="8">
        <f t="shared" ca="1" si="324"/>
        <v>-10.050481872418541</v>
      </c>
      <c r="H943" s="12">
        <f t="shared" si="325"/>
        <v>31689736302.5</v>
      </c>
      <c r="I943" s="13">
        <f t="shared" ca="1" si="326"/>
        <v>28504765100</v>
      </c>
      <c r="J943" s="63"/>
      <c r="K943" s="8">
        <v>531472</v>
      </c>
      <c r="L943" s="8" t="s">
        <v>3936</v>
      </c>
      <c r="M943" s="12">
        <v>9976600</v>
      </c>
      <c r="N943" s="10">
        <v>39.4</v>
      </c>
      <c r="O943" s="10">
        <f ca="1">IFERROR(__xludf.DUMMYFUNCTION("GOOGLEFINANCE(""BOM:"" &amp; K943,""price"")"),37.2)</f>
        <v>37.200000000000003</v>
      </c>
      <c r="P943" s="8">
        <f t="shared" ca="1" si="302"/>
        <v>-5.5837563451776546</v>
      </c>
      <c r="Q943" s="12">
        <f t="shared" si="303"/>
        <v>393078040</v>
      </c>
      <c r="R943" s="13">
        <f t="shared" ca="1" si="304"/>
        <v>371129520</v>
      </c>
      <c r="S943" s="63"/>
      <c r="T943" s="8">
        <v>540653</v>
      </c>
      <c r="U943" s="8" t="s">
        <v>3937</v>
      </c>
      <c r="V943" s="12">
        <v>633650915</v>
      </c>
      <c r="W943" s="8" t="s">
        <v>44</v>
      </c>
      <c r="X943" s="11" t="s">
        <v>44</v>
      </c>
      <c r="Y943" s="8"/>
      <c r="Z943" s="12"/>
      <c r="AA943" s="13"/>
      <c r="AB943" s="63"/>
      <c r="AC943" s="8">
        <v>503691</v>
      </c>
      <c r="AD943" s="8" t="s">
        <v>3938</v>
      </c>
      <c r="AE943" s="12">
        <v>21485693</v>
      </c>
      <c r="AF943" s="8" t="s">
        <v>44</v>
      </c>
      <c r="AG943" s="8" t="s">
        <v>44</v>
      </c>
      <c r="AH943" s="8"/>
      <c r="AI943" s="12"/>
      <c r="AJ943" s="13"/>
    </row>
    <row r="944" spans="1:36" x14ac:dyDescent="0.25">
      <c r="A944" s="63"/>
      <c r="B944" s="8">
        <v>532362</v>
      </c>
      <c r="C944" s="8" t="s">
        <v>3939</v>
      </c>
      <c r="D944" s="12">
        <v>11776675</v>
      </c>
      <c r="E944" s="8">
        <v>102.65</v>
      </c>
      <c r="F944" s="8">
        <f ca="1">IFERROR(__xludf.DUMMYFUNCTION("GOOGLEFINANCE(""BOM:"" &amp; B944,""price"")"),99.45)</f>
        <v>99.45</v>
      </c>
      <c r="G944" s="8">
        <f t="shared" ca="1" si="324"/>
        <v>-3.1173891865562617</v>
      </c>
      <c r="H944" s="12">
        <f t="shared" si="325"/>
        <v>1208875688.75</v>
      </c>
      <c r="I944" s="13">
        <f t="shared" ca="1" si="326"/>
        <v>1171190328.75</v>
      </c>
      <c r="J944" s="63"/>
      <c r="K944" s="8">
        <v>542679</v>
      </c>
      <c r="L944" s="8" t="s">
        <v>3940</v>
      </c>
      <c r="M944" s="12">
        <v>13787600</v>
      </c>
      <c r="N944" s="10">
        <v>58.1</v>
      </c>
      <c r="O944" s="10">
        <f ca="1">IFERROR(__xludf.DUMMYFUNCTION("GOOGLEFINANCE(""BOM:"" &amp; K944,""price"")"),53)</f>
        <v>53</v>
      </c>
      <c r="P944" s="8">
        <f t="shared" ca="1" si="302"/>
        <v>-8.7779690189328772</v>
      </c>
      <c r="Q944" s="12">
        <f t="shared" si="303"/>
        <v>801059560</v>
      </c>
      <c r="R944" s="13">
        <f t="shared" ca="1" si="304"/>
        <v>730742800</v>
      </c>
      <c r="S944" s="63"/>
      <c r="T944" s="8">
        <v>514442</v>
      </c>
      <c r="U944" s="8" t="s">
        <v>3941</v>
      </c>
      <c r="V944" s="12">
        <v>16617475</v>
      </c>
      <c r="W944" s="8">
        <v>33.799999999999997</v>
      </c>
      <c r="X944" s="11">
        <f ca="1">IFERROR(__xludf.DUMMYFUNCTION("GOOGLEFINANCE(""BOM:"" &amp; T944,""price"")"),29.01)</f>
        <v>29.01</v>
      </c>
      <c r="Y944" s="8">
        <f t="shared" ref="Y944:Y1036" ca="1" si="332">((X944-W944)/W944)*100</f>
        <v>-14.171597633136082</v>
      </c>
      <c r="Z944" s="12">
        <f t="shared" ref="Z944:Z1036" si="333">V944*W944</f>
        <v>561670655</v>
      </c>
      <c r="AA944" s="13">
        <f t="shared" ref="AA944:AA1036" ca="1" si="334">V944*X944</f>
        <v>482072949.75</v>
      </c>
      <c r="AB944" s="63"/>
      <c r="AC944" s="8">
        <v>533268</v>
      </c>
      <c r="AD944" s="8" t="s">
        <v>3942</v>
      </c>
      <c r="AE944" s="12">
        <v>12019698</v>
      </c>
      <c r="AF944" s="8">
        <v>10.130000000000001</v>
      </c>
      <c r="AG944" s="8">
        <f ca="1">IFERROR(__xludf.DUMMYFUNCTION("GOOGLEFINANCE(""BOM:"" &amp; AC944,""price"")"),9.17)</f>
        <v>9.17</v>
      </c>
      <c r="AH944" s="8">
        <f t="shared" ref="AH944:AH953" ca="1" si="335">((AG944-AF944)/AF944)*100</f>
        <v>-9.4768015794669367</v>
      </c>
      <c r="AI944" s="12">
        <f t="shared" ref="AI944:AI953" si="336">AE944*AF944</f>
        <v>121759540.74000001</v>
      </c>
      <c r="AJ944" s="13">
        <f t="shared" ref="AJ944:AJ953" ca="1" si="337">AE944*AG944</f>
        <v>110220630.66</v>
      </c>
    </row>
    <row r="945" spans="1:36" x14ac:dyDescent="0.25">
      <c r="A945" s="63"/>
      <c r="B945" s="8">
        <v>532626</v>
      </c>
      <c r="C945" s="8" t="s">
        <v>3943</v>
      </c>
      <c r="D945" s="12">
        <v>5773386</v>
      </c>
      <c r="E945" s="8">
        <v>725.8</v>
      </c>
      <c r="F945" s="8">
        <f ca="1">IFERROR(__xludf.DUMMYFUNCTION("GOOGLEFINANCE(""BOM:"" &amp; B945,""price"")"),619.05)</f>
        <v>619.04999999999995</v>
      </c>
      <c r="G945" s="8">
        <f t="shared" ca="1" si="324"/>
        <v>-14.707908514742355</v>
      </c>
      <c r="H945" s="12">
        <f t="shared" si="325"/>
        <v>4190323558.7999997</v>
      </c>
      <c r="I945" s="13">
        <f t="shared" ca="1" si="326"/>
        <v>3574014603.2999997</v>
      </c>
      <c r="J945" s="63"/>
      <c r="K945" s="8">
        <v>504240</v>
      </c>
      <c r="L945" s="8" t="s">
        <v>3944</v>
      </c>
      <c r="M945" s="12">
        <v>8354264</v>
      </c>
      <c r="N945" s="10">
        <v>464</v>
      </c>
      <c r="O945" s="10">
        <f ca="1">IFERROR(__xludf.DUMMYFUNCTION("GOOGLEFINANCE(""BOM:"" &amp; K945,""price"")"),370.5)</f>
        <v>370.5</v>
      </c>
      <c r="P945" s="8">
        <f t="shared" ca="1" si="302"/>
        <v>-20.150862068965516</v>
      </c>
      <c r="Q945" s="12">
        <f t="shared" si="303"/>
        <v>3876378496</v>
      </c>
      <c r="R945" s="13">
        <f t="shared" ca="1" si="304"/>
        <v>3095254812</v>
      </c>
      <c r="S945" s="63"/>
      <c r="T945" s="8">
        <v>530611</v>
      </c>
      <c r="U945" s="8" t="s">
        <v>3945</v>
      </c>
      <c r="V945" s="12">
        <v>129197444</v>
      </c>
      <c r="W945" s="8">
        <v>0.52</v>
      </c>
      <c r="X945" s="11">
        <f ca="1">IFERROR(__xludf.DUMMYFUNCTION("GOOGLEFINANCE(""BOM:"" &amp; T945,""price"")"),0.48)</f>
        <v>0.48</v>
      </c>
      <c r="Y945" s="8">
        <f t="shared" ca="1" si="332"/>
        <v>-7.6923076923076987</v>
      </c>
      <c r="Z945" s="12">
        <f t="shared" si="333"/>
        <v>67182670.879999995</v>
      </c>
      <c r="AA945" s="13">
        <f t="shared" ca="1" si="334"/>
        <v>62014773.119999997</v>
      </c>
      <c r="AB945" s="63"/>
      <c r="AC945" s="8">
        <v>532795</v>
      </c>
      <c r="AD945" s="8" t="s">
        <v>3946</v>
      </c>
      <c r="AE945" s="12">
        <v>871724002</v>
      </c>
      <c r="AF945" s="8">
        <v>0.83</v>
      </c>
      <c r="AG945" s="8">
        <f ca="1">IFERROR(__xludf.DUMMYFUNCTION("GOOGLEFINANCE(""BOM:"" &amp; AC945,""price"")"),0.65)</f>
        <v>0.65</v>
      </c>
      <c r="AH945" s="8">
        <f t="shared" ca="1" si="335"/>
        <v>-21.686746987951803</v>
      </c>
      <c r="AI945" s="12">
        <f t="shared" si="336"/>
        <v>723530921.65999997</v>
      </c>
      <c r="AJ945" s="13">
        <f t="shared" ca="1" si="337"/>
        <v>566620601.30000007</v>
      </c>
    </row>
    <row r="946" spans="1:36" x14ac:dyDescent="0.25">
      <c r="A946" s="64"/>
      <c r="B946" s="14">
        <v>539252</v>
      </c>
      <c r="C946" s="14" t="s">
        <v>3947</v>
      </c>
      <c r="D946" s="15">
        <v>221712103</v>
      </c>
      <c r="E946" s="8">
        <v>21.5</v>
      </c>
      <c r="F946" s="14">
        <f ca="1">IFERROR(__xludf.DUMMYFUNCTION("GOOGLEFINANCE(""BOM:"" &amp; B946,""price"")"),16.92)</f>
        <v>16.920000000000002</v>
      </c>
      <c r="G946" s="14">
        <f t="shared" ca="1" si="324"/>
        <v>-21.30232558139534</v>
      </c>
      <c r="H946" s="15">
        <f t="shared" si="325"/>
        <v>4766810214.5</v>
      </c>
      <c r="I946" s="16">
        <f t="shared" ca="1" si="326"/>
        <v>3751368782.7600002</v>
      </c>
      <c r="J946" s="63"/>
      <c r="K946" s="8">
        <v>532751</v>
      </c>
      <c r="L946" s="8" t="s">
        <v>3948</v>
      </c>
      <c r="M946" s="12">
        <v>30412544</v>
      </c>
      <c r="N946" s="8" t="s">
        <v>44</v>
      </c>
      <c r="O946" s="8" t="s">
        <v>44</v>
      </c>
      <c r="P946" s="8"/>
      <c r="Q946" s="12"/>
      <c r="R946" s="13"/>
      <c r="S946" s="63"/>
      <c r="T946" s="8">
        <v>509930</v>
      </c>
      <c r="U946" s="8" t="s">
        <v>3949</v>
      </c>
      <c r="V946" s="12">
        <v>125815670</v>
      </c>
      <c r="W946" s="8">
        <v>4140</v>
      </c>
      <c r="X946" s="11">
        <f ca="1">IFERROR(__xludf.DUMMYFUNCTION("GOOGLEFINANCE(""BOM:"" &amp; T946,""price"")"),4217)</f>
        <v>4217</v>
      </c>
      <c r="Y946" s="8">
        <f t="shared" ca="1" si="332"/>
        <v>1.8599033816425119</v>
      </c>
      <c r="Z946" s="12">
        <f t="shared" si="333"/>
        <v>520876873800</v>
      </c>
      <c r="AA946" s="13">
        <f t="shared" ca="1" si="334"/>
        <v>530564680390</v>
      </c>
      <c r="AB946" s="63"/>
      <c r="AC946" s="8">
        <v>532733</v>
      </c>
      <c r="AD946" s="8" t="s">
        <v>3950</v>
      </c>
      <c r="AE946" s="12">
        <v>394084091</v>
      </c>
      <c r="AF946" s="8">
        <v>612.4</v>
      </c>
      <c r="AG946" s="8">
        <f ca="1">IFERROR(__xludf.DUMMYFUNCTION("GOOGLEFINANCE(""BOM:"" &amp; AC946,""price"")"),602.7)</f>
        <v>602.70000000000005</v>
      </c>
      <c r="AH946" s="8">
        <f t="shared" ca="1" si="335"/>
        <v>-1.5839320705421183</v>
      </c>
      <c r="AI946" s="12">
        <f t="shared" si="336"/>
        <v>241337097328.39999</v>
      </c>
      <c r="AJ946" s="13">
        <f t="shared" ca="1" si="337"/>
        <v>237514481645.70001</v>
      </c>
    </row>
    <row r="947" spans="1:36" x14ac:dyDescent="0.25">
      <c r="A947" s="62" t="s">
        <v>3951</v>
      </c>
      <c r="B947" s="6">
        <v>532935</v>
      </c>
      <c r="C947" s="6" t="s">
        <v>3952</v>
      </c>
      <c r="D947" s="7">
        <v>12909978</v>
      </c>
      <c r="E947" s="6">
        <v>285</v>
      </c>
      <c r="F947" s="8">
        <f ca="1">IFERROR(__xludf.DUMMYFUNCTION("GOOGLEFINANCE(""BOM:"" &amp; B947,""price"")"),243.4)</f>
        <v>243.4</v>
      </c>
      <c r="G947" s="8">
        <f t="shared" ca="1" si="324"/>
        <v>-14.596491228070175</v>
      </c>
      <c r="H947" s="7">
        <f t="shared" si="325"/>
        <v>3679343730</v>
      </c>
      <c r="I947" s="9">
        <f t="shared" ca="1" si="326"/>
        <v>3142288645.2000003</v>
      </c>
      <c r="J947" s="63"/>
      <c r="K947" s="8">
        <v>504000</v>
      </c>
      <c r="L947" s="8" t="s">
        <v>3953</v>
      </c>
      <c r="M947" s="12">
        <v>167644715</v>
      </c>
      <c r="N947" s="10">
        <v>91.5</v>
      </c>
      <c r="O947" s="10">
        <f ca="1">IFERROR(__xludf.DUMMYFUNCTION("GOOGLEFINANCE(""BOM:"" &amp; K947,""price"")"),81.58)</f>
        <v>81.58</v>
      </c>
      <c r="P947" s="8">
        <f t="shared" ref="P947:P978" ca="1" si="338">((O947-N947)/N947)*100</f>
        <v>-10.84153005464481</v>
      </c>
      <c r="Q947" s="12">
        <f t="shared" ref="Q947:Q989" si="339">M947*N947</f>
        <v>15339491422.5</v>
      </c>
      <c r="R947" s="13">
        <f t="shared" ref="R947:R989" ca="1" si="340">M947*O947</f>
        <v>13676455849.699999</v>
      </c>
      <c r="S947" s="63"/>
      <c r="T947" s="8">
        <v>507785</v>
      </c>
      <c r="U947" s="8" t="s">
        <v>3954</v>
      </c>
      <c r="V947" s="12">
        <v>8786118</v>
      </c>
      <c r="W947" s="8">
        <v>138.5</v>
      </c>
      <c r="X947" s="11">
        <f ca="1">IFERROR(__xludf.DUMMYFUNCTION("GOOGLEFINANCE(""BOM:"" &amp; T947,""price"")"),123.75)</f>
        <v>123.75</v>
      </c>
      <c r="Y947" s="8">
        <f t="shared" ca="1" si="332"/>
        <v>-10.649819494584838</v>
      </c>
      <c r="Z947" s="12">
        <f t="shared" si="333"/>
        <v>1216877343</v>
      </c>
      <c r="AA947" s="13">
        <f t="shared" ca="1" si="334"/>
        <v>1087282102.5</v>
      </c>
      <c r="AB947" s="63"/>
      <c r="AC947" s="8">
        <v>532800</v>
      </c>
      <c r="AD947" s="8" t="s">
        <v>3955</v>
      </c>
      <c r="AE947" s="12">
        <v>1714163524</v>
      </c>
      <c r="AF947" s="8">
        <v>57.22</v>
      </c>
      <c r="AG947" s="8">
        <f ca="1">IFERROR(__xludf.DUMMYFUNCTION("GOOGLEFINANCE(""BOM:"" &amp; AC947,""price"")"),46.09)</f>
        <v>46.09</v>
      </c>
      <c r="AH947" s="8">
        <f t="shared" ca="1" si="335"/>
        <v>-19.451240824886394</v>
      </c>
      <c r="AI947" s="12">
        <f t="shared" si="336"/>
        <v>98084436843.279999</v>
      </c>
      <c r="AJ947" s="13">
        <f t="shared" ca="1" si="337"/>
        <v>79005796821.160004</v>
      </c>
    </row>
    <row r="948" spans="1:36" x14ac:dyDescent="0.25">
      <c r="A948" s="63"/>
      <c r="B948" s="8">
        <v>524687</v>
      </c>
      <c r="C948" s="8" t="s">
        <v>3956</v>
      </c>
      <c r="D948" s="12">
        <v>89735730</v>
      </c>
      <c r="E948" s="8">
        <v>22.6</v>
      </c>
      <c r="F948" s="8">
        <f ca="1">IFERROR(__xludf.DUMMYFUNCTION("GOOGLEFINANCE(""BOM:"" &amp; B948,""price"")"),18.07)</f>
        <v>18.07</v>
      </c>
      <c r="G948" s="8">
        <f t="shared" ca="1" si="324"/>
        <v>-20.044247787610622</v>
      </c>
      <c r="H948" s="12">
        <f t="shared" si="325"/>
        <v>2028027498.0000002</v>
      </c>
      <c r="I948" s="13">
        <f t="shared" ca="1" si="326"/>
        <v>1621524641.1000001</v>
      </c>
      <c r="J948" s="63"/>
      <c r="K948" s="8">
        <v>504028</v>
      </c>
      <c r="L948" s="8" t="s">
        <v>3957</v>
      </c>
      <c r="M948" s="12">
        <v>25988466</v>
      </c>
      <c r="N948" s="10">
        <v>131.19999999999999</v>
      </c>
      <c r="O948" s="10">
        <f ca="1">IFERROR(__xludf.DUMMYFUNCTION("GOOGLEFINANCE(""BOM:"" &amp; K948,""price"")"),133.5)</f>
        <v>133.5</v>
      </c>
      <c r="P948" s="8">
        <f t="shared" ca="1" si="338"/>
        <v>1.7530487804878137</v>
      </c>
      <c r="Q948" s="12">
        <f t="shared" si="339"/>
        <v>3409686739.1999998</v>
      </c>
      <c r="R948" s="13">
        <f t="shared" ca="1" si="340"/>
        <v>3469460211</v>
      </c>
      <c r="S948" s="63"/>
      <c r="T948" s="8">
        <v>526638</v>
      </c>
      <c r="U948" s="8" t="s">
        <v>3958</v>
      </c>
      <c r="V948" s="12">
        <v>7134532</v>
      </c>
      <c r="W948" s="8">
        <v>51</v>
      </c>
      <c r="X948" s="11">
        <f ca="1">IFERROR(__xludf.DUMMYFUNCTION("GOOGLEFINANCE(""BOM:"" &amp; T948,""price"")"),41.61)</f>
        <v>41.61</v>
      </c>
      <c r="Y948" s="8">
        <f t="shared" ca="1" si="332"/>
        <v>-18.411764705882355</v>
      </c>
      <c r="Z948" s="12">
        <f t="shared" si="333"/>
        <v>363861132</v>
      </c>
      <c r="AA948" s="13">
        <f t="shared" ca="1" si="334"/>
        <v>296867876.51999998</v>
      </c>
      <c r="AB948" s="63"/>
      <c r="AC948" s="8">
        <v>532515</v>
      </c>
      <c r="AD948" s="8" t="s">
        <v>3959</v>
      </c>
      <c r="AE948" s="12">
        <v>59668019</v>
      </c>
      <c r="AF948" s="8">
        <v>243.9</v>
      </c>
      <c r="AG948" s="8">
        <f ca="1">IFERROR(__xludf.DUMMYFUNCTION("GOOGLEFINANCE(""BOM:"" &amp; AC948,""price"")"),212)</f>
        <v>212</v>
      </c>
      <c r="AH948" s="8">
        <f t="shared" ca="1" si="335"/>
        <v>-13.079130791307916</v>
      </c>
      <c r="AI948" s="12">
        <f t="shared" si="336"/>
        <v>14553029834.1</v>
      </c>
      <c r="AJ948" s="13">
        <f t="shared" ca="1" si="337"/>
        <v>12649620028</v>
      </c>
    </row>
    <row r="949" spans="1:36" x14ac:dyDescent="0.25">
      <c r="A949" s="63"/>
      <c r="B949" s="8">
        <v>531862</v>
      </c>
      <c r="C949" s="8" t="s">
        <v>3960</v>
      </c>
      <c r="D949" s="12">
        <v>48233520</v>
      </c>
      <c r="E949" s="8">
        <v>117.75</v>
      </c>
      <c r="F949" s="8">
        <f ca="1">IFERROR(__xludf.DUMMYFUNCTION("GOOGLEFINANCE(""BOM:"" &amp; B949,""price"")"),101)</f>
        <v>101</v>
      </c>
      <c r="G949" s="8">
        <f t="shared" ca="1" si="324"/>
        <v>-14.225053078556263</v>
      </c>
      <c r="H949" s="12">
        <f t="shared" si="325"/>
        <v>5679496980</v>
      </c>
      <c r="I949" s="13">
        <f t="shared" ca="1" si="326"/>
        <v>4871585520</v>
      </c>
      <c r="J949" s="63"/>
      <c r="K949" s="8">
        <v>530343</v>
      </c>
      <c r="L949" s="8" t="s">
        <v>3961</v>
      </c>
      <c r="M949" s="12">
        <v>255652840</v>
      </c>
      <c r="N949" s="10">
        <v>255.8</v>
      </c>
      <c r="O949" s="10">
        <f ca="1">IFERROR(__xludf.DUMMYFUNCTION("GOOGLEFINANCE(""BOM:"" &amp; K949,""price"")"),232.35)</f>
        <v>232.35</v>
      </c>
      <c r="P949" s="8">
        <f t="shared" ca="1" si="338"/>
        <v>-9.167318217357316</v>
      </c>
      <c r="Q949" s="12">
        <f t="shared" si="339"/>
        <v>65395996472</v>
      </c>
      <c r="R949" s="13">
        <f t="shared" ca="1" si="340"/>
        <v>59400937374</v>
      </c>
      <c r="S949" s="63"/>
      <c r="T949" s="8">
        <v>533164</v>
      </c>
      <c r="U949" s="8" t="s">
        <v>3962</v>
      </c>
      <c r="V949" s="12">
        <v>29194884</v>
      </c>
      <c r="W949" s="8">
        <v>94.9</v>
      </c>
      <c r="X949" s="11">
        <f ca="1">IFERROR(__xludf.DUMMYFUNCTION("GOOGLEFINANCE(""BOM:"" &amp; T949,""price"")"),77.35)</f>
        <v>77.349999999999994</v>
      </c>
      <c r="Y949" s="8">
        <f t="shared" ca="1" si="332"/>
        <v>-18.493150684931518</v>
      </c>
      <c r="Z949" s="12">
        <f t="shared" si="333"/>
        <v>2770594491.6000004</v>
      </c>
      <c r="AA949" s="13">
        <f t="shared" ca="1" si="334"/>
        <v>2258224277.3999996</v>
      </c>
      <c r="AB949" s="63"/>
      <c r="AC949" s="8">
        <v>540083</v>
      </c>
      <c r="AD949" s="8" t="s">
        <v>3963</v>
      </c>
      <c r="AE949" s="12">
        <v>36700176</v>
      </c>
      <c r="AF949" s="8">
        <v>7.25</v>
      </c>
      <c r="AG949" s="8">
        <f ca="1">IFERROR(__xludf.DUMMYFUNCTION("GOOGLEFINANCE(""BOM:"" &amp; AC949,""price"")"),5.09)</f>
        <v>5.09</v>
      </c>
      <c r="AH949" s="8">
        <f t="shared" ca="1" si="335"/>
        <v>-29.793103448275865</v>
      </c>
      <c r="AI949" s="12">
        <f t="shared" si="336"/>
        <v>266076276</v>
      </c>
      <c r="AJ949" s="13">
        <f t="shared" ca="1" si="337"/>
        <v>186803895.84</v>
      </c>
    </row>
    <row r="950" spans="1:36" x14ac:dyDescent="0.25">
      <c r="A950" s="63"/>
      <c r="B950" s="8">
        <v>500085</v>
      </c>
      <c r="C950" s="8" t="s">
        <v>3964</v>
      </c>
      <c r="D950" s="12">
        <v>402682374</v>
      </c>
      <c r="E950" s="8">
        <v>353.95</v>
      </c>
      <c r="F950" s="8">
        <f ca="1">IFERROR(__xludf.DUMMYFUNCTION("GOOGLEFINANCE(""BOM:"" &amp; B950,""price"")"),342.1)</f>
        <v>342.1</v>
      </c>
      <c r="G950" s="8">
        <f t="shared" ca="1" si="324"/>
        <v>-3.347930498657993</v>
      </c>
      <c r="H950" s="12">
        <f t="shared" si="325"/>
        <v>142529426277.29999</v>
      </c>
      <c r="I950" s="13">
        <f t="shared" ca="1" si="326"/>
        <v>137757640145.40002</v>
      </c>
      <c r="J950" s="63"/>
      <c r="K950" s="8">
        <v>517288</v>
      </c>
      <c r="L950" s="8" t="s">
        <v>3965</v>
      </c>
      <c r="M950" s="12">
        <v>709188</v>
      </c>
      <c r="N950" s="10">
        <v>68.8</v>
      </c>
      <c r="O950" s="10">
        <v>68.8</v>
      </c>
      <c r="P950" s="8">
        <f t="shared" si="338"/>
        <v>0</v>
      </c>
      <c r="Q950" s="12">
        <f t="shared" si="339"/>
        <v>48792134.399999999</v>
      </c>
      <c r="R950" s="13">
        <f t="shared" si="340"/>
        <v>48792134.399999999</v>
      </c>
      <c r="S950" s="63"/>
      <c r="T950" s="8">
        <v>533629</v>
      </c>
      <c r="U950" s="8" t="s">
        <v>3966</v>
      </c>
      <c r="V950" s="12">
        <v>28626559</v>
      </c>
      <c r="W950" s="8">
        <v>11.62</v>
      </c>
      <c r="X950" s="11">
        <f ca="1">IFERROR(__xludf.DUMMYFUNCTION("GOOGLEFINANCE(""BOM:"" &amp; T950,""price"")"),12.75)</f>
        <v>12.75</v>
      </c>
      <c r="Y950" s="8">
        <f t="shared" ca="1" si="332"/>
        <v>9.7246127366609372</v>
      </c>
      <c r="Z950" s="12">
        <f t="shared" si="333"/>
        <v>332640615.57999998</v>
      </c>
      <c r="AA950" s="13">
        <f t="shared" ca="1" si="334"/>
        <v>364988627.25</v>
      </c>
      <c r="AB950" s="63"/>
      <c r="AC950" s="8">
        <v>505537</v>
      </c>
      <c r="AD950" s="8" t="s">
        <v>3967</v>
      </c>
      <c r="AE950" s="12">
        <v>959625858</v>
      </c>
      <c r="AF950" s="8">
        <v>155.35</v>
      </c>
      <c r="AG950" s="8">
        <f ca="1">IFERROR(__xludf.DUMMYFUNCTION("GOOGLEFINANCE(""BOM:"" &amp; AC950,""price"")"),138.7)</f>
        <v>138.69999999999999</v>
      </c>
      <c r="AH950" s="8">
        <f t="shared" ca="1" si="335"/>
        <v>-10.717734148696497</v>
      </c>
      <c r="AI950" s="12">
        <f t="shared" si="336"/>
        <v>149077877040.29999</v>
      </c>
      <c r="AJ950" s="13">
        <f t="shared" ca="1" si="337"/>
        <v>133100106504.59999</v>
      </c>
    </row>
    <row r="951" spans="1:36" x14ac:dyDescent="0.25">
      <c r="A951" s="63"/>
      <c r="B951" s="8">
        <v>506395</v>
      </c>
      <c r="C951" s="8" t="s">
        <v>3968</v>
      </c>
      <c r="D951" s="12">
        <v>287234376</v>
      </c>
      <c r="E951" s="8">
        <v>1086.45</v>
      </c>
      <c r="F951" s="8">
        <f ca="1">IFERROR(__xludf.DUMMYFUNCTION("GOOGLEFINANCE(""BOM:"" &amp; B951,""price"")"),1077.25)</f>
        <v>1077.25</v>
      </c>
      <c r="G951" s="8">
        <f t="shared" ca="1" si="324"/>
        <v>-0.84679460628653369</v>
      </c>
      <c r="H951" s="12">
        <f t="shared" si="325"/>
        <v>312065787805.20001</v>
      </c>
      <c r="I951" s="13">
        <f t="shared" ca="1" si="326"/>
        <v>309423231546</v>
      </c>
      <c r="J951" s="63"/>
      <c r="K951" s="8">
        <v>517271</v>
      </c>
      <c r="L951" s="8" t="s">
        <v>3969</v>
      </c>
      <c r="M951" s="12">
        <v>274753442</v>
      </c>
      <c r="N951" s="10">
        <v>525.85</v>
      </c>
      <c r="O951" s="10">
        <f ca="1">IFERROR(__xludf.DUMMYFUNCTION("GOOGLEFINANCE(""BOM:"" &amp; K951,""price"")"),454.5)</f>
        <v>454.5</v>
      </c>
      <c r="P951" s="8">
        <f t="shared" ca="1" si="338"/>
        <v>-13.568508129694784</v>
      </c>
      <c r="Q951" s="12">
        <f t="shared" si="339"/>
        <v>144479097475.70001</v>
      </c>
      <c r="R951" s="13">
        <f t="shared" ca="1" si="340"/>
        <v>124875439389</v>
      </c>
      <c r="S951" s="64"/>
      <c r="T951" s="14">
        <v>532856</v>
      </c>
      <c r="U951" s="14" t="s">
        <v>3970</v>
      </c>
      <c r="V951" s="15">
        <v>226144130</v>
      </c>
      <c r="W951" s="14">
        <v>219.75</v>
      </c>
      <c r="X951" s="26">
        <f ca="1">IFERROR(__xludf.DUMMYFUNCTION("GOOGLEFINANCE(""BOM:"" &amp; T951,""price"")"),250.1)</f>
        <v>250.1</v>
      </c>
      <c r="Y951" s="14">
        <f t="shared" ca="1" si="332"/>
        <v>13.811149032992034</v>
      </c>
      <c r="Z951" s="15">
        <f t="shared" si="333"/>
        <v>49695172567.5</v>
      </c>
      <c r="AA951" s="16">
        <f t="shared" ca="1" si="334"/>
        <v>56558646913</v>
      </c>
      <c r="AB951" s="64"/>
      <c r="AC951" s="14">
        <v>532794</v>
      </c>
      <c r="AD951" s="14" t="s">
        <v>3971</v>
      </c>
      <c r="AE951" s="15">
        <v>625104380</v>
      </c>
      <c r="AF951" s="14">
        <v>13.62</v>
      </c>
      <c r="AG951" s="14">
        <f ca="1">IFERROR(__xludf.DUMMYFUNCTION("GOOGLEFINANCE(""BOM:"" &amp; AC951,""price"")"),10.41)</f>
        <v>10.41</v>
      </c>
      <c r="AH951" s="14">
        <f t="shared" ca="1" si="335"/>
        <v>-23.568281938325985</v>
      </c>
      <c r="AI951" s="15">
        <f t="shared" si="336"/>
        <v>8513921655.5999994</v>
      </c>
      <c r="AJ951" s="16">
        <f t="shared" ca="1" si="337"/>
        <v>6507336595.8000002</v>
      </c>
    </row>
    <row r="952" spans="1:36" x14ac:dyDescent="0.25">
      <c r="A952" s="63"/>
      <c r="B952" s="8">
        <v>590024</v>
      </c>
      <c r="C952" s="8" t="s">
        <v>3972</v>
      </c>
      <c r="D952" s="12">
        <v>647071974</v>
      </c>
      <c r="E952" s="8">
        <v>725.4</v>
      </c>
      <c r="F952" s="8">
        <f ca="1">IFERROR(__xludf.DUMMYFUNCTION("GOOGLEFINANCE(""BOM:"" &amp; B952,""price"")"),627.8)</f>
        <v>627.79999999999995</v>
      </c>
      <c r="G952" s="8">
        <f t="shared" ca="1" si="324"/>
        <v>-13.454645712710233</v>
      </c>
      <c r="H952" s="12">
        <f t="shared" si="325"/>
        <v>469386009939.59998</v>
      </c>
      <c r="I952" s="13">
        <f t="shared" ca="1" si="326"/>
        <v>406231785277.19995</v>
      </c>
      <c r="J952" s="63"/>
      <c r="K952" s="8">
        <v>539984</v>
      </c>
      <c r="L952" s="8" t="s">
        <v>3973</v>
      </c>
      <c r="M952" s="12">
        <v>1429175</v>
      </c>
      <c r="N952" s="10">
        <v>2300</v>
      </c>
      <c r="O952" s="10">
        <f ca="1">IFERROR(__xludf.DUMMYFUNCTION("GOOGLEFINANCE(""BOM:"" &amp; K952,""price"")"),2140)</f>
        <v>2140</v>
      </c>
      <c r="P952" s="8">
        <f t="shared" ca="1" si="338"/>
        <v>-6.9565217391304346</v>
      </c>
      <c r="Q952" s="12">
        <f t="shared" si="339"/>
        <v>3287102500</v>
      </c>
      <c r="R952" s="13">
        <f t="shared" ca="1" si="340"/>
        <v>3058434500</v>
      </c>
      <c r="S952" s="62" t="s">
        <v>3974</v>
      </c>
      <c r="T952" s="6">
        <v>543231</v>
      </c>
      <c r="U952" s="6" t="s">
        <v>3975</v>
      </c>
      <c r="V952" s="7">
        <v>5494894</v>
      </c>
      <c r="W952" s="8">
        <v>86.1</v>
      </c>
      <c r="X952" s="11">
        <f ca="1">IFERROR(__xludf.DUMMYFUNCTION("GOOGLEFINANCE(""BOM:"" &amp; T952,""price"")"),78.41)</f>
        <v>78.41</v>
      </c>
      <c r="Y952" s="8">
        <f t="shared" ca="1" si="332"/>
        <v>-8.9314750290360028</v>
      </c>
      <c r="Z952" s="7">
        <f t="shared" si="333"/>
        <v>473110373.39999998</v>
      </c>
      <c r="AA952" s="9">
        <f t="shared" ca="1" si="334"/>
        <v>430854638.53999996</v>
      </c>
      <c r="AB952" s="65" t="s">
        <v>3976</v>
      </c>
      <c r="AC952" s="6">
        <v>500877</v>
      </c>
      <c r="AD952" s="6" t="s">
        <v>3977</v>
      </c>
      <c r="AE952" s="7">
        <v>627377948</v>
      </c>
      <c r="AF952" s="8">
        <v>530.4</v>
      </c>
      <c r="AG952" s="8">
        <f ca="1">IFERROR(__xludf.DUMMYFUNCTION("GOOGLEFINANCE(""BOM:"" &amp; AC952,""price"")"),468)</f>
        <v>468</v>
      </c>
      <c r="AH952" s="8">
        <f t="shared" ca="1" si="335"/>
        <v>-11.764705882352937</v>
      </c>
      <c r="AI952" s="7">
        <f t="shared" si="336"/>
        <v>332761263619.20001</v>
      </c>
      <c r="AJ952" s="9">
        <f t="shared" ca="1" si="337"/>
        <v>293612879664</v>
      </c>
    </row>
    <row r="953" spans="1:36" x14ac:dyDescent="0.25">
      <c r="A953" s="63"/>
      <c r="B953" s="8">
        <v>500690</v>
      </c>
      <c r="C953" s="8" t="s">
        <v>3978</v>
      </c>
      <c r="D953" s="12">
        <v>391116623</v>
      </c>
      <c r="E953" s="8">
        <v>219.85</v>
      </c>
      <c r="F953" s="8">
        <f ca="1">IFERROR(__xludf.DUMMYFUNCTION("GOOGLEFINANCE(""BOM:"" &amp; B953,""price"")"),195.65)</f>
        <v>195.65</v>
      </c>
      <c r="G953" s="8">
        <f t="shared" ca="1" si="324"/>
        <v>-11.007505117125307</v>
      </c>
      <c r="H953" s="12">
        <f t="shared" si="325"/>
        <v>85986989566.550003</v>
      </c>
      <c r="I953" s="13">
        <f t="shared" ca="1" si="326"/>
        <v>76521967289.949997</v>
      </c>
      <c r="J953" s="63"/>
      <c r="K953" s="8">
        <v>517370</v>
      </c>
      <c r="L953" s="8" t="s">
        <v>3979</v>
      </c>
      <c r="M953" s="12">
        <v>4489760</v>
      </c>
      <c r="N953" s="10">
        <v>73.040000000000006</v>
      </c>
      <c r="O953" s="10">
        <f ca="1">IFERROR(__xludf.DUMMYFUNCTION("GOOGLEFINANCE(""BOM:"" &amp; K953,""price"")"),68.24)</f>
        <v>68.239999999999995</v>
      </c>
      <c r="P953" s="8">
        <f t="shared" ca="1" si="338"/>
        <v>-6.5717415115005631</v>
      </c>
      <c r="Q953" s="12">
        <f t="shared" si="339"/>
        <v>327932070.40000004</v>
      </c>
      <c r="R953" s="13">
        <f t="shared" ca="1" si="340"/>
        <v>306381222.39999998</v>
      </c>
      <c r="S953" s="63"/>
      <c r="T953" s="8">
        <v>539223</v>
      </c>
      <c r="U953" s="8" t="s">
        <v>3980</v>
      </c>
      <c r="V953" s="12">
        <v>14922000</v>
      </c>
      <c r="W953" s="8">
        <v>4</v>
      </c>
      <c r="X953" s="11">
        <f ca="1">IFERROR(__xludf.DUMMYFUNCTION("GOOGLEFINANCE(""BOM:"" &amp; T953,""price"")"),3.26)</f>
        <v>3.26</v>
      </c>
      <c r="Y953" s="8">
        <f t="shared" ca="1" si="332"/>
        <v>-18.500000000000007</v>
      </c>
      <c r="Z953" s="12">
        <f t="shared" si="333"/>
        <v>59688000</v>
      </c>
      <c r="AA953" s="13">
        <f t="shared" ca="1" si="334"/>
        <v>48645720</v>
      </c>
      <c r="AB953" s="63"/>
      <c r="AC953" s="8">
        <v>502355</v>
      </c>
      <c r="AD953" s="8" t="s">
        <v>3981</v>
      </c>
      <c r="AE953" s="12">
        <v>192647730</v>
      </c>
      <c r="AF953" s="8">
        <v>2251.5500000000002</v>
      </c>
      <c r="AG953" s="8">
        <f ca="1">IFERROR(__xludf.DUMMYFUNCTION("GOOGLEFINANCE(""BOM:"" &amp; AC953,""price"")"),2318)</f>
        <v>2318</v>
      </c>
      <c r="AH953" s="8">
        <f t="shared" ca="1" si="335"/>
        <v>2.9513002154071559</v>
      </c>
      <c r="AI953" s="12">
        <f t="shared" si="336"/>
        <v>433755996481.50006</v>
      </c>
      <c r="AJ953" s="13">
        <f t="shared" ca="1" si="337"/>
        <v>446557438140</v>
      </c>
    </row>
    <row r="954" spans="1:36" x14ac:dyDescent="0.25">
      <c r="A954" s="63"/>
      <c r="B954" s="8">
        <v>507794</v>
      </c>
      <c r="C954" s="8" t="s">
        <v>3982</v>
      </c>
      <c r="D954" s="12">
        <v>95654534</v>
      </c>
      <c r="E954" s="8">
        <v>79.03</v>
      </c>
      <c r="F954" s="8">
        <f ca="1">IFERROR(__xludf.DUMMYFUNCTION("GOOGLEFINANCE(""BOM:"" &amp; B954,""price"")"),64.3)</f>
        <v>64.3</v>
      </c>
      <c r="G954" s="8">
        <f t="shared" ca="1" si="324"/>
        <v>-18.638491712008104</v>
      </c>
      <c r="H954" s="12">
        <f t="shared" si="325"/>
        <v>7559577822.0200005</v>
      </c>
      <c r="I954" s="13">
        <f t="shared" ca="1" si="326"/>
        <v>6150586536.1999998</v>
      </c>
      <c r="J954" s="63"/>
      <c r="K954" s="8">
        <v>517423</v>
      </c>
      <c r="L954" s="8" t="s">
        <v>3983</v>
      </c>
      <c r="M954" s="12">
        <v>530000</v>
      </c>
      <c r="N954" s="10">
        <v>65.88</v>
      </c>
      <c r="O954" s="10">
        <f ca="1">IFERROR(__xludf.DUMMYFUNCTION("GOOGLEFINANCE(""BOM:"" &amp; K954,""price"")"),92.15)</f>
        <v>92.15</v>
      </c>
      <c r="P954" s="8">
        <f t="shared" ca="1" si="338"/>
        <v>39.875531268973916</v>
      </c>
      <c r="Q954" s="12">
        <f t="shared" si="339"/>
        <v>34916400</v>
      </c>
      <c r="R954" s="13">
        <f t="shared" ca="1" si="340"/>
        <v>48839500</v>
      </c>
      <c r="S954" s="63"/>
      <c r="T954" s="8">
        <v>532994</v>
      </c>
      <c r="U954" s="8" t="s">
        <v>3984</v>
      </c>
      <c r="V954" s="12">
        <v>19794825</v>
      </c>
      <c r="W954" s="8">
        <v>92.05</v>
      </c>
      <c r="X954" s="11">
        <f ca="1">IFERROR(__xludf.DUMMYFUNCTION("GOOGLEFINANCE(""BOM:"" &amp; T954,""price"")"),82)</f>
        <v>82</v>
      </c>
      <c r="Y954" s="8">
        <f t="shared" ca="1" si="332"/>
        <v>-10.917979359043994</v>
      </c>
      <c r="Z954" s="12">
        <f t="shared" si="333"/>
        <v>1822113641.25</v>
      </c>
      <c r="AA954" s="13">
        <f t="shared" ca="1" si="334"/>
        <v>1623175650</v>
      </c>
      <c r="AB954" s="63"/>
      <c r="AC954" s="8">
        <v>542932</v>
      </c>
      <c r="AD954" s="8" t="s">
        <v>3985</v>
      </c>
      <c r="AE954" s="12">
        <v>141759134</v>
      </c>
      <c r="AF954" s="8" t="s">
        <v>44</v>
      </c>
      <c r="AG954" s="8" t="s">
        <v>44</v>
      </c>
      <c r="AH954" s="8"/>
      <c r="AI954" s="12"/>
      <c r="AJ954" s="13"/>
    </row>
    <row r="955" spans="1:36" x14ac:dyDescent="0.25">
      <c r="A955" s="63"/>
      <c r="B955" s="8">
        <v>590134</v>
      </c>
      <c r="C955" s="8" t="s">
        <v>3986</v>
      </c>
      <c r="D955" s="12">
        <v>163177900</v>
      </c>
      <c r="E955" s="8">
        <v>96</v>
      </c>
      <c r="F955" s="8">
        <f ca="1">IFERROR(__xludf.DUMMYFUNCTION("GOOGLEFINANCE(""BOM:"" &amp; B955,""price"")"),80.55)</f>
        <v>80.55</v>
      </c>
      <c r="G955" s="8">
        <f t="shared" ca="1" si="324"/>
        <v>-16.093750000000004</v>
      </c>
      <c r="H955" s="12">
        <f t="shared" si="325"/>
        <v>15665078400</v>
      </c>
      <c r="I955" s="13">
        <f t="shared" ca="1" si="326"/>
        <v>13143979845</v>
      </c>
      <c r="J955" s="63"/>
      <c r="K955" s="8">
        <v>540651</v>
      </c>
      <c r="L955" s="8" t="s">
        <v>3987</v>
      </c>
      <c r="M955" s="12">
        <v>7032000</v>
      </c>
      <c r="N955" s="10">
        <v>73.25</v>
      </c>
      <c r="O955" s="10">
        <f ca="1">IFERROR(__xludf.DUMMYFUNCTION("GOOGLEFINANCE(""BOM:"" &amp; K955,""price"")"),65)</f>
        <v>65</v>
      </c>
      <c r="P955" s="8">
        <f t="shared" ca="1" si="338"/>
        <v>-11.262798634812286</v>
      </c>
      <c r="Q955" s="12">
        <f t="shared" si="339"/>
        <v>515094000</v>
      </c>
      <c r="R955" s="13">
        <f t="shared" ca="1" si="340"/>
        <v>457080000</v>
      </c>
      <c r="S955" s="63"/>
      <c r="T955" s="8">
        <v>532548</v>
      </c>
      <c r="U955" s="8" t="s">
        <v>3988</v>
      </c>
      <c r="V955" s="12">
        <v>221815312</v>
      </c>
      <c r="W955" s="8">
        <v>709.7</v>
      </c>
      <c r="X955" s="11">
        <f ca="1">IFERROR(__xludf.DUMMYFUNCTION("GOOGLEFINANCE(""BOM:"" &amp; T955,""price"")"),630)</f>
        <v>630</v>
      </c>
      <c r="Y955" s="8">
        <f t="shared" ca="1" si="332"/>
        <v>-11.230097224179236</v>
      </c>
      <c r="Z955" s="12">
        <f t="shared" si="333"/>
        <v>157422326926.40002</v>
      </c>
      <c r="AA955" s="13">
        <f t="shared" ca="1" si="334"/>
        <v>139743646560</v>
      </c>
      <c r="AB955" s="63"/>
      <c r="AC955" s="8">
        <v>500878</v>
      </c>
      <c r="AD955" s="8" t="s">
        <v>3989</v>
      </c>
      <c r="AE955" s="12">
        <v>40059149</v>
      </c>
      <c r="AF955" s="8">
        <v>2848.15</v>
      </c>
      <c r="AG955" s="8">
        <f ca="1">IFERROR(__xludf.DUMMYFUNCTION("GOOGLEFINANCE(""BOM:"" &amp; AC955,""price"")"),2670.5)</f>
        <v>2670.5</v>
      </c>
      <c r="AH955" s="8">
        <f t="shared" ref="AH955:AH1025" ca="1" si="341">((AG955-AF955)/AF955)*100</f>
        <v>-6.2373821603497044</v>
      </c>
      <c r="AI955" s="12">
        <f t="shared" ref="AI955:AI1025" si="342">AE955*AF955</f>
        <v>114094465224.35001</v>
      </c>
      <c r="AJ955" s="13">
        <f t="shared" ref="AJ955:AJ1025" ca="1" si="343">AE955*AG955</f>
        <v>106977957404.5</v>
      </c>
    </row>
    <row r="956" spans="1:36" x14ac:dyDescent="0.25">
      <c r="A956" s="63"/>
      <c r="B956" s="8">
        <v>530011</v>
      </c>
      <c r="C956" s="8" t="s">
        <v>3990</v>
      </c>
      <c r="D956" s="12">
        <v>115954125</v>
      </c>
      <c r="E956" s="8">
        <v>121.5</v>
      </c>
      <c r="F956" s="8">
        <f ca="1">IFERROR(__xludf.DUMMYFUNCTION("GOOGLEFINANCE(""BOM:"" &amp; B956,""price"")"),100.05)</f>
        <v>100.05</v>
      </c>
      <c r="G956" s="8">
        <f t="shared" ca="1" si="324"/>
        <v>-17.654320987654323</v>
      </c>
      <c r="H956" s="12">
        <f t="shared" si="325"/>
        <v>14088426187.5</v>
      </c>
      <c r="I956" s="13">
        <f t="shared" ca="1" si="326"/>
        <v>11601210206.25</v>
      </c>
      <c r="J956" s="63"/>
      <c r="K956" s="8">
        <v>504080</v>
      </c>
      <c r="L956" s="8" t="s">
        <v>3991</v>
      </c>
      <c r="M956" s="12">
        <v>590371</v>
      </c>
      <c r="N956" s="10">
        <v>839</v>
      </c>
      <c r="O956" s="10">
        <f ca="1">IFERROR(__xludf.DUMMYFUNCTION("GOOGLEFINANCE(""BOM:"" &amp; K956,""price"")"),887.4)</f>
        <v>887.4</v>
      </c>
      <c r="P956" s="8">
        <f t="shared" ca="1" si="338"/>
        <v>5.7687723480333704</v>
      </c>
      <c r="Q956" s="12">
        <f t="shared" si="339"/>
        <v>495321269</v>
      </c>
      <c r="R956" s="13">
        <f t="shared" ca="1" si="340"/>
        <v>523895225.39999998</v>
      </c>
      <c r="S956" s="63"/>
      <c r="T956" s="8">
        <v>516003</v>
      </c>
      <c r="U956" s="8" t="s">
        <v>3992</v>
      </c>
      <c r="V956" s="12">
        <v>6050556</v>
      </c>
      <c r="W956" s="8">
        <v>346</v>
      </c>
      <c r="X956" s="11">
        <f ca="1">IFERROR(__xludf.DUMMYFUNCTION("GOOGLEFINANCE(""BOM:"" &amp; T956,""price"")"),300)</f>
        <v>300</v>
      </c>
      <c r="Y956" s="8">
        <f t="shared" ca="1" si="332"/>
        <v>-13.294797687861271</v>
      </c>
      <c r="Z956" s="12">
        <f t="shared" si="333"/>
        <v>2093492376</v>
      </c>
      <c r="AA956" s="13">
        <f t="shared" ca="1" si="334"/>
        <v>1815166800</v>
      </c>
      <c r="AB956" s="63"/>
      <c r="AC956" s="8">
        <v>508571</v>
      </c>
      <c r="AD956" s="8" t="s">
        <v>3993</v>
      </c>
      <c r="AE956" s="12">
        <v>1628626</v>
      </c>
      <c r="AF956" s="8">
        <v>126.15</v>
      </c>
      <c r="AG956" s="8">
        <f ca="1">IFERROR(__xludf.DUMMYFUNCTION("GOOGLEFINANCE(""BOM:"" &amp; AC956,""price"")"),103.25)</f>
        <v>103.25</v>
      </c>
      <c r="AH956" s="8">
        <f t="shared" ca="1" si="341"/>
        <v>-18.152992469282601</v>
      </c>
      <c r="AI956" s="12">
        <f t="shared" si="342"/>
        <v>205451169.90000001</v>
      </c>
      <c r="AJ956" s="13">
        <f t="shared" ca="1" si="343"/>
        <v>168155634.5</v>
      </c>
    </row>
    <row r="957" spans="1:36" x14ac:dyDescent="0.25">
      <c r="A957" s="63"/>
      <c r="B957" s="8">
        <v>506543</v>
      </c>
      <c r="C957" s="8" t="s">
        <v>3994</v>
      </c>
      <c r="D957" s="12">
        <v>5243784</v>
      </c>
      <c r="E957" s="8">
        <v>8.89</v>
      </c>
      <c r="F957" s="8">
        <f ca="1">IFERROR(__xludf.DUMMYFUNCTION("GOOGLEFINANCE(""BOM:"" &amp; B957,""price"")"),8.9)</f>
        <v>8.9</v>
      </c>
      <c r="G957" s="8">
        <f t="shared" ca="1" si="324"/>
        <v>0.1124859392575904</v>
      </c>
      <c r="H957" s="12">
        <f t="shared" si="325"/>
        <v>46617239.760000005</v>
      </c>
      <c r="I957" s="13">
        <f t="shared" ca="1" si="326"/>
        <v>46669677.600000001</v>
      </c>
      <c r="J957" s="63"/>
      <c r="K957" s="8">
        <v>504084</v>
      </c>
      <c r="L957" s="8" t="s">
        <v>3995</v>
      </c>
      <c r="M957" s="12">
        <v>61153</v>
      </c>
      <c r="N957" s="10">
        <v>17500.099999999999</v>
      </c>
      <c r="O957" s="10">
        <f ca="1">IFERROR(__xludf.DUMMYFUNCTION("GOOGLEFINANCE(""BOM:"" &amp; K957,""price"")"),16750)</f>
        <v>16750</v>
      </c>
      <c r="P957" s="8">
        <f t="shared" ca="1" si="338"/>
        <v>-4.286261221364442</v>
      </c>
      <c r="Q957" s="12">
        <f t="shared" si="339"/>
        <v>1070183615.3</v>
      </c>
      <c r="R957" s="13">
        <f t="shared" ca="1" si="340"/>
        <v>1024312750</v>
      </c>
      <c r="S957" s="63"/>
      <c r="T957" s="8">
        <v>523732</v>
      </c>
      <c r="U957" s="8" t="s">
        <v>3996</v>
      </c>
      <c r="V957" s="12">
        <v>15865099</v>
      </c>
      <c r="W957" s="8">
        <v>31.77</v>
      </c>
      <c r="X957" s="11">
        <f ca="1">IFERROR(__xludf.DUMMYFUNCTION("GOOGLEFINANCE(""BOM:"" &amp; T957,""price"")"),26.39)</f>
        <v>26.39</v>
      </c>
      <c r="Y957" s="8">
        <f t="shared" ca="1" si="332"/>
        <v>-16.934214667925712</v>
      </c>
      <c r="Z957" s="12">
        <f t="shared" si="333"/>
        <v>504034195.23000002</v>
      </c>
      <c r="AA957" s="13">
        <f t="shared" ca="1" si="334"/>
        <v>418679962.61000001</v>
      </c>
      <c r="AB957" s="63"/>
      <c r="AC957" s="8">
        <v>542013</v>
      </c>
      <c r="AD957" s="8" t="s">
        <v>3997</v>
      </c>
      <c r="AE957" s="12">
        <v>7024816</v>
      </c>
      <c r="AF957" s="8">
        <v>135</v>
      </c>
      <c r="AG957" s="8">
        <f ca="1">IFERROR(__xludf.DUMMYFUNCTION("GOOGLEFINANCE(""BOM:"" &amp; AC957,""price"")"),148.7)</f>
        <v>148.69999999999999</v>
      </c>
      <c r="AH957" s="8">
        <f t="shared" ca="1" si="341"/>
        <v>10.14814814814814</v>
      </c>
      <c r="AI957" s="12">
        <f t="shared" si="342"/>
        <v>948350160</v>
      </c>
      <c r="AJ957" s="13">
        <f t="shared" ca="1" si="343"/>
        <v>1044590139.1999999</v>
      </c>
    </row>
    <row r="958" spans="1:36" x14ac:dyDescent="0.25">
      <c r="A958" s="63"/>
      <c r="B958" s="8">
        <v>539917</v>
      </c>
      <c r="C958" s="8" t="s">
        <v>3998</v>
      </c>
      <c r="D958" s="12">
        <v>577487428</v>
      </c>
      <c r="E958" s="8">
        <v>12.06</v>
      </c>
      <c r="F958" s="8">
        <f ca="1">IFERROR(__xludf.DUMMYFUNCTION("GOOGLEFINANCE(""BOM:"" &amp; B958,""price"")"),8.96)</f>
        <v>8.9600000000000009</v>
      </c>
      <c r="G958" s="8">
        <f t="shared" ca="1" si="324"/>
        <v>-25.704809286898833</v>
      </c>
      <c r="H958" s="12">
        <f t="shared" si="325"/>
        <v>6964498381.6800003</v>
      </c>
      <c r="I958" s="13">
        <f t="shared" ca="1" si="326"/>
        <v>5174287354.8800001</v>
      </c>
      <c r="J958" s="63"/>
      <c r="K958" s="8">
        <v>533193</v>
      </c>
      <c r="L958" s="8" t="s">
        <v>3999</v>
      </c>
      <c r="M958" s="12">
        <v>63008821</v>
      </c>
      <c r="N958" s="10">
        <v>124.1</v>
      </c>
      <c r="O958" s="10">
        <f ca="1">IFERROR(__xludf.DUMMYFUNCTION("GOOGLEFINANCE(""BOM:"" &amp; K958,""price"")"),104.05)</f>
        <v>104.05</v>
      </c>
      <c r="P958" s="8">
        <f t="shared" ca="1" si="338"/>
        <v>-16.156325543916196</v>
      </c>
      <c r="Q958" s="12">
        <f t="shared" si="339"/>
        <v>7819394686.0999994</v>
      </c>
      <c r="R958" s="13">
        <f t="shared" ca="1" si="340"/>
        <v>6556067825.0500002</v>
      </c>
      <c r="S958" s="63"/>
      <c r="T958" s="8">
        <v>542857</v>
      </c>
      <c r="U958" s="8" t="s">
        <v>4000</v>
      </c>
      <c r="V958" s="12">
        <v>122560525</v>
      </c>
      <c r="W958" s="8">
        <v>373.95</v>
      </c>
      <c r="X958" s="11">
        <f ca="1">IFERROR(__xludf.DUMMYFUNCTION("GOOGLEFINANCE(""BOM:"" &amp; T958,""price"")"),316)</f>
        <v>316</v>
      </c>
      <c r="Y958" s="8">
        <f t="shared" ca="1" si="332"/>
        <v>-15.496724160984085</v>
      </c>
      <c r="Z958" s="12">
        <f t="shared" si="333"/>
        <v>45831508323.75</v>
      </c>
      <c r="AA958" s="13">
        <f t="shared" ca="1" si="334"/>
        <v>38729125900</v>
      </c>
      <c r="AB958" s="63"/>
      <c r="AC958" s="8">
        <v>531346</v>
      </c>
      <c r="AD958" s="8" t="s">
        <v>4001</v>
      </c>
      <c r="AE958" s="12">
        <v>4619900</v>
      </c>
      <c r="AF958" s="8">
        <v>39.880000000000003</v>
      </c>
      <c r="AG958" s="8">
        <f ca="1">IFERROR(__xludf.DUMMYFUNCTION("GOOGLEFINANCE(""BOM:"" &amp; AC958,""price"")"),36.8)</f>
        <v>36.799999999999997</v>
      </c>
      <c r="AH958" s="8">
        <f t="shared" ca="1" si="341"/>
        <v>-7.72316950852559</v>
      </c>
      <c r="AI958" s="12">
        <f t="shared" si="342"/>
        <v>184241612</v>
      </c>
      <c r="AJ958" s="13">
        <f t="shared" ca="1" si="343"/>
        <v>170012320</v>
      </c>
    </row>
    <row r="959" spans="1:36" x14ac:dyDescent="0.25">
      <c r="A959" s="63"/>
      <c r="B959" s="8">
        <v>523630</v>
      </c>
      <c r="C959" s="8" t="s">
        <v>4002</v>
      </c>
      <c r="D959" s="12">
        <v>490309557</v>
      </c>
      <c r="E959" s="8">
        <v>99.12</v>
      </c>
      <c r="F959" s="8">
        <f ca="1">IFERROR(__xludf.DUMMYFUNCTION("GOOGLEFINANCE(""BOM:"" &amp; B959,""price"")"),87.62)</f>
        <v>87.62</v>
      </c>
      <c r="G959" s="8">
        <f t="shared" ca="1" si="324"/>
        <v>-11.602098466505245</v>
      </c>
      <c r="H959" s="12">
        <f t="shared" si="325"/>
        <v>48599483289.840004</v>
      </c>
      <c r="I959" s="13">
        <f t="shared" ca="1" si="326"/>
        <v>42960923384.340004</v>
      </c>
      <c r="J959" s="63"/>
      <c r="K959" s="8">
        <v>517170</v>
      </c>
      <c r="L959" s="8" t="s">
        <v>4003</v>
      </c>
      <c r="M959" s="12">
        <v>8326150</v>
      </c>
      <c r="N959" s="10">
        <v>56.38</v>
      </c>
      <c r="O959" s="10">
        <f ca="1">IFERROR(__xludf.DUMMYFUNCTION("GOOGLEFINANCE(""BOM:"" &amp; K959,""price"")"),59.25)</f>
        <v>59.25</v>
      </c>
      <c r="P959" s="8">
        <f t="shared" ca="1" si="338"/>
        <v>5.0904576090812297</v>
      </c>
      <c r="Q959" s="12">
        <f t="shared" si="339"/>
        <v>469428337</v>
      </c>
      <c r="R959" s="13">
        <f t="shared" ca="1" si="340"/>
        <v>493324387.5</v>
      </c>
      <c r="S959" s="63"/>
      <c r="T959" s="8">
        <v>526797</v>
      </c>
      <c r="U959" s="8" t="s">
        <v>4004</v>
      </c>
      <c r="V959" s="12">
        <v>122755290</v>
      </c>
      <c r="W959" s="8">
        <v>266.5</v>
      </c>
      <c r="X959" s="11">
        <f ca="1">IFERROR(__xludf.DUMMYFUNCTION("GOOGLEFINANCE(""BOM:"" &amp; T959,""price"")"),230.65)</f>
        <v>230.65</v>
      </c>
      <c r="Y959" s="8">
        <f t="shared" ca="1" si="332"/>
        <v>-13.45215759849906</v>
      </c>
      <c r="Z959" s="12">
        <f t="shared" si="333"/>
        <v>32714284785</v>
      </c>
      <c r="AA959" s="13">
        <f t="shared" ca="1" si="334"/>
        <v>28313507638.5</v>
      </c>
      <c r="AB959" s="63"/>
      <c r="AC959" s="8">
        <v>500168</v>
      </c>
      <c r="AD959" s="8" t="s">
        <v>4005</v>
      </c>
      <c r="AE959" s="12">
        <v>22800579</v>
      </c>
      <c r="AF959" s="8">
        <v>1279.55</v>
      </c>
      <c r="AG959" s="8">
        <f ca="1">IFERROR(__xludf.DUMMYFUNCTION("GOOGLEFINANCE(""BOM:"" &amp; AC959,""price"")"),1102.1)</f>
        <v>1102.0999999999999</v>
      </c>
      <c r="AH959" s="8">
        <f t="shared" ca="1" si="341"/>
        <v>-13.868156773865817</v>
      </c>
      <c r="AI959" s="12">
        <f t="shared" si="342"/>
        <v>29174480859.450001</v>
      </c>
      <c r="AJ959" s="13">
        <f t="shared" ca="1" si="343"/>
        <v>25128518115.899998</v>
      </c>
    </row>
    <row r="960" spans="1:36" x14ac:dyDescent="0.25">
      <c r="A960" s="63"/>
      <c r="B960" s="8">
        <v>543530</v>
      </c>
      <c r="C960" s="8" t="s">
        <v>4006</v>
      </c>
      <c r="D960" s="12">
        <v>814497619</v>
      </c>
      <c r="E960" s="8">
        <v>76.61</v>
      </c>
      <c r="F960" s="8">
        <f ca="1">IFERROR(__xludf.DUMMYFUNCTION("GOOGLEFINANCE(""BOM:"" &amp; B960,""price"")"),66.39)</f>
        <v>66.39</v>
      </c>
      <c r="G960" s="8">
        <f t="shared" ca="1" si="324"/>
        <v>-13.340295000652654</v>
      </c>
      <c r="H960" s="12">
        <f t="shared" si="325"/>
        <v>62398662591.589996</v>
      </c>
      <c r="I960" s="13">
        <f t="shared" ca="1" si="326"/>
        <v>54074496925.410004</v>
      </c>
      <c r="J960" s="63"/>
      <c r="K960" s="8">
        <v>504258</v>
      </c>
      <c r="L960" s="8" t="s">
        <v>4007</v>
      </c>
      <c r="M960" s="12">
        <v>2379409</v>
      </c>
      <c r="N960" s="10">
        <v>1372.05</v>
      </c>
      <c r="O960" s="10">
        <f ca="1">IFERROR(__xludf.DUMMYFUNCTION("GOOGLEFINANCE(""BOM:"" &amp; K960,""price"")"),1625)</f>
        <v>1625</v>
      </c>
      <c r="P960" s="8">
        <f t="shared" ca="1" si="338"/>
        <v>18.435917058416244</v>
      </c>
      <c r="Q960" s="12">
        <f t="shared" si="339"/>
        <v>3264668118.4499998</v>
      </c>
      <c r="R960" s="13">
        <f t="shared" ca="1" si="340"/>
        <v>3866539625</v>
      </c>
      <c r="S960" s="63"/>
      <c r="T960" s="8">
        <v>538979</v>
      </c>
      <c r="U960" s="8" t="s">
        <v>4008</v>
      </c>
      <c r="V960" s="12">
        <v>120609420</v>
      </c>
      <c r="W960" s="8">
        <v>544.5</v>
      </c>
      <c r="X960" s="11">
        <f ca="1">IFERROR(__xludf.DUMMYFUNCTION("GOOGLEFINANCE(""BOM:"" &amp; T960,""price"")"),508)</f>
        <v>508</v>
      </c>
      <c r="Y960" s="8">
        <f t="shared" ca="1" si="332"/>
        <v>-6.703397612488522</v>
      </c>
      <c r="Z960" s="12">
        <f t="shared" si="333"/>
        <v>65671829190</v>
      </c>
      <c r="AA960" s="13">
        <f t="shared" ca="1" si="334"/>
        <v>61269585360</v>
      </c>
      <c r="AB960" s="63"/>
      <c r="AC960" s="8">
        <v>509162</v>
      </c>
      <c r="AD960" s="8" t="s">
        <v>4009</v>
      </c>
      <c r="AE960" s="12">
        <v>26020480</v>
      </c>
      <c r="AF960" s="8">
        <v>147.69999999999999</v>
      </c>
      <c r="AG960" s="8">
        <f ca="1">IFERROR(__xludf.DUMMYFUNCTION("GOOGLEFINANCE(""BOM:"" &amp; AC960,""price"")"),135.5)</f>
        <v>135.5</v>
      </c>
      <c r="AH960" s="8">
        <f t="shared" ca="1" si="341"/>
        <v>-8.2599864590385845</v>
      </c>
      <c r="AI960" s="12">
        <f t="shared" si="342"/>
        <v>3843224895.9999995</v>
      </c>
      <c r="AJ960" s="13">
        <f t="shared" ca="1" si="343"/>
        <v>3525775040</v>
      </c>
    </row>
    <row r="961" spans="1:36" x14ac:dyDescent="0.25">
      <c r="A961" s="63"/>
      <c r="B961" s="8">
        <v>542123</v>
      </c>
      <c r="C961" s="8" t="s">
        <v>4010</v>
      </c>
      <c r="D961" s="12">
        <v>3424788</v>
      </c>
      <c r="E961" s="8">
        <v>156.05000000000001</v>
      </c>
      <c r="F961" s="8">
        <f ca="1">IFERROR(__xludf.DUMMYFUNCTION("GOOGLEFINANCE(""BOM:"" &amp; B961,""price"")"),159)</f>
        <v>159</v>
      </c>
      <c r="G961" s="8">
        <f t="shared" ca="1" si="324"/>
        <v>1.8904197372636902</v>
      </c>
      <c r="H961" s="12">
        <f t="shared" si="325"/>
        <v>534438167.40000004</v>
      </c>
      <c r="I961" s="13">
        <f t="shared" ca="1" si="326"/>
        <v>544541292</v>
      </c>
      <c r="J961" s="63"/>
      <c r="K961" s="8">
        <v>517467</v>
      </c>
      <c r="L961" s="8" t="s">
        <v>4011</v>
      </c>
      <c r="M961" s="12">
        <v>124928427</v>
      </c>
      <c r="N961" s="10">
        <v>26.95</v>
      </c>
      <c r="O961" s="10">
        <f ca="1">IFERROR(__xludf.DUMMYFUNCTION("GOOGLEFINANCE(""BOM:"" &amp; K961,""price"")"),36.72)</f>
        <v>36.72</v>
      </c>
      <c r="P961" s="8">
        <f t="shared" ca="1" si="338"/>
        <v>36.252319109461965</v>
      </c>
      <c r="Q961" s="12">
        <f t="shared" si="339"/>
        <v>3366821107.6500001</v>
      </c>
      <c r="R961" s="13">
        <f t="shared" ca="1" si="340"/>
        <v>4587371839.4399996</v>
      </c>
      <c r="S961" s="64"/>
      <c r="T961" s="14">
        <v>533470</v>
      </c>
      <c r="U961" s="14" t="s">
        <v>4012</v>
      </c>
      <c r="V961" s="15">
        <v>19906256</v>
      </c>
      <c r="W961" s="14">
        <v>353</v>
      </c>
      <c r="X961" s="26">
        <f ca="1">IFERROR(__xludf.DUMMYFUNCTION("GOOGLEFINANCE(""BOM:"" &amp; T961,""price"")"),292)</f>
        <v>292</v>
      </c>
      <c r="Y961" s="14">
        <f t="shared" ca="1" si="332"/>
        <v>-17.280453257790366</v>
      </c>
      <c r="Z961" s="15">
        <f t="shared" si="333"/>
        <v>7026908368</v>
      </c>
      <c r="AA961" s="16">
        <f t="shared" ca="1" si="334"/>
        <v>5812626752</v>
      </c>
      <c r="AB961" s="63"/>
      <c r="AC961" s="8">
        <v>530007</v>
      </c>
      <c r="AD961" s="8" t="s">
        <v>4013</v>
      </c>
      <c r="AE961" s="12">
        <v>245176883</v>
      </c>
      <c r="AF961" s="8">
        <v>520.4</v>
      </c>
      <c r="AG961" s="8">
        <f ca="1">IFERROR(__xludf.DUMMYFUNCTION("GOOGLEFINANCE(""BOM:"" &amp; AC961,""price"")"),434)</f>
        <v>434</v>
      </c>
      <c r="AH961" s="8">
        <f t="shared" ca="1" si="341"/>
        <v>-16.602613374327436</v>
      </c>
      <c r="AI961" s="12">
        <f t="shared" si="342"/>
        <v>127590049913.2</v>
      </c>
      <c r="AJ961" s="13">
        <f t="shared" ca="1" si="343"/>
        <v>106406767222</v>
      </c>
    </row>
    <row r="962" spans="1:36" x14ac:dyDescent="0.25">
      <c r="A962" s="63"/>
      <c r="B962" s="8">
        <v>524037</v>
      </c>
      <c r="C962" s="8" t="s">
        <v>4014</v>
      </c>
      <c r="D962" s="12">
        <v>17536797</v>
      </c>
      <c r="E962" s="8">
        <v>192</v>
      </c>
      <c r="F962" s="8">
        <f ca="1">IFERROR(__xludf.DUMMYFUNCTION("GOOGLEFINANCE(""BOM:"" &amp; B962,""price"")"),159.6)</f>
        <v>159.6</v>
      </c>
      <c r="G962" s="8">
        <f t="shared" ca="1" si="324"/>
        <v>-16.875000000000004</v>
      </c>
      <c r="H962" s="12">
        <f t="shared" si="325"/>
        <v>3367065024</v>
      </c>
      <c r="I962" s="13">
        <f t="shared" ca="1" si="326"/>
        <v>2798872801.1999998</v>
      </c>
      <c r="J962" s="63"/>
      <c r="K962" s="8">
        <v>515008</v>
      </c>
      <c r="L962" s="8" t="s">
        <v>4015</v>
      </c>
      <c r="M962" s="12">
        <v>36711928</v>
      </c>
      <c r="N962" s="10">
        <v>99.4</v>
      </c>
      <c r="O962" s="10">
        <f ca="1">IFERROR(__xludf.DUMMYFUNCTION("GOOGLEFINANCE(""BOM:"" &amp; K962,""price"")"),85.65)</f>
        <v>85.65</v>
      </c>
      <c r="P962" s="8">
        <f t="shared" ca="1" si="338"/>
        <v>-13.832997987927564</v>
      </c>
      <c r="Q962" s="12">
        <f t="shared" si="339"/>
        <v>3649165643.2000003</v>
      </c>
      <c r="R962" s="13">
        <f t="shared" ca="1" si="340"/>
        <v>3144376633.2000003</v>
      </c>
      <c r="S962" s="62" t="s">
        <v>4016</v>
      </c>
      <c r="T962" s="6">
        <v>532921</v>
      </c>
      <c r="U962" s="6" t="s">
        <v>4017</v>
      </c>
      <c r="V962" s="7">
        <v>2112077429</v>
      </c>
      <c r="W962" s="8">
        <v>1321.75</v>
      </c>
      <c r="X962" s="11">
        <f ca="1">IFERROR(__xludf.DUMMYFUNCTION("GOOGLEFINANCE(""BOM:"" &amp; T962,""price"")"),1341.7)</f>
        <v>1341.7</v>
      </c>
      <c r="Y962" s="8">
        <f t="shared" ca="1" si="332"/>
        <v>1.5093625874787249</v>
      </c>
      <c r="Z962" s="7">
        <f t="shared" si="333"/>
        <v>2791638341780.75</v>
      </c>
      <c r="AA962" s="9">
        <f t="shared" ca="1" si="334"/>
        <v>2833774286489.3003</v>
      </c>
      <c r="AB962" s="63"/>
      <c r="AC962" s="8">
        <v>509196</v>
      </c>
      <c r="AD962" s="8" t="s">
        <v>4018</v>
      </c>
      <c r="AE962" s="12">
        <v>3990324</v>
      </c>
      <c r="AF962" s="8">
        <v>103.5</v>
      </c>
      <c r="AG962" s="8">
        <f ca="1">IFERROR(__xludf.DUMMYFUNCTION("GOOGLEFINANCE(""BOM:"" &amp; AC962,""price"")"),93.9)</f>
        <v>93.9</v>
      </c>
      <c r="AH962" s="8">
        <f t="shared" ca="1" si="341"/>
        <v>-9.2753623188405747</v>
      </c>
      <c r="AI962" s="12">
        <f t="shared" si="342"/>
        <v>412998534</v>
      </c>
      <c r="AJ962" s="13">
        <f t="shared" ca="1" si="343"/>
        <v>374691423.60000002</v>
      </c>
    </row>
    <row r="963" spans="1:36" x14ac:dyDescent="0.25">
      <c r="A963" s="63"/>
      <c r="B963" s="8">
        <v>524230</v>
      </c>
      <c r="C963" s="8" t="s">
        <v>4019</v>
      </c>
      <c r="D963" s="12">
        <v>550661510</v>
      </c>
      <c r="E963" s="8">
        <v>142.85</v>
      </c>
      <c r="F963" s="8">
        <f ca="1">IFERROR(__xludf.DUMMYFUNCTION("GOOGLEFINANCE(""BOM:"" &amp; B963,""price"")"),128.15)</f>
        <v>128.15</v>
      </c>
      <c r="G963" s="8">
        <f t="shared" ca="1" si="324"/>
        <v>-10.290514525726278</v>
      </c>
      <c r="H963" s="12">
        <f t="shared" si="325"/>
        <v>78661996703.5</v>
      </c>
      <c r="I963" s="13">
        <f t="shared" ca="1" si="326"/>
        <v>70567272506.5</v>
      </c>
      <c r="J963" s="63"/>
      <c r="K963" s="8">
        <v>506261</v>
      </c>
      <c r="L963" s="8" t="s">
        <v>4020</v>
      </c>
      <c r="M963" s="12">
        <v>32428763</v>
      </c>
      <c r="N963" s="10">
        <v>122.05</v>
      </c>
      <c r="O963" s="10">
        <f ca="1">IFERROR(__xludf.DUMMYFUNCTION("GOOGLEFINANCE(""BOM:"" &amp; K963,""price"")"),118)</f>
        <v>118</v>
      </c>
      <c r="P963" s="8">
        <f t="shared" ca="1" si="338"/>
        <v>-3.3183121671446103</v>
      </c>
      <c r="Q963" s="12">
        <f t="shared" si="339"/>
        <v>3957930524.1500001</v>
      </c>
      <c r="R963" s="13">
        <f t="shared" ca="1" si="340"/>
        <v>3826594034</v>
      </c>
      <c r="S963" s="63"/>
      <c r="T963" s="8">
        <v>533248</v>
      </c>
      <c r="U963" s="8" t="s">
        <v>4021</v>
      </c>
      <c r="V963" s="12">
        <v>482893286</v>
      </c>
      <c r="W963" s="8">
        <v>214.05</v>
      </c>
      <c r="X963" s="11">
        <f ca="1">IFERROR(__xludf.DUMMYFUNCTION("GOOGLEFINANCE(""BOM:"" &amp; T963,""price"")"),212.55)</f>
        <v>212.55</v>
      </c>
      <c r="Y963" s="8">
        <f t="shared" ca="1" si="332"/>
        <v>-0.70077084793272593</v>
      </c>
      <c r="Z963" s="12">
        <f t="shared" si="333"/>
        <v>103363307868.3</v>
      </c>
      <c r="AA963" s="13">
        <f t="shared" ca="1" si="334"/>
        <v>102638967939.3</v>
      </c>
      <c r="AB963" s="63"/>
      <c r="AC963" s="8">
        <v>500890</v>
      </c>
      <c r="AD963" s="8" t="s">
        <v>4022</v>
      </c>
      <c r="AE963" s="12">
        <v>20013614</v>
      </c>
      <c r="AF963" s="8">
        <v>99.6</v>
      </c>
      <c r="AG963" s="8">
        <f ca="1">IFERROR(__xludf.DUMMYFUNCTION("GOOGLEFINANCE(""BOM:"" &amp; AC963,""price"")"),88.4)</f>
        <v>88.4</v>
      </c>
      <c r="AH963" s="8">
        <f t="shared" ca="1" si="341"/>
        <v>-11.244979919678704</v>
      </c>
      <c r="AI963" s="12">
        <f t="shared" si="342"/>
        <v>1993355954.3999999</v>
      </c>
      <c r="AJ963" s="13">
        <f t="shared" ca="1" si="343"/>
        <v>1769203477.6000001</v>
      </c>
    </row>
    <row r="964" spans="1:36" x14ac:dyDescent="0.25">
      <c r="A964" s="63"/>
      <c r="B964" s="8">
        <v>530433</v>
      </c>
      <c r="C964" s="8" t="s">
        <v>4023</v>
      </c>
      <c r="D964" s="12">
        <v>9774750</v>
      </c>
      <c r="E964" s="8">
        <v>59.19</v>
      </c>
      <c r="F964" s="8">
        <f ca="1">IFERROR(__xludf.DUMMYFUNCTION("GOOGLEFINANCE(""BOM:"" &amp; B964,""price"")"),40.5)</f>
        <v>40.5</v>
      </c>
      <c r="G964" s="8">
        <f t="shared" ca="1" si="324"/>
        <v>-31.576279776989352</v>
      </c>
      <c r="H964" s="12">
        <f t="shared" si="325"/>
        <v>578567452.5</v>
      </c>
      <c r="I964" s="13">
        <f t="shared" ca="1" si="326"/>
        <v>395877375</v>
      </c>
      <c r="J964" s="63"/>
      <c r="K964" s="8">
        <v>504132</v>
      </c>
      <c r="L964" s="8" t="s">
        <v>4024</v>
      </c>
      <c r="M964" s="12">
        <v>8050586</v>
      </c>
      <c r="N964" s="10">
        <v>1108</v>
      </c>
      <c r="O964" s="10">
        <f ca="1">IFERROR(__xludf.DUMMYFUNCTION("GOOGLEFINANCE(""BOM:"" &amp; K964,""price"")"),1218.9)</f>
        <v>1218.9000000000001</v>
      </c>
      <c r="P964" s="8">
        <f t="shared" ca="1" si="338"/>
        <v>10.00902527075813</v>
      </c>
      <c r="Q964" s="12">
        <f t="shared" si="339"/>
        <v>8920049288</v>
      </c>
      <c r="R964" s="13">
        <f t="shared" ca="1" si="340"/>
        <v>9812859275.4000015</v>
      </c>
      <c r="S964" s="63"/>
      <c r="T964" s="8">
        <v>520155</v>
      </c>
      <c r="U964" s="8" t="s">
        <v>4025</v>
      </c>
      <c r="V964" s="12">
        <v>11877999</v>
      </c>
      <c r="W964" s="8">
        <v>43.91</v>
      </c>
      <c r="X964" s="11">
        <f ca="1">IFERROR(__xludf.DUMMYFUNCTION("GOOGLEFINANCE(""BOM:"" &amp; T964,""price"")"),37.91)</f>
        <v>37.909999999999997</v>
      </c>
      <c r="Y964" s="8">
        <f t="shared" ca="1" si="332"/>
        <v>-13.664313368253248</v>
      </c>
      <c r="Z964" s="12">
        <f t="shared" si="333"/>
        <v>521562936.08999997</v>
      </c>
      <c r="AA964" s="13">
        <f t="shared" ca="1" si="334"/>
        <v>450294942.08999997</v>
      </c>
      <c r="AB964" s="63"/>
      <c r="AC964" s="8">
        <v>500290</v>
      </c>
      <c r="AD964" s="8" t="s">
        <v>4026</v>
      </c>
      <c r="AE964" s="12">
        <v>3800800</v>
      </c>
      <c r="AF964" s="8">
        <v>145244.95000000001</v>
      </c>
      <c r="AG964" s="8">
        <f ca="1">IFERROR(__xludf.DUMMYFUNCTION("GOOGLEFINANCE(""BOM:"" &amp; AC964,""price"")"),133500)</f>
        <v>133500</v>
      </c>
      <c r="AH964" s="8">
        <f t="shared" ca="1" si="341"/>
        <v>-8.0863052381511444</v>
      </c>
      <c r="AI964" s="12">
        <f t="shared" si="342"/>
        <v>552047005960</v>
      </c>
      <c r="AJ964" s="13">
        <f t="shared" ca="1" si="343"/>
        <v>507406800000</v>
      </c>
    </row>
    <row r="965" spans="1:36" x14ac:dyDescent="0.25">
      <c r="A965" s="63"/>
      <c r="B965" s="8">
        <v>590030</v>
      </c>
      <c r="C965" s="8" t="s">
        <v>4027</v>
      </c>
      <c r="D965" s="12">
        <v>203640336</v>
      </c>
      <c r="E965" s="8">
        <v>88.45</v>
      </c>
      <c r="F965" s="8">
        <f ca="1">IFERROR(__xludf.DUMMYFUNCTION("GOOGLEFINANCE(""BOM:"" &amp; B965,""price"")"),70.27)</f>
        <v>70.27</v>
      </c>
      <c r="G965" s="8">
        <f t="shared" ca="1" si="324"/>
        <v>-20.553985302430757</v>
      </c>
      <c r="H965" s="12">
        <f t="shared" si="325"/>
        <v>18011987719.200001</v>
      </c>
      <c r="I965" s="13">
        <f t="shared" ca="1" si="326"/>
        <v>14309806410.719999</v>
      </c>
      <c r="J965" s="63"/>
      <c r="K965" s="8">
        <v>511016</v>
      </c>
      <c r="L965" s="8" t="s">
        <v>4028</v>
      </c>
      <c r="M965" s="12">
        <v>36948118</v>
      </c>
      <c r="N965" s="10">
        <v>4.6500000000000004</v>
      </c>
      <c r="O965" s="10">
        <f ca="1">IFERROR(__xludf.DUMMYFUNCTION("GOOGLEFINANCE(""BOM:"" &amp; K965,""price"")"),4.32)</f>
        <v>4.32</v>
      </c>
      <c r="P965" s="8">
        <f t="shared" ca="1" si="338"/>
        <v>-7.0967741935483888</v>
      </c>
      <c r="Q965" s="12">
        <f t="shared" si="339"/>
        <v>171808748.70000002</v>
      </c>
      <c r="R965" s="13">
        <f t="shared" ca="1" si="340"/>
        <v>159615869.76000002</v>
      </c>
      <c r="S965" s="64"/>
      <c r="T965" s="14">
        <v>533427</v>
      </c>
      <c r="U965" s="14" t="s">
        <v>4029</v>
      </c>
      <c r="V965" s="15">
        <v>16473255</v>
      </c>
      <c r="W965" s="14">
        <v>51.39</v>
      </c>
      <c r="X965" s="26">
        <f ca="1">IFERROR(__xludf.DUMMYFUNCTION("GOOGLEFINANCE(""BOM:"" &amp; T965,""price"")"),42.71)</f>
        <v>42.71</v>
      </c>
      <c r="Y965" s="14">
        <f t="shared" ca="1" si="332"/>
        <v>-16.890445611986767</v>
      </c>
      <c r="Z965" s="15">
        <f t="shared" si="333"/>
        <v>846560574.45000005</v>
      </c>
      <c r="AA965" s="16">
        <f t="shared" ca="1" si="334"/>
        <v>703572721.05000007</v>
      </c>
      <c r="AB965" s="63"/>
      <c r="AC965" s="8">
        <v>500367</v>
      </c>
      <c r="AD965" s="8" t="s">
        <v>4030</v>
      </c>
      <c r="AE965" s="12">
        <v>52417375</v>
      </c>
      <c r="AF965" s="8">
        <v>78.22</v>
      </c>
      <c r="AG965" s="8">
        <f ca="1">IFERROR(__xludf.DUMMYFUNCTION("GOOGLEFINANCE(""BOM:"" &amp; AC965,""price"")"),68.16)</f>
        <v>68.16</v>
      </c>
      <c r="AH965" s="8">
        <f t="shared" ca="1" si="341"/>
        <v>-12.861160828432631</v>
      </c>
      <c r="AI965" s="12">
        <f t="shared" si="342"/>
        <v>4100087072.5</v>
      </c>
      <c r="AJ965" s="13">
        <f t="shared" ca="1" si="343"/>
        <v>3572768280</v>
      </c>
    </row>
    <row r="966" spans="1:36" x14ac:dyDescent="0.25">
      <c r="A966" s="64"/>
      <c r="B966" s="14">
        <v>534742</v>
      </c>
      <c r="C966" s="14" t="s">
        <v>4031</v>
      </c>
      <c r="D966" s="15">
        <v>41872820</v>
      </c>
      <c r="E966" s="8">
        <v>209.95</v>
      </c>
      <c r="F966" s="14">
        <f ca="1">IFERROR(__xludf.DUMMYFUNCTION("GOOGLEFINANCE(""BOM:"" &amp; B966,""price"")"),169.45)</f>
        <v>169.45</v>
      </c>
      <c r="G966" s="14">
        <f t="shared" ca="1" si="324"/>
        <v>-19.290307216003811</v>
      </c>
      <c r="H966" s="15">
        <f t="shared" si="325"/>
        <v>8791198559</v>
      </c>
      <c r="I966" s="16">
        <f t="shared" ca="1" si="326"/>
        <v>7095349349</v>
      </c>
      <c r="J966" s="63"/>
      <c r="K966" s="8">
        <v>522281</v>
      </c>
      <c r="L966" s="8" t="s">
        <v>4032</v>
      </c>
      <c r="M966" s="12">
        <v>21513198</v>
      </c>
      <c r="N966" s="10">
        <v>286</v>
      </c>
      <c r="O966" s="10">
        <f ca="1">IFERROR(__xludf.DUMMYFUNCTION("GOOGLEFINANCE(""BOM:"" &amp; K966,""price"")"),256)</f>
        <v>256</v>
      </c>
      <c r="P966" s="8">
        <f t="shared" ca="1" si="338"/>
        <v>-10.48951048951049</v>
      </c>
      <c r="Q966" s="12">
        <f t="shared" si="339"/>
        <v>6152774628</v>
      </c>
      <c r="R966" s="13">
        <f t="shared" ca="1" si="340"/>
        <v>5507378688</v>
      </c>
      <c r="S966" s="62" t="s">
        <v>4033</v>
      </c>
      <c r="T966" s="6">
        <v>539254</v>
      </c>
      <c r="U966" s="6" t="s">
        <v>4034</v>
      </c>
      <c r="V966" s="7">
        <v>1115270830</v>
      </c>
      <c r="W966" s="8">
        <v>1072.7</v>
      </c>
      <c r="X966" s="11">
        <f ca="1">IFERROR(__xludf.DUMMYFUNCTION("GOOGLEFINANCE(""BOM:"" &amp; T966,""price"")"),1025.8)</f>
        <v>1025.8</v>
      </c>
      <c r="Y966" s="8">
        <f t="shared" ca="1" si="332"/>
        <v>-4.3721450545352933</v>
      </c>
      <c r="Z966" s="7">
        <f t="shared" si="333"/>
        <v>1196351019341</v>
      </c>
      <c r="AA966" s="9">
        <f t="shared" ca="1" si="334"/>
        <v>1144044817414</v>
      </c>
      <c r="AB966" s="63"/>
      <c r="AC966" s="8">
        <v>539040</v>
      </c>
      <c r="AD966" s="8" t="s">
        <v>4035</v>
      </c>
      <c r="AE966" s="12">
        <v>3247064</v>
      </c>
      <c r="AF966" s="8">
        <v>83</v>
      </c>
      <c r="AG966" s="8">
        <f ca="1">IFERROR(__xludf.DUMMYFUNCTION("GOOGLEFINANCE(""BOM:"" &amp; AC966,""price"")"),71.95)</f>
        <v>71.95</v>
      </c>
      <c r="AH966" s="8">
        <f t="shared" ca="1" si="341"/>
        <v>-13.31325301204819</v>
      </c>
      <c r="AI966" s="12">
        <f t="shared" si="342"/>
        <v>269506312</v>
      </c>
      <c r="AJ966" s="13">
        <f t="shared" ca="1" si="343"/>
        <v>233626254.80000001</v>
      </c>
    </row>
    <row r="967" spans="1:36" x14ac:dyDescent="0.25">
      <c r="A967" s="62" t="s">
        <v>4036</v>
      </c>
      <c r="B967" s="6">
        <v>540874</v>
      </c>
      <c r="C967" s="6" t="s">
        <v>4037</v>
      </c>
      <c r="D967" s="7">
        <v>14872197</v>
      </c>
      <c r="E967" s="6">
        <v>36.020000000000003</v>
      </c>
      <c r="F967" s="8">
        <v>36.020000000000003</v>
      </c>
      <c r="G967" s="8">
        <f t="shared" si="324"/>
        <v>0</v>
      </c>
      <c r="H967" s="7">
        <f t="shared" si="325"/>
        <v>535696535.94000006</v>
      </c>
      <c r="I967" s="9">
        <f t="shared" si="326"/>
        <v>535696535.94000006</v>
      </c>
      <c r="J967" s="63"/>
      <c r="K967" s="8">
        <v>539760</v>
      </c>
      <c r="L967" s="8" t="s">
        <v>4038</v>
      </c>
      <c r="M967" s="12">
        <v>10094662</v>
      </c>
      <c r="N967" s="10">
        <v>92.95</v>
      </c>
      <c r="O967" s="10">
        <v>92.95</v>
      </c>
      <c r="P967" s="8">
        <f t="shared" si="338"/>
        <v>0</v>
      </c>
      <c r="Q967" s="12">
        <f t="shared" si="339"/>
        <v>938298832.89999998</v>
      </c>
      <c r="R967" s="13">
        <f t="shared" si="340"/>
        <v>938298832.89999998</v>
      </c>
      <c r="S967" s="63"/>
      <c r="T967" s="8">
        <v>540565</v>
      </c>
      <c r="U967" s="8" t="s">
        <v>4039</v>
      </c>
      <c r="V967" s="12">
        <v>700178485</v>
      </c>
      <c r="W967" s="8">
        <v>133.19999999999999</v>
      </c>
      <c r="X967" s="11">
        <f ca="1">IFERROR(__xludf.DUMMYFUNCTION("GOOGLEFINANCE(""BOM:"" &amp; T967,""price"")"),132.5)</f>
        <v>132.5</v>
      </c>
      <c r="Y967" s="8">
        <f t="shared" ca="1" si="332"/>
        <v>-0.52552552552551701</v>
      </c>
      <c r="Z967" s="12">
        <f t="shared" si="333"/>
        <v>93263774201.999985</v>
      </c>
      <c r="AA967" s="13">
        <f t="shared" ca="1" si="334"/>
        <v>92773649262.5</v>
      </c>
      <c r="AB967" s="63"/>
      <c r="AC967" s="8">
        <v>509243</v>
      </c>
      <c r="AD967" s="8" t="s">
        <v>4040</v>
      </c>
      <c r="AE967" s="12">
        <v>7299441</v>
      </c>
      <c r="AF967" s="8">
        <v>4340</v>
      </c>
      <c r="AG967" s="8">
        <f ca="1">IFERROR(__xludf.DUMMYFUNCTION("GOOGLEFINANCE(""BOM:"" &amp; AC967,""price"")"),3897.25)</f>
        <v>3897.25</v>
      </c>
      <c r="AH967" s="8">
        <f t="shared" ca="1" si="341"/>
        <v>-10.201612903225806</v>
      </c>
      <c r="AI967" s="12">
        <f t="shared" si="342"/>
        <v>31679573940</v>
      </c>
      <c r="AJ967" s="13">
        <f t="shared" ca="1" si="343"/>
        <v>28447746437.25</v>
      </c>
    </row>
    <row r="968" spans="1:36" x14ac:dyDescent="0.25">
      <c r="A968" s="63"/>
      <c r="B968" s="8">
        <v>539115</v>
      </c>
      <c r="C968" s="8" t="s">
        <v>4041</v>
      </c>
      <c r="D968" s="12">
        <v>1496285</v>
      </c>
      <c r="E968" s="8">
        <v>87.98</v>
      </c>
      <c r="F968" s="8">
        <f ca="1">IFERROR(__xludf.DUMMYFUNCTION("GOOGLEFINANCE(""BOM:"" &amp; B968,""price"")"),68.75)</f>
        <v>68.75</v>
      </c>
      <c r="G968" s="8">
        <f t="shared" ca="1" si="324"/>
        <v>-21.857240281882252</v>
      </c>
      <c r="H968" s="12">
        <f t="shared" si="325"/>
        <v>131643154.30000001</v>
      </c>
      <c r="I968" s="13">
        <f t="shared" ca="1" si="326"/>
        <v>102869593.75</v>
      </c>
      <c r="J968" s="63"/>
      <c r="K968" s="8">
        <v>517035</v>
      </c>
      <c r="L968" s="8" t="s">
        <v>4042</v>
      </c>
      <c r="M968" s="12">
        <v>6416685</v>
      </c>
      <c r="N968" s="10">
        <v>889.25</v>
      </c>
      <c r="O968" s="10">
        <f ca="1">IFERROR(__xludf.DUMMYFUNCTION("GOOGLEFINANCE(""BOM:"" &amp; K968,""price"")"),872.85)</f>
        <v>872.85</v>
      </c>
      <c r="P968" s="8">
        <f t="shared" ca="1" si="338"/>
        <v>-1.8442507731234161</v>
      </c>
      <c r="Q968" s="12">
        <f t="shared" si="339"/>
        <v>5706037136.25</v>
      </c>
      <c r="R968" s="13">
        <f t="shared" ca="1" si="340"/>
        <v>5600803502.25</v>
      </c>
      <c r="S968" s="63"/>
      <c r="T968" s="8">
        <v>543290</v>
      </c>
      <c r="U968" s="8" t="s">
        <v>4043</v>
      </c>
      <c r="V968" s="12">
        <v>909999200</v>
      </c>
      <c r="W968" s="8">
        <v>96.41</v>
      </c>
      <c r="X968" s="11">
        <f ca="1">IFERROR(__xludf.DUMMYFUNCTION("GOOGLEFINANCE(""BOM:"" &amp; T968,""price"")"),94.65)</f>
        <v>94.65</v>
      </c>
      <c r="Y968" s="8">
        <f t="shared" ca="1" si="332"/>
        <v>-1.8255367700445917</v>
      </c>
      <c r="Z968" s="12">
        <f t="shared" si="333"/>
        <v>87733022872</v>
      </c>
      <c r="AA968" s="13">
        <f t="shared" ca="1" si="334"/>
        <v>86131424280</v>
      </c>
      <c r="AB968" s="63"/>
      <c r="AC968" s="8">
        <v>530369</v>
      </c>
      <c r="AD968" s="8" t="s">
        <v>4044</v>
      </c>
      <c r="AE968" s="12">
        <v>3978950</v>
      </c>
      <c r="AF968" s="8">
        <v>42</v>
      </c>
      <c r="AG968" s="8">
        <f ca="1">IFERROR(__xludf.DUMMYFUNCTION("GOOGLEFINANCE(""BOM:"" &amp; AC968,""price"")"),33.99)</f>
        <v>33.99</v>
      </c>
      <c r="AH968" s="8">
        <f t="shared" ca="1" si="341"/>
        <v>-19.071428571428566</v>
      </c>
      <c r="AI968" s="12">
        <f t="shared" si="342"/>
        <v>167115900</v>
      </c>
      <c r="AJ968" s="13">
        <f t="shared" ca="1" si="343"/>
        <v>135244510.5</v>
      </c>
    </row>
    <row r="969" spans="1:36" x14ac:dyDescent="0.25">
      <c r="A969" s="63"/>
      <c r="B969" s="8">
        <v>532380</v>
      </c>
      <c r="C969" s="8" t="s">
        <v>4045</v>
      </c>
      <c r="D969" s="12">
        <v>52294872</v>
      </c>
      <c r="E969" s="8">
        <v>14.51</v>
      </c>
      <c r="F969" s="8">
        <f ca="1">IFERROR(__xludf.DUMMYFUNCTION("GOOGLEFINANCE(""BOM:"" &amp; B969,""price"")"),12.5)</f>
        <v>12.5</v>
      </c>
      <c r="G969" s="8">
        <f t="shared" ca="1" si="324"/>
        <v>-13.852515506547208</v>
      </c>
      <c r="H969" s="12">
        <f t="shared" si="325"/>
        <v>758798592.72000003</v>
      </c>
      <c r="I969" s="13">
        <f t="shared" ca="1" si="326"/>
        <v>653685900</v>
      </c>
      <c r="J969" s="63"/>
      <c r="K969" s="8">
        <v>540358</v>
      </c>
      <c r="L969" s="8" t="s">
        <v>4046</v>
      </c>
      <c r="M969" s="12">
        <v>10308300</v>
      </c>
      <c r="N969" s="10">
        <v>520</v>
      </c>
      <c r="O969" s="10">
        <f ca="1">IFERROR(__xludf.DUMMYFUNCTION("GOOGLEFINANCE(""BOM:"" &amp; K969,""price"")"),394.3)</f>
        <v>394.3</v>
      </c>
      <c r="P969" s="8">
        <f t="shared" ca="1" si="338"/>
        <v>-24.173076923076923</v>
      </c>
      <c r="Q969" s="12">
        <f t="shared" si="339"/>
        <v>5360316000</v>
      </c>
      <c r="R969" s="13">
        <f t="shared" ca="1" si="340"/>
        <v>4064562690</v>
      </c>
      <c r="S969" s="64"/>
      <c r="T969" s="14">
        <v>532898</v>
      </c>
      <c r="U969" s="14" t="s">
        <v>4047</v>
      </c>
      <c r="V969" s="15">
        <v>9300533810</v>
      </c>
      <c r="W969" s="14">
        <v>287.64999999999998</v>
      </c>
      <c r="X969" s="26">
        <f ca="1">IFERROR(__xludf.DUMMYFUNCTION("GOOGLEFINANCE(""BOM:"" &amp; T969,""price"")"),277.05)</f>
        <v>277.05</v>
      </c>
      <c r="Y969" s="14">
        <f t="shared" ca="1" si="332"/>
        <v>-3.6850338953589317</v>
      </c>
      <c r="Z969" s="15">
        <f t="shared" si="333"/>
        <v>2675298550446.5</v>
      </c>
      <c r="AA969" s="16">
        <f t="shared" ca="1" si="334"/>
        <v>2576712892060.5</v>
      </c>
      <c r="AB969" s="64"/>
      <c r="AC969" s="14">
        <v>523888</v>
      </c>
      <c r="AD969" s="14" t="s">
        <v>4048</v>
      </c>
      <c r="AE969" s="15">
        <v>12423746</v>
      </c>
      <c r="AF969" s="14">
        <v>9.5500000000000007</v>
      </c>
      <c r="AG969" s="14">
        <f ca="1">IFERROR(__xludf.DUMMYFUNCTION("GOOGLEFINANCE(""BOM:"" &amp; AC969,""price"")"),7.8)</f>
        <v>7.8</v>
      </c>
      <c r="AH969" s="14">
        <f t="shared" ca="1" si="341"/>
        <v>-18.324607329842941</v>
      </c>
      <c r="AI969" s="15">
        <f t="shared" si="342"/>
        <v>118646774.30000001</v>
      </c>
      <c r="AJ969" s="16">
        <f t="shared" ca="1" si="343"/>
        <v>96905218.799999997</v>
      </c>
    </row>
    <row r="970" spans="1:36" x14ac:dyDescent="0.25">
      <c r="A970" s="63"/>
      <c r="B970" s="8">
        <v>531420</v>
      </c>
      <c r="C970" s="8" t="s">
        <v>4049</v>
      </c>
      <c r="D970" s="12">
        <v>4882000</v>
      </c>
      <c r="E970" s="8">
        <v>2.58</v>
      </c>
      <c r="F970" s="8">
        <f ca="1">IFERROR(__xludf.DUMMYFUNCTION("GOOGLEFINANCE(""BOM:"" &amp; B970,""price"")"),2.58)</f>
        <v>2.58</v>
      </c>
      <c r="G970" s="8">
        <f t="shared" ca="1" si="324"/>
        <v>0</v>
      </c>
      <c r="H970" s="12">
        <f t="shared" si="325"/>
        <v>12595560</v>
      </c>
      <c r="I970" s="13">
        <f t="shared" ca="1" si="326"/>
        <v>12595560</v>
      </c>
      <c r="J970" s="63"/>
      <c r="K970" s="8">
        <v>531215</v>
      </c>
      <c r="L970" s="8" t="s">
        <v>4050</v>
      </c>
      <c r="M970" s="12">
        <v>9164526</v>
      </c>
      <c r="N970" s="10">
        <v>179</v>
      </c>
      <c r="O970" s="10">
        <f ca="1">IFERROR(__xludf.DUMMYFUNCTION("GOOGLEFINANCE(""BOM:"" &amp; K970,""price"")"),159)</f>
        <v>159</v>
      </c>
      <c r="P970" s="8">
        <f t="shared" ca="1" si="338"/>
        <v>-11.173184357541899</v>
      </c>
      <c r="Q970" s="12">
        <f t="shared" si="339"/>
        <v>1640450154</v>
      </c>
      <c r="R970" s="13">
        <f t="shared" ca="1" si="340"/>
        <v>1457159634</v>
      </c>
      <c r="S970" s="27" t="s">
        <v>4051</v>
      </c>
      <c r="T970" s="28">
        <v>532524</v>
      </c>
      <c r="U970" s="28" t="s">
        <v>4052</v>
      </c>
      <c r="V970" s="29">
        <v>286004206</v>
      </c>
      <c r="W970" s="14">
        <v>198.5</v>
      </c>
      <c r="X970" s="26">
        <f ca="1">IFERROR(__xludf.DUMMYFUNCTION("GOOGLEFINANCE(""BOM:"" &amp; T970,""price"")"),185.9)</f>
        <v>185.9</v>
      </c>
      <c r="Y970" s="14">
        <f t="shared" ca="1" si="332"/>
        <v>-6.3476070528967226</v>
      </c>
      <c r="Z970" s="29">
        <f t="shared" si="333"/>
        <v>56771834891</v>
      </c>
      <c r="AA970" s="30">
        <f t="shared" ca="1" si="334"/>
        <v>53168181895.400002</v>
      </c>
      <c r="AB970" s="65" t="s">
        <v>4053</v>
      </c>
      <c r="AC970" s="6">
        <v>543254</v>
      </c>
      <c r="AD970" s="6" t="s">
        <v>4054</v>
      </c>
      <c r="AE970" s="7">
        <v>28287170</v>
      </c>
      <c r="AF970" s="8">
        <v>511.25</v>
      </c>
      <c r="AG970" s="8">
        <f ca="1">IFERROR(__xludf.DUMMYFUNCTION("GOOGLEFINANCE(""BOM:"" &amp; AC970,""price"")"),458.55)</f>
        <v>458.55</v>
      </c>
      <c r="AH970" s="8">
        <f t="shared" ca="1" si="341"/>
        <v>-10.308068459657699</v>
      </c>
      <c r="AI970" s="7">
        <f t="shared" si="342"/>
        <v>14461815662.5</v>
      </c>
      <c r="AJ970" s="9">
        <f t="shared" ca="1" si="343"/>
        <v>12971081803.5</v>
      </c>
    </row>
    <row r="971" spans="1:36" x14ac:dyDescent="0.25">
      <c r="A971" s="63"/>
      <c r="B971" s="8">
        <v>530457</v>
      </c>
      <c r="C971" s="8" t="s">
        <v>4055</v>
      </c>
      <c r="D971" s="12">
        <v>4480010</v>
      </c>
      <c r="E971" s="8">
        <v>36.53</v>
      </c>
      <c r="F971" s="8">
        <f ca="1">IFERROR(__xludf.DUMMYFUNCTION("GOOGLEFINANCE(""BOM:"" &amp; B971,""price"")"),50.52)</f>
        <v>50.52</v>
      </c>
      <c r="G971" s="8">
        <f t="shared" ca="1" si="324"/>
        <v>38.297289898713387</v>
      </c>
      <c r="H971" s="12">
        <f t="shared" si="325"/>
        <v>163654765.30000001</v>
      </c>
      <c r="I971" s="13">
        <f t="shared" ca="1" si="326"/>
        <v>226330105.20000002</v>
      </c>
      <c r="J971" s="63"/>
      <c r="K971" s="8">
        <v>517059</v>
      </c>
      <c r="L971" s="8" t="s">
        <v>4056</v>
      </c>
      <c r="M971" s="12">
        <v>15679908</v>
      </c>
      <c r="N971" s="10">
        <v>722</v>
      </c>
      <c r="O971" s="10">
        <f ca="1">IFERROR(__xludf.DUMMYFUNCTION("GOOGLEFINANCE(""BOM:"" &amp; K971,""price"")"),821)</f>
        <v>821</v>
      </c>
      <c r="P971" s="8">
        <f t="shared" ca="1" si="338"/>
        <v>13.711911357340719</v>
      </c>
      <c r="Q971" s="12">
        <f t="shared" si="339"/>
        <v>11320893576</v>
      </c>
      <c r="R971" s="13">
        <f t="shared" ca="1" si="340"/>
        <v>12873204468</v>
      </c>
      <c r="S971" s="62" t="s">
        <v>4057</v>
      </c>
      <c r="T971" s="6">
        <v>512068</v>
      </c>
      <c r="U971" s="6" t="s">
        <v>4058</v>
      </c>
      <c r="V971" s="7">
        <v>93202114</v>
      </c>
      <c r="W971" s="8">
        <v>115.3</v>
      </c>
      <c r="X971" s="11">
        <f ca="1">IFERROR(__xludf.DUMMYFUNCTION("GOOGLEFINANCE(""BOM:"" &amp; T971,""price"")"),96.05)</f>
        <v>96.05</v>
      </c>
      <c r="Y971" s="8">
        <f t="shared" ca="1" si="332"/>
        <v>-16.695576756287945</v>
      </c>
      <c r="Z971" s="7">
        <f t="shared" si="333"/>
        <v>10746203744.199999</v>
      </c>
      <c r="AA971" s="9">
        <f t="shared" ca="1" si="334"/>
        <v>8952063049.6999989</v>
      </c>
      <c r="AB971" s="63"/>
      <c r="AC971" s="8">
        <v>530643</v>
      </c>
      <c r="AD971" s="8" t="s">
        <v>4059</v>
      </c>
      <c r="AE971" s="12">
        <v>18906806</v>
      </c>
      <c r="AF971" s="8">
        <v>498.8</v>
      </c>
      <c r="AG971" s="8">
        <f ca="1">IFERROR(__xludf.DUMMYFUNCTION("GOOGLEFINANCE(""BOM:"" &amp; AC971,""price"")"),512.55)</f>
        <v>512.54999999999995</v>
      </c>
      <c r="AH971" s="8">
        <f t="shared" ca="1" si="341"/>
        <v>2.7566158781074468</v>
      </c>
      <c r="AI971" s="12">
        <f t="shared" si="342"/>
        <v>9430714832.8000011</v>
      </c>
      <c r="AJ971" s="13">
        <f t="shared" ca="1" si="343"/>
        <v>9690683415.2999992</v>
      </c>
    </row>
    <row r="972" spans="1:36" x14ac:dyDescent="0.25">
      <c r="A972" s="63"/>
      <c r="B972" s="8">
        <v>540151</v>
      </c>
      <c r="C972" s="8" t="s">
        <v>4060</v>
      </c>
      <c r="D972" s="12">
        <v>17501735</v>
      </c>
      <c r="E972" s="8">
        <v>126.35</v>
      </c>
      <c r="F972" s="8">
        <f ca="1">IFERROR(__xludf.DUMMYFUNCTION("GOOGLEFINANCE(""BOM:"" &amp; B972,""price"")"),126.35)</f>
        <v>126.35</v>
      </c>
      <c r="G972" s="8">
        <f t="shared" ca="1" si="324"/>
        <v>0</v>
      </c>
      <c r="H972" s="12">
        <f t="shared" si="325"/>
        <v>2211344217.25</v>
      </c>
      <c r="I972" s="13">
        <f t="shared" ca="1" si="326"/>
        <v>2211344217.25</v>
      </c>
      <c r="J972" s="63"/>
      <c r="K972" s="8">
        <v>517320</v>
      </c>
      <c r="L972" s="8" t="s">
        <v>4061</v>
      </c>
      <c r="M972" s="12">
        <v>1980400</v>
      </c>
      <c r="N972" s="10">
        <v>5.9</v>
      </c>
      <c r="O972" s="10">
        <f ca="1">IFERROR(__xludf.DUMMYFUNCTION("GOOGLEFINANCE(""BOM:"" &amp; K972,""price"")"),5.9)</f>
        <v>5.9</v>
      </c>
      <c r="P972" s="8">
        <f t="shared" ca="1" si="338"/>
        <v>0</v>
      </c>
      <c r="Q972" s="12">
        <f t="shared" si="339"/>
        <v>11684360</v>
      </c>
      <c r="R972" s="13">
        <f t="shared" ca="1" si="340"/>
        <v>11684360</v>
      </c>
      <c r="S972" s="64"/>
      <c r="T972" s="14">
        <v>543522</v>
      </c>
      <c r="U972" s="14" t="s">
        <v>4062</v>
      </c>
      <c r="V972" s="15">
        <v>1647900</v>
      </c>
      <c r="W972" s="14">
        <v>50.25</v>
      </c>
      <c r="X972" s="26">
        <f ca="1">IFERROR(__xludf.DUMMYFUNCTION("GOOGLEFINANCE(""BOM:"" &amp; T972,""price"")"),52.4)</f>
        <v>52.4</v>
      </c>
      <c r="Y972" s="14">
        <f t="shared" ca="1" si="332"/>
        <v>4.2786069651741272</v>
      </c>
      <c r="Z972" s="15">
        <f t="shared" si="333"/>
        <v>82806975</v>
      </c>
      <c r="AA972" s="16">
        <f t="shared" ca="1" si="334"/>
        <v>86349960</v>
      </c>
      <c r="AB972" s="64"/>
      <c r="AC972" s="14">
        <v>537785</v>
      </c>
      <c r="AD972" s="14" t="s">
        <v>4063</v>
      </c>
      <c r="AE972" s="15">
        <v>16432200</v>
      </c>
      <c r="AF972" s="14">
        <v>367.5</v>
      </c>
      <c r="AG972" s="14">
        <f ca="1">IFERROR(__xludf.DUMMYFUNCTION("GOOGLEFINANCE(""BOM:"" &amp; AC972,""price"")"),330.25)</f>
        <v>330.25</v>
      </c>
      <c r="AH972" s="14">
        <f t="shared" ca="1" si="341"/>
        <v>-10.136054421768707</v>
      </c>
      <c r="AI972" s="15">
        <f t="shared" si="342"/>
        <v>6038833500</v>
      </c>
      <c r="AJ972" s="16">
        <f t="shared" ca="1" si="343"/>
        <v>5426734050</v>
      </c>
    </row>
    <row r="973" spans="1:36" x14ac:dyDescent="0.25">
      <c r="A973" s="63"/>
      <c r="B973" s="8">
        <v>533261</v>
      </c>
      <c r="C973" s="8" t="s">
        <v>4064</v>
      </c>
      <c r="D973" s="12">
        <v>95884749</v>
      </c>
      <c r="E973" s="8">
        <v>24.27</v>
      </c>
      <c r="F973" s="8">
        <f ca="1">IFERROR(__xludf.DUMMYFUNCTION("GOOGLEFINANCE(""BOM:"" &amp; B973,""price"")"),17.92)</f>
        <v>17.920000000000002</v>
      </c>
      <c r="G973" s="8">
        <f t="shared" ca="1" si="324"/>
        <v>-26.163988463123189</v>
      </c>
      <c r="H973" s="12">
        <f t="shared" si="325"/>
        <v>2327122858.23</v>
      </c>
      <c r="I973" s="13">
        <f t="shared" ca="1" si="326"/>
        <v>1718254702.0800002</v>
      </c>
      <c r="J973" s="63"/>
      <c r="K973" s="8">
        <v>531812</v>
      </c>
      <c r="L973" s="8" t="s">
        <v>4065</v>
      </c>
      <c r="M973" s="12">
        <v>70626936</v>
      </c>
      <c r="N973" s="10">
        <v>0.88</v>
      </c>
      <c r="O973" s="10">
        <f ca="1">IFERROR(__xludf.DUMMYFUNCTION("GOOGLEFINANCE(""BOM:"" &amp; K973,""price"")"),0.53)</f>
        <v>0.53</v>
      </c>
      <c r="P973" s="8">
        <f t="shared" ca="1" si="338"/>
        <v>-39.772727272727273</v>
      </c>
      <c r="Q973" s="12">
        <f t="shared" si="339"/>
        <v>62151703.68</v>
      </c>
      <c r="R973" s="13">
        <f t="shared" ca="1" si="340"/>
        <v>37432276.079999998</v>
      </c>
      <c r="S973" s="62" t="s">
        <v>4066</v>
      </c>
      <c r="T973" s="6">
        <v>538786</v>
      </c>
      <c r="U973" s="6" t="s">
        <v>4067</v>
      </c>
      <c r="V973" s="7">
        <v>3786600</v>
      </c>
      <c r="W973" s="8">
        <v>38.299999999999997</v>
      </c>
      <c r="X973" s="11">
        <f ca="1">IFERROR(__xludf.DUMMYFUNCTION("GOOGLEFINANCE(""BOM:"" &amp; T973,""price"")"),42)</f>
        <v>42</v>
      </c>
      <c r="Y973" s="8">
        <f t="shared" ca="1" si="332"/>
        <v>9.6605744125326449</v>
      </c>
      <c r="Z973" s="7">
        <f t="shared" si="333"/>
        <v>145026780</v>
      </c>
      <c r="AA973" s="9">
        <f t="shared" ca="1" si="334"/>
        <v>159037200</v>
      </c>
      <c r="AB973" s="65" t="s">
        <v>4068</v>
      </c>
      <c r="AC973" s="6">
        <v>540311</v>
      </c>
      <c r="AD973" s="6" t="s">
        <v>4069</v>
      </c>
      <c r="AE973" s="7">
        <v>25389388</v>
      </c>
      <c r="AF973" s="8">
        <v>517.29999999999995</v>
      </c>
      <c r="AG973" s="8">
        <f ca="1">IFERROR(__xludf.DUMMYFUNCTION("GOOGLEFINANCE(""BOM:"" &amp; AC973,""price"")"),563.1)</f>
        <v>563.1</v>
      </c>
      <c r="AH973" s="8">
        <f t="shared" ca="1" si="341"/>
        <v>8.8536632514981761</v>
      </c>
      <c r="AI973" s="7">
        <f t="shared" si="342"/>
        <v>13133930412.4</v>
      </c>
      <c r="AJ973" s="9">
        <f t="shared" ca="1" si="343"/>
        <v>14296764382.800001</v>
      </c>
    </row>
    <row r="974" spans="1:36" x14ac:dyDescent="0.25">
      <c r="A974" s="63"/>
      <c r="B974" s="8">
        <v>523277</v>
      </c>
      <c r="C974" s="8" t="s">
        <v>4070</v>
      </c>
      <c r="D974" s="12">
        <v>896422969</v>
      </c>
      <c r="E974" s="8">
        <v>1</v>
      </c>
      <c r="F974" s="8">
        <f ca="1">IFERROR(__xludf.DUMMYFUNCTION("GOOGLEFINANCE(""BOM:"" &amp; B974,""price"")"),0.75)</f>
        <v>0.75</v>
      </c>
      <c r="G974" s="8">
        <f t="shared" ca="1" si="324"/>
        <v>-25</v>
      </c>
      <c r="H974" s="12">
        <f t="shared" si="325"/>
        <v>896422969</v>
      </c>
      <c r="I974" s="13">
        <f t="shared" ca="1" si="326"/>
        <v>672317226.75</v>
      </c>
      <c r="J974" s="63"/>
      <c r="K974" s="8">
        <v>531201</v>
      </c>
      <c r="L974" s="8" t="s">
        <v>4071</v>
      </c>
      <c r="M974" s="12">
        <v>7594000</v>
      </c>
      <c r="N974" s="10">
        <v>4061</v>
      </c>
      <c r="O974" s="10">
        <f ca="1">IFERROR(__xludf.DUMMYFUNCTION("GOOGLEFINANCE(""BOM:"" &amp; K974,""price"")"),3847.55)</f>
        <v>3847.55</v>
      </c>
      <c r="P974" s="8">
        <f t="shared" ca="1" si="338"/>
        <v>-5.2560945579906386</v>
      </c>
      <c r="Q974" s="12">
        <f t="shared" si="339"/>
        <v>30839234000</v>
      </c>
      <c r="R974" s="13">
        <f t="shared" ca="1" si="340"/>
        <v>29218294700</v>
      </c>
      <c r="S974" s="63"/>
      <c r="T974" s="8">
        <v>533151</v>
      </c>
      <c r="U974" s="8" t="s">
        <v>4072</v>
      </c>
      <c r="V974" s="12">
        <v>177123639</v>
      </c>
      <c r="W974" s="8">
        <v>283</v>
      </c>
      <c r="X974" s="11">
        <f ca="1">IFERROR(__xludf.DUMMYFUNCTION("GOOGLEFINANCE(""BOM:"" &amp; T974,""price"")"),261)</f>
        <v>261</v>
      </c>
      <c r="Y974" s="8">
        <f t="shared" ca="1" si="332"/>
        <v>-7.7738515901060072</v>
      </c>
      <c r="Z974" s="12">
        <f t="shared" si="333"/>
        <v>50125989837</v>
      </c>
      <c r="AA974" s="13">
        <f t="shared" ca="1" si="334"/>
        <v>46229269779</v>
      </c>
      <c r="AB974" s="64"/>
      <c r="AC974" s="14">
        <v>533269</v>
      </c>
      <c r="AD974" s="14" t="s">
        <v>4073</v>
      </c>
      <c r="AE974" s="15">
        <v>62188062</v>
      </c>
      <c r="AF974" s="14">
        <v>733</v>
      </c>
      <c r="AG974" s="14">
        <f ca="1">IFERROR(__xludf.DUMMYFUNCTION("GOOGLEFINANCE(""BOM:"" &amp; AC974,""price"")"),758)</f>
        <v>758</v>
      </c>
      <c r="AH974" s="14">
        <f t="shared" ca="1" si="341"/>
        <v>3.4106412005457027</v>
      </c>
      <c r="AI974" s="15">
        <f t="shared" si="342"/>
        <v>45583849446</v>
      </c>
      <c r="AJ974" s="16">
        <f t="shared" ca="1" si="343"/>
        <v>47138550996</v>
      </c>
    </row>
    <row r="975" spans="1:36" x14ac:dyDescent="0.25">
      <c r="A975" s="63"/>
      <c r="B975" s="8">
        <v>532706</v>
      </c>
      <c r="C975" s="8" t="s">
        <v>4074</v>
      </c>
      <c r="D975" s="12">
        <v>122333963</v>
      </c>
      <c r="E975" s="8" t="s">
        <v>60</v>
      </c>
      <c r="F975" s="8" t="s">
        <v>60</v>
      </c>
      <c r="G975" s="8"/>
      <c r="H975" s="12"/>
      <c r="I975" s="13"/>
      <c r="J975" s="63"/>
      <c r="K975" s="8">
        <v>517166</v>
      </c>
      <c r="L975" s="8" t="s">
        <v>4075</v>
      </c>
      <c r="M975" s="12">
        <v>43741930</v>
      </c>
      <c r="N975" s="10">
        <v>125.05</v>
      </c>
      <c r="O975" s="10">
        <f ca="1">IFERROR(__xludf.DUMMYFUNCTION("GOOGLEFINANCE(""BOM:"" &amp; K975,""price"")"),124.3)</f>
        <v>124.3</v>
      </c>
      <c r="P975" s="8">
        <f t="shared" ca="1" si="338"/>
        <v>-0.59976009596161539</v>
      </c>
      <c r="Q975" s="12">
        <f t="shared" si="339"/>
        <v>5469928346.5</v>
      </c>
      <c r="R975" s="13">
        <f t="shared" ca="1" si="340"/>
        <v>5437121899</v>
      </c>
      <c r="S975" s="63"/>
      <c r="T975" s="8">
        <v>540789</v>
      </c>
      <c r="U975" s="8" t="s">
        <v>4076</v>
      </c>
      <c r="V975" s="12">
        <v>117627436</v>
      </c>
      <c r="W975" s="8">
        <v>5.25</v>
      </c>
      <c r="X975" s="11">
        <f ca="1">IFERROR(__xludf.DUMMYFUNCTION("GOOGLEFINANCE(""BOM:"" &amp; T975,""price"")"),4.9)</f>
        <v>4.9000000000000004</v>
      </c>
      <c r="Y975" s="8">
        <f t="shared" ca="1" si="332"/>
        <v>-6.6666666666666599</v>
      </c>
      <c r="Z975" s="12">
        <f t="shared" si="333"/>
        <v>617544039</v>
      </c>
      <c r="AA975" s="13">
        <f t="shared" ca="1" si="334"/>
        <v>576374436.4000001</v>
      </c>
      <c r="AB975" s="31" t="s">
        <v>4077</v>
      </c>
      <c r="AC975" s="28">
        <v>539276</v>
      </c>
      <c r="AD975" s="28" t="s">
        <v>4078</v>
      </c>
      <c r="AE975" s="29">
        <v>13054275</v>
      </c>
      <c r="AF975" s="14">
        <v>341.95</v>
      </c>
      <c r="AG975" s="14">
        <f ca="1">IFERROR(__xludf.DUMMYFUNCTION("GOOGLEFINANCE(""BOM:"" &amp; AC975,""price"")"),306.9)</f>
        <v>306.89999999999998</v>
      </c>
      <c r="AH975" s="14">
        <f t="shared" ca="1" si="341"/>
        <v>-10.250036555051912</v>
      </c>
      <c r="AI975" s="29">
        <f t="shared" si="342"/>
        <v>4463909336.25</v>
      </c>
      <c r="AJ975" s="30">
        <f t="shared" ca="1" si="343"/>
        <v>4006356997.4999995</v>
      </c>
    </row>
    <row r="976" spans="1:36" x14ac:dyDescent="0.25">
      <c r="A976" s="63"/>
      <c r="B976" s="8">
        <v>511092</v>
      </c>
      <c r="C976" s="8" t="s">
        <v>4079</v>
      </c>
      <c r="D976" s="12">
        <v>28654368</v>
      </c>
      <c r="E976" s="8">
        <v>14.53</v>
      </c>
      <c r="F976" s="8">
        <f ca="1">IFERROR(__xludf.DUMMYFUNCTION("GOOGLEFINANCE(""BOM:"" &amp; B976,""price"")"),10.18)</f>
        <v>10.18</v>
      </c>
      <c r="G976" s="8">
        <f t="shared" ref="G976:G990" ca="1" si="344">((F976-E976)/E976)*100</f>
        <v>-29.938059187887127</v>
      </c>
      <c r="H976" s="12">
        <f t="shared" ref="H976:H990" si="345">D976*E976</f>
        <v>416347967.03999996</v>
      </c>
      <c r="I976" s="13">
        <f t="shared" ref="I976:I990" ca="1" si="346">D976*F976</f>
        <v>291701466.24000001</v>
      </c>
      <c r="J976" s="63"/>
      <c r="K976" s="8">
        <v>517201</v>
      </c>
      <c r="L976" s="8" t="s">
        <v>4080</v>
      </c>
      <c r="M976" s="12">
        <v>2277870</v>
      </c>
      <c r="N976" s="10">
        <v>67.62</v>
      </c>
      <c r="O976" s="10">
        <f ca="1">IFERROR(__xludf.DUMMYFUNCTION("GOOGLEFINANCE(""BOM:"" &amp; K976,""price"")"),71.59)</f>
        <v>71.59</v>
      </c>
      <c r="P976" s="8">
        <f t="shared" ca="1" si="338"/>
        <v>5.8710440698018322</v>
      </c>
      <c r="Q976" s="12">
        <f t="shared" si="339"/>
        <v>154029569.40000001</v>
      </c>
      <c r="R976" s="13">
        <f t="shared" ca="1" si="340"/>
        <v>163072713.30000001</v>
      </c>
      <c r="S976" s="63"/>
      <c r="T976" s="8">
        <v>530733</v>
      </c>
      <c r="U976" s="8" t="s">
        <v>4081</v>
      </c>
      <c r="V976" s="12">
        <v>2386050</v>
      </c>
      <c r="W976" s="8">
        <v>11.5</v>
      </c>
      <c r="X976" s="11">
        <f ca="1">IFERROR(__xludf.DUMMYFUNCTION("GOOGLEFINANCE(""BOM:"" &amp; T976,""price"")"),10.83)</f>
        <v>10.83</v>
      </c>
      <c r="Y976" s="8">
        <f t="shared" ca="1" si="332"/>
        <v>-5.8260869565217384</v>
      </c>
      <c r="Z976" s="12">
        <f t="shared" si="333"/>
        <v>27439575</v>
      </c>
      <c r="AA976" s="13">
        <f t="shared" ca="1" si="334"/>
        <v>25840921.5</v>
      </c>
      <c r="AB976" s="65" t="s">
        <v>4082</v>
      </c>
      <c r="AC976" s="6">
        <v>500188</v>
      </c>
      <c r="AD976" s="6" t="s">
        <v>4083</v>
      </c>
      <c r="AE976" s="7">
        <v>4223041805</v>
      </c>
      <c r="AF976" s="8">
        <v>308.89999999999998</v>
      </c>
      <c r="AG976" s="8">
        <f ca="1">IFERROR(__xludf.DUMMYFUNCTION("GOOGLEFINANCE(""BOM:"" &amp; AC976,""price"")"),292.25)</f>
        <v>292.25</v>
      </c>
      <c r="AH976" s="8">
        <f t="shared" ca="1" si="341"/>
        <v>-5.3900938815150461</v>
      </c>
      <c r="AI976" s="7">
        <f t="shared" si="342"/>
        <v>1304497613564.5</v>
      </c>
      <c r="AJ976" s="9">
        <f t="shared" ca="1" si="343"/>
        <v>1234183967511.25</v>
      </c>
    </row>
    <row r="977" spans="1:36" x14ac:dyDescent="0.25">
      <c r="A977" s="63"/>
      <c r="B977" s="8">
        <v>539910</v>
      </c>
      <c r="C977" s="8" t="s">
        <v>4084</v>
      </c>
      <c r="D977" s="12">
        <v>14615707</v>
      </c>
      <c r="E977" s="8">
        <v>2.11</v>
      </c>
      <c r="F977" s="8">
        <f ca="1">IFERROR(__xludf.DUMMYFUNCTION("GOOGLEFINANCE(""BOM:"" &amp; B977,""price"")"),1.73)</f>
        <v>1.73</v>
      </c>
      <c r="G977" s="8">
        <f t="shared" ca="1" si="344"/>
        <v>-18.009478672985779</v>
      </c>
      <c r="H977" s="12">
        <f t="shared" si="345"/>
        <v>30839141.77</v>
      </c>
      <c r="I977" s="13">
        <f t="shared" ca="1" si="346"/>
        <v>25285173.109999999</v>
      </c>
      <c r="J977" s="63"/>
      <c r="K977" s="8">
        <v>532928</v>
      </c>
      <c r="L977" s="8" t="s">
        <v>4085</v>
      </c>
      <c r="M977" s="12">
        <v>132564030</v>
      </c>
      <c r="N977" s="10">
        <v>347.35</v>
      </c>
      <c r="O977" s="10">
        <f ca="1">IFERROR(__xludf.DUMMYFUNCTION("GOOGLEFINANCE(""BOM:"" &amp; K977,""price"")"),395.75)</f>
        <v>395.75</v>
      </c>
      <c r="P977" s="8">
        <f t="shared" ca="1" si="338"/>
        <v>13.934072261407795</v>
      </c>
      <c r="Q977" s="12">
        <f t="shared" si="339"/>
        <v>46046115820.5</v>
      </c>
      <c r="R977" s="13">
        <f t="shared" ca="1" si="340"/>
        <v>52462214872.5</v>
      </c>
      <c r="S977" s="63"/>
      <c r="T977" s="8">
        <v>533217</v>
      </c>
      <c r="U977" s="8" t="s">
        <v>4086</v>
      </c>
      <c r="V977" s="12">
        <v>73668736</v>
      </c>
      <c r="W977" s="8">
        <v>110.85</v>
      </c>
      <c r="X977" s="11">
        <f ca="1">IFERROR(__xludf.DUMMYFUNCTION("GOOGLEFINANCE(""BOM:"" &amp; T977,""price"")"),108.35)</f>
        <v>108.35</v>
      </c>
      <c r="Y977" s="8">
        <f t="shared" ca="1" si="332"/>
        <v>-2.2552999548940007</v>
      </c>
      <c r="Z977" s="12">
        <f t="shared" si="333"/>
        <v>8166179385.5999994</v>
      </c>
      <c r="AA977" s="13">
        <f t="shared" ca="1" si="334"/>
        <v>7982007545.5999994</v>
      </c>
      <c r="AB977" s="64"/>
      <c r="AC977" s="8">
        <v>513496</v>
      </c>
      <c r="AD977" s="8" t="s">
        <v>4087</v>
      </c>
      <c r="AE977" s="12">
        <v>3443000</v>
      </c>
      <c r="AF977" s="14">
        <v>178.6</v>
      </c>
      <c r="AG977" s="14">
        <f ca="1">IFERROR(__xludf.DUMMYFUNCTION("GOOGLEFINANCE(""BOM:"" &amp; AC977,""price"")"),164.25)</f>
        <v>164.25</v>
      </c>
      <c r="AH977" s="14">
        <f t="shared" ca="1" si="341"/>
        <v>-8.034714445688687</v>
      </c>
      <c r="AI977" s="12">
        <f t="shared" si="342"/>
        <v>614919800</v>
      </c>
      <c r="AJ977" s="13">
        <f t="shared" ca="1" si="343"/>
        <v>565512750</v>
      </c>
    </row>
    <row r="978" spans="1:36" x14ac:dyDescent="0.25">
      <c r="A978" s="63"/>
      <c r="B978" s="8">
        <v>531910</v>
      </c>
      <c r="C978" s="8" t="s">
        <v>4088</v>
      </c>
      <c r="D978" s="12">
        <v>6820800</v>
      </c>
      <c r="E978" s="8">
        <v>67.5</v>
      </c>
      <c r="F978" s="8">
        <f ca="1">IFERROR(__xludf.DUMMYFUNCTION("GOOGLEFINANCE(""BOM:"" &amp; B978,""price"")"),82.82)</f>
        <v>82.82</v>
      </c>
      <c r="G978" s="8">
        <f t="shared" ca="1" si="344"/>
        <v>22.696296296296286</v>
      </c>
      <c r="H978" s="12">
        <f t="shared" si="345"/>
        <v>460404000</v>
      </c>
      <c r="I978" s="13">
        <f t="shared" ca="1" si="346"/>
        <v>564898656</v>
      </c>
      <c r="J978" s="64"/>
      <c r="K978" s="14">
        <v>517498</v>
      </c>
      <c r="L978" s="14" t="s">
        <v>4089</v>
      </c>
      <c r="M978" s="15">
        <v>36302446</v>
      </c>
      <c r="N978" s="17">
        <v>394.4</v>
      </c>
      <c r="O978" s="17">
        <f ca="1">IFERROR(__xludf.DUMMYFUNCTION("GOOGLEFINANCE(""BOM:"" &amp; K978,""price"")"),487.4)</f>
        <v>487.4</v>
      </c>
      <c r="P978" s="14">
        <f t="shared" ca="1" si="338"/>
        <v>23.580121703853958</v>
      </c>
      <c r="Q978" s="15">
        <f t="shared" si="339"/>
        <v>14317684702.4</v>
      </c>
      <c r="R978" s="16">
        <f t="shared" ca="1" si="340"/>
        <v>17693812180.399998</v>
      </c>
      <c r="S978" s="63"/>
      <c r="T978" s="8">
        <v>532662</v>
      </c>
      <c r="U978" s="8" t="s">
        <v>4090</v>
      </c>
      <c r="V978" s="12">
        <v>232734228</v>
      </c>
      <c r="W978" s="8">
        <v>31.04</v>
      </c>
      <c r="X978" s="11">
        <f ca="1">IFERROR(__xludf.DUMMYFUNCTION("GOOGLEFINANCE(""BOM:"" &amp; T978,""price"")"),26.5)</f>
        <v>26.5</v>
      </c>
      <c r="Y978" s="8">
        <f t="shared" ca="1" si="332"/>
        <v>-14.626288659793813</v>
      </c>
      <c r="Z978" s="12">
        <f t="shared" si="333"/>
        <v>7224070437.1199999</v>
      </c>
      <c r="AA978" s="12">
        <f t="shared" ca="1" si="334"/>
        <v>6167457042</v>
      </c>
      <c r="AB978" s="31" t="s">
        <v>4091</v>
      </c>
      <c r="AC978" s="28">
        <v>543573</v>
      </c>
      <c r="AD978" s="28" t="s">
        <v>4092</v>
      </c>
      <c r="AE978" s="29">
        <v>141410956</v>
      </c>
      <c r="AF978" s="14">
        <v>536.04999999999995</v>
      </c>
      <c r="AG978" s="14">
        <f ca="1">IFERROR(__xludf.DUMMYFUNCTION("GOOGLEFINANCE(""BOM:"" &amp; AC978,""price"")"),471)</f>
        <v>471</v>
      </c>
      <c r="AH978" s="14">
        <f t="shared" ca="1" si="341"/>
        <v>-12.135062027795907</v>
      </c>
      <c r="AI978" s="29">
        <f t="shared" si="342"/>
        <v>75803342963.799988</v>
      </c>
      <c r="AJ978" s="30">
        <f t="shared" ca="1" si="343"/>
        <v>66604560276</v>
      </c>
    </row>
    <row r="979" spans="1:36" x14ac:dyDescent="0.25">
      <c r="A979" s="63"/>
      <c r="B979" s="8">
        <v>503685</v>
      </c>
      <c r="C979" s="8" t="s">
        <v>4093</v>
      </c>
      <c r="D979" s="12">
        <v>14548913</v>
      </c>
      <c r="E979" s="8">
        <v>37.25</v>
      </c>
      <c r="F979" s="8">
        <f ca="1">IFERROR(__xludf.DUMMYFUNCTION("GOOGLEFINANCE(""BOM:"" &amp; B979,""price"")"),35)</f>
        <v>35</v>
      </c>
      <c r="G979" s="8">
        <f t="shared" ca="1" si="344"/>
        <v>-6.0402684563758395</v>
      </c>
      <c r="H979" s="12">
        <f t="shared" si="345"/>
        <v>541947009.25</v>
      </c>
      <c r="I979" s="13">
        <f t="shared" ca="1" si="346"/>
        <v>509211955</v>
      </c>
      <c r="J979" s="62" t="s">
        <v>4094</v>
      </c>
      <c r="K979" s="6">
        <v>539560</v>
      </c>
      <c r="L979" s="6" t="s">
        <v>4095</v>
      </c>
      <c r="M979" s="7">
        <v>1423420</v>
      </c>
      <c r="N979" s="10">
        <v>0</v>
      </c>
      <c r="O979" s="10">
        <f ca="1">IFERROR(__xludf.DUMMYFUNCTION("GOOGLEFINANCE(""BOM:"" &amp; K979,""price"")"),0)</f>
        <v>0</v>
      </c>
      <c r="P979" s="8">
        <v>0</v>
      </c>
      <c r="Q979" s="7">
        <f t="shared" si="339"/>
        <v>0</v>
      </c>
      <c r="R979" s="9">
        <f t="shared" ca="1" si="340"/>
        <v>0</v>
      </c>
      <c r="S979" s="63"/>
      <c r="T979" s="8">
        <v>532705</v>
      </c>
      <c r="U979" s="8" t="s">
        <v>4096</v>
      </c>
      <c r="V979" s="12">
        <v>263653606</v>
      </c>
      <c r="W979" s="8">
        <v>119.4</v>
      </c>
      <c r="X979" s="11">
        <f ca="1">IFERROR(__xludf.DUMMYFUNCTION("GOOGLEFINANCE(""BOM:"" &amp; T979,""price"")"),102.4)</f>
        <v>102.4</v>
      </c>
      <c r="Y979" s="8">
        <f t="shared" ca="1" si="332"/>
        <v>-14.237855946398659</v>
      </c>
      <c r="Z979" s="12">
        <f t="shared" si="333"/>
        <v>31480240556.400002</v>
      </c>
      <c r="AA979" s="12">
        <f t="shared" ca="1" si="334"/>
        <v>26998129254.400002</v>
      </c>
      <c r="AB979" s="31" t="s">
        <v>4097</v>
      </c>
      <c r="AC979" s="28">
        <v>543545</v>
      </c>
      <c r="AD979" s="28" t="s">
        <v>4098</v>
      </c>
      <c r="AE979" s="29">
        <v>131346153</v>
      </c>
      <c r="AF979" s="14">
        <v>1.57</v>
      </c>
      <c r="AG979" s="14">
        <f ca="1">IFERROR(__xludf.DUMMYFUNCTION("GOOGLEFINANCE(""BOM:"" &amp; AC979,""price"")"),1.23)</f>
        <v>1.23</v>
      </c>
      <c r="AH979" s="14">
        <f t="shared" ca="1" si="341"/>
        <v>-21.656050955414017</v>
      </c>
      <c r="AI979" s="29">
        <f t="shared" si="342"/>
        <v>206213460.21000001</v>
      </c>
      <c r="AJ979" s="30">
        <f t="shared" ca="1" si="343"/>
        <v>161555768.19</v>
      </c>
    </row>
    <row r="980" spans="1:36" x14ac:dyDescent="0.25">
      <c r="A980" s="63"/>
      <c r="B980" s="8">
        <v>512267</v>
      </c>
      <c r="C980" s="8" t="s">
        <v>4099</v>
      </c>
      <c r="D980" s="12">
        <v>1132741812</v>
      </c>
      <c r="E980" s="8">
        <v>19.899999999999999</v>
      </c>
      <c r="F980" s="8">
        <f ca="1">IFERROR(__xludf.DUMMYFUNCTION("GOOGLEFINANCE(""BOM:"" &amp; B980,""price"")"),16.55)</f>
        <v>16.55</v>
      </c>
      <c r="G980" s="8">
        <f t="shared" ca="1" si="344"/>
        <v>-16.834170854271346</v>
      </c>
      <c r="H980" s="12">
        <f t="shared" si="345"/>
        <v>22541562058.799999</v>
      </c>
      <c r="I980" s="13">
        <f t="shared" ca="1" si="346"/>
        <v>18746876988.600002</v>
      </c>
      <c r="J980" s="63"/>
      <c r="K980" s="8">
        <v>506166</v>
      </c>
      <c r="L980" s="8" t="s">
        <v>4100</v>
      </c>
      <c r="M980" s="12">
        <v>5149866</v>
      </c>
      <c r="N980" s="10">
        <v>182.6</v>
      </c>
      <c r="O980" s="10">
        <f ca="1">IFERROR(__xludf.DUMMYFUNCTION("GOOGLEFINANCE(""BOM:"" &amp; K980,""price"")"),189.95)</f>
        <v>189.95</v>
      </c>
      <c r="P980" s="8">
        <f t="shared" ref="P980:P989" ca="1" si="347">((O980-N980)/N980)*100</f>
        <v>4.0251916757940824</v>
      </c>
      <c r="Q980" s="12">
        <f t="shared" si="339"/>
        <v>940365531.60000002</v>
      </c>
      <c r="R980" s="13">
        <f t="shared" ca="1" si="340"/>
        <v>978217046.69999993</v>
      </c>
      <c r="S980" s="63"/>
      <c r="T980" s="8">
        <v>511630</v>
      </c>
      <c r="U980" s="8" t="s">
        <v>4101</v>
      </c>
      <c r="V980" s="12">
        <v>186739690</v>
      </c>
      <c r="W980" s="8">
        <v>6.39</v>
      </c>
      <c r="X980" s="11">
        <f ca="1">IFERROR(__xludf.DUMMYFUNCTION("GOOGLEFINANCE(""BOM:"" &amp; T980,""price"")"),5)</f>
        <v>5</v>
      </c>
      <c r="Y980" s="8">
        <f t="shared" ca="1" si="332"/>
        <v>-21.752738654147098</v>
      </c>
      <c r="Z980" s="12">
        <f t="shared" si="333"/>
        <v>1193266619.0999999</v>
      </c>
      <c r="AA980" s="12">
        <f t="shared" ca="1" si="334"/>
        <v>933698450</v>
      </c>
      <c r="AB980" s="31" t="s">
        <v>4102</v>
      </c>
      <c r="AC980" s="28">
        <v>543546</v>
      </c>
      <c r="AD980" s="28" t="s">
        <v>4103</v>
      </c>
      <c r="AE980" s="29">
        <v>22012000</v>
      </c>
      <c r="AF980" s="14">
        <v>5.14</v>
      </c>
      <c r="AG980" s="14">
        <f ca="1">IFERROR(__xludf.DUMMYFUNCTION("GOOGLEFINANCE(""BOM:"" &amp; AC980,""price"")"),3.8)</f>
        <v>3.8</v>
      </c>
      <c r="AH980" s="14">
        <f t="shared" ca="1" si="341"/>
        <v>-26.070038910505833</v>
      </c>
      <c r="AI980" s="29">
        <f t="shared" si="342"/>
        <v>113141680</v>
      </c>
      <c r="AJ980" s="30">
        <f t="shared" ca="1" si="343"/>
        <v>83645600</v>
      </c>
    </row>
    <row r="981" spans="1:36" x14ac:dyDescent="0.25">
      <c r="A981" s="63"/>
      <c r="B981" s="8">
        <v>543247</v>
      </c>
      <c r="C981" s="8" t="s">
        <v>4104</v>
      </c>
      <c r="D981" s="12">
        <v>3200010</v>
      </c>
      <c r="E981" s="8">
        <v>31.5</v>
      </c>
      <c r="F981" s="8">
        <f ca="1">IFERROR(__xludf.DUMMYFUNCTION("GOOGLEFINANCE(""BOM:"" &amp; B981,""price"")"),31.5)</f>
        <v>31.5</v>
      </c>
      <c r="G981" s="8">
        <f t="shared" ca="1" si="344"/>
        <v>0</v>
      </c>
      <c r="H981" s="12">
        <f t="shared" si="345"/>
        <v>100800315</v>
      </c>
      <c r="I981" s="13">
        <f t="shared" ca="1" si="346"/>
        <v>100800315</v>
      </c>
      <c r="J981" s="63"/>
      <c r="K981" s="8">
        <v>501831</v>
      </c>
      <c r="L981" s="8" t="s">
        <v>4105</v>
      </c>
      <c r="M981" s="12">
        <v>10614863</v>
      </c>
      <c r="N981" s="10">
        <v>284.8</v>
      </c>
      <c r="O981" s="10">
        <f ca="1">IFERROR(__xludf.DUMMYFUNCTION("GOOGLEFINANCE(""BOM:"" &amp; K981,""price"")"),236.5)</f>
        <v>236.5</v>
      </c>
      <c r="P981" s="8">
        <f t="shared" ca="1" si="347"/>
        <v>-16.959269662921354</v>
      </c>
      <c r="Q981" s="12">
        <f t="shared" si="339"/>
        <v>3023112982.4000001</v>
      </c>
      <c r="R981" s="13">
        <f t="shared" ca="1" si="340"/>
        <v>2510415099.5</v>
      </c>
      <c r="S981" s="64"/>
      <c r="T981" s="14">
        <v>526725</v>
      </c>
      <c r="U981" s="14" t="s">
        <v>4106</v>
      </c>
      <c r="V981" s="15">
        <v>7508019</v>
      </c>
      <c r="W981" s="14">
        <v>1298.95</v>
      </c>
      <c r="X981" s="26">
        <f ca="1">IFERROR(__xludf.DUMMYFUNCTION("GOOGLEFINANCE(""BOM:"" &amp; T981,""price"")"),1173.45)</f>
        <v>1173.45</v>
      </c>
      <c r="Y981" s="14">
        <f t="shared" ca="1" si="332"/>
        <v>-9.6616497940644361</v>
      </c>
      <c r="Z981" s="15">
        <f t="shared" si="333"/>
        <v>9752541280.0500011</v>
      </c>
      <c r="AA981" s="15">
        <f t="shared" ca="1" si="334"/>
        <v>8810284895.5500011</v>
      </c>
      <c r="AB981" s="31" t="s">
        <v>4107</v>
      </c>
      <c r="AC981" s="28">
        <v>543578</v>
      </c>
      <c r="AD981" s="28" t="s">
        <v>4108</v>
      </c>
      <c r="AE981" s="29">
        <v>4329000</v>
      </c>
      <c r="AF981" s="14">
        <v>162</v>
      </c>
      <c r="AG981" s="14">
        <f ca="1">IFERROR(__xludf.DUMMYFUNCTION("GOOGLEFINANCE(""BOM:"" &amp; AC981,""price"")"),144.35)</f>
        <v>144.35</v>
      </c>
      <c r="AH981" s="14">
        <f t="shared" ca="1" si="341"/>
        <v>-10.895061728395065</v>
      </c>
      <c r="AI981" s="29">
        <f t="shared" si="342"/>
        <v>701298000</v>
      </c>
      <c r="AJ981" s="30">
        <f t="shared" ca="1" si="343"/>
        <v>624891150</v>
      </c>
    </row>
    <row r="982" spans="1:36" x14ac:dyDescent="0.25">
      <c r="A982" s="63"/>
      <c r="B982" s="8">
        <v>531512</v>
      </c>
      <c r="C982" s="8" t="s">
        <v>4109</v>
      </c>
      <c r="D982" s="12">
        <v>10866900</v>
      </c>
      <c r="E982" s="8">
        <v>8.67</v>
      </c>
      <c r="F982" s="8">
        <f ca="1">IFERROR(__xludf.DUMMYFUNCTION("GOOGLEFINANCE(""BOM:"" &amp; B982,""price"")"),7.59)</f>
        <v>7.59</v>
      </c>
      <c r="G982" s="8">
        <f t="shared" ca="1" si="344"/>
        <v>-12.456747404844291</v>
      </c>
      <c r="H982" s="12">
        <f t="shared" si="345"/>
        <v>94216023</v>
      </c>
      <c r="I982" s="13">
        <f t="shared" ca="1" si="346"/>
        <v>82479771</v>
      </c>
      <c r="J982" s="63"/>
      <c r="K982" s="8">
        <v>524614</v>
      </c>
      <c r="L982" s="8" t="s">
        <v>4110</v>
      </c>
      <c r="M982" s="12">
        <v>28833830</v>
      </c>
      <c r="N982" s="10">
        <v>9</v>
      </c>
      <c r="O982" s="10">
        <f ca="1">IFERROR(__xludf.DUMMYFUNCTION("GOOGLEFINANCE(""BOM:"" &amp; K982,""price"")"),8.21)</f>
        <v>8.2100000000000009</v>
      </c>
      <c r="P982" s="8">
        <f t="shared" ca="1" si="347"/>
        <v>-8.7777777777777679</v>
      </c>
      <c r="Q982" s="12">
        <f t="shared" si="339"/>
        <v>259504470</v>
      </c>
      <c r="R982" s="13">
        <f t="shared" ca="1" si="340"/>
        <v>236725744.30000001</v>
      </c>
      <c r="S982" s="62" t="s">
        <v>4111</v>
      </c>
      <c r="T982" s="6">
        <v>509069</v>
      </c>
      <c r="U982" s="6" t="s">
        <v>4112</v>
      </c>
      <c r="V982" s="7">
        <v>49784269</v>
      </c>
      <c r="W982" s="8">
        <v>5.94</v>
      </c>
      <c r="X982" s="11">
        <f ca="1">IFERROR(__xludf.DUMMYFUNCTION("GOOGLEFINANCE(""BOM:"" &amp; T982,""price"")"),7.37)</f>
        <v>7.37</v>
      </c>
      <c r="Y982" s="8">
        <f t="shared" ca="1" si="332"/>
        <v>24.074074074074066</v>
      </c>
      <c r="Z982" s="7">
        <f t="shared" si="333"/>
        <v>295718557.86000001</v>
      </c>
      <c r="AA982" s="9">
        <f t="shared" ca="1" si="334"/>
        <v>366910062.53000003</v>
      </c>
      <c r="AB982" s="31" t="s">
        <v>4113</v>
      </c>
      <c r="AC982" s="28">
        <v>543596</v>
      </c>
      <c r="AD982" s="28" t="s">
        <v>4114</v>
      </c>
      <c r="AE982" s="29">
        <v>78693891</v>
      </c>
      <c r="AF982" s="14">
        <v>485</v>
      </c>
      <c r="AG982" s="14">
        <f ca="1">IFERROR(__xludf.DUMMYFUNCTION("GOOGLEFINANCE(""BOM:"" &amp; AC982,""price"")"),476)</f>
        <v>476</v>
      </c>
      <c r="AH982" s="14">
        <f t="shared" ca="1" si="341"/>
        <v>-1.8556701030927836</v>
      </c>
      <c r="AI982" s="29">
        <f t="shared" si="342"/>
        <v>38166537135</v>
      </c>
      <c r="AJ982" s="30">
        <f t="shared" ca="1" si="343"/>
        <v>37458292116</v>
      </c>
    </row>
    <row r="983" spans="1:36" x14ac:dyDescent="0.25">
      <c r="A983" s="63"/>
      <c r="B983" s="8">
        <v>532350</v>
      </c>
      <c r="C983" s="8" t="s">
        <v>4115</v>
      </c>
      <c r="D983" s="12">
        <v>13702599</v>
      </c>
      <c r="E983" s="8">
        <v>3.22</v>
      </c>
      <c r="F983" s="8">
        <f ca="1">IFERROR(__xludf.DUMMYFUNCTION("GOOGLEFINANCE(""BOM:"" &amp; B983,""price"")"),2.7)</f>
        <v>2.7</v>
      </c>
      <c r="G983" s="8">
        <f t="shared" ca="1" si="344"/>
        <v>-16.149068322981368</v>
      </c>
      <c r="H983" s="12">
        <f t="shared" si="345"/>
        <v>44122368.780000001</v>
      </c>
      <c r="I983" s="13">
        <f t="shared" ca="1" si="346"/>
        <v>36997017.300000004</v>
      </c>
      <c r="J983" s="63"/>
      <c r="K983" s="8">
        <v>543286</v>
      </c>
      <c r="L983" s="8" t="s">
        <v>4116</v>
      </c>
      <c r="M983" s="12">
        <v>5992900</v>
      </c>
      <c r="N983" s="10">
        <v>17.399999999999999</v>
      </c>
      <c r="O983" s="10">
        <f ca="1">IFERROR(__xludf.DUMMYFUNCTION("GOOGLEFINANCE(""BOM:"" &amp; K983,""price"")"),15)</f>
        <v>15</v>
      </c>
      <c r="P983" s="8">
        <f t="shared" ca="1" si="347"/>
        <v>-13.793103448275856</v>
      </c>
      <c r="Q983" s="12">
        <f t="shared" si="339"/>
        <v>104276459.99999999</v>
      </c>
      <c r="R983" s="13">
        <f t="shared" ca="1" si="340"/>
        <v>89893500</v>
      </c>
      <c r="S983" s="63"/>
      <c r="T983" s="8">
        <v>530787</v>
      </c>
      <c r="U983" s="8" t="s">
        <v>4117</v>
      </c>
      <c r="V983" s="12">
        <v>4757340</v>
      </c>
      <c r="W983" s="8">
        <v>33.049999999999997</v>
      </c>
      <c r="X983" s="11">
        <f ca="1">IFERROR(__xludf.DUMMYFUNCTION("GOOGLEFINANCE(""BOM:"" &amp; T983,""price"")"),46.27)</f>
        <v>46.27</v>
      </c>
      <c r="Y983" s="8">
        <f t="shared" ca="1" si="332"/>
        <v>40.000000000000021</v>
      </c>
      <c r="Z983" s="12">
        <f t="shared" si="333"/>
        <v>157230087</v>
      </c>
      <c r="AA983" s="13">
        <f t="shared" ca="1" si="334"/>
        <v>220122121.80000001</v>
      </c>
      <c r="AB983" s="31" t="s">
        <v>4118</v>
      </c>
      <c r="AC983" s="28">
        <v>543600</v>
      </c>
      <c r="AD983" s="28" t="s">
        <v>4119</v>
      </c>
      <c r="AE983" s="29">
        <v>91044105</v>
      </c>
      <c r="AF983" s="14">
        <v>406.2</v>
      </c>
      <c r="AG983" s="14">
        <f ca="1">IFERROR(__xludf.DUMMYFUNCTION("GOOGLEFINANCE(""BOM:"" &amp; AC983,""price"")"),400.5)</f>
        <v>400.5</v>
      </c>
      <c r="AH983" s="14">
        <f t="shared" ca="1" si="341"/>
        <v>-1.4032496307237785</v>
      </c>
      <c r="AI983" s="29">
        <f t="shared" si="342"/>
        <v>36982115451</v>
      </c>
      <c r="AJ983" s="30">
        <f t="shared" ca="1" si="343"/>
        <v>36463164052.5</v>
      </c>
    </row>
    <row r="984" spans="1:36" x14ac:dyDescent="0.25">
      <c r="A984" s="63"/>
      <c r="B984" s="8">
        <v>539469</v>
      </c>
      <c r="C984" s="8" t="s">
        <v>4120</v>
      </c>
      <c r="D984" s="12">
        <v>12353850</v>
      </c>
      <c r="E984" s="8">
        <v>940</v>
      </c>
      <c r="F984" s="8">
        <f ca="1">IFERROR(__xludf.DUMMYFUNCTION("GOOGLEFINANCE(""BOM:"" &amp; B984,""price"")"),852)</f>
        <v>852</v>
      </c>
      <c r="G984" s="8">
        <f t="shared" ca="1" si="344"/>
        <v>-9.3617021276595747</v>
      </c>
      <c r="H984" s="12">
        <f t="shared" si="345"/>
        <v>11612619000</v>
      </c>
      <c r="I984" s="13">
        <f t="shared" ca="1" si="346"/>
        <v>10525480200</v>
      </c>
      <c r="J984" s="63"/>
      <c r="K984" s="8">
        <v>507474</v>
      </c>
      <c r="L984" s="8" t="s">
        <v>4121</v>
      </c>
      <c r="M984" s="12">
        <v>14025785</v>
      </c>
      <c r="N984" s="10">
        <v>77.349999999999994</v>
      </c>
      <c r="O984" s="10">
        <f ca="1">IFERROR(__xludf.DUMMYFUNCTION("GOOGLEFINANCE(""BOM:"" &amp; K984,""price"")"),73)</f>
        <v>73</v>
      </c>
      <c r="P984" s="8">
        <f t="shared" ca="1" si="347"/>
        <v>-5.6237879767291465</v>
      </c>
      <c r="Q984" s="12">
        <f t="shared" si="339"/>
        <v>1084894469.75</v>
      </c>
      <c r="R984" s="13">
        <f t="shared" ca="1" si="340"/>
        <v>1023882305</v>
      </c>
      <c r="S984" s="63"/>
      <c r="T984" s="8">
        <v>531413</v>
      </c>
      <c r="U984" s="8" t="s">
        <v>4122</v>
      </c>
      <c r="V984" s="12">
        <v>4705574</v>
      </c>
      <c r="W984" s="8">
        <v>10.79</v>
      </c>
      <c r="X984" s="11">
        <f ca="1">IFERROR(__xludf.DUMMYFUNCTION("GOOGLEFINANCE(""BOM:"" &amp; T984,""price"")"),8.87)</f>
        <v>8.8699999999999992</v>
      </c>
      <c r="Y984" s="8">
        <f t="shared" ca="1" si="332"/>
        <v>-17.794253938832252</v>
      </c>
      <c r="Z984" s="12">
        <f t="shared" si="333"/>
        <v>50773143.459999993</v>
      </c>
      <c r="AA984" s="13">
        <f t="shared" ca="1" si="334"/>
        <v>41738441.379999995</v>
      </c>
      <c r="AB984" s="31" t="s">
        <v>4123</v>
      </c>
      <c r="AC984" s="28">
        <v>543590</v>
      </c>
      <c r="AD984" s="28" t="s">
        <v>4124</v>
      </c>
      <c r="AE984" s="29">
        <v>796875000</v>
      </c>
      <c r="AF984" s="14">
        <v>8.81</v>
      </c>
      <c r="AG984" s="14">
        <f ca="1">IFERROR(__xludf.DUMMYFUNCTION("GOOGLEFINANCE(""BOM:"" &amp; AC984,""price"")"),8.5)</f>
        <v>8.5</v>
      </c>
      <c r="AH984" s="14">
        <f t="shared" ca="1" si="341"/>
        <v>-3.5187287173666344</v>
      </c>
      <c r="AI984" s="29">
        <f t="shared" si="342"/>
        <v>7020468750</v>
      </c>
      <c r="AJ984" s="30">
        <f t="shared" ca="1" si="343"/>
        <v>6773437500</v>
      </c>
    </row>
    <row r="985" spans="1:36" x14ac:dyDescent="0.25">
      <c r="A985" s="63"/>
      <c r="B985" s="8">
        <v>532748</v>
      </c>
      <c r="C985" s="8" t="s">
        <v>4125</v>
      </c>
      <c r="D985" s="12">
        <v>299536624</v>
      </c>
      <c r="E985" s="8">
        <v>112</v>
      </c>
      <c r="F985" s="8">
        <f ca="1">IFERROR(__xludf.DUMMYFUNCTION("GOOGLEFINANCE(""BOM:"" &amp; B985,""price"")"),98.2)</f>
        <v>98.2</v>
      </c>
      <c r="G985" s="8">
        <f t="shared" ca="1" si="344"/>
        <v>-12.321428571428569</v>
      </c>
      <c r="H985" s="12">
        <f t="shared" si="345"/>
        <v>33548101888</v>
      </c>
      <c r="I985" s="13">
        <f t="shared" ca="1" si="346"/>
        <v>29414496476.799999</v>
      </c>
      <c r="J985" s="63"/>
      <c r="K985" s="8">
        <v>507598</v>
      </c>
      <c r="L985" s="8" t="s">
        <v>4126</v>
      </c>
      <c r="M985" s="12">
        <v>5419516</v>
      </c>
      <c r="N985" s="10">
        <v>222.1</v>
      </c>
      <c r="O985" s="10">
        <f ca="1">IFERROR(__xludf.DUMMYFUNCTION("GOOGLEFINANCE(""BOM:"" &amp; K985,""price"")"),193.5)</f>
        <v>193.5</v>
      </c>
      <c r="P985" s="8">
        <f t="shared" ca="1" si="347"/>
        <v>-12.877082395317421</v>
      </c>
      <c r="Q985" s="12">
        <f t="shared" si="339"/>
        <v>1203674503.5999999</v>
      </c>
      <c r="R985" s="13">
        <f t="shared" ca="1" si="340"/>
        <v>1048676346</v>
      </c>
      <c r="S985" s="63"/>
      <c r="T985" s="8">
        <v>508989</v>
      </c>
      <c r="U985" s="8" t="s">
        <v>4127</v>
      </c>
      <c r="V985" s="12">
        <v>222174694</v>
      </c>
      <c r="W985" s="8">
        <v>150.44999999999999</v>
      </c>
      <c r="X985" s="11">
        <f ca="1">IFERROR(__xludf.DUMMYFUNCTION("GOOGLEFINANCE(""BOM:"" &amp; T985,""price"")"),137.75)</f>
        <v>137.75</v>
      </c>
      <c r="Y985" s="8">
        <f t="shared" ca="1" si="332"/>
        <v>-8.4413426387504078</v>
      </c>
      <c r="Z985" s="12">
        <f t="shared" si="333"/>
        <v>33426182712.299999</v>
      </c>
      <c r="AA985" s="13">
        <f t="shared" ca="1" si="334"/>
        <v>30604564098.5</v>
      </c>
      <c r="AB985" s="31" t="s">
        <v>4128</v>
      </c>
      <c r="AC985" s="28">
        <v>543591</v>
      </c>
      <c r="AD985" s="28" t="s">
        <v>4129</v>
      </c>
      <c r="AE985" s="29">
        <v>52250000</v>
      </c>
      <c r="AF985" s="14">
        <v>525.95000000000005</v>
      </c>
      <c r="AG985" s="14">
        <f ca="1">IFERROR(__xludf.DUMMYFUNCTION("GOOGLEFINANCE(""BOM:"" &amp; AC985,""price"")"),488)</f>
        <v>488</v>
      </c>
      <c r="AH985" s="14">
        <f t="shared" ca="1" si="341"/>
        <v>-7.2155147827740365</v>
      </c>
      <c r="AI985" s="29">
        <f t="shared" si="342"/>
        <v>27480887500.000004</v>
      </c>
      <c r="AJ985" s="30">
        <f t="shared" ca="1" si="343"/>
        <v>25498000000</v>
      </c>
    </row>
    <row r="986" spans="1:36" x14ac:dyDescent="0.25">
      <c r="A986" s="63"/>
      <c r="B986" s="8">
        <v>532387</v>
      </c>
      <c r="C986" s="8" t="s">
        <v>4130</v>
      </c>
      <c r="D986" s="12">
        <v>14462820</v>
      </c>
      <c r="E986" s="8">
        <v>61.8</v>
      </c>
      <c r="F986" s="8">
        <f ca="1">IFERROR(__xludf.DUMMYFUNCTION("GOOGLEFINANCE(""BOM:"" &amp; B986,""price"")"),53.25)</f>
        <v>53.25</v>
      </c>
      <c r="G986" s="8">
        <f t="shared" ca="1" si="344"/>
        <v>-13.834951456310677</v>
      </c>
      <c r="H986" s="12">
        <f t="shared" si="345"/>
        <v>893802276</v>
      </c>
      <c r="I986" s="13">
        <f t="shared" ca="1" si="346"/>
        <v>770145165</v>
      </c>
      <c r="J986" s="63"/>
      <c r="K986" s="8">
        <v>500458</v>
      </c>
      <c r="L986" s="8" t="s">
        <v>4131</v>
      </c>
      <c r="M986" s="12">
        <v>9309768</v>
      </c>
      <c r="N986" s="10">
        <v>7.9</v>
      </c>
      <c r="O986" s="10">
        <f ca="1">IFERROR(__xludf.DUMMYFUNCTION("GOOGLEFINANCE(""BOM:"" &amp; K986,""price"")"),6.4)</f>
        <v>6.4</v>
      </c>
      <c r="P986" s="8">
        <f t="shared" ca="1" si="347"/>
        <v>-18.987341772151897</v>
      </c>
      <c r="Q986" s="12">
        <f t="shared" si="339"/>
        <v>73547167.200000003</v>
      </c>
      <c r="R986" s="13">
        <f t="shared" ca="1" si="340"/>
        <v>59582515.200000003</v>
      </c>
      <c r="S986" s="63"/>
      <c r="T986" s="8">
        <v>532687</v>
      </c>
      <c r="U986" s="8" t="s">
        <v>4132</v>
      </c>
      <c r="V986" s="12">
        <v>12705178</v>
      </c>
      <c r="W986" s="8">
        <v>877.4</v>
      </c>
      <c r="X986" s="11">
        <f ca="1">IFERROR(__xludf.DUMMYFUNCTION("GOOGLEFINANCE(""BOM:"" &amp; T986,""price"")"),831.25)</f>
        <v>831.25</v>
      </c>
      <c r="Y986" s="8">
        <f t="shared" ca="1" si="332"/>
        <v>-5.2598586733530865</v>
      </c>
      <c r="Z986" s="12">
        <f t="shared" si="333"/>
        <v>11147523177.199999</v>
      </c>
      <c r="AA986" s="13">
        <f t="shared" ca="1" si="334"/>
        <v>10561179212.5</v>
      </c>
      <c r="AB986" s="31" t="s">
        <v>4133</v>
      </c>
      <c r="AC986" s="28">
        <v>543597</v>
      </c>
      <c r="AD986" s="28" t="s">
        <v>4134</v>
      </c>
      <c r="AE986" s="29">
        <v>20130516</v>
      </c>
      <c r="AF986" s="14">
        <v>240.65</v>
      </c>
      <c r="AG986" s="14">
        <f ca="1">IFERROR(__xludf.DUMMYFUNCTION("GOOGLEFINANCE(""BOM:"" &amp; AC986,""price"")"),212)</f>
        <v>212</v>
      </c>
      <c r="AH986" s="14">
        <f t="shared" ca="1" si="341"/>
        <v>-11.905256596717226</v>
      </c>
      <c r="AI986" s="29">
        <f t="shared" si="342"/>
        <v>4844408675.4000006</v>
      </c>
      <c r="AJ986" s="30">
        <f t="shared" ca="1" si="343"/>
        <v>4267669392</v>
      </c>
    </row>
    <row r="987" spans="1:36" x14ac:dyDescent="0.25">
      <c r="A987" s="63"/>
      <c r="B987" s="8">
        <v>532011</v>
      </c>
      <c r="C987" s="8" t="s">
        <v>4135</v>
      </c>
      <c r="D987" s="12">
        <v>29138480</v>
      </c>
      <c r="E987" s="8">
        <v>103.25</v>
      </c>
      <c r="F987" s="8">
        <f ca="1">IFERROR(__xludf.DUMMYFUNCTION("GOOGLEFINANCE(""BOM:"" &amp; B987,""price"")"),141.3)</f>
        <v>141.30000000000001</v>
      </c>
      <c r="G987" s="8">
        <f t="shared" ca="1" si="344"/>
        <v>36.852300242130767</v>
      </c>
      <c r="H987" s="12">
        <f t="shared" si="345"/>
        <v>3008548060</v>
      </c>
      <c r="I987" s="13">
        <f t="shared" ca="1" si="346"/>
        <v>4117267224.0000005</v>
      </c>
      <c r="J987" s="63"/>
      <c r="K987" s="8">
        <v>541974</v>
      </c>
      <c r="L987" s="8" t="s">
        <v>4136</v>
      </c>
      <c r="M987" s="12">
        <v>59595550</v>
      </c>
      <c r="N987" s="10">
        <v>414</v>
      </c>
      <c r="O987" s="10">
        <f ca="1">IFERROR(__xludf.DUMMYFUNCTION("GOOGLEFINANCE(""BOM:"" &amp; K987,""price"")"),397.5)</f>
        <v>397.5</v>
      </c>
      <c r="P987" s="8">
        <f t="shared" ca="1" si="347"/>
        <v>-3.9855072463768111</v>
      </c>
      <c r="Q987" s="12">
        <f t="shared" si="339"/>
        <v>24672557700</v>
      </c>
      <c r="R987" s="13">
        <f t="shared" ca="1" si="340"/>
        <v>23689231125</v>
      </c>
      <c r="S987" s="63"/>
      <c r="T987" s="8">
        <v>540497</v>
      </c>
      <c r="U987" s="8" t="s">
        <v>4137</v>
      </c>
      <c r="V987" s="12">
        <v>35043336</v>
      </c>
      <c r="W987" s="8">
        <v>265.8</v>
      </c>
      <c r="X987" s="11">
        <f ca="1">IFERROR(__xludf.DUMMYFUNCTION("GOOGLEFINANCE(""BOM:"" &amp; T987,""price"")"),233.6)</f>
        <v>233.6</v>
      </c>
      <c r="Y987" s="8">
        <f t="shared" ca="1" si="332"/>
        <v>-12.114371708051172</v>
      </c>
      <c r="Z987" s="12">
        <f t="shared" si="333"/>
        <v>9314518708.8000011</v>
      </c>
      <c r="AA987" s="12">
        <f t="shared" ca="1" si="334"/>
        <v>8186123289.5999994</v>
      </c>
      <c r="AB987" s="31" t="s">
        <v>1807</v>
      </c>
      <c r="AC987" s="28">
        <v>543626</v>
      </c>
      <c r="AD987" s="28" t="s">
        <v>4138</v>
      </c>
      <c r="AE987" s="29">
        <v>383076635</v>
      </c>
      <c r="AF987" s="14">
        <v>217.9</v>
      </c>
      <c r="AG987" s="14">
        <f ca="1">IFERROR(__xludf.DUMMYFUNCTION("GOOGLEFINANCE(""BOM:"" &amp; AC987,""price"")"),191)</f>
        <v>191</v>
      </c>
      <c r="AH987" s="14">
        <f t="shared" ca="1" si="341"/>
        <v>-12.345112436897661</v>
      </c>
      <c r="AI987" s="29">
        <f t="shared" si="342"/>
        <v>83472398766.5</v>
      </c>
      <c r="AJ987" s="30">
        <f t="shared" ca="1" si="343"/>
        <v>73167637285</v>
      </c>
    </row>
    <row r="988" spans="1:36" x14ac:dyDescent="0.25">
      <c r="A988" s="63"/>
      <c r="B988" s="8">
        <v>540159</v>
      </c>
      <c r="C988" s="8" t="s">
        <v>4139</v>
      </c>
      <c r="D988" s="12">
        <v>8324423</v>
      </c>
      <c r="E988" s="8">
        <v>6.51</v>
      </c>
      <c r="F988" s="8">
        <f ca="1">IFERROR(__xludf.DUMMYFUNCTION("GOOGLEFINANCE(""BOM:"" &amp; B988,""price"")"),6.12)</f>
        <v>6.12</v>
      </c>
      <c r="G988" s="8">
        <f t="shared" ca="1" si="344"/>
        <v>-5.9907834101382447</v>
      </c>
      <c r="H988" s="12">
        <f t="shared" si="345"/>
        <v>54191993.729999997</v>
      </c>
      <c r="I988" s="13">
        <f t="shared" ca="1" si="346"/>
        <v>50945468.759999998</v>
      </c>
      <c r="J988" s="63"/>
      <c r="K988" s="8">
        <v>541352</v>
      </c>
      <c r="L988" s="8" t="s">
        <v>4140</v>
      </c>
      <c r="M988" s="12">
        <v>10003700</v>
      </c>
      <c r="N988" s="10">
        <v>340.35</v>
      </c>
      <c r="O988" s="10">
        <f ca="1">IFERROR(__xludf.DUMMYFUNCTION("GOOGLEFINANCE(""BOM:"" &amp; K988,""price"")"),262.7)</f>
        <v>262.7</v>
      </c>
      <c r="P988" s="8">
        <f t="shared" ca="1" si="347"/>
        <v>-22.814749522550322</v>
      </c>
      <c r="Q988" s="12">
        <f t="shared" si="339"/>
        <v>3404759295</v>
      </c>
      <c r="R988" s="13">
        <f t="shared" ca="1" si="340"/>
        <v>2627971990</v>
      </c>
      <c r="S988" s="64"/>
      <c r="T988" s="14">
        <v>541503</v>
      </c>
      <c r="U988" s="14" t="s">
        <v>4141</v>
      </c>
      <c r="V988" s="15">
        <v>2928500</v>
      </c>
      <c r="W988" s="14">
        <v>57</v>
      </c>
      <c r="X988" s="26">
        <f ca="1">IFERROR(__xludf.DUMMYFUNCTION("GOOGLEFINANCE(""BOM:"" &amp; T988,""price"")"),52.25)</f>
        <v>52.25</v>
      </c>
      <c r="Y988" s="14">
        <f t="shared" ca="1" si="332"/>
        <v>-8.3333333333333321</v>
      </c>
      <c r="Z988" s="15">
        <f t="shared" si="333"/>
        <v>166924500</v>
      </c>
      <c r="AA988" s="16">
        <f t="shared" ca="1" si="334"/>
        <v>153014125</v>
      </c>
      <c r="AB988" s="31" t="s">
        <v>858</v>
      </c>
      <c r="AC988" s="28">
        <v>543598</v>
      </c>
      <c r="AD988" s="28" t="s">
        <v>4142</v>
      </c>
      <c r="AE988" s="29">
        <v>1798000</v>
      </c>
      <c r="AF988" s="14">
        <v>90</v>
      </c>
      <c r="AG988" s="14">
        <f ca="1">IFERROR(__xludf.DUMMYFUNCTION("GOOGLEFINANCE(""BOM:"" &amp; AC988,""price"")"),81.2)</f>
        <v>81.2</v>
      </c>
      <c r="AH988" s="14">
        <f t="shared" ca="1" si="341"/>
        <v>-9.777777777777775</v>
      </c>
      <c r="AI988" s="29">
        <f t="shared" si="342"/>
        <v>161820000</v>
      </c>
      <c r="AJ988" s="30">
        <f t="shared" ca="1" si="343"/>
        <v>145997600</v>
      </c>
    </row>
    <row r="989" spans="1:36" x14ac:dyDescent="0.25">
      <c r="A989" s="63"/>
      <c r="B989" s="8">
        <v>532689</v>
      </c>
      <c r="C989" s="8" t="s">
        <v>4143</v>
      </c>
      <c r="D989" s="12">
        <v>60996353</v>
      </c>
      <c r="E989" s="8">
        <v>1392</v>
      </c>
      <c r="F989" s="8">
        <f ca="1">IFERROR(__xludf.DUMMYFUNCTION("GOOGLEFINANCE(""BOM:"" &amp; B989,""price"")"),1320.55)</f>
        <v>1320.55</v>
      </c>
      <c r="G989" s="8">
        <f t="shared" ca="1" si="344"/>
        <v>-5.1329022988505777</v>
      </c>
      <c r="H989" s="12">
        <f t="shared" si="345"/>
        <v>84906923376</v>
      </c>
      <c r="I989" s="13">
        <f t="shared" ca="1" si="346"/>
        <v>80548733954.149994</v>
      </c>
      <c r="J989" s="63"/>
      <c r="K989" s="8">
        <v>517554</v>
      </c>
      <c r="L989" s="8" t="s">
        <v>4144</v>
      </c>
      <c r="M989" s="12">
        <v>11614299</v>
      </c>
      <c r="N989" s="10">
        <v>41.35</v>
      </c>
      <c r="O989" s="10">
        <f ca="1">IFERROR(__xludf.DUMMYFUNCTION("GOOGLEFINANCE(""BOM:"" &amp; K989,""price"")"),33.85)</f>
        <v>33.85</v>
      </c>
      <c r="P989" s="8">
        <f t="shared" ca="1" si="347"/>
        <v>-18.137847642079805</v>
      </c>
      <c r="Q989" s="12">
        <f t="shared" si="339"/>
        <v>480251263.65000004</v>
      </c>
      <c r="R989" s="13">
        <f t="shared" ca="1" si="340"/>
        <v>393144021.15000004</v>
      </c>
      <c r="S989" s="62" t="s">
        <v>4145</v>
      </c>
      <c r="T989" s="6">
        <v>532134</v>
      </c>
      <c r="U989" s="6" t="s">
        <v>4146</v>
      </c>
      <c r="V989" s="7">
        <v>5136471575</v>
      </c>
      <c r="W989" s="8">
        <v>271.10000000000002</v>
      </c>
      <c r="X989" s="11">
        <f ca="1">IFERROR(__xludf.DUMMYFUNCTION("GOOGLEFINANCE(""BOM:"" &amp; T989,""price"")"),264.2)</f>
        <v>264.2</v>
      </c>
      <c r="Y989" s="8">
        <f t="shared" ca="1" si="332"/>
        <v>-2.5451862781261649</v>
      </c>
      <c r="Z989" s="7">
        <f t="shared" si="333"/>
        <v>1392497443982.5</v>
      </c>
      <c r="AA989" s="9">
        <f t="shared" ca="1" si="334"/>
        <v>1357055790115</v>
      </c>
      <c r="AB989" s="31" t="s">
        <v>1453</v>
      </c>
      <c r="AC989" s="28">
        <v>543606</v>
      </c>
      <c r="AD989" s="28" t="s">
        <v>4147</v>
      </c>
      <c r="AE989" s="29">
        <v>6244000</v>
      </c>
      <c r="AF989" s="14">
        <v>83</v>
      </c>
      <c r="AG989" s="14">
        <f ca="1">IFERROR(__xludf.DUMMYFUNCTION("GOOGLEFINANCE(""BOM:"" &amp; AC989,""price"")"),68.9)</f>
        <v>68.900000000000006</v>
      </c>
      <c r="AH989" s="14">
        <f t="shared" ca="1" si="341"/>
        <v>-16.98795180722891</v>
      </c>
      <c r="AI989" s="29">
        <f t="shared" si="342"/>
        <v>518252000</v>
      </c>
      <c r="AJ989" s="30">
        <f t="shared" ca="1" si="343"/>
        <v>430211600.00000006</v>
      </c>
    </row>
    <row r="990" spans="1:36" x14ac:dyDescent="0.25">
      <c r="A990" s="63"/>
      <c r="B990" s="8">
        <v>535647</v>
      </c>
      <c r="C990" s="8" t="s">
        <v>4148</v>
      </c>
      <c r="D990" s="12">
        <v>6492500</v>
      </c>
      <c r="E990" s="8">
        <v>9.41</v>
      </c>
      <c r="F990" s="8">
        <f ca="1">IFERROR(__xludf.DUMMYFUNCTION("GOOGLEFINANCE(""BOM:"" &amp; B990,""price"")"),8.93)</f>
        <v>8.93</v>
      </c>
      <c r="G990" s="8">
        <f t="shared" ca="1" si="344"/>
        <v>-5.1009564293305036</v>
      </c>
      <c r="H990" s="12">
        <f t="shared" si="345"/>
        <v>61094425</v>
      </c>
      <c r="I990" s="13">
        <f t="shared" ca="1" si="346"/>
        <v>57978025</v>
      </c>
      <c r="J990" s="63"/>
      <c r="K990" s="8">
        <v>540405</v>
      </c>
      <c r="L990" s="8" t="s">
        <v>4149</v>
      </c>
      <c r="M990" s="12">
        <v>11250000</v>
      </c>
      <c r="N990" s="10" t="s">
        <v>44</v>
      </c>
      <c r="O990" s="10" t="s">
        <v>44</v>
      </c>
      <c r="P990" s="8"/>
      <c r="Q990" s="12"/>
      <c r="R990" s="13"/>
      <c r="S990" s="63"/>
      <c r="T990" s="8">
        <v>532149</v>
      </c>
      <c r="U990" s="8" t="s">
        <v>4150</v>
      </c>
      <c r="V990" s="12">
        <v>4103566070</v>
      </c>
      <c r="W990" s="8">
        <v>136.4</v>
      </c>
      <c r="X990" s="11">
        <f ca="1">IFERROR(__xludf.DUMMYFUNCTION("GOOGLEFINANCE(""BOM:"" &amp; T990,""price"")"),137)</f>
        <v>137</v>
      </c>
      <c r="Y990" s="8">
        <f t="shared" ca="1" si="332"/>
        <v>0.43988269794720986</v>
      </c>
      <c r="Z990" s="12">
        <f t="shared" si="333"/>
        <v>559726411948</v>
      </c>
      <c r="AA990" s="13">
        <f t="shared" ca="1" si="334"/>
        <v>562188551590</v>
      </c>
      <c r="AB990" s="31" t="s">
        <v>1807</v>
      </c>
      <c r="AC990" s="28">
        <v>543613</v>
      </c>
      <c r="AD990" s="28" t="s">
        <v>4151</v>
      </c>
      <c r="AE990" s="29">
        <v>4433550</v>
      </c>
      <c r="AF990" s="14">
        <v>13.45</v>
      </c>
      <c r="AG990" s="14">
        <f ca="1">IFERROR(__xludf.DUMMYFUNCTION("GOOGLEFINANCE(""BOM:"" &amp; AC990,""price"")"),12.65)</f>
        <v>12.65</v>
      </c>
      <c r="AH990" s="14">
        <f t="shared" ca="1" si="341"/>
        <v>-5.947955390334565</v>
      </c>
      <c r="AI990" s="29">
        <f t="shared" si="342"/>
        <v>59631247.5</v>
      </c>
      <c r="AJ990" s="30">
        <f t="shared" ca="1" si="343"/>
        <v>56084407.5</v>
      </c>
    </row>
    <row r="991" spans="1:36" x14ac:dyDescent="0.25">
      <c r="A991" s="63"/>
      <c r="B991" s="8">
        <v>540084</v>
      </c>
      <c r="C991" s="8" t="s">
        <v>4152</v>
      </c>
      <c r="D991" s="12">
        <v>16118750</v>
      </c>
      <c r="E991" s="8" t="s">
        <v>44</v>
      </c>
      <c r="F991" s="8" t="s">
        <v>44</v>
      </c>
      <c r="G991" s="8"/>
      <c r="H991" s="12"/>
      <c r="I991" s="13"/>
      <c r="J991" s="63"/>
      <c r="K991" s="8">
        <v>530741</v>
      </c>
      <c r="L991" s="8" t="s">
        <v>4153</v>
      </c>
      <c r="M991" s="12">
        <v>8052200</v>
      </c>
      <c r="N991" s="10">
        <v>220.35</v>
      </c>
      <c r="O991" s="10">
        <f ca="1">IFERROR(__xludf.DUMMYFUNCTION("GOOGLEFINANCE(""BOM:"" &amp; K991,""price"")"),195)</f>
        <v>195</v>
      </c>
      <c r="P991" s="8">
        <f t="shared" ref="P991:P1025" ca="1" si="348">((O991-N991)/N991)*100</f>
        <v>-11.504424778761059</v>
      </c>
      <c r="Q991" s="12">
        <f t="shared" ref="Q991:Q1025" si="349">M991*N991</f>
        <v>1774302270</v>
      </c>
      <c r="R991" s="13">
        <f t="shared" ref="R991:R1025" ca="1" si="350">M991*O991</f>
        <v>1570179000</v>
      </c>
      <c r="S991" s="63"/>
      <c r="T991" s="8">
        <v>532483</v>
      </c>
      <c r="U991" s="8" t="s">
        <v>4154</v>
      </c>
      <c r="V991" s="12">
        <v>1807150392</v>
      </c>
      <c r="W991" s="8">
        <v>578.54999999999995</v>
      </c>
      <c r="X991" s="11">
        <f ca="1">IFERROR(__xludf.DUMMYFUNCTION("GOOGLEFINANCE(""BOM:"" &amp; T991,""price"")"),581.9)</f>
        <v>581.9</v>
      </c>
      <c r="Y991" s="8">
        <f t="shared" ca="1" si="332"/>
        <v>0.57903379137499322</v>
      </c>
      <c r="Z991" s="12">
        <f t="shared" si="333"/>
        <v>1045526859291.6</v>
      </c>
      <c r="AA991" s="13">
        <f t="shared" ca="1" si="334"/>
        <v>1051580813104.7999</v>
      </c>
      <c r="AB991" s="31" t="s">
        <v>3475</v>
      </c>
      <c r="AC991" s="28">
        <v>543620</v>
      </c>
      <c r="AD991" s="28" t="s">
        <v>4155</v>
      </c>
      <c r="AE991" s="29">
        <v>20832000</v>
      </c>
      <c r="AF991" s="28">
        <v>1457.5</v>
      </c>
      <c r="AG991" s="14">
        <f ca="1">IFERROR(__xludf.DUMMYFUNCTION("GOOGLEFINANCE(""BOM:"" &amp; AC991,""price"")"),1637.9)</f>
        <v>1637.9</v>
      </c>
      <c r="AH991" s="14">
        <f t="shared" ca="1" si="341"/>
        <v>12.377358490566044</v>
      </c>
      <c r="AI991" s="29">
        <f t="shared" si="342"/>
        <v>30362640000</v>
      </c>
      <c r="AJ991" s="30">
        <f t="shared" ca="1" si="343"/>
        <v>34120732800</v>
      </c>
    </row>
    <row r="992" spans="1:36" x14ac:dyDescent="0.25">
      <c r="A992" s="63"/>
      <c r="B992" s="8">
        <v>539141</v>
      </c>
      <c r="C992" s="8" t="s">
        <v>4156</v>
      </c>
      <c r="D992" s="12">
        <v>38045271</v>
      </c>
      <c r="E992" s="8">
        <v>143.1</v>
      </c>
      <c r="F992" s="8">
        <f ca="1">IFERROR(__xludf.DUMMYFUNCTION("GOOGLEFINANCE(""BOM:"" &amp; B992,""price"")"),135.5)</f>
        <v>135.5</v>
      </c>
      <c r="G992" s="8">
        <f t="shared" ref="G992:G1037" ca="1" si="351">((F992-E992)/E992)*100</f>
        <v>-5.3109713487071941</v>
      </c>
      <c r="H992" s="12">
        <f t="shared" ref="H992:H1037" si="352">D992*E992</f>
        <v>5444278280.0999994</v>
      </c>
      <c r="I992" s="13">
        <f t="shared" ref="I992:I1037" ca="1" si="353">D992*F992</f>
        <v>5155134220.5</v>
      </c>
      <c r="J992" s="63"/>
      <c r="K992" s="8">
        <v>531265</v>
      </c>
      <c r="L992" s="8" t="s">
        <v>4157</v>
      </c>
      <c r="M992" s="12">
        <v>3127400</v>
      </c>
      <c r="N992" s="10">
        <v>16.62</v>
      </c>
      <c r="O992" s="10">
        <f ca="1">IFERROR(__xludf.DUMMYFUNCTION("GOOGLEFINANCE(""BOM:"" &amp; K992,""price"")"),16.5)</f>
        <v>16.5</v>
      </c>
      <c r="P992" s="8">
        <f t="shared" ca="1" si="348"/>
        <v>-0.72202166064982543</v>
      </c>
      <c r="Q992" s="12">
        <f t="shared" si="349"/>
        <v>51977388</v>
      </c>
      <c r="R992" s="13">
        <f t="shared" ca="1" si="350"/>
        <v>51602100</v>
      </c>
      <c r="S992" s="63"/>
      <c r="T992" s="8">
        <v>532885</v>
      </c>
      <c r="U992" s="8" t="s">
        <v>4158</v>
      </c>
      <c r="V992" s="12">
        <v>8680788006</v>
      </c>
      <c r="W992" s="8">
        <v>63.28</v>
      </c>
      <c r="X992" s="11">
        <f ca="1">IFERROR(__xludf.DUMMYFUNCTION("GOOGLEFINANCE(""BOM:"" &amp; T992,""price"")"),59.78)</f>
        <v>59.78</v>
      </c>
      <c r="Y992" s="8">
        <f t="shared" ca="1" si="332"/>
        <v>-5.5309734513274336</v>
      </c>
      <c r="Z992" s="12">
        <f t="shared" si="333"/>
        <v>549320265019.67999</v>
      </c>
      <c r="AA992" s="13">
        <f t="shared" ca="1" si="334"/>
        <v>518937506998.67999</v>
      </c>
      <c r="AB992" s="31" t="s">
        <v>4053</v>
      </c>
      <c r="AC992" s="28">
        <v>543595</v>
      </c>
      <c r="AD992" s="28" t="s">
        <v>4159</v>
      </c>
      <c r="AE992" s="29">
        <v>543595</v>
      </c>
      <c r="AF992" s="28">
        <v>180.95</v>
      </c>
      <c r="AG992" s="28">
        <f ca="1">IFERROR(__xludf.DUMMYFUNCTION("GOOGLEFINANCE(""BOM:"" &amp; AC992,""price"")"),137.15)</f>
        <v>137.15</v>
      </c>
      <c r="AH992" s="14">
        <f t="shared" ca="1" si="341"/>
        <v>-24.205581652390155</v>
      </c>
      <c r="AI992" s="29">
        <f t="shared" si="342"/>
        <v>98363515.25</v>
      </c>
      <c r="AJ992" s="30">
        <f t="shared" ca="1" si="343"/>
        <v>74554054.25</v>
      </c>
    </row>
    <row r="993" spans="1:36" x14ac:dyDescent="0.25">
      <c r="A993" s="63"/>
      <c r="B993" s="8">
        <v>531668</v>
      </c>
      <c r="C993" s="8" t="s">
        <v>4160</v>
      </c>
      <c r="D993" s="12">
        <v>19415458</v>
      </c>
      <c r="E993" s="8">
        <v>4.25</v>
      </c>
      <c r="F993" s="8">
        <f ca="1">IFERROR(__xludf.DUMMYFUNCTION("GOOGLEFINANCE(""BOM:"" &amp; B993,""price"")"),4.04)</f>
        <v>4.04</v>
      </c>
      <c r="G993" s="8">
        <f t="shared" ca="1" si="351"/>
        <v>-4.9411764705882346</v>
      </c>
      <c r="H993" s="12">
        <f t="shared" si="352"/>
        <v>82515696.5</v>
      </c>
      <c r="I993" s="13">
        <f t="shared" ca="1" si="353"/>
        <v>78438450.320000008</v>
      </c>
      <c r="J993" s="63"/>
      <c r="K993" s="8">
        <v>530461</v>
      </c>
      <c r="L993" s="8" t="s">
        <v>4161</v>
      </c>
      <c r="M993" s="12">
        <v>23750065</v>
      </c>
      <c r="N993" s="10">
        <v>18.64</v>
      </c>
      <c r="O993" s="10">
        <f ca="1">IFERROR(__xludf.DUMMYFUNCTION("GOOGLEFINANCE(""BOM:"" &amp; K993,""price"")"),18.35)</f>
        <v>18.350000000000001</v>
      </c>
      <c r="P993" s="8">
        <f t="shared" ca="1" si="348"/>
        <v>-1.5557939914163044</v>
      </c>
      <c r="Q993" s="12">
        <f t="shared" si="349"/>
        <v>442701211.60000002</v>
      </c>
      <c r="R993" s="13">
        <f t="shared" ca="1" si="350"/>
        <v>435813692.75000006</v>
      </c>
      <c r="S993" s="63"/>
      <c r="T993" s="8">
        <v>532814</v>
      </c>
      <c r="U993" s="8" t="s">
        <v>4162</v>
      </c>
      <c r="V993" s="12">
        <v>1243959518</v>
      </c>
      <c r="W993" s="8">
        <v>525.65</v>
      </c>
      <c r="X993" s="11">
        <f ca="1">IFERROR(__xludf.DUMMYFUNCTION("GOOGLEFINANCE(""BOM:"" &amp; T993,""price"")"),521.3)</f>
        <v>521.29999999999995</v>
      </c>
      <c r="Y993" s="8">
        <f t="shared" ca="1" si="332"/>
        <v>-0.8275468467611572</v>
      </c>
      <c r="Z993" s="12">
        <f t="shared" si="333"/>
        <v>653887320636.69995</v>
      </c>
      <c r="AA993" s="13">
        <f t="shared" ca="1" si="334"/>
        <v>648476096733.3999</v>
      </c>
      <c r="AB993" s="31" t="s">
        <v>1760</v>
      </c>
      <c r="AC993" s="28">
        <v>543622</v>
      </c>
      <c r="AD993" s="28" t="s">
        <v>4163</v>
      </c>
      <c r="AE993" s="29">
        <v>9676200</v>
      </c>
      <c r="AF993" s="28">
        <v>152.9</v>
      </c>
      <c r="AG993" s="28">
        <f ca="1">IFERROR(__xludf.DUMMYFUNCTION("GOOGLEFINANCE(""BOM:"" &amp; AC993,""price"")"),126.1)</f>
        <v>126.1</v>
      </c>
      <c r="AH993" s="14">
        <f t="shared" ca="1" si="341"/>
        <v>-17.527795945062138</v>
      </c>
      <c r="AI993" s="29">
        <f t="shared" si="342"/>
        <v>1479490980</v>
      </c>
      <c r="AJ993" s="30">
        <f t="shared" ca="1" si="343"/>
        <v>1220168820</v>
      </c>
    </row>
    <row r="994" spans="1:36" x14ac:dyDescent="0.25">
      <c r="A994" s="64"/>
      <c r="B994" s="14">
        <v>542654</v>
      </c>
      <c r="C994" s="14" t="s">
        <v>4164</v>
      </c>
      <c r="D994" s="15">
        <v>10976000</v>
      </c>
      <c r="E994" s="8">
        <v>31.8</v>
      </c>
      <c r="F994" s="8">
        <f ca="1">IFERROR(__xludf.DUMMYFUNCTION("GOOGLEFINANCE(""BOM:"" &amp; B994,""price"")"),22.8)</f>
        <v>22.8</v>
      </c>
      <c r="G994" s="14">
        <f t="shared" ca="1" si="351"/>
        <v>-28.30188679245283</v>
      </c>
      <c r="H994" s="15">
        <f t="shared" si="352"/>
        <v>349036800</v>
      </c>
      <c r="I994" s="16">
        <f t="shared" ca="1" si="353"/>
        <v>250252800</v>
      </c>
      <c r="J994" s="63"/>
      <c r="K994" s="8">
        <v>519260</v>
      </c>
      <c r="L994" s="8" t="s">
        <v>4165</v>
      </c>
      <c r="M994" s="12">
        <v>709725221</v>
      </c>
      <c r="N994" s="10">
        <v>0.49</v>
      </c>
      <c r="O994" s="10">
        <f ca="1">IFERROR(__xludf.DUMMYFUNCTION("GOOGLEFINANCE(""BOM:"" &amp; K994,""price"")"),0.49)</f>
        <v>0.49</v>
      </c>
      <c r="P994" s="8">
        <f t="shared" ca="1" si="348"/>
        <v>0</v>
      </c>
      <c r="Q994" s="12">
        <f t="shared" si="349"/>
        <v>347765358.29000002</v>
      </c>
      <c r="R994" s="13">
        <f t="shared" ca="1" si="350"/>
        <v>347765358.29000002</v>
      </c>
      <c r="S994" s="63"/>
      <c r="T994" s="8">
        <v>532388</v>
      </c>
      <c r="U994" s="8" t="s">
        <v>4166</v>
      </c>
      <c r="V994" s="12">
        <v>18876394798</v>
      </c>
      <c r="W994" s="8">
        <v>64.64</v>
      </c>
      <c r="X994" s="11">
        <f ca="1">IFERROR(__xludf.DUMMYFUNCTION("GOOGLEFINANCE(""BOM:"" &amp; T994,""price"")"),59.98)</f>
        <v>59.98</v>
      </c>
      <c r="Y994" s="8">
        <f t="shared" ca="1" si="332"/>
        <v>-7.2091584158415891</v>
      </c>
      <c r="Z994" s="12">
        <f t="shared" si="333"/>
        <v>1220170159742.72</v>
      </c>
      <c r="AA994" s="13">
        <f t="shared" ca="1" si="334"/>
        <v>1132206159984.04</v>
      </c>
      <c r="AB994" s="31" t="s">
        <v>15</v>
      </c>
      <c r="AC994" s="28">
        <v>543616</v>
      </c>
      <c r="AD994" s="28" t="s">
        <v>4167</v>
      </c>
      <c r="AE994" s="29">
        <v>11499200</v>
      </c>
      <c r="AF994" s="28">
        <v>184</v>
      </c>
      <c r="AG994" s="28">
        <f ca="1">IFERROR(__xludf.DUMMYFUNCTION("GOOGLEFINANCE(""BOM:"" &amp; AC994,""price"")"),163.9)</f>
        <v>163.9</v>
      </c>
      <c r="AH994" s="14">
        <f t="shared" ca="1" si="341"/>
        <v>-10.923913043478258</v>
      </c>
      <c r="AI994" s="29">
        <f t="shared" si="342"/>
        <v>2115852800</v>
      </c>
      <c r="AJ994" s="30">
        <f t="shared" ca="1" si="343"/>
        <v>1884718880</v>
      </c>
    </row>
    <row r="995" spans="1:36" x14ac:dyDescent="0.25">
      <c r="A995" s="62" t="s">
        <v>4168</v>
      </c>
      <c r="B995" s="6">
        <v>543415</v>
      </c>
      <c r="C995" s="6" t="s">
        <v>4169</v>
      </c>
      <c r="D995" s="7">
        <v>41616226</v>
      </c>
      <c r="E995" s="6">
        <v>3680</v>
      </c>
      <c r="F995" s="6">
        <f ca="1">IFERROR(__xludf.DUMMYFUNCTION("GOOGLEFINANCE(""BOM:"" &amp; B995,""price"")"),3720)</f>
        <v>3720</v>
      </c>
      <c r="G995" s="8">
        <f t="shared" ca="1" si="351"/>
        <v>1.0869565217391304</v>
      </c>
      <c r="H995" s="7">
        <f t="shared" si="352"/>
        <v>153147711680</v>
      </c>
      <c r="I995" s="9">
        <f t="shared" ca="1" si="353"/>
        <v>154812360720</v>
      </c>
      <c r="J995" s="63"/>
      <c r="K995" s="8">
        <v>532143</v>
      </c>
      <c r="L995" s="8" t="s">
        <v>4170</v>
      </c>
      <c r="M995" s="12">
        <v>23844933</v>
      </c>
      <c r="N995" s="10">
        <v>255.8</v>
      </c>
      <c r="O995" s="10">
        <f ca="1">IFERROR(__xludf.DUMMYFUNCTION("GOOGLEFINANCE(""BOM:"" &amp; K995,""price"")"),213.75)</f>
        <v>213.75</v>
      </c>
      <c r="P995" s="8">
        <f t="shared" ca="1" si="348"/>
        <v>-16.438623924941364</v>
      </c>
      <c r="Q995" s="12">
        <f t="shared" si="349"/>
        <v>6099533861.4000006</v>
      </c>
      <c r="R995" s="13">
        <f t="shared" ca="1" si="350"/>
        <v>5096854428.75</v>
      </c>
      <c r="S995" s="63"/>
      <c r="T995" s="8">
        <v>532525</v>
      </c>
      <c r="U995" s="8" t="s">
        <v>4171</v>
      </c>
      <c r="V995" s="12">
        <v>6723992469</v>
      </c>
      <c r="W995" s="8">
        <v>60.73</v>
      </c>
      <c r="X995" s="11">
        <f ca="1">IFERROR(__xludf.DUMMYFUNCTION("GOOGLEFINANCE(""BOM:"" &amp; T995,""price"")"),62.29)</f>
        <v>62.29</v>
      </c>
      <c r="Y995" s="8">
        <f t="shared" ca="1" si="332"/>
        <v>2.5687469125638107</v>
      </c>
      <c r="Z995" s="12">
        <f t="shared" si="333"/>
        <v>408348062642.37</v>
      </c>
      <c r="AA995" s="13">
        <f t="shared" ca="1" si="334"/>
        <v>418837490894.01001</v>
      </c>
      <c r="AB995" s="31" t="s">
        <v>1453</v>
      </c>
      <c r="AC995" s="28">
        <v>543619</v>
      </c>
      <c r="AD995" s="28" t="s">
        <v>4172</v>
      </c>
      <c r="AE995" s="29">
        <v>5712000</v>
      </c>
      <c r="AF995" s="28">
        <v>700</v>
      </c>
      <c r="AG995" s="28">
        <f ca="1">IFERROR(__xludf.DUMMYFUNCTION("GOOGLEFINANCE(""BOM:"" &amp; AC995,""price"")"),619)</f>
        <v>619</v>
      </c>
      <c r="AH995" s="14">
        <f t="shared" ca="1" si="341"/>
        <v>-11.571428571428571</v>
      </c>
      <c r="AI995" s="29">
        <f t="shared" si="342"/>
        <v>3998400000</v>
      </c>
      <c r="AJ995" s="30">
        <f t="shared" ca="1" si="343"/>
        <v>3535728000</v>
      </c>
    </row>
    <row r="996" spans="1:36" x14ac:dyDescent="0.25">
      <c r="A996" s="64"/>
      <c r="B996" s="14">
        <v>543527</v>
      </c>
      <c r="C996" s="14" t="s">
        <v>4173</v>
      </c>
      <c r="D996" s="15">
        <v>41406680</v>
      </c>
      <c r="E996" s="14">
        <v>1333.4</v>
      </c>
      <c r="F996" s="14">
        <f ca="1">IFERROR(__xludf.DUMMYFUNCTION("GOOGLEFINANCE(""BOM:"" &amp; B996,""price"")"),1266.4)</f>
        <v>1266.4000000000001</v>
      </c>
      <c r="G996" s="14">
        <f t="shared" ca="1" si="351"/>
        <v>-5.0247487625618721</v>
      </c>
      <c r="H996" s="15">
        <f t="shared" si="352"/>
        <v>55211667112</v>
      </c>
      <c r="I996" s="16">
        <f t="shared" ca="1" si="353"/>
        <v>52437419552</v>
      </c>
      <c r="J996" s="63"/>
      <c r="K996" s="8">
        <v>524582</v>
      </c>
      <c r="L996" s="8" t="s">
        <v>4174</v>
      </c>
      <c r="M996" s="12">
        <v>5514517</v>
      </c>
      <c r="N996" s="10">
        <v>161.15</v>
      </c>
      <c r="O996" s="10">
        <f ca="1">IFERROR(__xludf.DUMMYFUNCTION("GOOGLEFINANCE(""BOM:"" &amp; K996,""price"")"),164.15)</f>
        <v>164.15</v>
      </c>
      <c r="P996" s="8">
        <f t="shared" ca="1" si="348"/>
        <v>1.8616196090598822</v>
      </c>
      <c r="Q996" s="12">
        <f t="shared" si="349"/>
        <v>888664414.55000007</v>
      </c>
      <c r="R996" s="13">
        <f t="shared" ca="1" si="350"/>
        <v>905207965.55000007</v>
      </c>
      <c r="S996" s="63"/>
      <c r="T996" s="8">
        <v>532461</v>
      </c>
      <c r="U996" s="8" t="s">
        <v>4175</v>
      </c>
      <c r="V996" s="12">
        <v>11002077044</v>
      </c>
      <c r="W996" s="8">
        <v>124.85</v>
      </c>
      <c r="X996" s="11">
        <f ca="1">IFERROR(__xludf.DUMMYFUNCTION("GOOGLEFINANCE(""BOM:"" &amp; T996,""price"")"),124.35)</f>
        <v>124.35</v>
      </c>
      <c r="Y996" s="8">
        <f t="shared" ca="1" si="332"/>
        <v>-0.40048057669203041</v>
      </c>
      <c r="Z996" s="12">
        <f t="shared" si="333"/>
        <v>1373609318943.3999</v>
      </c>
      <c r="AA996" s="13">
        <f t="shared" ca="1" si="334"/>
        <v>1368108280421.3999</v>
      </c>
      <c r="AB996" s="31" t="s">
        <v>3110</v>
      </c>
      <c r="AC996" s="28">
        <v>543618</v>
      </c>
      <c r="AD996" s="28" t="s">
        <v>4176</v>
      </c>
      <c r="AE996" s="29">
        <v>4080000</v>
      </c>
      <c r="AF996" s="28">
        <v>69.95</v>
      </c>
      <c r="AG996" s="28">
        <f ca="1">IFERROR(__xludf.DUMMYFUNCTION("GOOGLEFINANCE(""BOM:"" &amp; AC996,""price"")"),51)</f>
        <v>51</v>
      </c>
      <c r="AH996" s="14">
        <f t="shared" ca="1" si="341"/>
        <v>-27.09077912794854</v>
      </c>
      <c r="AI996" s="29">
        <f t="shared" si="342"/>
        <v>285396000</v>
      </c>
      <c r="AJ996" s="30">
        <f t="shared" ca="1" si="343"/>
        <v>208080000</v>
      </c>
    </row>
    <row r="997" spans="1:36" x14ac:dyDescent="0.25">
      <c r="A997" s="31" t="s">
        <v>4177</v>
      </c>
      <c r="B997" s="28">
        <v>543652</v>
      </c>
      <c r="C997" s="28" t="s">
        <v>4178</v>
      </c>
      <c r="D997" s="29">
        <v>100630735</v>
      </c>
      <c r="E997" s="28">
        <v>552.95000000000005</v>
      </c>
      <c r="F997" s="28">
        <f ca="1">IFERROR(__xludf.DUMMYFUNCTION("GOOGLEFINANCE(""BOM:"" &amp; B997,""price"")"),460.2)</f>
        <v>460.2</v>
      </c>
      <c r="G997" s="14">
        <f t="shared" ca="1" si="351"/>
        <v>-16.77366850528982</v>
      </c>
      <c r="H997" s="29">
        <f t="shared" si="352"/>
        <v>55643764918.250008</v>
      </c>
      <c r="I997" s="30">
        <f t="shared" ca="1" si="353"/>
        <v>46310264247</v>
      </c>
      <c r="J997" s="63"/>
      <c r="K997" s="8">
        <v>531716</v>
      </c>
      <c r="L997" s="8" t="s">
        <v>4179</v>
      </c>
      <c r="M997" s="12">
        <v>15210200</v>
      </c>
      <c r="N997" s="10">
        <v>1.55</v>
      </c>
      <c r="O997" s="10">
        <f ca="1">IFERROR(__xludf.DUMMYFUNCTION("GOOGLEFINANCE(""BOM:"" &amp; K997,""price"")"),1.11)</f>
        <v>1.1100000000000001</v>
      </c>
      <c r="P997" s="8">
        <f t="shared" ca="1" si="348"/>
        <v>-28.387096774193544</v>
      </c>
      <c r="Q997" s="12">
        <f t="shared" si="349"/>
        <v>23575810</v>
      </c>
      <c r="R997" s="13">
        <f t="shared" ca="1" si="350"/>
        <v>16883322</v>
      </c>
      <c r="S997" s="63"/>
      <c r="T997" s="8">
        <v>533295</v>
      </c>
      <c r="U997" s="8" t="s">
        <v>4180</v>
      </c>
      <c r="V997" s="12">
        <v>6777701318</v>
      </c>
      <c r="W997" s="8">
        <v>64.33</v>
      </c>
      <c r="X997" s="11">
        <f ca="1">IFERROR(__xludf.DUMMYFUNCTION("GOOGLEFINANCE(""BOM:"" &amp; T997,""price"")"),59.74)</f>
        <v>59.74</v>
      </c>
      <c r="Y997" s="8">
        <f t="shared" ca="1" si="332"/>
        <v>-7.1350847194155076</v>
      </c>
      <c r="Z997" s="12">
        <f t="shared" si="333"/>
        <v>436009525786.94</v>
      </c>
      <c r="AA997" s="13">
        <f t="shared" ca="1" si="334"/>
        <v>404899876737.32001</v>
      </c>
      <c r="AB997" s="31" t="s">
        <v>1598</v>
      </c>
      <c r="AC997" s="28">
        <v>543617</v>
      </c>
      <c r="AD997" s="28" t="s">
        <v>4181</v>
      </c>
      <c r="AE997" s="29">
        <v>4227100</v>
      </c>
      <c r="AF997" s="28">
        <v>59</v>
      </c>
      <c r="AG997" s="28">
        <f ca="1">IFERROR(__xludf.DUMMYFUNCTION("GOOGLEFINANCE(""BOM:"" &amp; AC997,""price"")"),44)</f>
        <v>44</v>
      </c>
      <c r="AH997" s="14">
        <f t="shared" ca="1" si="341"/>
        <v>-25.423728813559322</v>
      </c>
      <c r="AI997" s="29">
        <f t="shared" si="342"/>
        <v>249398900</v>
      </c>
      <c r="AJ997" s="30">
        <f t="shared" ca="1" si="343"/>
        <v>185992400</v>
      </c>
    </row>
    <row r="998" spans="1:36" x14ac:dyDescent="0.25">
      <c r="A998" s="31" t="s">
        <v>2755</v>
      </c>
      <c r="B998" s="28">
        <v>543653</v>
      </c>
      <c r="C998" s="28" t="s">
        <v>4182</v>
      </c>
      <c r="D998" s="29">
        <v>249509880</v>
      </c>
      <c r="E998" s="28">
        <v>518.35</v>
      </c>
      <c r="F998" s="28">
        <f ca="1">IFERROR(__xludf.DUMMYFUNCTION("GOOGLEFINANCE(""BOM:"" &amp; B998,""price"")"),490.3)</f>
        <v>490.3</v>
      </c>
      <c r="G998" s="14">
        <f t="shared" ca="1" si="351"/>
        <v>-5.4114015626507213</v>
      </c>
      <c r="H998" s="29">
        <f t="shared" si="352"/>
        <v>129333446298</v>
      </c>
      <c r="I998" s="30">
        <f t="shared" ca="1" si="353"/>
        <v>122334694164</v>
      </c>
      <c r="J998" s="63"/>
      <c r="K998" s="8">
        <v>538565</v>
      </c>
      <c r="L998" s="8" t="s">
        <v>4183</v>
      </c>
      <c r="M998" s="12">
        <v>3195000</v>
      </c>
      <c r="N998" s="10">
        <v>245.65</v>
      </c>
      <c r="O998" s="10">
        <f ca="1">IFERROR(__xludf.DUMMYFUNCTION("GOOGLEFINANCE(""BOM:"" &amp; K998,""price"")"),204.3)</f>
        <v>204.3</v>
      </c>
      <c r="P998" s="8">
        <f t="shared" ca="1" si="348"/>
        <v>-16.832892326480764</v>
      </c>
      <c r="Q998" s="12">
        <f t="shared" si="349"/>
        <v>784851750</v>
      </c>
      <c r="R998" s="13">
        <f t="shared" ca="1" si="350"/>
        <v>652738500</v>
      </c>
      <c r="S998" s="63"/>
      <c r="T998" s="8">
        <v>500112</v>
      </c>
      <c r="U998" s="8" t="s">
        <v>4184</v>
      </c>
      <c r="V998" s="12">
        <v>8857153512</v>
      </c>
      <c r="W998" s="8">
        <v>769.3</v>
      </c>
      <c r="X998" s="11">
        <f ca="1">IFERROR(__xludf.DUMMYFUNCTION("GOOGLEFINANCE(""BOM:"" &amp; T998,""price"")"),752.6)</f>
        <v>752.6</v>
      </c>
      <c r="Y998" s="8">
        <f t="shared" ca="1" si="332"/>
        <v>-2.1708046275835091</v>
      </c>
      <c r="Z998" s="12">
        <f t="shared" si="333"/>
        <v>6813808196781.5996</v>
      </c>
      <c r="AA998" s="13">
        <f t="shared" ca="1" si="334"/>
        <v>6665893733131.2002</v>
      </c>
      <c r="AB998" s="31" t="s">
        <v>2681</v>
      </c>
      <c r="AC998" s="28">
        <v>543615</v>
      </c>
      <c r="AD998" s="28" t="s">
        <v>4185</v>
      </c>
      <c r="AE998" s="29">
        <v>10266600</v>
      </c>
      <c r="AF998" s="28">
        <v>186.6</v>
      </c>
      <c r="AG998" s="28">
        <f ca="1">IFERROR(__xludf.DUMMYFUNCTION("GOOGLEFINANCE(""BOM:"" &amp; AC998,""price"")"),150.5)</f>
        <v>150.5</v>
      </c>
      <c r="AH998" s="14">
        <f t="shared" ca="1" si="341"/>
        <v>-19.346195069667736</v>
      </c>
      <c r="AI998" s="29">
        <f t="shared" si="342"/>
        <v>1915747560</v>
      </c>
      <c r="AJ998" s="30">
        <f t="shared" ca="1" si="343"/>
        <v>1545123300</v>
      </c>
    </row>
    <row r="999" spans="1:36" x14ac:dyDescent="0.25">
      <c r="A999" s="31" t="s">
        <v>985</v>
      </c>
      <c r="B999" s="28">
        <v>543654</v>
      </c>
      <c r="C999" s="28" t="s">
        <v>4186</v>
      </c>
      <c r="D999" s="29">
        <v>268184882</v>
      </c>
      <c r="E999" s="28">
        <v>1298.5999999999999</v>
      </c>
      <c r="F999" s="28">
        <f ca="1">IFERROR(__xludf.DUMMYFUNCTION("GOOGLEFINANCE(""BOM:"" &amp; B999,""price"")"),1323.7)</f>
        <v>1323.7</v>
      </c>
      <c r="G999" s="14">
        <f t="shared" ca="1" si="351"/>
        <v>1.9328507623594746</v>
      </c>
      <c r="H999" s="29">
        <f t="shared" si="352"/>
        <v>348264887765.19995</v>
      </c>
      <c r="I999" s="30">
        <f t="shared" ca="1" si="353"/>
        <v>354996328303.40002</v>
      </c>
      <c r="J999" s="64"/>
      <c r="K999" s="8">
        <v>523660</v>
      </c>
      <c r="L999" s="8" t="s">
        <v>4187</v>
      </c>
      <c r="M999" s="12">
        <v>40672740</v>
      </c>
      <c r="N999" s="17">
        <v>78.709999999999994</v>
      </c>
      <c r="O999" s="17">
        <f ca="1">IFERROR(__xludf.DUMMYFUNCTION("GOOGLEFINANCE(""BOM:"" &amp; K999,""price"")"),66.68)</f>
        <v>66.680000000000007</v>
      </c>
      <c r="P999" s="14">
        <f t="shared" ca="1" si="348"/>
        <v>-15.283953754287877</v>
      </c>
      <c r="Q999" s="12">
        <f t="shared" si="349"/>
        <v>3201351365.3999996</v>
      </c>
      <c r="R999" s="13">
        <f t="shared" ca="1" si="350"/>
        <v>2712058303.2000003</v>
      </c>
      <c r="S999" s="63"/>
      <c r="T999" s="8">
        <v>532505</v>
      </c>
      <c r="U999" s="8" t="s">
        <v>4188</v>
      </c>
      <c r="V999" s="12">
        <v>11945659281</v>
      </c>
      <c r="W999" s="8">
        <v>58.12</v>
      </c>
      <c r="X999" s="11">
        <f ca="1">IFERROR(__xludf.DUMMYFUNCTION("GOOGLEFINANCE(""BOM:"" &amp; T999,""price"")"),52.22)</f>
        <v>52.22</v>
      </c>
      <c r="Y999" s="8">
        <f t="shared" ca="1" si="332"/>
        <v>-10.151410874053681</v>
      </c>
      <c r="Z999" s="12">
        <f t="shared" si="333"/>
        <v>694281717411.71997</v>
      </c>
      <c r="AA999" s="13">
        <f t="shared" ca="1" si="334"/>
        <v>623802327653.81995</v>
      </c>
      <c r="AB999" s="31" t="s">
        <v>3110</v>
      </c>
      <c r="AC999" s="28">
        <v>543621</v>
      </c>
      <c r="AD999" s="28" t="s">
        <v>4189</v>
      </c>
      <c r="AE999" s="29">
        <v>10199700</v>
      </c>
      <c r="AF999" s="28">
        <v>42.5</v>
      </c>
      <c r="AG999" s="28">
        <f ca="1">IFERROR(__xludf.DUMMYFUNCTION("GOOGLEFINANCE(""BOM:"" &amp; AC999,""price"")"),30.4)</f>
        <v>30.4</v>
      </c>
      <c r="AH999" s="14">
        <f t="shared" ca="1" si="341"/>
        <v>-28.47058823529412</v>
      </c>
      <c r="AI999" s="29">
        <f t="shared" si="342"/>
        <v>433487250</v>
      </c>
      <c r="AJ999" s="30">
        <f t="shared" ca="1" si="343"/>
        <v>310070880</v>
      </c>
    </row>
    <row r="1000" spans="1:36" x14ac:dyDescent="0.25">
      <c r="A1000" s="31" t="s">
        <v>13</v>
      </c>
      <c r="B1000" s="28">
        <v>543663</v>
      </c>
      <c r="C1000" s="28" t="s">
        <v>4190</v>
      </c>
      <c r="D1000" s="29">
        <v>290515520</v>
      </c>
      <c r="E1000" s="28">
        <v>705</v>
      </c>
      <c r="F1000" s="28">
        <f ca="1">IFERROR(__xludf.DUMMYFUNCTION("GOOGLEFINANCE(""BOM:"" &amp; B1000,""price"")"),715.05)</f>
        <v>715.05</v>
      </c>
      <c r="G1000" s="14">
        <f t="shared" ca="1" si="351"/>
        <v>1.4255319148936105</v>
      </c>
      <c r="H1000" s="29">
        <f t="shared" si="352"/>
        <v>204813441600</v>
      </c>
      <c r="I1000" s="30">
        <f t="shared" ca="1" si="353"/>
        <v>207733122576</v>
      </c>
      <c r="J1000" s="31" t="s">
        <v>4191</v>
      </c>
      <c r="K1000" s="28">
        <v>543638</v>
      </c>
      <c r="L1000" s="28" t="s">
        <v>4192</v>
      </c>
      <c r="M1000" s="29">
        <v>100310185</v>
      </c>
      <c r="N1000" s="17">
        <v>98.65</v>
      </c>
      <c r="O1000" s="17">
        <f ca="1">IFERROR(__xludf.DUMMYFUNCTION("GOOGLEFINANCE(""BOM:"" &amp; K1000,""price"")"),85.9)</f>
        <v>85.9</v>
      </c>
      <c r="P1000" s="14">
        <f t="shared" ca="1" si="348"/>
        <v>-12.924480486568676</v>
      </c>
      <c r="Q1000" s="29">
        <f t="shared" si="349"/>
        <v>9895599750.25</v>
      </c>
      <c r="R1000" s="30">
        <f t="shared" ca="1" si="350"/>
        <v>8616644891.5</v>
      </c>
      <c r="S1000" s="64"/>
      <c r="T1000" s="14">
        <v>532477</v>
      </c>
      <c r="U1000" s="14" t="s">
        <v>4193</v>
      </c>
      <c r="V1000" s="15">
        <v>6818799300</v>
      </c>
      <c r="W1000" s="8">
        <v>146.69999999999999</v>
      </c>
      <c r="X1000" s="26">
        <f ca="1">IFERROR(__xludf.DUMMYFUNCTION("GOOGLEFINANCE(""BOM:"" &amp; T1000,""price"")"),153.45)</f>
        <v>153.44999999999999</v>
      </c>
      <c r="Y1000" s="14">
        <f t="shared" ca="1" si="332"/>
        <v>4.6012269938650308</v>
      </c>
      <c r="Z1000" s="15">
        <f t="shared" si="333"/>
        <v>1000317857309.9999</v>
      </c>
      <c r="AA1000" s="16">
        <f t="shared" ca="1" si="334"/>
        <v>1046344752584.9999</v>
      </c>
      <c r="AB1000" s="31" t="s">
        <v>4194</v>
      </c>
      <c r="AC1000" s="28">
        <v>543624</v>
      </c>
      <c r="AD1000" s="28" t="s">
        <v>4195</v>
      </c>
      <c r="AE1000" s="29">
        <v>225012500</v>
      </c>
      <c r="AF1000" s="28">
        <v>15.35</v>
      </c>
      <c r="AG1000" s="28">
        <f ca="1">IFERROR(__xludf.DUMMYFUNCTION("GOOGLEFINANCE(""BOM:"" &amp; AC1000,""price"")"),14.59)</f>
        <v>14.59</v>
      </c>
      <c r="AH1000" s="14">
        <f t="shared" ca="1" si="341"/>
        <v>-4.9511400651465785</v>
      </c>
      <c r="AI1000" s="29">
        <f t="shared" si="342"/>
        <v>3453941875</v>
      </c>
      <c r="AJ1000" s="30">
        <f t="shared" ca="1" si="343"/>
        <v>3282932375</v>
      </c>
    </row>
    <row r="1001" spans="1:36" x14ac:dyDescent="0.25">
      <c r="A1001" s="31" t="s">
        <v>1868</v>
      </c>
      <c r="B1001" s="28">
        <v>543657</v>
      </c>
      <c r="C1001" s="28" t="s">
        <v>4196</v>
      </c>
      <c r="D1001" s="29">
        <v>123052989</v>
      </c>
      <c r="E1001" s="28">
        <v>731.15</v>
      </c>
      <c r="F1001" s="28">
        <f ca="1">IFERROR(__xludf.DUMMYFUNCTION("GOOGLEFINANCE(""BOM:"" &amp; B1001,""price"")"),664.8)</f>
        <v>664.8</v>
      </c>
      <c r="G1001" s="14">
        <f t="shared" ca="1" si="351"/>
        <v>-9.0747452643096533</v>
      </c>
      <c r="H1001" s="29">
        <f t="shared" si="352"/>
        <v>89970192907.349991</v>
      </c>
      <c r="I1001" s="30">
        <f t="shared" ca="1" si="353"/>
        <v>81805627087.199997</v>
      </c>
      <c r="J1001" s="31" t="s">
        <v>108</v>
      </c>
      <c r="K1001" s="28">
        <v>543650</v>
      </c>
      <c r="L1001" s="28" t="s">
        <v>4197</v>
      </c>
      <c r="M1001" s="29">
        <v>96723671</v>
      </c>
      <c r="N1001" s="17">
        <v>329.85</v>
      </c>
      <c r="O1001" s="17">
        <f ca="1">IFERROR(__xludf.DUMMYFUNCTION("GOOGLEFINANCE(""BOM:"" &amp; K1001,""price"")"),294.4)</f>
        <v>294.39999999999998</v>
      </c>
      <c r="P1001" s="14">
        <f t="shared" ca="1" si="348"/>
        <v>-10.747309383052917</v>
      </c>
      <c r="Q1001" s="29">
        <f t="shared" si="349"/>
        <v>31904302879.350002</v>
      </c>
      <c r="R1001" s="30">
        <f t="shared" ca="1" si="350"/>
        <v>28475448742.399998</v>
      </c>
      <c r="S1001" s="31" t="s">
        <v>3847</v>
      </c>
      <c r="T1001" s="28">
        <v>543637</v>
      </c>
      <c r="U1001" s="28" t="s">
        <v>4198</v>
      </c>
      <c r="V1001" s="29">
        <v>22409176</v>
      </c>
      <c r="W1001" s="28">
        <v>25.16</v>
      </c>
      <c r="X1001" s="32">
        <f ca="1">IFERROR(__xludf.DUMMYFUNCTION("GOOGLEFINANCE(""BOM:"" &amp; T1001,""price"")"),16.6)</f>
        <v>16.600000000000001</v>
      </c>
      <c r="Y1001" s="14">
        <f t="shared" ca="1" si="332"/>
        <v>-34.022257551669313</v>
      </c>
      <c r="Z1001" s="29">
        <f t="shared" si="333"/>
        <v>563814868.15999997</v>
      </c>
      <c r="AA1001" s="30">
        <f t="shared" ca="1" si="334"/>
        <v>371992321.60000002</v>
      </c>
      <c r="AB1001" s="31" t="s">
        <v>4168</v>
      </c>
      <c r="AC1001" s="28">
        <v>543623</v>
      </c>
      <c r="AD1001" s="28" t="s">
        <v>4199</v>
      </c>
      <c r="AE1001" s="29">
        <v>2761600</v>
      </c>
      <c r="AF1001" s="28">
        <v>46.12</v>
      </c>
      <c r="AG1001" s="28">
        <f ca="1">IFERROR(__xludf.DUMMYFUNCTION("GOOGLEFINANCE(""BOM:"" &amp; AC1001,""price"")"),37.51)</f>
        <v>37.51</v>
      </c>
      <c r="AH1001" s="14">
        <f t="shared" ca="1" si="341"/>
        <v>-18.668690372940155</v>
      </c>
      <c r="AI1001" s="29">
        <f t="shared" si="342"/>
        <v>127364992</v>
      </c>
      <c r="AJ1001" s="30">
        <f t="shared" ca="1" si="343"/>
        <v>103587616</v>
      </c>
    </row>
    <row r="1002" spans="1:36" x14ac:dyDescent="0.25">
      <c r="A1002" s="31" t="s">
        <v>4200</v>
      </c>
      <c r="B1002" s="28">
        <v>543664</v>
      </c>
      <c r="C1002" s="28" t="s">
        <v>4201</v>
      </c>
      <c r="D1002" s="29">
        <v>58142376</v>
      </c>
      <c r="E1002" s="28">
        <v>2951.4</v>
      </c>
      <c r="F1002" s="28">
        <f ca="1">IFERROR(__xludf.DUMMYFUNCTION("GOOGLEFINANCE(""BOM:"" &amp; B1002,""price"")"),2890)</f>
        <v>2890</v>
      </c>
      <c r="G1002" s="14">
        <f t="shared" ca="1" si="351"/>
        <v>-2.0803686386121871</v>
      </c>
      <c r="H1002" s="29">
        <f t="shared" si="352"/>
        <v>171601408526.39999</v>
      </c>
      <c r="I1002" s="30">
        <f t="shared" ca="1" si="353"/>
        <v>168031466640</v>
      </c>
      <c r="J1002" s="31" t="s">
        <v>2749</v>
      </c>
      <c r="K1002" s="28">
        <v>543667</v>
      </c>
      <c r="L1002" s="28" t="s">
        <v>4202</v>
      </c>
      <c r="M1002" s="29">
        <v>291939334</v>
      </c>
      <c r="N1002" s="17">
        <v>136.15</v>
      </c>
      <c r="O1002" s="17">
        <f ca="1">IFERROR(__xludf.DUMMYFUNCTION("GOOGLEFINANCE(""BOM:"" &amp; K1002,""price"")"),118.2)</f>
        <v>118.2</v>
      </c>
      <c r="P1002" s="14">
        <f t="shared" ca="1" si="348"/>
        <v>-13.183988248255602</v>
      </c>
      <c r="Q1002" s="29">
        <f t="shared" si="349"/>
        <v>39747540324.099998</v>
      </c>
      <c r="R1002" s="30">
        <f t="shared" ca="1" si="350"/>
        <v>34507229278.800003</v>
      </c>
      <c r="S1002" s="31" t="s">
        <v>858</v>
      </c>
      <c r="T1002" s="28">
        <v>543669</v>
      </c>
      <c r="U1002" s="28" t="s">
        <v>4203</v>
      </c>
      <c r="V1002" s="29">
        <v>113877423</v>
      </c>
      <c r="W1002" s="28">
        <v>675.6</v>
      </c>
      <c r="X1002" s="32">
        <f ca="1">IFERROR(__xludf.DUMMYFUNCTION("GOOGLEFINANCE(""BOM:"" &amp; T1002,""price"")"),601)</f>
        <v>601</v>
      </c>
      <c r="Y1002" s="14">
        <f t="shared" ca="1" si="332"/>
        <v>-11.042036708111311</v>
      </c>
      <c r="Z1002" s="29">
        <f t="shared" si="333"/>
        <v>76935586978.800003</v>
      </c>
      <c r="AA1002" s="30">
        <f t="shared" ca="1" si="334"/>
        <v>68440331223</v>
      </c>
      <c r="AB1002" s="31" t="s">
        <v>4194</v>
      </c>
      <c r="AC1002" s="28">
        <v>543651</v>
      </c>
      <c r="AD1002" s="28" t="s">
        <v>4204</v>
      </c>
      <c r="AE1002" s="29">
        <v>5174900</v>
      </c>
      <c r="AF1002" s="28">
        <v>33</v>
      </c>
      <c r="AG1002" s="28">
        <f ca="1">IFERROR(__xludf.DUMMYFUNCTION("GOOGLEFINANCE(""BOM:"" &amp; AC1002,""price"")"),26)</f>
        <v>26</v>
      </c>
      <c r="AH1002" s="14">
        <f t="shared" ca="1" si="341"/>
        <v>-21.212121212121211</v>
      </c>
      <c r="AI1002" s="29">
        <f t="shared" si="342"/>
        <v>170771700</v>
      </c>
      <c r="AJ1002" s="30">
        <f t="shared" ca="1" si="343"/>
        <v>134547400</v>
      </c>
    </row>
    <row r="1003" spans="1:36" x14ac:dyDescent="0.25">
      <c r="A1003" s="31" t="s">
        <v>3707</v>
      </c>
      <c r="B1003" s="28">
        <v>543656</v>
      </c>
      <c r="C1003" s="28" t="s">
        <v>4205</v>
      </c>
      <c r="D1003" s="29">
        <v>5400000</v>
      </c>
      <c r="E1003" s="28">
        <v>85</v>
      </c>
      <c r="F1003" s="28">
        <f ca="1">IFERROR(__xludf.DUMMYFUNCTION("GOOGLEFINANCE(""BOM:"" &amp; B1003,""price"")"),69)</f>
        <v>69</v>
      </c>
      <c r="G1003" s="14">
        <f t="shared" ca="1" si="351"/>
        <v>-18.823529411764707</v>
      </c>
      <c r="H1003" s="29">
        <f t="shared" si="352"/>
        <v>459000000</v>
      </c>
      <c r="I1003" s="30">
        <f t="shared" ca="1" si="353"/>
        <v>372600000</v>
      </c>
      <c r="J1003" s="31" t="s">
        <v>3503</v>
      </c>
      <c r="K1003" s="28">
        <v>543687</v>
      </c>
      <c r="L1003" s="28" t="s">
        <v>4206</v>
      </c>
      <c r="M1003" s="29">
        <v>33797296</v>
      </c>
      <c r="N1003" s="17">
        <v>241.4</v>
      </c>
      <c r="O1003" s="17">
        <f ca="1">IFERROR(__xludf.DUMMYFUNCTION("GOOGLEFINANCE(""BOM:"" &amp; K1003,""price"")"),223.35)</f>
        <v>223.35</v>
      </c>
      <c r="P1003" s="14">
        <f t="shared" ca="1" si="348"/>
        <v>-7.4772162386081238</v>
      </c>
      <c r="Q1003" s="29">
        <f t="shared" si="349"/>
        <v>8158667254.4000006</v>
      </c>
      <c r="R1003" s="30">
        <f t="shared" ca="1" si="350"/>
        <v>7548626061.5999994</v>
      </c>
      <c r="S1003" s="31" t="s">
        <v>4200</v>
      </c>
      <c r="T1003" s="28">
        <v>543689</v>
      </c>
      <c r="U1003" s="28" t="s">
        <v>4207</v>
      </c>
      <c r="V1003" s="29">
        <v>39889620</v>
      </c>
      <c r="W1003" s="28">
        <v>580.54999999999995</v>
      </c>
      <c r="X1003" s="32">
        <f ca="1">IFERROR(__xludf.DUMMYFUNCTION("GOOGLEFINANCE(""BOM:"" &amp; T1003,""price"")"),521.45)</f>
        <v>521.45000000000005</v>
      </c>
      <c r="Y1003" s="14">
        <f t="shared" ca="1" si="332"/>
        <v>-10.180001722504507</v>
      </c>
      <c r="Z1003" s="29">
        <f t="shared" si="333"/>
        <v>23157918891</v>
      </c>
      <c r="AA1003" s="30">
        <f t="shared" ca="1" si="334"/>
        <v>20800442349</v>
      </c>
      <c r="AB1003" s="31" t="s">
        <v>935</v>
      </c>
      <c r="AC1003" s="28">
        <v>543712</v>
      </c>
      <c r="AD1003" s="28" t="s">
        <v>4208</v>
      </c>
      <c r="AE1003" s="29">
        <v>48950000</v>
      </c>
      <c r="AF1003" s="28">
        <v>322</v>
      </c>
      <c r="AG1003" s="28">
        <f ca="1">IFERROR(__xludf.DUMMYFUNCTION("GOOGLEFINANCE(""BOM:"" &amp; AC1003,""price"")"),265.65)</f>
        <v>265.64999999999998</v>
      </c>
      <c r="AH1003" s="14">
        <f t="shared" ca="1" si="341"/>
        <v>-17.500000000000007</v>
      </c>
      <c r="AI1003" s="29">
        <f t="shared" si="342"/>
        <v>15761900000</v>
      </c>
      <c r="AJ1003" s="30">
        <f t="shared" ca="1" si="343"/>
        <v>13003567499.999998</v>
      </c>
    </row>
    <row r="1004" spans="1:36" x14ac:dyDescent="0.25">
      <c r="A1004" s="31" t="s">
        <v>893</v>
      </c>
      <c r="B1004" s="28">
        <v>543711</v>
      </c>
      <c r="C1004" s="28" t="s">
        <v>4209</v>
      </c>
      <c r="D1004" s="29">
        <v>80986391</v>
      </c>
      <c r="E1004" s="28">
        <v>557.15</v>
      </c>
      <c r="F1004" s="28">
        <f ca="1">IFERROR(__xludf.DUMMYFUNCTION("GOOGLEFINANCE(""BOM:"" &amp; B1004,""price"")"),547.1)</f>
        <v>547.1</v>
      </c>
      <c r="G1004" s="14">
        <f t="shared" ca="1" si="351"/>
        <v>-1.8038230279098906</v>
      </c>
      <c r="H1004" s="29">
        <f t="shared" si="352"/>
        <v>45121567745.650002</v>
      </c>
      <c r="I1004" s="30">
        <f t="shared" ca="1" si="353"/>
        <v>44307654516.099998</v>
      </c>
      <c r="J1004" s="31" t="s">
        <v>4210</v>
      </c>
      <c r="K1004" s="28">
        <v>543714</v>
      </c>
      <c r="L1004" s="28" t="s">
        <v>4211</v>
      </c>
      <c r="M1004" s="29">
        <v>39592118</v>
      </c>
      <c r="N1004" s="17">
        <v>755.65</v>
      </c>
      <c r="O1004" s="17">
        <f ca="1">IFERROR(__xludf.DUMMYFUNCTION("GOOGLEFINANCE(""BOM:"" &amp; K1004,""price"")"),725)</f>
        <v>725</v>
      </c>
      <c r="P1004" s="14">
        <f t="shared" ca="1" si="348"/>
        <v>-4.0561106332296673</v>
      </c>
      <c r="Q1004" s="29">
        <f t="shared" si="349"/>
        <v>29917783966.700001</v>
      </c>
      <c r="R1004" s="30">
        <f t="shared" ca="1" si="350"/>
        <v>28704285550</v>
      </c>
      <c r="S1004" s="31" t="s">
        <v>2567</v>
      </c>
      <c r="T1004" s="28">
        <v>543720</v>
      </c>
      <c r="U1004" s="28" t="s">
        <v>4212</v>
      </c>
      <c r="V1004" s="29">
        <v>167568883</v>
      </c>
      <c r="W1004" s="28">
        <v>668.55</v>
      </c>
      <c r="X1004" s="32">
        <f ca="1">IFERROR(__xludf.DUMMYFUNCTION("GOOGLEFINANCE(""BOM:"" &amp; T1004,""price"")"),610.1)</f>
        <v>610.1</v>
      </c>
      <c r="Y1004" s="14">
        <f t="shared" ca="1" si="332"/>
        <v>-8.742801585520894</v>
      </c>
      <c r="Z1004" s="29">
        <f t="shared" si="333"/>
        <v>112028176729.64999</v>
      </c>
      <c r="AA1004" s="30">
        <f t="shared" ca="1" si="334"/>
        <v>102233775518.3</v>
      </c>
      <c r="AB1004" s="8" t="s">
        <v>1271</v>
      </c>
      <c r="AC1004" s="28">
        <v>543725</v>
      </c>
      <c r="AD1004" s="28" t="s">
        <v>4213</v>
      </c>
      <c r="AE1004" s="29">
        <v>49658220</v>
      </c>
      <c r="AF1004" s="28">
        <v>154.4</v>
      </c>
      <c r="AG1004" s="28">
        <f ca="1">IFERROR(__xludf.DUMMYFUNCTION("GOOGLEFINANCE(""BOM:"" &amp; AC1004,""price"")"),133)</f>
        <v>133</v>
      </c>
      <c r="AH1004" s="14">
        <f t="shared" ca="1" si="341"/>
        <v>-13.860103626943006</v>
      </c>
      <c r="AI1004" s="29">
        <f t="shared" si="342"/>
        <v>7667229168</v>
      </c>
      <c r="AJ1004" s="30">
        <f t="shared" ca="1" si="343"/>
        <v>6604543260</v>
      </c>
    </row>
    <row r="1005" spans="1:36" ht="15.75" customHeight="1" x14ac:dyDescent="0.3">
      <c r="A1005" s="31" t="s">
        <v>3232</v>
      </c>
      <c r="B1005" s="28">
        <v>543678</v>
      </c>
      <c r="C1005" s="28" t="s">
        <v>4214</v>
      </c>
      <c r="D1005" s="29">
        <v>9395160</v>
      </c>
      <c r="E1005" s="28">
        <v>27.75</v>
      </c>
      <c r="F1005" s="28">
        <f ca="1">IFERROR(__xludf.DUMMYFUNCTION("GOOGLEFINANCE(""BOM:"" &amp; B1005,""price"")"),22.88)</f>
        <v>22.88</v>
      </c>
      <c r="G1005" s="14">
        <f t="shared" ca="1" si="351"/>
        <v>-17.549549549549553</v>
      </c>
      <c r="H1005" s="29">
        <f t="shared" si="352"/>
        <v>260715690</v>
      </c>
      <c r="I1005" s="30">
        <f t="shared" ca="1" si="353"/>
        <v>214961260.79999998</v>
      </c>
      <c r="J1005" s="31" t="s">
        <v>4215</v>
      </c>
      <c r="K1005" s="28">
        <v>543709</v>
      </c>
      <c r="L1005" s="28" t="s">
        <v>4216</v>
      </c>
      <c r="M1005" s="29">
        <v>9628003</v>
      </c>
      <c r="N1005" s="17">
        <v>570</v>
      </c>
      <c r="O1005" s="17">
        <f ca="1">IFERROR(__xludf.DUMMYFUNCTION("GOOGLEFINANCE(""BOM:"" &amp; K1005,""price"")"),535)</f>
        <v>535</v>
      </c>
      <c r="P1005" s="14">
        <f t="shared" ca="1" si="348"/>
        <v>-6.140350877192982</v>
      </c>
      <c r="Q1005" s="29">
        <f t="shared" si="349"/>
        <v>5487961710</v>
      </c>
      <c r="R1005" s="30">
        <f t="shared" ca="1" si="350"/>
        <v>5150981605</v>
      </c>
      <c r="S1005" s="31" t="s">
        <v>2681</v>
      </c>
      <c r="T1005" s="28">
        <v>543713</v>
      </c>
      <c r="U1005" s="28" t="s">
        <v>4217</v>
      </c>
      <c r="V1005" s="29">
        <v>17698600</v>
      </c>
      <c r="W1005" s="28">
        <v>173.15</v>
      </c>
      <c r="X1005" s="32">
        <f ca="1">IFERROR(__xludf.DUMMYFUNCTION("GOOGLEFINANCE(""BOM:"" &amp; T1005,""price"")"),129.15)</f>
        <v>129.15</v>
      </c>
      <c r="Y1005" s="14">
        <f t="shared" ca="1" si="332"/>
        <v>-25.411492925209355</v>
      </c>
      <c r="Z1005" s="29">
        <f t="shared" si="333"/>
        <v>3064512590</v>
      </c>
      <c r="AA1005" s="30">
        <f t="shared" ca="1" si="334"/>
        <v>2285774190</v>
      </c>
      <c r="AB1005" s="31" t="s">
        <v>2929</v>
      </c>
      <c r="AC1005" s="28">
        <v>543744</v>
      </c>
      <c r="AD1005" s="28" t="s">
        <v>4218</v>
      </c>
      <c r="AE1005" s="29">
        <v>2220000</v>
      </c>
      <c r="AF1005" s="28">
        <v>111</v>
      </c>
      <c r="AG1005" s="33">
        <v>111</v>
      </c>
      <c r="AH1005" s="14">
        <f t="shared" si="341"/>
        <v>0</v>
      </c>
      <c r="AI1005" s="29">
        <f t="shared" si="342"/>
        <v>246420000</v>
      </c>
      <c r="AJ1005" s="30">
        <f t="shared" si="343"/>
        <v>246420000</v>
      </c>
    </row>
    <row r="1006" spans="1:36" ht="15.75" customHeight="1" x14ac:dyDescent="0.3">
      <c r="A1006" s="31" t="s">
        <v>858</v>
      </c>
      <c r="B1006" s="28">
        <v>543745</v>
      </c>
      <c r="C1006" s="28" t="s">
        <v>4219</v>
      </c>
      <c r="D1006" s="29">
        <v>21349619</v>
      </c>
      <c r="E1006" s="28">
        <v>8.9600000000000009</v>
      </c>
      <c r="F1006" s="28">
        <f ca="1">IFERROR(__xludf.DUMMYFUNCTION("GOOGLEFINANCE(""BOM:"" &amp; B1006,""price"")"),7.9)</f>
        <v>7.9</v>
      </c>
      <c r="G1006" s="14">
        <f t="shared" ca="1" si="351"/>
        <v>-11.830357142857146</v>
      </c>
      <c r="H1006" s="29">
        <f t="shared" si="352"/>
        <v>191292586.24000001</v>
      </c>
      <c r="I1006" s="30">
        <f t="shared" ca="1" si="353"/>
        <v>168661990.09999999</v>
      </c>
      <c r="J1006" s="31" t="s">
        <v>2681</v>
      </c>
      <c r="K1006" s="28">
        <v>543732</v>
      </c>
      <c r="L1006" s="28" t="s">
        <v>4220</v>
      </c>
      <c r="M1006" s="29">
        <v>106707906</v>
      </c>
      <c r="N1006" s="17">
        <v>86.75</v>
      </c>
      <c r="O1006" s="17">
        <f ca="1">IFERROR(__xludf.DUMMYFUNCTION("GOOGLEFINANCE(""BOM:"" &amp; K1006,""price"")"),76.14)</f>
        <v>76.14</v>
      </c>
      <c r="P1006" s="14">
        <f t="shared" ca="1" si="348"/>
        <v>-12.230547550432275</v>
      </c>
      <c r="Q1006" s="29">
        <f t="shared" si="349"/>
        <v>9256910845.5</v>
      </c>
      <c r="R1006" s="30">
        <f t="shared" ca="1" si="350"/>
        <v>8124739962.8400002</v>
      </c>
      <c r="S1006" s="31" t="s">
        <v>2929</v>
      </c>
      <c r="T1006" s="28">
        <v>543743</v>
      </c>
      <c r="U1006" s="28" t="s">
        <v>4221</v>
      </c>
      <c r="V1006" s="29">
        <v>25796000</v>
      </c>
      <c r="W1006" s="28">
        <v>121.35</v>
      </c>
      <c r="X1006" s="32">
        <f ca="1">IFERROR(__xludf.DUMMYFUNCTION("GOOGLEFINANCE(""BOM:"" &amp; T1006,""price"")"),88.2)</f>
        <v>88.2</v>
      </c>
      <c r="Y1006" s="14">
        <f t="shared" ca="1" si="332"/>
        <v>-27.317676143386894</v>
      </c>
      <c r="Z1006" s="29">
        <f t="shared" si="333"/>
        <v>3130344600</v>
      </c>
      <c r="AA1006" s="30">
        <f t="shared" ca="1" si="334"/>
        <v>2275207200</v>
      </c>
      <c r="AB1006" s="31" t="s">
        <v>4222</v>
      </c>
      <c r="AC1006" s="28">
        <v>543746</v>
      </c>
      <c r="AD1006" s="28" t="s">
        <v>4223</v>
      </c>
      <c r="AE1006" s="29">
        <v>17104014</v>
      </c>
      <c r="AF1006" s="28">
        <v>263</v>
      </c>
      <c r="AG1006" s="33">
        <f ca="1">IFERROR(__xludf.DUMMYFUNCTION("GOOGLEFINANCE(""BOM:"" &amp; AC1006,""price"")"),189)</f>
        <v>189</v>
      </c>
      <c r="AH1006" s="14">
        <f t="shared" ca="1" si="341"/>
        <v>-28.13688212927757</v>
      </c>
      <c r="AI1006" s="29">
        <f t="shared" si="342"/>
        <v>4498355682</v>
      </c>
      <c r="AJ1006" s="30">
        <f t="shared" ca="1" si="343"/>
        <v>3232658646</v>
      </c>
    </row>
    <row r="1007" spans="1:36" ht="15.75" customHeight="1" x14ac:dyDescent="0.3">
      <c r="A1007" s="31" t="s">
        <v>4168</v>
      </c>
      <c r="B1007" s="28">
        <v>543753</v>
      </c>
      <c r="C1007" s="28" t="s">
        <v>4224</v>
      </c>
      <c r="D1007" s="29">
        <v>20370000</v>
      </c>
      <c r="E1007" s="28">
        <v>47</v>
      </c>
      <c r="F1007" s="28">
        <f ca="1">IFERROR(__xludf.DUMMYFUNCTION("GOOGLEFINANCE(""BOM:"" &amp; B1007,""price"")"),44.51)</f>
        <v>44.51</v>
      </c>
      <c r="G1007" s="14">
        <f t="shared" ca="1" si="351"/>
        <v>-5.2978723404255366</v>
      </c>
      <c r="H1007" s="29">
        <f t="shared" si="352"/>
        <v>957390000</v>
      </c>
      <c r="I1007" s="30">
        <f t="shared" ca="1" si="353"/>
        <v>906668700</v>
      </c>
      <c r="J1007" s="31" t="s">
        <v>3110</v>
      </c>
      <c r="K1007" s="28">
        <v>543754</v>
      </c>
      <c r="L1007" s="28" t="s">
        <v>4225</v>
      </c>
      <c r="M1007" s="29">
        <v>2653440</v>
      </c>
      <c r="N1007" s="17">
        <v>58.85</v>
      </c>
      <c r="O1007" s="17">
        <f ca="1">IFERROR(__xludf.DUMMYFUNCTION("GOOGLEFINANCE(""BOM:"" &amp; K1007,""price"")"),50)</f>
        <v>50</v>
      </c>
      <c r="P1007" s="14">
        <f t="shared" ca="1" si="348"/>
        <v>-15.038232795242143</v>
      </c>
      <c r="Q1007" s="29">
        <f t="shared" si="349"/>
        <v>156154944</v>
      </c>
      <c r="R1007" s="30">
        <f t="shared" ca="1" si="350"/>
        <v>132672000</v>
      </c>
      <c r="S1007" s="31" t="s">
        <v>2297</v>
      </c>
      <c r="T1007" s="28">
        <v>543765</v>
      </c>
      <c r="U1007" s="28" t="s">
        <v>4226</v>
      </c>
      <c r="V1007" s="29">
        <v>12240000</v>
      </c>
      <c r="W1007" s="28">
        <v>53</v>
      </c>
      <c r="X1007" s="32">
        <f ca="1">IFERROR(__xludf.DUMMYFUNCTION("GOOGLEFINANCE(""BOM:"" &amp; T1007,""price"")"),42)</f>
        <v>42</v>
      </c>
      <c r="Y1007" s="14">
        <f t="shared" ca="1" si="332"/>
        <v>-20.754716981132077</v>
      </c>
      <c r="Z1007" s="29">
        <f t="shared" si="333"/>
        <v>648720000</v>
      </c>
      <c r="AA1007" s="30">
        <f t="shared" ca="1" si="334"/>
        <v>514080000</v>
      </c>
      <c r="AB1007" s="31" t="s">
        <v>2575</v>
      </c>
      <c r="AC1007" s="28">
        <v>543769</v>
      </c>
      <c r="AD1007" s="28" t="s">
        <v>4227</v>
      </c>
      <c r="AE1007" s="29">
        <v>15001048</v>
      </c>
      <c r="AF1007" s="28">
        <v>18.5</v>
      </c>
      <c r="AG1007" s="33">
        <f ca="1">IFERROR(__xludf.DUMMYFUNCTION("GOOGLEFINANCE(""BOM:"" &amp; AC1007,""price"")"),17)</f>
        <v>17</v>
      </c>
      <c r="AH1007" s="14">
        <f t="shared" ca="1" si="341"/>
        <v>-8.1081081081081088</v>
      </c>
      <c r="AI1007" s="29">
        <f t="shared" si="342"/>
        <v>277519388</v>
      </c>
      <c r="AJ1007" s="30">
        <f t="shared" ca="1" si="343"/>
        <v>255017816</v>
      </c>
    </row>
    <row r="1008" spans="1:36" ht="15.75" customHeight="1" x14ac:dyDescent="0.3">
      <c r="A1008" s="31" t="s">
        <v>1695</v>
      </c>
      <c r="B1008" s="28">
        <v>543782</v>
      </c>
      <c r="C1008" s="28" t="s">
        <v>4228</v>
      </c>
      <c r="D1008" s="29">
        <v>9050000</v>
      </c>
      <c r="E1008" s="28">
        <v>781</v>
      </c>
      <c r="F1008" s="28">
        <f ca="1">IFERROR(__xludf.DUMMYFUNCTION("GOOGLEFINANCE(""BOM:"" &amp; B1008,""price"")"),639)</f>
        <v>639</v>
      </c>
      <c r="G1008" s="14">
        <f t="shared" ca="1" si="351"/>
        <v>-18.181818181818183</v>
      </c>
      <c r="H1008" s="29">
        <f t="shared" si="352"/>
        <v>7068050000</v>
      </c>
      <c r="I1008" s="30">
        <f t="shared" ca="1" si="353"/>
        <v>5782950000</v>
      </c>
      <c r="J1008" s="31" t="s">
        <v>376</v>
      </c>
      <c r="K1008" s="28">
        <v>543812</v>
      </c>
      <c r="L1008" s="28" t="s">
        <v>4229</v>
      </c>
      <c r="M1008" s="29">
        <v>30582927</v>
      </c>
      <c r="N1008" s="17">
        <v>853.55</v>
      </c>
      <c r="O1008" s="17">
        <f ca="1">IFERROR(__xludf.DUMMYFUNCTION("GOOGLEFINANCE(""BOM:"" &amp; K1008,""price"")"),770)</f>
        <v>770</v>
      </c>
      <c r="P1008" s="14">
        <f t="shared" ca="1" si="348"/>
        <v>-9.7885302559896861</v>
      </c>
      <c r="Q1008" s="29">
        <f t="shared" si="349"/>
        <v>26104057340.849998</v>
      </c>
      <c r="R1008" s="30">
        <f t="shared" ca="1" si="350"/>
        <v>23548853790</v>
      </c>
      <c r="S1008" s="31" t="s">
        <v>4230</v>
      </c>
      <c r="T1008" s="28">
        <v>543829</v>
      </c>
      <c r="U1008" s="28" t="s">
        <v>4231</v>
      </c>
      <c r="V1008" s="29">
        <v>42381818</v>
      </c>
      <c r="W1008" s="28">
        <v>309</v>
      </c>
      <c r="X1008" s="32">
        <f ca="1">IFERROR(__xludf.DUMMYFUNCTION("GOOGLEFINANCE(""BOM:"" &amp; T1008,""price"")"),232)</f>
        <v>232</v>
      </c>
      <c r="Y1008" s="14">
        <f t="shared" ca="1" si="332"/>
        <v>-24.919093851132686</v>
      </c>
      <c r="Z1008" s="29">
        <f t="shared" si="333"/>
        <v>13095981762</v>
      </c>
      <c r="AA1008" s="30">
        <f t="shared" ca="1" si="334"/>
        <v>9832581776</v>
      </c>
      <c r="AB1008" s="31" t="s">
        <v>4057</v>
      </c>
      <c r="AC1008" s="28">
        <v>543804</v>
      </c>
      <c r="AD1008" s="28" t="s">
        <v>4232</v>
      </c>
      <c r="AE1008" s="29">
        <v>3697404</v>
      </c>
      <c r="AF1008" s="28">
        <v>14.25</v>
      </c>
      <c r="AG1008" s="33">
        <v>14.25</v>
      </c>
      <c r="AH1008" s="14">
        <f t="shared" si="341"/>
        <v>0</v>
      </c>
      <c r="AI1008" s="29">
        <f t="shared" si="342"/>
        <v>52688007</v>
      </c>
      <c r="AJ1008" s="30">
        <f t="shared" si="343"/>
        <v>52688007</v>
      </c>
    </row>
    <row r="1009" spans="1:36" ht="15.75" customHeight="1" x14ac:dyDescent="0.3">
      <c r="A1009" s="31" t="s">
        <v>3847</v>
      </c>
      <c r="B1009" s="28">
        <v>543787</v>
      </c>
      <c r="C1009" s="28" t="s">
        <v>4233</v>
      </c>
      <c r="D1009" s="29">
        <v>8835420</v>
      </c>
      <c r="E1009" s="28">
        <v>490.4</v>
      </c>
      <c r="F1009" s="28">
        <v>490.4</v>
      </c>
      <c r="G1009" s="14">
        <f t="shared" si="351"/>
        <v>0</v>
      </c>
      <c r="H1009" s="29">
        <f t="shared" si="352"/>
        <v>4332889968</v>
      </c>
      <c r="I1009" s="30">
        <f t="shared" si="353"/>
        <v>4332889968</v>
      </c>
      <c r="J1009" s="31" t="s">
        <v>2834</v>
      </c>
      <c r="K1009" s="28">
        <v>543798</v>
      </c>
      <c r="L1009" s="28" t="s">
        <v>4234</v>
      </c>
      <c r="M1009" s="29">
        <v>23180000</v>
      </c>
      <c r="N1009" s="17">
        <v>8.93</v>
      </c>
      <c r="O1009" s="17">
        <f ca="1">IFERROR(__xludf.DUMMYFUNCTION("GOOGLEFINANCE(""BOM:"" &amp; K1009,""price"")"),7.65)</f>
        <v>7.65</v>
      </c>
      <c r="P1009" s="14">
        <f t="shared" ca="1" si="348"/>
        <v>-14.333706606942883</v>
      </c>
      <c r="Q1009" s="29">
        <f t="shared" si="349"/>
        <v>206997400</v>
      </c>
      <c r="R1009" s="30">
        <f t="shared" ca="1" si="350"/>
        <v>177327000</v>
      </c>
      <c r="S1009" s="31" t="s">
        <v>4235</v>
      </c>
      <c r="T1009" s="28">
        <v>543799</v>
      </c>
      <c r="U1009" s="28" t="s">
        <v>4236</v>
      </c>
      <c r="V1009" s="29">
        <v>5571000</v>
      </c>
      <c r="W1009" s="28">
        <v>40.24</v>
      </c>
      <c r="X1009" s="32">
        <f ca="1">IFERROR(__xludf.DUMMYFUNCTION("GOOGLEFINANCE(""BOM:"" &amp; T1009,""price"")"),31.35)</f>
        <v>31.35</v>
      </c>
      <c r="Y1009" s="14">
        <f t="shared" ca="1" si="332"/>
        <v>-22.092445328031811</v>
      </c>
      <c r="Z1009" s="29">
        <f t="shared" si="333"/>
        <v>224177040</v>
      </c>
      <c r="AA1009" s="30">
        <f t="shared" ca="1" si="334"/>
        <v>174650850</v>
      </c>
      <c r="AB1009" s="31" t="s">
        <v>1868</v>
      </c>
      <c r="AC1009" s="28">
        <v>543828</v>
      </c>
      <c r="AD1009" s="28" t="s">
        <v>4237</v>
      </c>
      <c r="AE1009" s="29">
        <v>24065887</v>
      </c>
      <c r="AF1009" s="28">
        <v>81.3</v>
      </c>
      <c r="AG1009" s="33">
        <f ca="1">IFERROR(__xludf.DUMMYFUNCTION("GOOGLEFINANCE(""BOM:"" &amp; AC1009,""price"")"),74.11)</f>
        <v>74.11</v>
      </c>
      <c r="AH1009" s="14">
        <f t="shared" ca="1" si="341"/>
        <v>-8.8437884378843776</v>
      </c>
      <c r="AI1009" s="34">
        <f t="shared" si="342"/>
        <v>1956556613.0999999</v>
      </c>
      <c r="AJ1009" s="35">
        <f t="shared" ca="1" si="343"/>
        <v>1783522885.5699999</v>
      </c>
    </row>
    <row r="1010" spans="1:36" ht="15.75" customHeight="1" x14ac:dyDescent="0.3">
      <c r="A1010" s="31" t="s">
        <v>788</v>
      </c>
      <c r="B1010" s="28">
        <v>543805</v>
      </c>
      <c r="C1010" s="28" t="s">
        <v>4238</v>
      </c>
      <c r="D1010" s="29">
        <v>20876000</v>
      </c>
      <c r="E1010" s="28">
        <v>105</v>
      </c>
      <c r="F1010" s="28">
        <f ca="1">IFERROR(__xludf.DUMMYFUNCTION("GOOGLEFINANCE(""BOM:"" &amp; B1010,""price"")"),72.36)</f>
        <v>72.36</v>
      </c>
      <c r="G1010" s="14">
        <f t="shared" ca="1" si="351"/>
        <v>-31.085714285714289</v>
      </c>
      <c r="H1010" s="29">
        <f t="shared" si="352"/>
        <v>2191980000</v>
      </c>
      <c r="I1010" s="30">
        <f t="shared" ca="1" si="353"/>
        <v>1510587360</v>
      </c>
      <c r="J1010" s="31" t="s">
        <v>2681</v>
      </c>
      <c r="K1010" s="28">
        <v>543806</v>
      </c>
      <c r="L1010" s="28" t="s">
        <v>4239</v>
      </c>
      <c r="M1010" s="29">
        <v>5028726</v>
      </c>
      <c r="N1010" s="36">
        <v>68.75</v>
      </c>
      <c r="O1010" s="36">
        <f ca="1">IFERROR(__xludf.DUMMYFUNCTION("GOOGLEFINANCE(""BOM:"" &amp; K1010,""price"")"),52.2)</f>
        <v>52.2</v>
      </c>
      <c r="P1010" s="28">
        <f t="shared" ca="1" si="348"/>
        <v>-24.072727272727267</v>
      </c>
      <c r="Q1010" s="29">
        <f t="shared" si="349"/>
        <v>345724912.5</v>
      </c>
      <c r="R1010" s="30">
        <f t="shared" ca="1" si="350"/>
        <v>262499497.20000002</v>
      </c>
      <c r="S1010" s="31" t="s">
        <v>3561</v>
      </c>
      <c r="T1010" s="28">
        <v>543814</v>
      </c>
      <c r="U1010" s="28" t="s">
        <v>4240</v>
      </c>
      <c r="V1010" s="29">
        <v>4084000</v>
      </c>
      <c r="W1010" s="28">
        <v>94.5</v>
      </c>
      <c r="X1010" s="32">
        <f ca="1">IFERROR(__xludf.DUMMYFUNCTION("GOOGLEFINANCE(""BOM:"" &amp; T1010,""price"")"),84.7)</f>
        <v>84.7</v>
      </c>
      <c r="Y1010" s="14">
        <f t="shared" ca="1" si="332"/>
        <v>-10.370370370370367</v>
      </c>
      <c r="Z1010" s="29">
        <f t="shared" si="333"/>
        <v>385938000</v>
      </c>
      <c r="AA1010" s="30">
        <f t="shared" ca="1" si="334"/>
        <v>345914800</v>
      </c>
      <c r="AB1010" s="31" t="s">
        <v>4215</v>
      </c>
      <c r="AC1010" s="28">
        <v>543848</v>
      </c>
      <c r="AD1010" s="28" t="s">
        <v>4241</v>
      </c>
      <c r="AE1010" s="29">
        <v>8271139</v>
      </c>
      <c r="AF1010" s="28">
        <v>97.05</v>
      </c>
      <c r="AG1010" s="33">
        <f ca="1">IFERROR(__xludf.DUMMYFUNCTION("GOOGLEFINANCE(""BOM:"" &amp; AC1010,""price"")"),100)</f>
        <v>100</v>
      </c>
      <c r="AH1010" s="14">
        <f t="shared" ca="1" si="341"/>
        <v>3.0396702730551293</v>
      </c>
      <c r="AI1010" s="34">
        <f t="shared" si="342"/>
        <v>802714039.94999993</v>
      </c>
      <c r="AJ1010" s="35">
        <f t="shared" ca="1" si="343"/>
        <v>827113900</v>
      </c>
    </row>
    <row r="1011" spans="1:36" x14ac:dyDescent="0.25">
      <c r="A1011" s="31" t="s">
        <v>4235</v>
      </c>
      <c r="B1011" s="28">
        <v>543830</v>
      </c>
      <c r="C1011" s="28" t="s">
        <v>4242</v>
      </c>
      <c r="D1011" s="29">
        <v>3244000</v>
      </c>
      <c r="E1011" s="28">
        <v>77</v>
      </c>
      <c r="F1011" s="28">
        <f ca="1">IFERROR(__xludf.DUMMYFUNCTION("GOOGLEFINANCE(""BOM:"" &amp; B1011,""price"")"),62)</f>
        <v>62</v>
      </c>
      <c r="G1011" s="14">
        <f t="shared" ca="1" si="351"/>
        <v>-19.480519480519483</v>
      </c>
      <c r="H1011" s="29">
        <f t="shared" si="352"/>
        <v>249788000</v>
      </c>
      <c r="I1011" s="30">
        <f t="shared" ca="1" si="353"/>
        <v>201128000</v>
      </c>
      <c r="J1011" s="31" t="s">
        <v>4194</v>
      </c>
      <c r="K1011" s="28">
        <v>543831</v>
      </c>
      <c r="L1011" s="28" t="s">
        <v>4243</v>
      </c>
      <c r="M1011" s="29">
        <v>13928780</v>
      </c>
      <c r="N1011" s="36">
        <v>510</v>
      </c>
      <c r="O1011" s="36">
        <f ca="1">IFERROR(__xludf.DUMMYFUNCTION("GOOGLEFINANCE(""BOM:"" &amp; K1011,""price"")"),465)</f>
        <v>465</v>
      </c>
      <c r="P1011" s="28">
        <f t="shared" ca="1" si="348"/>
        <v>-8.8235294117647065</v>
      </c>
      <c r="Q1011" s="29">
        <f t="shared" si="349"/>
        <v>7103677800</v>
      </c>
      <c r="R1011" s="30">
        <f t="shared" ca="1" si="350"/>
        <v>6476882700</v>
      </c>
      <c r="S1011" s="31" t="s">
        <v>3744</v>
      </c>
      <c r="T1011" s="28">
        <v>543843</v>
      </c>
      <c r="U1011" s="28" t="s">
        <v>4244</v>
      </c>
      <c r="V1011" s="29">
        <v>9376700</v>
      </c>
      <c r="W1011" s="28">
        <v>26.4</v>
      </c>
      <c r="X1011" s="32">
        <f ca="1">IFERROR(__xludf.DUMMYFUNCTION("GOOGLEFINANCE(""BOM:"" &amp; T1011,""price"")"),25.4)</f>
        <v>25.4</v>
      </c>
      <c r="Y1011" s="14">
        <f t="shared" ca="1" si="332"/>
        <v>-3.7878787878787881</v>
      </c>
      <c r="Z1011" s="29">
        <f t="shared" si="333"/>
        <v>247544880</v>
      </c>
      <c r="AA1011" s="30">
        <f t="shared" ca="1" si="334"/>
        <v>238168180</v>
      </c>
      <c r="AB1011" s="31" t="s">
        <v>4245</v>
      </c>
      <c r="AC1011" s="28">
        <v>543895</v>
      </c>
      <c r="AD1011" s="28" t="s">
        <v>4246</v>
      </c>
      <c r="AE1011" s="29">
        <v>3300000</v>
      </c>
      <c r="AF1011" s="28">
        <v>376.55</v>
      </c>
      <c r="AG1011" s="28">
        <f ca="1">IFERROR(__xludf.DUMMYFUNCTION("GOOGLEFINANCE(""BOM:"" &amp; AC1011,""price"")"),337.5)</f>
        <v>337.5</v>
      </c>
      <c r="AH1011" s="14">
        <f t="shared" ca="1" si="341"/>
        <v>-10.370468729252426</v>
      </c>
      <c r="AI1011" s="29">
        <f t="shared" si="342"/>
        <v>1242615000</v>
      </c>
      <c r="AJ1011" s="30">
        <f t="shared" ca="1" si="343"/>
        <v>1113750000</v>
      </c>
    </row>
    <row r="1012" spans="1:36" x14ac:dyDescent="0.25">
      <c r="A1012" s="31" t="s">
        <v>1337</v>
      </c>
      <c r="B1012" s="28">
        <v>543861</v>
      </c>
      <c r="C1012" s="28" t="s">
        <v>4247</v>
      </c>
      <c r="D1012" s="29">
        <v>55357142</v>
      </c>
      <c r="E1012" s="28">
        <v>60.46</v>
      </c>
      <c r="F1012" s="28">
        <f ca="1">IFERROR(__xludf.DUMMYFUNCTION("GOOGLEFINANCE(""BOM:"" &amp; B1012,""price"")"),48.1)</f>
        <v>48.1</v>
      </c>
      <c r="G1012" s="14">
        <f t="shared" ca="1" si="351"/>
        <v>-20.443268276546476</v>
      </c>
      <c r="H1012" s="29">
        <f t="shared" si="352"/>
        <v>3346892805.3200002</v>
      </c>
      <c r="I1012" s="30">
        <f t="shared" ca="1" si="353"/>
        <v>2662678530.2000003</v>
      </c>
      <c r="J1012" s="31" t="s">
        <v>3906</v>
      </c>
      <c r="K1012" s="28">
        <v>543896</v>
      </c>
      <c r="L1012" s="28" t="s">
        <v>4248</v>
      </c>
      <c r="M1012" s="29">
        <v>57953128</v>
      </c>
      <c r="N1012" s="36">
        <v>527.35</v>
      </c>
      <c r="O1012" s="36">
        <f ca="1">IFERROR(__xludf.DUMMYFUNCTION("GOOGLEFINANCE(""BOM:"" &amp; K1012,""price"")"),494)</f>
        <v>494</v>
      </c>
      <c r="P1012" s="28">
        <f t="shared" ca="1" si="348"/>
        <v>-6.3240731961695316</v>
      </c>
      <c r="Q1012" s="29">
        <f t="shared" si="349"/>
        <v>30561582050.800003</v>
      </c>
      <c r="R1012" s="30">
        <f t="shared" ca="1" si="350"/>
        <v>28628845232</v>
      </c>
      <c r="S1012" s="31" t="s">
        <v>2297</v>
      </c>
      <c r="T1012" s="28">
        <v>543874</v>
      </c>
      <c r="U1012" s="28" t="s">
        <v>4249</v>
      </c>
      <c r="V1012" s="29">
        <v>14212000</v>
      </c>
      <c r="W1012" s="28">
        <v>104</v>
      </c>
      <c r="X1012" s="32">
        <f ca="1">IFERROR(__xludf.DUMMYFUNCTION("GOOGLEFINANCE(""BOM:"" &amp; T1012,""price"")"),87)</f>
        <v>87</v>
      </c>
      <c r="Y1012" s="14">
        <f t="shared" ca="1" si="332"/>
        <v>-16.346153846153847</v>
      </c>
      <c r="Z1012" s="29">
        <f t="shared" si="333"/>
        <v>1478048000</v>
      </c>
      <c r="AA1012" s="30">
        <f t="shared" ca="1" si="334"/>
        <v>1236444000</v>
      </c>
      <c r="AB1012" s="31" t="s">
        <v>4194</v>
      </c>
      <c r="AC1012" s="28">
        <v>543905</v>
      </c>
      <c r="AD1012" s="28" t="s">
        <v>4250</v>
      </c>
      <c r="AE1012" s="29">
        <v>10223600</v>
      </c>
      <c r="AF1012" s="28">
        <v>83</v>
      </c>
      <c r="AG1012" s="28">
        <f ca="1">IFERROR(__xludf.DUMMYFUNCTION("GOOGLEFINANCE(""BOM:"" &amp; AC1012,""price"")"),52.2)</f>
        <v>52.2</v>
      </c>
      <c r="AH1012" s="14">
        <f t="shared" ca="1" si="341"/>
        <v>-37.108433734939759</v>
      </c>
      <c r="AI1012" s="29">
        <f t="shared" si="342"/>
        <v>848558800</v>
      </c>
      <c r="AJ1012" s="30">
        <f t="shared" ca="1" si="343"/>
        <v>533671920</v>
      </c>
    </row>
    <row r="1013" spans="1:36" x14ac:dyDescent="0.25">
      <c r="A1013" s="31" t="s">
        <v>2753</v>
      </c>
      <c r="B1013" s="28">
        <v>543897</v>
      </c>
      <c r="C1013" s="28" t="s">
        <v>4251</v>
      </c>
      <c r="D1013" s="29">
        <v>4068867</v>
      </c>
      <c r="E1013" s="28">
        <v>64.8</v>
      </c>
      <c r="F1013" s="28">
        <f ca="1">IFERROR(__xludf.DUMMYFUNCTION("GOOGLEFINANCE(""BOM:"" &amp; B1013,""price"")"),77.17)</f>
        <v>77.17</v>
      </c>
      <c r="G1013" s="14">
        <f t="shared" ca="1" si="351"/>
        <v>19.089506172839513</v>
      </c>
      <c r="H1013" s="29">
        <f t="shared" si="352"/>
        <v>263662581.59999999</v>
      </c>
      <c r="I1013" s="30">
        <f t="shared" ca="1" si="353"/>
        <v>313994466.38999999</v>
      </c>
      <c r="J1013" s="31" t="s">
        <v>3183</v>
      </c>
      <c r="K1013" s="28">
        <v>543902</v>
      </c>
      <c r="L1013" s="28" t="s">
        <v>4252</v>
      </c>
      <c r="M1013" s="29">
        <v>13940000</v>
      </c>
      <c r="N1013" s="36">
        <v>68</v>
      </c>
      <c r="O1013" s="36">
        <f ca="1">IFERROR(__xludf.DUMMYFUNCTION("GOOGLEFINANCE(""BOM:"" &amp; K1013,""price"")"),74.9)</f>
        <v>74.900000000000006</v>
      </c>
      <c r="P1013" s="28">
        <f t="shared" ca="1" si="348"/>
        <v>10.14705882352942</v>
      </c>
      <c r="Q1013" s="29">
        <f t="shared" si="349"/>
        <v>947920000</v>
      </c>
      <c r="R1013" s="30">
        <f t="shared" ca="1" si="350"/>
        <v>1044106000.0000001</v>
      </c>
      <c r="S1013" s="31" t="s">
        <v>2444</v>
      </c>
      <c r="T1013" s="28">
        <v>543923</v>
      </c>
      <c r="U1013" s="28" t="s">
        <v>4253</v>
      </c>
      <c r="V1013" s="29">
        <v>77280701</v>
      </c>
      <c r="W1013" s="28">
        <v>289.7</v>
      </c>
      <c r="X1013" s="32">
        <f ca="1">IFERROR(__xludf.DUMMYFUNCTION("GOOGLEFINANCE(""BOM:"" &amp; T1013,""price"")"),280.45)</f>
        <v>280.45</v>
      </c>
      <c r="Y1013" s="14">
        <f t="shared" ca="1" si="332"/>
        <v>-3.1929582326544708</v>
      </c>
      <c r="Z1013" s="29">
        <f t="shared" si="333"/>
        <v>22388219079.700001</v>
      </c>
      <c r="AA1013" s="30">
        <f t="shared" ca="1" si="334"/>
        <v>21673372595.450001</v>
      </c>
      <c r="AB1013" s="31" t="s">
        <v>15</v>
      </c>
      <c r="AC1013" s="28">
        <v>543904</v>
      </c>
      <c r="AD1013" s="28" t="s">
        <v>4254</v>
      </c>
      <c r="AE1013" s="29">
        <v>400588440</v>
      </c>
      <c r="AF1013" s="28">
        <v>2147.6999999999998</v>
      </c>
      <c r="AG1013" s="28">
        <f ca="1">IFERROR(__xludf.DUMMYFUNCTION("GOOGLEFINANCE(""BOM:"" &amp; AC1013,""price"")"),2275.75)</f>
        <v>2275.75</v>
      </c>
      <c r="AH1013" s="14">
        <f t="shared" ca="1" si="341"/>
        <v>5.9621921124924429</v>
      </c>
      <c r="AI1013" s="29">
        <f t="shared" si="342"/>
        <v>860343792587.99988</v>
      </c>
      <c r="AJ1013" s="30">
        <f t="shared" ca="1" si="343"/>
        <v>911639142330</v>
      </c>
    </row>
    <row r="1014" spans="1:36" x14ac:dyDescent="0.25">
      <c r="A1014" s="31" t="s">
        <v>2444</v>
      </c>
      <c r="B1014" s="28">
        <v>543921</v>
      </c>
      <c r="C1014" s="28" t="s">
        <v>4255</v>
      </c>
      <c r="D1014" s="29">
        <v>7528795</v>
      </c>
      <c r="E1014" s="28">
        <v>122.95</v>
      </c>
      <c r="F1014" s="28">
        <f ca="1">IFERROR(__xludf.DUMMYFUNCTION("GOOGLEFINANCE(""BOM:"" &amp; B1014,""price"")"),77.35)</f>
        <v>77.349999999999994</v>
      </c>
      <c r="G1014" s="14">
        <f t="shared" ca="1" si="351"/>
        <v>-37.088247254981702</v>
      </c>
      <c r="H1014" s="29">
        <f t="shared" si="352"/>
        <v>925665345.25</v>
      </c>
      <c r="I1014" s="30">
        <f t="shared" ca="1" si="353"/>
        <v>582352293.25</v>
      </c>
      <c r="J1014" s="31" t="s">
        <v>3361</v>
      </c>
      <c r="K1014" s="28">
        <v>543916</v>
      </c>
      <c r="L1014" s="28" t="s">
        <v>4256</v>
      </c>
      <c r="M1014" s="29">
        <v>10440000</v>
      </c>
      <c r="N1014" s="28">
        <v>159</v>
      </c>
      <c r="O1014" s="28">
        <f ca="1">IFERROR(__xludf.DUMMYFUNCTION("GOOGLEFINANCE(""BOM:"" &amp; K1014,""price"")"),133)</f>
        <v>133</v>
      </c>
      <c r="P1014" s="28">
        <f t="shared" ca="1" si="348"/>
        <v>-16.352201257861633</v>
      </c>
      <c r="Q1014" s="29">
        <f t="shared" si="349"/>
        <v>1659960000</v>
      </c>
      <c r="R1014" s="30">
        <f t="shared" ca="1" si="350"/>
        <v>1388520000</v>
      </c>
      <c r="S1014" s="31" t="s">
        <v>108</v>
      </c>
      <c r="T1014" s="28">
        <v>543920</v>
      </c>
      <c r="U1014" s="28" t="s">
        <v>4257</v>
      </c>
      <c r="V1014" s="29">
        <v>19473300</v>
      </c>
      <c r="W1014" s="28">
        <v>476</v>
      </c>
      <c r="X1014" s="32">
        <f ca="1">IFERROR(__xludf.DUMMYFUNCTION("GOOGLEFINANCE(""BOM:"" &amp; T1014,""price"")"),406)</f>
        <v>406</v>
      </c>
      <c r="Y1014" s="14">
        <f t="shared" ca="1" si="332"/>
        <v>-14.705882352941178</v>
      </c>
      <c r="Z1014" s="29">
        <f t="shared" si="333"/>
        <v>9269290800</v>
      </c>
      <c r="AA1014" s="30">
        <f t="shared" ca="1" si="334"/>
        <v>7906159800</v>
      </c>
      <c r="AB1014" s="31" t="s">
        <v>2755</v>
      </c>
      <c r="AC1014" s="28">
        <v>543924</v>
      </c>
      <c r="AD1014" s="28" t="s">
        <v>4258</v>
      </c>
      <c r="AE1014" s="29">
        <v>1999000</v>
      </c>
      <c r="AF1014" s="28">
        <v>34.21</v>
      </c>
      <c r="AG1014" s="28">
        <f ca="1">IFERROR(__xludf.DUMMYFUNCTION("GOOGLEFINANCE(""BOM:"" &amp; AC1014,""price"")"),34.03)</f>
        <v>34.03</v>
      </c>
      <c r="AH1014" s="14">
        <f t="shared" ca="1" si="341"/>
        <v>-0.52616194095293689</v>
      </c>
      <c r="AI1014" s="29">
        <f t="shared" si="342"/>
        <v>68385790</v>
      </c>
      <c r="AJ1014" s="30">
        <f t="shared" ca="1" si="343"/>
        <v>68025970</v>
      </c>
    </row>
    <row r="1015" spans="1:36" x14ac:dyDescent="0.25">
      <c r="A1015" s="31" t="s">
        <v>206</v>
      </c>
      <c r="B1015" s="28">
        <v>543926</v>
      </c>
      <c r="C1015" s="28" t="s">
        <v>4259</v>
      </c>
      <c r="D1015" s="29">
        <v>8040000</v>
      </c>
      <c r="E1015" s="28">
        <v>55.65</v>
      </c>
      <c r="F1015" s="28">
        <f ca="1">IFERROR(__xludf.DUMMYFUNCTION("GOOGLEFINANCE(""BOM:"" &amp; B1015,""price"")"),45.73)</f>
        <v>45.73</v>
      </c>
      <c r="G1015" s="14">
        <f t="shared" ca="1" si="351"/>
        <v>-17.825696316262356</v>
      </c>
      <c r="H1015" s="29">
        <f t="shared" si="352"/>
        <v>447426000</v>
      </c>
      <c r="I1015" s="30">
        <f t="shared" ca="1" si="353"/>
        <v>367669200</v>
      </c>
      <c r="J1015" s="31" t="s">
        <v>2297</v>
      </c>
      <c r="K1015" s="28">
        <v>543928</v>
      </c>
      <c r="L1015" s="28" t="s">
        <v>4260</v>
      </c>
      <c r="M1015" s="29">
        <v>5099200</v>
      </c>
      <c r="N1015" s="28">
        <v>900</v>
      </c>
      <c r="O1015" s="28">
        <f ca="1">IFERROR(__xludf.DUMMYFUNCTION("GOOGLEFINANCE(""BOM:"" &amp; K1015,""price"")"),907.9)</f>
        <v>907.9</v>
      </c>
      <c r="P1015" s="14">
        <f t="shared" ca="1" si="348"/>
        <v>0.87777777777777521</v>
      </c>
      <c r="Q1015" s="29">
        <f t="shared" si="349"/>
        <v>4589280000</v>
      </c>
      <c r="R1015" s="30">
        <f t="shared" ca="1" si="350"/>
        <v>4629563680</v>
      </c>
      <c r="S1015" s="31" t="s">
        <v>4261</v>
      </c>
      <c r="T1015" s="28">
        <v>543929</v>
      </c>
      <c r="U1015" s="28" t="s">
        <v>4262</v>
      </c>
      <c r="V1015" s="29">
        <v>500769770</v>
      </c>
      <c r="W1015" s="28">
        <v>71.25</v>
      </c>
      <c r="X1015" s="32">
        <f ca="1">IFERROR(__xludf.DUMMYFUNCTION("GOOGLEFINANCE(""BOM:"" &amp; T1015,""price"")"),50.5)</f>
        <v>50.5</v>
      </c>
      <c r="Y1015" s="14">
        <f t="shared" ca="1" si="332"/>
        <v>-29.122807017543863</v>
      </c>
      <c r="Z1015" s="29">
        <f t="shared" si="333"/>
        <v>35679846112.5</v>
      </c>
      <c r="AA1015" s="30">
        <f t="shared" ca="1" si="334"/>
        <v>25288873385</v>
      </c>
      <c r="AB1015" s="31" t="s">
        <v>108</v>
      </c>
      <c r="AC1015" s="28">
        <v>543932</v>
      </c>
      <c r="AD1015" s="28" t="s">
        <v>4263</v>
      </c>
      <c r="AE1015" s="29">
        <v>41670611</v>
      </c>
      <c r="AF1015" s="28">
        <v>797.25</v>
      </c>
      <c r="AG1015" s="28">
        <f ca="1">IFERROR(__xludf.DUMMYFUNCTION("GOOGLEFINANCE(""BOM:"" &amp; AC1015,""price"")"),687.65)</f>
        <v>687.65</v>
      </c>
      <c r="AH1015" s="14">
        <f t="shared" ca="1" si="341"/>
        <v>-13.747256193164004</v>
      </c>
      <c r="AI1015" s="29">
        <f t="shared" si="342"/>
        <v>33221894619.75</v>
      </c>
      <c r="AJ1015" s="30">
        <f t="shared" ca="1" si="343"/>
        <v>28654795654.149998</v>
      </c>
    </row>
    <row r="1016" spans="1:36" x14ac:dyDescent="0.25">
      <c r="A1016" s="31" t="s">
        <v>4200</v>
      </c>
      <c r="B1016" s="28">
        <v>543933</v>
      </c>
      <c r="C1016" s="28" t="s">
        <v>4264</v>
      </c>
      <c r="D1016" s="29">
        <v>79306124</v>
      </c>
      <c r="E1016" s="28">
        <v>807</v>
      </c>
      <c r="F1016" s="28">
        <f ca="1">IFERROR(__xludf.DUMMYFUNCTION("GOOGLEFINANCE(""BOM:"" &amp; B1016,""price"")"),716.7)</f>
        <v>716.7</v>
      </c>
      <c r="G1016" s="14">
        <f t="shared" ca="1" si="351"/>
        <v>-11.189591078066909</v>
      </c>
      <c r="H1016" s="29">
        <f t="shared" si="352"/>
        <v>64000042068</v>
      </c>
      <c r="I1016" s="30">
        <f t="shared" ca="1" si="353"/>
        <v>56838699070.800003</v>
      </c>
      <c r="J1016" s="31" t="s">
        <v>4215</v>
      </c>
      <c r="K1016" s="28">
        <v>543936</v>
      </c>
      <c r="L1016" s="28" t="s">
        <v>4265</v>
      </c>
      <c r="M1016" s="29">
        <v>77663156</v>
      </c>
      <c r="N1016" s="28">
        <v>841.4</v>
      </c>
      <c r="O1016" s="28">
        <f ca="1">IFERROR(__xludf.DUMMYFUNCTION("GOOGLEFINANCE(""BOM:"" &amp; K1016,""price"")"),774)</f>
        <v>774</v>
      </c>
      <c r="P1016" s="14">
        <f t="shared" ca="1" si="348"/>
        <v>-8.0104587592108363</v>
      </c>
      <c r="Q1016" s="29">
        <f t="shared" si="349"/>
        <v>65345779458.400002</v>
      </c>
      <c r="R1016" s="30">
        <f t="shared" ca="1" si="350"/>
        <v>60111282744</v>
      </c>
      <c r="S1016" s="31" t="s">
        <v>3772</v>
      </c>
      <c r="T1016" s="28">
        <v>543942</v>
      </c>
      <c r="U1016" s="28" t="s">
        <v>4266</v>
      </c>
      <c r="V1016" s="29">
        <v>1095904663</v>
      </c>
      <c r="W1016" s="28">
        <v>52.73</v>
      </c>
      <c r="X1016" s="32">
        <f ca="1">IFERROR(__xludf.DUMMYFUNCTION("GOOGLEFINANCE(""BOM:"" &amp; T1016,""price"")"),46.86)</f>
        <v>46.86</v>
      </c>
      <c r="Y1016" s="14">
        <f t="shared" ca="1" si="332"/>
        <v>-11.132182818130094</v>
      </c>
      <c r="Z1016" s="29">
        <f t="shared" si="333"/>
        <v>57787052879.989998</v>
      </c>
      <c r="AA1016" s="30">
        <f t="shared" ca="1" si="334"/>
        <v>51354092508.18</v>
      </c>
      <c r="AB1016" s="31" t="s">
        <v>4267</v>
      </c>
      <c r="AC1016" s="28">
        <v>543945</v>
      </c>
      <c r="AD1016" s="28" t="s">
        <v>4268</v>
      </c>
      <c r="AE1016" s="29">
        <v>56064980</v>
      </c>
      <c r="AF1016" s="28">
        <v>1714.05</v>
      </c>
      <c r="AG1016" s="28">
        <f ca="1">IFERROR(__xludf.DUMMYFUNCTION("GOOGLEFINANCE(""BOM:"" &amp; AC1016,""price"")"),1610.75)</f>
        <v>1610.75</v>
      </c>
      <c r="AH1016" s="14">
        <f t="shared" ca="1" si="341"/>
        <v>-6.0266619993582422</v>
      </c>
      <c r="AI1016" s="29">
        <f t="shared" si="342"/>
        <v>96098178969</v>
      </c>
      <c r="AJ1016" s="30">
        <f t="shared" ca="1" si="343"/>
        <v>90306666535</v>
      </c>
    </row>
    <row r="1017" spans="1:36" x14ac:dyDescent="0.25">
      <c r="A1017" s="31" t="s">
        <v>2753</v>
      </c>
      <c r="B1017" s="28">
        <v>543931</v>
      </c>
      <c r="C1017" s="28" t="s">
        <v>4269</v>
      </c>
      <c r="D1017" s="29">
        <v>21187460</v>
      </c>
      <c r="E1017" s="28">
        <v>343</v>
      </c>
      <c r="F1017" s="28">
        <f ca="1">IFERROR(__xludf.DUMMYFUNCTION("GOOGLEFINANCE(""BOM:"" &amp; B1017,""price"")"),307)</f>
        <v>307</v>
      </c>
      <c r="G1017" s="14">
        <f t="shared" ca="1" si="351"/>
        <v>-10.495626822157435</v>
      </c>
      <c r="H1017" s="29">
        <f t="shared" si="352"/>
        <v>7267298780</v>
      </c>
      <c r="I1017" s="30">
        <f t="shared" ca="1" si="353"/>
        <v>6504550220</v>
      </c>
      <c r="J1017" s="31" t="s">
        <v>1695</v>
      </c>
      <c r="K1017" s="28">
        <v>543937</v>
      </c>
      <c r="L1017" s="28" t="s">
        <v>4270</v>
      </c>
      <c r="M1017" s="29">
        <v>10189200</v>
      </c>
      <c r="N1017" s="28">
        <v>209</v>
      </c>
      <c r="O1017" s="28">
        <f ca="1">IFERROR(__xludf.DUMMYFUNCTION("GOOGLEFINANCE(""BOM:"" &amp; K1017,""price"")"),178.15)</f>
        <v>178.15</v>
      </c>
      <c r="P1017" s="14">
        <f t="shared" ca="1" si="348"/>
        <v>-14.760765550239233</v>
      </c>
      <c r="Q1017" s="29">
        <f t="shared" si="349"/>
        <v>2129542800</v>
      </c>
      <c r="R1017" s="30">
        <f t="shared" ca="1" si="350"/>
        <v>1815205980</v>
      </c>
      <c r="S1017" s="31" t="s">
        <v>1968</v>
      </c>
      <c r="T1017" s="28">
        <v>543938</v>
      </c>
      <c r="U1017" s="28" t="s">
        <v>4271</v>
      </c>
      <c r="V1017" s="29">
        <v>2148800</v>
      </c>
      <c r="W1017" s="28">
        <v>359.5</v>
      </c>
      <c r="X1017" s="32">
        <f ca="1">IFERROR(__xludf.DUMMYFUNCTION("GOOGLEFINANCE(""BOM:"" &amp; T1017,""price"")"),314.95)</f>
        <v>314.95</v>
      </c>
      <c r="Y1017" s="14">
        <f t="shared" ca="1" si="332"/>
        <v>-12.392211404728794</v>
      </c>
      <c r="Z1017" s="29">
        <f t="shared" si="333"/>
        <v>772493600</v>
      </c>
      <c r="AA1017" s="30">
        <f t="shared" ca="1" si="334"/>
        <v>676764560</v>
      </c>
      <c r="AB1017" s="31" t="s">
        <v>3744</v>
      </c>
      <c r="AC1017" s="28">
        <v>543939</v>
      </c>
      <c r="AD1017" s="28" t="s">
        <v>4272</v>
      </c>
      <c r="AE1017" s="29">
        <v>13660000</v>
      </c>
      <c r="AF1017" s="28">
        <v>186.8</v>
      </c>
      <c r="AG1017" s="28">
        <f ca="1">IFERROR(__xludf.DUMMYFUNCTION("GOOGLEFINANCE(""BOM:"" &amp; AC1017,""price"")"),167)</f>
        <v>167</v>
      </c>
      <c r="AH1017" s="14">
        <f t="shared" ca="1" si="341"/>
        <v>-10.599571734475379</v>
      </c>
      <c r="AI1017" s="29">
        <f t="shared" si="342"/>
        <v>2551688000</v>
      </c>
      <c r="AJ1017" s="30">
        <f t="shared" ca="1" si="343"/>
        <v>2281220000</v>
      </c>
    </row>
    <row r="1018" spans="1:36" x14ac:dyDescent="0.25">
      <c r="A1018" s="31" t="s">
        <v>3847</v>
      </c>
      <c r="B1018" s="28">
        <v>543941</v>
      </c>
      <c r="C1018" s="28" t="s">
        <v>4273</v>
      </c>
      <c r="D1018" s="29">
        <v>3082288</v>
      </c>
      <c r="E1018" s="28">
        <v>579.79999999999995</v>
      </c>
      <c r="F1018" s="28">
        <f ca="1">IFERROR(__xludf.DUMMYFUNCTION("GOOGLEFINANCE(""BOM:"" &amp; B1018,""price"")"),433.05)</f>
        <v>433.05</v>
      </c>
      <c r="G1018" s="14">
        <f t="shared" ca="1" si="351"/>
        <v>-25.310451879958602</v>
      </c>
      <c r="H1018" s="29">
        <f t="shared" si="352"/>
        <v>1787110582.3999999</v>
      </c>
      <c r="I1018" s="30">
        <f t="shared" ca="1" si="353"/>
        <v>1334784818.4000001</v>
      </c>
      <c r="J1018" s="31" t="s">
        <v>985</v>
      </c>
      <c r="K1018" s="28">
        <v>543943</v>
      </c>
      <c r="L1018" s="28" t="s">
        <v>4274</v>
      </c>
      <c r="M1018" s="29">
        <v>19677300</v>
      </c>
      <c r="N1018" s="28">
        <v>81</v>
      </c>
      <c r="O1018" s="28">
        <f ca="1">IFERROR(__xludf.DUMMYFUNCTION("GOOGLEFINANCE(""BOM:"" &amp; K1018,""price"")"),65.26)</f>
        <v>65.260000000000005</v>
      </c>
      <c r="P1018" s="14">
        <f t="shared" ca="1" si="348"/>
        <v>-19.432098765432094</v>
      </c>
      <c r="Q1018" s="29">
        <f t="shared" si="349"/>
        <v>1593861300</v>
      </c>
      <c r="R1018" s="30">
        <f t="shared" ca="1" si="350"/>
        <v>1284140598</v>
      </c>
      <c r="S1018" s="31" t="s">
        <v>2929</v>
      </c>
      <c r="T1018" s="28">
        <v>543969</v>
      </c>
      <c r="U1018" s="28" t="s">
        <v>4275</v>
      </c>
      <c r="V1018" s="29">
        <v>36784800</v>
      </c>
      <c r="W1018" s="28">
        <v>170.95</v>
      </c>
      <c r="X1018" s="32">
        <f ca="1">IFERROR(__xludf.DUMMYFUNCTION("GOOGLEFINANCE(""BOM:"" &amp; T1018,""price"")"),145)</f>
        <v>145</v>
      </c>
      <c r="Y1018" s="14">
        <f t="shared" ca="1" si="332"/>
        <v>-15.179877157063462</v>
      </c>
      <c r="Z1018" s="29">
        <f t="shared" si="333"/>
        <v>6288361560</v>
      </c>
      <c r="AA1018" s="30">
        <f t="shared" ca="1" si="334"/>
        <v>5333796000</v>
      </c>
      <c r="AB1018" s="31" t="s">
        <v>985</v>
      </c>
      <c r="AC1018" s="28">
        <v>543950</v>
      </c>
      <c r="AD1018" s="28" t="s">
        <v>4276</v>
      </c>
      <c r="AE1018" s="29">
        <v>85850233</v>
      </c>
      <c r="AF1018" s="28">
        <v>444.9</v>
      </c>
      <c r="AG1018" s="28">
        <f ca="1">IFERROR(__xludf.DUMMYFUNCTION("GOOGLEFINANCE(""BOM:"" &amp; AC1018,""price"")"),415.5)</f>
        <v>415.5</v>
      </c>
      <c r="AH1018" s="14">
        <f t="shared" ca="1" si="341"/>
        <v>-6.6082265677680327</v>
      </c>
      <c r="AI1018" s="29">
        <f t="shared" si="342"/>
        <v>38194768661.699997</v>
      </c>
      <c r="AJ1018" s="30">
        <f t="shared" ca="1" si="343"/>
        <v>35670771811.5</v>
      </c>
    </row>
    <row r="1019" spans="1:36" x14ac:dyDescent="0.25">
      <c r="A1019" s="31" t="s">
        <v>13</v>
      </c>
      <c r="B1019" s="28">
        <v>543959</v>
      </c>
      <c r="C1019" s="28" t="s">
        <v>4277</v>
      </c>
      <c r="D1019" s="29">
        <v>1064210789</v>
      </c>
      <c r="E1019" s="28">
        <v>83.9</v>
      </c>
      <c r="F1019" s="28">
        <f ca="1">IFERROR(__xludf.DUMMYFUNCTION("GOOGLEFINANCE(""BOM:"" &amp; B1019,""price"")"),81.83)</f>
        <v>81.83</v>
      </c>
      <c r="G1019" s="14">
        <f t="shared" ca="1" si="351"/>
        <v>-2.4672228843861825</v>
      </c>
      <c r="H1019" s="29">
        <f t="shared" si="352"/>
        <v>89287285197.100006</v>
      </c>
      <c r="I1019" s="30">
        <f t="shared" ca="1" si="353"/>
        <v>87084368863.869995</v>
      </c>
      <c r="J1019" s="31" t="s">
        <v>15</v>
      </c>
      <c r="K1019" s="28">
        <v>543960</v>
      </c>
      <c r="L1019" s="28" t="s">
        <v>4278</v>
      </c>
      <c r="M1019" s="29">
        <v>104616204</v>
      </c>
      <c r="N1019" s="28">
        <v>1474.4</v>
      </c>
      <c r="O1019" s="28">
        <f ca="1">IFERROR(__xludf.DUMMYFUNCTION("GOOGLEFINANCE(""BOM:"" &amp; K1019,""price"")"),1534)</f>
        <v>1534</v>
      </c>
      <c r="P1019" s="14">
        <f t="shared" ca="1" si="348"/>
        <v>4.0423223005968465</v>
      </c>
      <c r="Q1019" s="29">
        <f t="shared" si="349"/>
        <v>154246131177.60001</v>
      </c>
      <c r="R1019" s="30">
        <f t="shared" ca="1" si="350"/>
        <v>160481256936</v>
      </c>
      <c r="S1019" s="31" t="s">
        <v>3110</v>
      </c>
      <c r="T1019" s="28">
        <v>543965</v>
      </c>
      <c r="U1019" s="28" t="s">
        <v>4279</v>
      </c>
      <c r="V1019" s="29">
        <v>437350632</v>
      </c>
      <c r="W1019" s="28">
        <v>180</v>
      </c>
      <c r="X1019" s="32">
        <f ca="1">IFERROR(__xludf.DUMMYFUNCTION("GOOGLEFINANCE(""BOM:"" &amp; T1019,""price"")"),154.5)</f>
        <v>154.5</v>
      </c>
      <c r="Y1019" s="14">
        <f t="shared" ca="1" si="332"/>
        <v>-14.166666666666666</v>
      </c>
      <c r="Z1019" s="29">
        <f t="shared" si="333"/>
        <v>78723113760</v>
      </c>
      <c r="AA1019" s="30">
        <f t="shared" ca="1" si="334"/>
        <v>67570672644</v>
      </c>
      <c r="AB1019" s="31" t="s">
        <v>2297</v>
      </c>
      <c r="AC1019" s="28">
        <v>543972</v>
      </c>
      <c r="AD1019" s="28" t="s">
        <v>4280</v>
      </c>
      <c r="AE1019" s="29">
        <v>129320370</v>
      </c>
      <c r="AF1019" s="28">
        <v>144.4</v>
      </c>
      <c r="AG1019" s="28">
        <f ca="1">IFERROR(__xludf.DUMMYFUNCTION("GOOGLEFINANCE(""BOM:"" &amp; AC1019,""price"")"),121.25)</f>
        <v>121.25</v>
      </c>
      <c r="AH1019" s="14">
        <f t="shared" ca="1" si="341"/>
        <v>-16.031855955678672</v>
      </c>
      <c r="AI1019" s="29">
        <f t="shared" si="342"/>
        <v>18673861428</v>
      </c>
      <c r="AJ1019" s="30">
        <f t="shared" ca="1" si="343"/>
        <v>15680094862.5</v>
      </c>
    </row>
    <row r="1020" spans="1:36" x14ac:dyDescent="0.25">
      <c r="A1020" s="31" t="s">
        <v>4215</v>
      </c>
      <c r="B1020" s="28">
        <v>543953</v>
      </c>
      <c r="C1020" s="28" t="s">
        <v>4281</v>
      </c>
      <c r="D1020" s="29">
        <v>24746900</v>
      </c>
      <c r="E1020" s="28">
        <v>312.3</v>
      </c>
      <c r="F1020" s="28">
        <f ca="1">IFERROR(__xludf.DUMMYFUNCTION("GOOGLEFINANCE(""BOM:"" &amp; B1020,""price"")"),305)</f>
        <v>305</v>
      </c>
      <c r="G1020" s="14">
        <f t="shared" ca="1" si="351"/>
        <v>-2.337495997438364</v>
      </c>
      <c r="H1020" s="29">
        <f t="shared" si="352"/>
        <v>7728456870</v>
      </c>
      <c r="I1020" s="30">
        <f t="shared" ca="1" si="353"/>
        <v>7547804500</v>
      </c>
      <c r="J1020" s="31" t="s">
        <v>4245</v>
      </c>
      <c r="K1020" s="28">
        <v>543951</v>
      </c>
      <c r="L1020" s="28" t="s">
        <v>4282</v>
      </c>
      <c r="M1020" s="29">
        <v>3958000</v>
      </c>
      <c r="N1020" s="28">
        <v>41</v>
      </c>
      <c r="O1020" s="28">
        <f ca="1">IFERROR(__xludf.DUMMYFUNCTION("GOOGLEFINANCE(""BOM:"" &amp; K1020,""price"")"),30.31)</f>
        <v>30.31</v>
      </c>
      <c r="P1020" s="14">
        <f t="shared" ca="1" si="348"/>
        <v>-26.073170731707318</v>
      </c>
      <c r="Q1020" s="29">
        <f t="shared" si="349"/>
        <v>162278000</v>
      </c>
      <c r="R1020" s="30">
        <f t="shared" ca="1" si="350"/>
        <v>119966980</v>
      </c>
      <c r="S1020" s="31" t="s">
        <v>1337</v>
      </c>
      <c r="T1020" s="28">
        <v>543974</v>
      </c>
      <c r="U1020" s="28" t="s">
        <v>4283</v>
      </c>
      <c r="V1020" s="29">
        <v>124644000</v>
      </c>
      <c r="W1020" s="28">
        <v>180.55</v>
      </c>
      <c r="X1020" s="32">
        <f ca="1">IFERROR(__xludf.DUMMYFUNCTION("GOOGLEFINANCE(""BOM:"" &amp; T1020,""price"")"),150)</f>
        <v>150</v>
      </c>
      <c r="Y1020" s="14">
        <f t="shared" ca="1" si="332"/>
        <v>-16.920520631404049</v>
      </c>
      <c r="Z1020" s="29">
        <f t="shared" si="333"/>
        <v>22504474200</v>
      </c>
      <c r="AA1020" s="30">
        <f t="shared" ca="1" si="334"/>
        <v>18696600000</v>
      </c>
      <c r="AB1020" s="31" t="s">
        <v>4215</v>
      </c>
      <c r="AC1020" s="28">
        <v>543970</v>
      </c>
      <c r="AD1020" s="28" t="s">
        <v>4284</v>
      </c>
      <c r="AE1020" s="29">
        <v>1498662</v>
      </c>
      <c r="AF1020" s="28">
        <v>47.5</v>
      </c>
      <c r="AG1020" s="28">
        <f ca="1">IFERROR(__xludf.DUMMYFUNCTION("GOOGLEFINANCE(""BOM:"" &amp; AC1020,""price"")"),38.67)</f>
        <v>38.67</v>
      </c>
      <c r="AH1020" s="14">
        <f t="shared" ca="1" si="341"/>
        <v>-18.589473684210521</v>
      </c>
      <c r="AI1020" s="29">
        <f t="shared" si="342"/>
        <v>71186445</v>
      </c>
      <c r="AJ1020" s="30">
        <f t="shared" ca="1" si="343"/>
        <v>57953259.539999999</v>
      </c>
    </row>
    <row r="1021" spans="1:36" x14ac:dyDescent="0.25">
      <c r="A1021" s="31" t="s">
        <v>2757</v>
      </c>
      <c r="B1021" s="28">
        <v>543971</v>
      </c>
      <c r="C1021" s="28" t="s">
        <v>4285</v>
      </c>
      <c r="D1021" s="29">
        <v>21602059</v>
      </c>
      <c r="E1021" s="28">
        <v>903</v>
      </c>
      <c r="F1021" s="28">
        <f ca="1">IFERROR(__xludf.DUMMYFUNCTION("GOOGLEFINANCE(""BOM:"" &amp; B1021,""price"")"),852)</f>
        <v>852</v>
      </c>
      <c r="G1021" s="14">
        <f t="shared" ca="1" si="351"/>
        <v>-5.6478405315614619</v>
      </c>
      <c r="H1021" s="29">
        <f t="shared" si="352"/>
        <v>19506659277</v>
      </c>
      <c r="I1021" s="30">
        <f t="shared" ca="1" si="353"/>
        <v>18404954268</v>
      </c>
      <c r="J1021" s="31" t="s">
        <v>3906</v>
      </c>
      <c r="K1021" s="28">
        <v>543977</v>
      </c>
      <c r="L1021" s="28" t="s">
        <v>4286</v>
      </c>
      <c r="M1021" s="29">
        <v>37961358</v>
      </c>
      <c r="N1021" s="28">
        <v>489.65</v>
      </c>
      <c r="O1021" s="28">
        <f ca="1">IFERROR(__xludf.DUMMYFUNCTION("GOOGLEFINANCE(""BOM:"" &amp; K1021,""price"")"),442.5)</f>
        <v>442.5</v>
      </c>
      <c r="P1021" s="14">
        <f t="shared" ca="1" si="348"/>
        <v>-9.6293270703563714</v>
      </c>
      <c r="Q1021" s="29">
        <f t="shared" si="349"/>
        <v>18587778944.700001</v>
      </c>
      <c r="R1021" s="30">
        <f t="shared" ca="1" si="350"/>
        <v>16797900915</v>
      </c>
      <c r="S1021" s="31" t="s">
        <v>2297</v>
      </c>
      <c r="T1021" s="28">
        <v>543978</v>
      </c>
      <c r="U1021" s="28" t="s">
        <v>4287</v>
      </c>
      <c r="V1021" s="29">
        <v>48499040</v>
      </c>
      <c r="W1021" s="28">
        <v>134.35</v>
      </c>
      <c r="X1021" s="32">
        <f ca="1">IFERROR(__xludf.DUMMYFUNCTION("GOOGLEFINANCE(""BOM:"" &amp; T1021,""price"")"),116.3)</f>
        <v>116.3</v>
      </c>
      <c r="Y1021" s="14">
        <f t="shared" ca="1" si="332"/>
        <v>-13.435057685150726</v>
      </c>
      <c r="Z1021" s="29">
        <f t="shared" si="333"/>
        <v>6515846024</v>
      </c>
      <c r="AA1021" s="30">
        <f t="shared" ca="1" si="334"/>
        <v>5640438352</v>
      </c>
      <c r="AB1021" s="31" t="s">
        <v>985</v>
      </c>
      <c r="AC1021" s="28">
        <v>543980</v>
      </c>
      <c r="AD1021" s="28" t="s">
        <v>4288</v>
      </c>
      <c r="AE1021" s="29">
        <v>65566022</v>
      </c>
      <c r="AF1021" s="28">
        <v>1308.8499999999999</v>
      </c>
      <c r="AG1021" s="28">
        <f ca="1">IFERROR(__xludf.DUMMYFUNCTION("GOOGLEFINANCE(""BOM:"" &amp; AC1021,""price"")"),1201.5)</f>
        <v>1201.5</v>
      </c>
      <c r="AH1021" s="14">
        <f t="shared" ca="1" si="341"/>
        <v>-8.2018565916644324</v>
      </c>
      <c r="AI1021" s="29">
        <f t="shared" si="342"/>
        <v>85816087894.699997</v>
      </c>
      <c r="AJ1021" s="30">
        <f t="shared" ca="1" si="343"/>
        <v>78777575433</v>
      </c>
    </row>
    <row r="1022" spans="1:36" x14ac:dyDescent="0.25">
      <c r="A1022" s="31" t="s">
        <v>1695</v>
      </c>
      <c r="B1022" s="28">
        <v>543982</v>
      </c>
      <c r="C1022" s="28" t="s">
        <v>4289</v>
      </c>
      <c r="D1022" s="29">
        <v>10160062</v>
      </c>
      <c r="E1022" s="28">
        <v>689</v>
      </c>
      <c r="F1022" s="28">
        <f ca="1">IFERROR(__xludf.DUMMYFUNCTION("GOOGLEFINANCE(""BOM:"" &amp; B1022,""price"")"),670)</f>
        <v>670</v>
      </c>
      <c r="G1022" s="14">
        <f t="shared" ca="1" si="351"/>
        <v>-2.7576197387518144</v>
      </c>
      <c r="H1022" s="29">
        <f t="shared" si="352"/>
        <v>7000282718</v>
      </c>
      <c r="I1022" s="30">
        <f t="shared" ca="1" si="353"/>
        <v>6807241540</v>
      </c>
      <c r="J1022" s="31" t="s">
        <v>1001</v>
      </c>
      <c r="K1022" s="28">
        <v>543981</v>
      </c>
      <c r="L1022" s="28" t="s">
        <v>4290</v>
      </c>
      <c r="M1022" s="29">
        <v>112818761</v>
      </c>
      <c r="N1022" s="28">
        <v>1454.45</v>
      </c>
      <c r="O1022" s="28">
        <f ca="1">IFERROR(__xludf.DUMMYFUNCTION("GOOGLEFINANCE(""BOM:"" &amp; K1022,""price"")"),1503.8)</f>
        <v>1503.8</v>
      </c>
      <c r="P1022" s="14">
        <f t="shared" ca="1" si="348"/>
        <v>3.3930351679328887</v>
      </c>
      <c r="Q1022" s="29">
        <f t="shared" si="349"/>
        <v>164089246936.45001</v>
      </c>
      <c r="R1022" s="30">
        <f t="shared" ca="1" si="350"/>
        <v>169656852791.79999</v>
      </c>
      <c r="S1022" s="31" t="s">
        <v>2753</v>
      </c>
      <c r="T1022" s="28">
        <v>543985</v>
      </c>
      <c r="U1022" s="28" t="s">
        <v>4291</v>
      </c>
      <c r="V1022" s="29">
        <v>121796878</v>
      </c>
      <c r="W1022" s="28">
        <v>354.35</v>
      </c>
      <c r="X1022" s="32">
        <f ca="1">IFERROR(__xludf.DUMMYFUNCTION("GOOGLEFINANCE(""BOM:"" &amp; T1022,""price"")"),287.45)</f>
        <v>287.45</v>
      </c>
      <c r="Y1022" s="14">
        <f t="shared" ca="1" si="332"/>
        <v>-18.879638775222247</v>
      </c>
      <c r="Z1022" s="29">
        <f t="shared" si="333"/>
        <v>43158723719.300003</v>
      </c>
      <c r="AA1022" s="30">
        <f t="shared" ca="1" si="334"/>
        <v>35010512581.099998</v>
      </c>
      <c r="AB1022" s="31" t="s">
        <v>1064</v>
      </c>
      <c r="AC1022" s="28">
        <v>543984</v>
      </c>
      <c r="AD1022" s="28" t="s">
        <v>4292</v>
      </c>
      <c r="AE1022" s="29">
        <v>218035326</v>
      </c>
      <c r="AF1022" s="28">
        <v>221.65</v>
      </c>
      <c r="AG1022" s="28">
        <f ca="1">IFERROR(__xludf.DUMMYFUNCTION("GOOGLEFINANCE(""BOM:"" &amp; AC1022,""price"")"),208)</f>
        <v>208</v>
      </c>
      <c r="AH1022" s="14">
        <f t="shared" ca="1" si="341"/>
        <v>-6.1583577712609996</v>
      </c>
      <c r="AI1022" s="29">
        <f t="shared" si="342"/>
        <v>48327530007.900002</v>
      </c>
      <c r="AJ1022" s="30">
        <f t="shared" ca="1" si="343"/>
        <v>45351347808</v>
      </c>
    </row>
    <row r="1023" spans="1:36" x14ac:dyDescent="0.25">
      <c r="A1023" s="31" t="s">
        <v>2787</v>
      </c>
      <c r="B1023" s="28">
        <v>543992</v>
      </c>
      <c r="C1023" s="28" t="s">
        <v>4293</v>
      </c>
      <c r="D1023" s="29">
        <v>156916193</v>
      </c>
      <c r="E1023" s="28">
        <v>168</v>
      </c>
      <c r="F1023" s="28">
        <f ca="1">IFERROR(__xludf.DUMMYFUNCTION("GOOGLEFINANCE(""BOM:"" &amp; B1023,""price"")"),143.2)</f>
        <v>143.19999999999999</v>
      </c>
      <c r="G1023" s="14">
        <f t="shared" ca="1" si="351"/>
        <v>-14.761904761904768</v>
      </c>
      <c r="H1023" s="29">
        <f t="shared" si="352"/>
        <v>26361920424</v>
      </c>
      <c r="I1023" s="30">
        <f t="shared" ca="1" si="353"/>
        <v>22470398837.599998</v>
      </c>
      <c r="J1023" s="31" t="s">
        <v>2346</v>
      </c>
      <c r="K1023" s="28">
        <v>543991</v>
      </c>
      <c r="L1023" s="28" t="s">
        <v>4294</v>
      </c>
      <c r="M1023" s="29">
        <v>7382730</v>
      </c>
      <c r="N1023" s="28">
        <v>251.1</v>
      </c>
      <c r="O1023" s="28">
        <f ca="1">IFERROR(__xludf.DUMMYFUNCTION("GOOGLEFINANCE(""BOM:"" &amp; K1023,""price"")"),177.75)</f>
        <v>177.75</v>
      </c>
      <c r="P1023" s="14">
        <f t="shared" ca="1" si="348"/>
        <v>-29.211469534050178</v>
      </c>
      <c r="Q1023" s="29">
        <f t="shared" si="349"/>
        <v>1853803503</v>
      </c>
      <c r="R1023" s="30">
        <f t="shared" ca="1" si="350"/>
        <v>1312280257.5</v>
      </c>
      <c r="S1023" s="31" t="s">
        <v>4222</v>
      </c>
      <c r="T1023" s="28">
        <v>543989</v>
      </c>
      <c r="U1023" s="28" t="s">
        <v>4295</v>
      </c>
      <c r="V1023" s="29">
        <v>153366112</v>
      </c>
      <c r="W1023" s="28">
        <v>232</v>
      </c>
      <c r="X1023" s="32">
        <f ca="1">IFERROR(__xludf.DUMMYFUNCTION("GOOGLEFINANCE(""BOM:"" &amp; T1023,""price"")"),200.45)</f>
        <v>200.45</v>
      </c>
      <c r="Y1023" s="14">
        <f t="shared" ca="1" si="332"/>
        <v>-13.599137931034488</v>
      </c>
      <c r="Z1023" s="29">
        <f t="shared" si="333"/>
        <v>35580937984</v>
      </c>
      <c r="AA1023" s="30">
        <f t="shared" ca="1" si="334"/>
        <v>30742237150.399998</v>
      </c>
      <c r="AB1023" s="31" t="s">
        <v>858</v>
      </c>
      <c r="AC1023" s="28">
        <v>543990</v>
      </c>
      <c r="AD1023" s="28" t="s">
        <v>4296</v>
      </c>
      <c r="AE1023" s="29">
        <v>140510691</v>
      </c>
      <c r="AF1023" s="28">
        <v>1390</v>
      </c>
      <c r="AG1023" s="28">
        <f ca="1">IFERROR(__xludf.DUMMYFUNCTION("GOOGLEFINANCE(""BOM:"" &amp; AC1023,""price"")"),1333.6)</f>
        <v>1333.6</v>
      </c>
      <c r="AH1023" s="14">
        <f t="shared" ca="1" si="341"/>
        <v>-4.0575539568345391</v>
      </c>
      <c r="AI1023" s="29">
        <f t="shared" si="342"/>
        <v>195309860490</v>
      </c>
      <c r="AJ1023" s="30">
        <f t="shared" ca="1" si="343"/>
        <v>187385057517.59998</v>
      </c>
    </row>
    <row r="1024" spans="1:36" x14ac:dyDescent="0.25">
      <c r="A1024" s="31" t="s">
        <v>4053</v>
      </c>
      <c r="B1024" s="28">
        <v>543997</v>
      </c>
      <c r="C1024" s="28" t="s">
        <v>4297</v>
      </c>
      <c r="D1024" s="29">
        <v>7098584</v>
      </c>
      <c r="E1024" s="28">
        <v>230</v>
      </c>
      <c r="F1024" s="28">
        <f ca="1">IFERROR(__xludf.DUMMYFUNCTION("GOOGLEFINANCE(""BOM:"" &amp; B1024,""price"")"),210.05)</f>
        <v>210.05</v>
      </c>
      <c r="G1024" s="14">
        <f t="shared" ca="1" si="351"/>
        <v>-8.6739130434782563</v>
      </c>
      <c r="H1024" s="29">
        <f t="shared" si="352"/>
        <v>1632674320</v>
      </c>
      <c r="I1024" s="30">
        <f t="shared" ca="1" si="353"/>
        <v>1491057569.2</v>
      </c>
      <c r="J1024" s="31" t="s">
        <v>4215</v>
      </c>
      <c r="K1024" s="28">
        <v>543995</v>
      </c>
      <c r="L1024" s="28" t="s">
        <v>4298</v>
      </c>
      <c r="M1024" s="29">
        <v>48847441</v>
      </c>
      <c r="N1024" s="28">
        <v>255.05</v>
      </c>
      <c r="O1024" s="28">
        <f ca="1">IFERROR(__xludf.DUMMYFUNCTION("GOOGLEFINANCE(""BOM:"" &amp; K1024,""price"")"),251.85)</f>
        <v>251.85</v>
      </c>
      <c r="P1024" s="14">
        <f t="shared" ca="1" si="348"/>
        <v>-1.2546559498137686</v>
      </c>
      <c r="Q1024" s="29">
        <f t="shared" si="349"/>
        <v>12458539827.050001</v>
      </c>
      <c r="R1024" s="30">
        <f t="shared" ca="1" si="350"/>
        <v>12302228015.85</v>
      </c>
      <c r="S1024" s="31" t="s">
        <v>4299</v>
      </c>
      <c r="T1024" s="28">
        <v>543994</v>
      </c>
      <c r="U1024" s="28" t="s">
        <v>4300</v>
      </c>
      <c r="V1024" s="29">
        <v>2100001567</v>
      </c>
      <c r="W1024" s="28">
        <v>256.89999999999998</v>
      </c>
      <c r="X1024" s="32">
        <f ca="1">IFERROR(__xludf.DUMMYFUNCTION("GOOGLEFINANCE(""BOM:"" &amp; T1024,""price"")"),245.5)</f>
        <v>245.5</v>
      </c>
      <c r="Y1024" s="14">
        <f t="shared" ca="1" si="332"/>
        <v>-4.4375243285324943</v>
      </c>
      <c r="Z1024" s="29">
        <f t="shared" si="333"/>
        <v>539490402562.29993</v>
      </c>
      <c r="AA1024" s="30">
        <f t="shared" ca="1" si="334"/>
        <v>515550384698.5</v>
      </c>
      <c r="AB1024" s="31" t="s">
        <v>1001</v>
      </c>
      <c r="AC1024" s="28">
        <v>544003</v>
      </c>
      <c r="AD1024" s="28" t="s">
        <v>4301</v>
      </c>
      <c r="AE1024" s="29">
        <v>43752078</v>
      </c>
      <c r="AF1024" s="28">
        <v>95.85</v>
      </c>
      <c r="AG1024" s="28">
        <f ca="1">IFERROR(__xludf.DUMMYFUNCTION("GOOGLEFINANCE(""BOM:"" &amp; AC1024,""price"")"),81)</f>
        <v>81</v>
      </c>
      <c r="AH1024" s="14">
        <f t="shared" ca="1" si="341"/>
        <v>-15.492957746478869</v>
      </c>
      <c r="AI1024" s="29">
        <f t="shared" si="342"/>
        <v>4193636676.2999997</v>
      </c>
      <c r="AJ1024" s="30">
        <f t="shared" ca="1" si="343"/>
        <v>3543918318</v>
      </c>
    </row>
    <row r="1025" spans="1:36" x14ac:dyDescent="0.25">
      <c r="A1025" s="31" t="s">
        <v>13</v>
      </c>
      <c r="B1025" s="28">
        <v>543940</v>
      </c>
      <c r="C1025" s="28" t="s">
        <v>4302</v>
      </c>
      <c r="D1025" s="29">
        <v>6353284132</v>
      </c>
      <c r="E1025" s="28">
        <v>317.85000000000002</v>
      </c>
      <c r="F1025" s="28">
        <f ca="1">IFERROR(__xludf.DUMMYFUNCTION("GOOGLEFINANCE(""BOM:"" &amp; B1025,""price"")"),353.8)</f>
        <v>353.8</v>
      </c>
      <c r="G1025" s="14">
        <f t="shared" ca="1" si="351"/>
        <v>11.310366525090448</v>
      </c>
      <c r="H1025" s="29">
        <f t="shared" si="352"/>
        <v>2019391361356.2002</v>
      </c>
      <c r="I1025" s="30">
        <f t="shared" ca="1" si="353"/>
        <v>2247791925901.6001</v>
      </c>
      <c r="J1025" s="31" t="s">
        <v>2681</v>
      </c>
      <c r="K1025" s="28">
        <v>543996</v>
      </c>
      <c r="L1025" s="28" t="s">
        <v>4303</v>
      </c>
      <c r="M1025" s="29">
        <v>66702688</v>
      </c>
      <c r="N1025" s="28">
        <v>362.2</v>
      </c>
      <c r="O1025" s="28">
        <f ca="1">IFERROR(__xludf.DUMMYFUNCTION("GOOGLEFINANCE(""BOM:"" &amp; K1025,""price"")"),319.9)</f>
        <v>319.89999999999998</v>
      </c>
      <c r="P1025" s="14">
        <f t="shared" ca="1" si="348"/>
        <v>-11.678630590833796</v>
      </c>
      <c r="Q1025" s="29">
        <f t="shared" si="349"/>
        <v>24159713593.599998</v>
      </c>
      <c r="R1025" s="30">
        <f t="shared" ca="1" si="350"/>
        <v>21338189891.199997</v>
      </c>
      <c r="S1025" s="31" t="s">
        <v>1633</v>
      </c>
      <c r="T1025" s="28">
        <v>543998</v>
      </c>
      <c r="U1025" s="28" t="s">
        <v>4304</v>
      </c>
      <c r="V1025" s="29">
        <v>43450000</v>
      </c>
      <c r="W1025" s="28">
        <v>172.7</v>
      </c>
      <c r="X1025" s="32">
        <f ca="1">IFERROR(__xludf.DUMMYFUNCTION("GOOGLEFINANCE(""BOM:"" &amp; T1025,""price"")"),145.95)</f>
        <v>145.94999999999999</v>
      </c>
      <c r="Y1025" s="14">
        <f t="shared" ca="1" si="332"/>
        <v>-15.489287782281414</v>
      </c>
      <c r="Z1025" s="29">
        <f t="shared" si="333"/>
        <v>7503814999.999999</v>
      </c>
      <c r="AA1025" s="30">
        <f t="shared" ca="1" si="334"/>
        <v>6341527499.999999</v>
      </c>
      <c r="AB1025" s="31" t="s">
        <v>3262</v>
      </c>
      <c r="AC1025" s="28">
        <v>544004</v>
      </c>
      <c r="AD1025" s="28" t="s">
        <v>4305</v>
      </c>
      <c r="AE1025" s="29">
        <v>41059677</v>
      </c>
      <c r="AF1025" s="28">
        <v>565.5</v>
      </c>
      <c r="AG1025" s="28">
        <f ca="1">IFERROR(__xludf.DUMMYFUNCTION("GOOGLEFINANCE(""BOM:"" &amp; AC1025,""price"")"),467.95)</f>
        <v>467.95</v>
      </c>
      <c r="AH1025" s="14">
        <f t="shared" ca="1" si="341"/>
        <v>-17.250221043324494</v>
      </c>
      <c r="AI1025" s="29">
        <f t="shared" si="342"/>
        <v>23219247343.5</v>
      </c>
      <c r="AJ1025" s="30">
        <f t="shared" ca="1" si="343"/>
        <v>19213875852.149998</v>
      </c>
    </row>
    <row r="1026" spans="1:36" x14ac:dyDescent="0.25">
      <c r="A1026" s="31" t="s">
        <v>15</v>
      </c>
      <c r="B1026" s="28">
        <v>544009</v>
      </c>
      <c r="C1026" s="28" t="s">
        <v>4306</v>
      </c>
      <c r="D1026" s="29">
        <v>173465425</v>
      </c>
      <c r="E1026" s="28">
        <v>346.1</v>
      </c>
      <c r="F1026" s="28">
        <f ca="1">IFERROR(__xludf.DUMMYFUNCTION("GOOGLEFINANCE(""BOM:"" &amp; B1026,""price"")"),382.7)</f>
        <v>382.7</v>
      </c>
      <c r="G1026" s="14">
        <f t="shared" ca="1" si="351"/>
        <v>10.574978329962429</v>
      </c>
      <c r="H1026" s="29">
        <f t="shared" si="352"/>
        <v>60036383592.500008</v>
      </c>
      <c r="I1026" s="30">
        <f t="shared" ca="1" si="353"/>
        <v>66385218147.5</v>
      </c>
      <c r="J1026" s="31" t="s">
        <v>3561</v>
      </c>
      <c r="K1026" s="28">
        <v>544000</v>
      </c>
      <c r="L1026" s="28" t="s">
        <v>4307</v>
      </c>
      <c r="M1026" s="29"/>
      <c r="N1026" s="28"/>
      <c r="O1026" s="28"/>
      <c r="P1026" s="14"/>
      <c r="Q1026" s="29"/>
      <c r="R1026" s="30"/>
      <c r="S1026" s="31" t="s">
        <v>4200</v>
      </c>
      <c r="T1026" s="28">
        <v>544001</v>
      </c>
      <c r="U1026" s="28" t="s">
        <v>4308</v>
      </c>
      <c r="V1026" s="29">
        <v>5625000</v>
      </c>
      <c r="W1026" s="28">
        <v>261.10000000000002</v>
      </c>
      <c r="X1026" s="32">
        <f ca="1">IFERROR(__xludf.DUMMYFUNCTION("GOOGLEFINANCE(""BOM:"" &amp; T1026,""price"")"),267)</f>
        <v>267</v>
      </c>
      <c r="Y1026" s="14">
        <f t="shared" ca="1" si="332"/>
        <v>2.2596706242818754</v>
      </c>
      <c r="Z1026" s="29">
        <f t="shared" si="333"/>
        <v>1468687500.0000002</v>
      </c>
      <c r="AA1026" s="30">
        <f t="shared" ca="1" si="334"/>
        <v>1501875000</v>
      </c>
      <c r="AB1026" s="31" t="s">
        <v>2905</v>
      </c>
      <c r="AC1026" s="28">
        <v>544002</v>
      </c>
      <c r="AD1026" s="28" t="s">
        <v>4309</v>
      </c>
      <c r="AE1026" s="29"/>
      <c r="AF1026" s="28"/>
      <c r="AG1026" s="28"/>
      <c r="AH1026" s="14"/>
      <c r="AI1026" s="29"/>
      <c r="AJ1026" s="30"/>
    </row>
    <row r="1027" spans="1:36" x14ac:dyDescent="0.25">
      <c r="A1027" s="31" t="s">
        <v>985</v>
      </c>
      <c r="B1027" s="28">
        <v>544013</v>
      </c>
      <c r="C1027" s="28" t="s">
        <v>4310</v>
      </c>
      <c r="D1027" s="29">
        <v>6808542</v>
      </c>
      <c r="E1027" s="28">
        <v>62</v>
      </c>
      <c r="F1027" s="28">
        <f ca="1">IFERROR(__xludf.DUMMYFUNCTION("GOOGLEFINANCE(""BOM:"" &amp; B1027,""price"")"),49.15)</f>
        <v>49.15</v>
      </c>
      <c r="G1027" s="14">
        <f t="shared" ca="1" si="351"/>
        <v>-20.725806451612904</v>
      </c>
      <c r="H1027" s="29">
        <f t="shared" si="352"/>
        <v>422129604</v>
      </c>
      <c r="I1027" s="30">
        <f t="shared" ca="1" si="353"/>
        <v>334639839.30000001</v>
      </c>
      <c r="J1027" s="31" t="s">
        <v>2681</v>
      </c>
      <c r="K1027" s="28">
        <v>544011</v>
      </c>
      <c r="L1027" s="28" t="s">
        <v>4311</v>
      </c>
      <c r="M1027" s="29">
        <v>5332728</v>
      </c>
      <c r="N1027" s="28">
        <v>55</v>
      </c>
      <c r="O1027" s="28">
        <f ca="1">IFERROR(__xludf.DUMMYFUNCTION("GOOGLEFINANCE(""BOM:"" &amp; K1027,""price"")"),33.7)</f>
        <v>33.700000000000003</v>
      </c>
      <c r="P1027" s="14">
        <f t="shared" ref="P1027:P1030" ca="1" si="354">((O1027-N1027)/N1027)*100</f>
        <v>-38.72727272727272</v>
      </c>
      <c r="Q1027" s="29">
        <f t="shared" ref="Q1027:Q1030" si="355">M1027*N1027</f>
        <v>293300040</v>
      </c>
      <c r="R1027" s="30">
        <f t="shared" ref="R1027:R1030" ca="1" si="356">M1027*O1027</f>
        <v>179712933.60000002</v>
      </c>
      <c r="S1027" s="31" t="s">
        <v>1351</v>
      </c>
      <c r="T1027" s="28">
        <v>544012</v>
      </c>
      <c r="U1027" s="28" t="s">
        <v>4312</v>
      </c>
      <c r="V1027" s="29">
        <v>212231034</v>
      </c>
      <c r="W1027" s="28">
        <v>826.1</v>
      </c>
      <c r="X1027" s="32">
        <f ca="1">IFERROR(__xludf.DUMMYFUNCTION("GOOGLEFINANCE(""BOM:"" &amp; T1027,""price"")"),770.3)</f>
        <v>770.3</v>
      </c>
      <c r="Y1027" s="14">
        <f t="shared" ca="1" si="332"/>
        <v>-6.7546301900496388</v>
      </c>
      <c r="Z1027" s="29">
        <f t="shared" si="333"/>
        <v>175324057187.39999</v>
      </c>
      <c r="AA1027" s="30">
        <f t="shared" ca="1" si="334"/>
        <v>163481565490.19998</v>
      </c>
      <c r="AB1027" s="31" t="s">
        <v>206</v>
      </c>
      <c r="AC1027" s="28">
        <v>544015</v>
      </c>
      <c r="AD1027" s="28" t="s">
        <v>4313</v>
      </c>
      <c r="AE1027" s="29">
        <v>2800000</v>
      </c>
      <c r="AF1027" s="28">
        <v>150.30000000000001</v>
      </c>
      <c r="AG1027" s="28">
        <f ca="1">IFERROR(__xludf.DUMMYFUNCTION("GOOGLEFINANCE(""BOM:"" &amp; AC1027,""price"")"),121.45)</f>
        <v>121.45</v>
      </c>
      <c r="AH1027" s="14">
        <f t="shared" ref="AH1027:AH1036" ca="1" si="357">((AG1027-AF1027)/AF1027)*100</f>
        <v>-19.194943446440458</v>
      </c>
      <c r="AI1027" s="29">
        <f t="shared" ref="AI1027:AI1036" si="358">AE1027*AF1027</f>
        <v>420840000.00000006</v>
      </c>
      <c r="AJ1027" s="30">
        <f t="shared" ref="AJ1027:AJ1036" ca="1" si="359">AE1027*AG1027</f>
        <v>340060000</v>
      </c>
    </row>
    <row r="1028" spans="1:36" x14ac:dyDescent="0.25">
      <c r="A1028" s="31" t="s">
        <v>3431</v>
      </c>
      <c r="B1028" s="28">
        <v>544014</v>
      </c>
      <c r="C1028" s="28" t="s">
        <v>4314</v>
      </c>
      <c r="D1028" s="29">
        <v>321746757</v>
      </c>
      <c r="E1028" s="28">
        <v>414.45</v>
      </c>
      <c r="F1028" s="28">
        <f ca="1">IFERROR(__xludf.DUMMYFUNCTION("GOOGLEFINANCE(""BOM:"" &amp; B1028,""price"")"),403)</f>
        <v>403</v>
      </c>
      <c r="G1028" s="14">
        <f t="shared" ca="1" si="351"/>
        <v>-2.762697550971164</v>
      </c>
      <c r="H1028" s="29">
        <f t="shared" si="352"/>
        <v>133347943438.64999</v>
      </c>
      <c r="I1028" s="30">
        <f t="shared" ca="1" si="353"/>
        <v>129663943071</v>
      </c>
      <c r="J1028" s="31" t="s">
        <v>3772</v>
      </c>
      <c r="K1028" s="28">
        <v>544020</v>
      </c>
      <c r="L1028" s="28" t="s">
        <v>4315</v>
      </c>
      <c r="M1028" s="29">
        <v>514779858</v>
      </c>
      <c r="N1028" s="28">
        <v>62.25</v>
      </c>
      <c r="O1028" s="28">
        <f ca="1">IFERROR(__xludf.DUMMYFUNCTION("GOOGLEFINANCE(""BOM:"" &amp; K1028,""price"")"),54.6)</f>
        <v>54.6</v>
      </c>
      <c r="P1028" s="14">
        <f t="shared" ca="1" si="354"/>
        <v>-12.289156626506022</v>
      </c>
      <c r="Q1028" s="29">
        <f t="shared" si="355"/>
        <v>32045046160.5</v>
      </c>
      <c r="R1028" s="30">
        <f t="shared" ca="1" si="356"/>
        <v>28106980246.799999</v>
      </c>
      <c r="S1028" s="31" t="s">
        <v>376</v>
      </c>
      <c r="T1028" s="28">
        <v>544022</v>
      </c>
      <c r="U1028" s="28" t="s">
        <v>4316</v>
      </c>
      <c r="V1028" s="29">
        <v>197142600</v>
      </c>
      <c r="W1028" s="28">
        <v>294.85000000000002</v>
      </c>
      <c r="X1028" s="32">
        <f ca="1">IFERROR(__xludf.DUMMYFUNCTION("GOOGLEFINANCE(""BOM:"" &amp; T1028,""price"")"),285.7)</f>
        <v>285.7</v>
      </c>
      <c r="Y1028" s="14">
        <f t="shared" ca="1" si="332"/>
        <v>-3.1032728506020124</v>
      </c>
      <c r="Z1028" s="29">
        <f t="shared" si="333"/>
        <v>58127495610.000008</v>
      </c>
      <c r="AA1028" s="30">
        <f t="shared" ca="1" si="334"/>
        <v>56323640820</v>
      </c>
      <c r="AB1028" s="31" t="s">
        <v>2753</v>
      </c>
      <c r="AC1028" s="28">
        <v>544021</v>
      </c>
      <c r="AD1028" s="28" t="s">
        <v>4317</v>
      </c>
      <c r="AE1028" s="29">
        <v>40446732</v>
      </c>
      <c r="AF1028" s="28">
        <v>1107.5</v>
      </c>
      <c r="AG1028" s="28">
        <f ca="1">IFERROR(__xludf.DUMMYFUNCTION("GOOGLEFINANCE(""BOM:"" &amp; AC1028,""price"")"),1005.9)</f>
        <v>1005.9</v>
      </c>
      <c r="AH1028" s="14">
        <f t="shared" ca="1" si="357"/>
        <v>-9.1738148984198666</v>
      </c>
      <c r="AI1028" s="29">
        <f t="shared" si="358"/>
        <v>44794755690</v>
      </c>
      <c r="AJ1028" s="30">
        <f t="shared" ca="1" si="359"/>
        <v>40685367718.799995</v>
      </c>
    </row>
    <row r="1029" spans="1:36" x14ac:dyDescent="0.25">
      <c r="A1029" s="31" t="s">
        <v>4200</v>
      </c>
      <c r="B1029" s="28">
        <v>544023</v>
      </c>
      <c r="C1029" s="28" t="s">
        <v>4318</v>
      </c>
      <c r="D1029" s="29">
        <v>7180500</v>
      </c>
      <c r="E1029" s="28">
        <v>490</v>
      </c>
      <c r="F1029" s="28">
        <f ca="1">IFERROR(__xludf.DUMMYFUNCTION("GOOGLEFINANCE(""BOM:"" &amp; B1029,""price"")"),410)</f>
        <v>410</v>
      </c>
      <c r="G1029" s="14">
        <f t="shared" ca="1" si="351"/>
        <v>-16.326530612244898</v>
      </c>
      <c r="H1029" s="29">
        <f t="shared" si="352"/>
        <v>3518445000</v>
      </c>
      <c r="I1029" s="30">
        <f t="shared" ca="1" si="353"/>
        <v>2944005000</v>
      </c>
      <c r="J1029" s="31" t="s">
        <v>4200</v>
      </c>
      <c r="K1029" s="28">
        <v>544025</v>
      </c>
      <c r="L1029" s="28" t="s">
        <v>4319</v>
      </c>
      <c r="M1029" s="29">
        <v>1773825</v>
      </c>
      <c r="N1029" s="28">
        <v>179.25</v>
      </c>
      <c r="O1029" s="28">
        <f ca="1">IFERROR(__xludf.DUMMYFUNCTION("GOOGLEFINANCE(""BOM:"" &amp; K1029,""price"")"),129)</f>
        <v>129</v>
      </c>
      <c r="P1029" s="14">
        <f t="shared" ca="1" si="354"/>
        <v>-28.03347280334728</v>
      </c>
      <c r="Q1029" s="29">
        <f t="shared" si="355"/>
        <v>317958131.25</v>
      </c>
      <c r="R1029" s="30">
        <f t="shared" ca="1" si="356"/>
        <v>228823425</v>
      </c>
      <c r="S1029" s="31" t="s">
        <v>11</v>
      </c>
      <c r="T1029" s="28">
        <v>544026</v>
      </c>
      <c r="U1029" s="28" t="s">
        <v>4320</v>
      </c>
      <c r="V1029" s="29">
        <v>2687764706</v>
      </c>
      <c r="W1029" s="28">
        <v>157.4</v>
      </c>
      <c r="X1029" s="32">
        <f ca="1">IFERROR(__xludf.DUMMYFUNCTION("GOOGLEFINANCE(""BOM:"" &amp; T1029,""price"")"),135.9)</f>
        <v>135.9</v>
      </c>
      <c r="Y1029" s="14">
        <f t="shared" ca="1" si="332"/>
        <v>-13.659466327827191</v>
      </c>
      <c r="Z1029" s="29">
        <f t="shared" si="333"/>
        <v>423054164724.40002</v>
      </c>
      <c r="AA1029" s="30">
        <f t="shared" ca="1" si="334"/>
        <v>365267223545.40002</v>
      </c>
      <c r="AB1029" s="31" t="s">
        <v>2753</v>
      </c>
      <c r="AC1029" s="28">
        <v>544028</v>
      </c>
      <c r="AD1029" s="28" t="s">
        <v>4321</v>
      </c>
      <c r="AE1029" s="29">
        <v>405668530</v>
      </c>
      <c r="AF1029" s="28">
        <v>1088.1500000000001</v>
      </c>
      <c r="AG1029" s="28">
        <f ca="1">IFERROR(__xludf.DUMMYFUNCTION("GOOGLEFINANCE(""BOM:"" &amp; AC1029,""price"")"),1020.95)</f>
        <v>1020.95</v>
      </c>
      <c r="AH1029" s="14">
        <f t="shared" ca="1" si="357"/>
        <v>-6.1756191701511778</v>
      </c>
      <c r="AI1029" s="29">
        <f t="shared" si="358"/>
        <v>441428210919.50006</v>
      </c>
      <c r="AJ1029" s="30">
        <f t="shared" ca="1" si="359"/>
        <v>414167285703.5</v>
      </c>
    </row>
    <row r="1030" spans="1:36" x14ac:dyDescent="0.25">
      <c r="A1030" s="31" t="s">
        <v>2265</v>
      </c>
      <c r="B1030" s="28">
        <v>544030</v>
      </c>
      <c r="C1030" s="28" t="s">
        <v>4322</v>
      </c>
      <c r="D1030" s="29">
        <v>105395378</v>
      </c>
      <c r="E1030" s="28">
        <v>279.85000000000002</v>
      </c>
      <c r="F1030" s="28">
        <f ca="1">IFERROR(__xludf.DUMMYFUNCTION("GOOGLEFINANCE(""BOM:"" &amp; B1030,""price"")"),251.1)</f>
        <v>251.1</v>
      </c>
      <c r="G1030" s="14">
        <f t="shared" ca="1" si="351"/>
        <v>-10.273360728961952</v>
      </c>
      <c r="H1030" s="29">
        <f t="shared" si="352"/>
        <v>29494896533.300003</v>
      </c>
      <c r="I1030" s="30">
        <f t="shared" ca="1" si="353"/>
        <v>26464779415.799999</v>
      </c>
      <c r="J1030" s="31" t="s">
        <v>13</v>
      </c>
      <c r="K1030" s="28">
        <v>544027</v>
      </c>
      <c r="L1030" s="28" t="s">
        <v>4323</v>
      </c>
      <c r="M1030" s="29">
        <v>368957088</v>
      </c>
      <c r="N1030" s="28">
        <v>122.75</v>
      </c>
      <c r="O1030" s="28">
        <f ca="1">IFERROR(__xludf.DUMMYFUNCTION("GOOGLEFINANCE(""BOM:"" &amp; K1030,""price"")"),113.4)</f>
        <v>113.4</v>
      </c>
      <c r="P1030" s="14">
        <f t="shared" ca="1" si="354"/>
        <v>-7.6171079429735196</v>
      </c>
      <c r="Q1030" s="29">
        <f t="shared" si="355"/>
        <v>45289482552</v>
      </c>
      <c r="R1030" s="30">
        <f t="shared" ca="1" si="356"/>
        <v>41839733779.200005</v>
      </c>
      <c r="S1030" s="31" t="s">
        <v>3287</v>
      </c>
      <c r="T1030" s="28">
        <v>544029</v>
      </c>
      <c r="U1030" s="28" t="s">
        <v>4324</v>
      </c>
      <c r="V1030" s="29">
        <v>97869822</v>
      </c>
      <c r="W1030" s="28">
        <v>232.25</v>
      </c>
      <c r="X1030" s="32">
        <f ca="1">IFERROR(__xludf.DUMMYFUNCTION("GOOGLEFINANCE(""BOM:"" &amp; T1030,""price"")"),200.25)</f>
        <v>200.25</v>
      </c>
      <c r="Y1030" s="14">
        <f t="shared" ca="1" si="332"/>
        <v>-13.778256189451021</v>
      </c>
      <c r="Z1030" s="29">
        <f t="shared" si="333"/>
        <v>22730266159.5</v>
      </c>
      <c r="AA1030" s="30">
        <f t="shared" ca="1" si="334"/>
        <v>19598431855.5</v>
      </c>
      <c r="AB1030" s="31" t="s">
        <v>3744</v>
      </c>
      <c r="AC1030" s="28">
        <v>544035</v>
      </c>
      <c r="AD1030" s="28" t="s">
        <v>4325</v>
      </c>
      <c r="AE1030" s="29">
        <v>17563995</v>
      </c>
      <c r="AF1030" s="28">
        <v>88</v>
      </c>
      <c r="AG1030" s="28">
        <f ca="1">IFERROR(__xludf.DUMMYFUNCTION("GOOGLEFINANCE(""BOM:"" &amp; AC1030,""price"")"),70.5)</f>
        <v>70.5</v>
      </c>
      <c r="AH1030" s="14">
        <f t="shared" ca="1" si="357"/>
        <v>-19.886363636363637</v>
      </c>
      <c r="AI1030" s="29">
        <f t="shared" si="358"/>
        <v>1545631560</v>
      </c>
      <c r="AJ1030" s="30">
        <f t="shared" ca="1" si="359"/>
        <v>1238261647.5</v>
      </c>
    </row>
    <row r="1031" spans="1:36" x14ac:dyDescent="0.25">
      <c r="A1031" s="31" t="s">
        <v>1046</v>
      </c>
      <c r="B1031" s="28">
        <v>544037</v>
      </c>
      <c r="C1031" s="28" t="s">
        <v>4326</v>
      </c>
      <c r="D1031" s="29">
        <v>10488410</v>
      </c>
      <c r="E1031" s="28">
        <v>780.05</v>
      </c>
      <c r="F1031" s="28">
        <f ca="1">IFERROR(__xludf.DUMMYFUNCTION("GOOGLEFINANCE(""BOM:"" &amp; B1031,""price"")"),664)</f>
        <v>664</v>
      </c>
      <c r="G1031" s="14">
        <f t="shared" ca="1" si="351"/>
        <v>-14.877251458239851</v>
      </c>
      <c r="H1031" s="29">
        <f t="shared" si="352"/>
        <v>8181484220.5</v>
      </c>
      <c r="I1031" s="30">
        <f t="shared" ca="1" si="353"/>
        <v>6964304240</v>
      </c>
      <c r="J1031" s="31" t="s">
        <v>1868</v>
      </c>
      <c r="K1031" s="28">
        <v>544036</v>
      </c>
      <c r="L1031" s="28" t="s">
        <v>4327</v>
      </c>
      <c r="M1031" s="29"/>
      <c r="N1031" s="28"/>
      <c r="O1031" s="28"/>
      <c r="P1031" s="14"/>
      <c r="Q1031" s="29"/>
      <c r="R1031" s="30"/>
      <c r="S1031" s="31" t="s">
        <v>4328</v>
      </c>
      <c r="T1031" s="28">
        <v>544044</v>
      </c>
      <c r="U1031" s="28" t="s">
        <v>4329</v>
      </c>
      <c r="V1031" s="29">
        <v>107051136</v>
      </c>
      <c r="W1031" s="28">
        <v>646</v>
      </c>
      <c r="X1031" s="32">
        <f ca="1">IFERROR(__xludf.DUMMYFUNCTION("GOOGLEFINANCE(""BOM:"" &amp; T1031,""price"")"),624.15)</f>
        <v>624.15</v>
      </c>
      <c r="Y1031" s="14">
        <f t="shared" ca="1" si="332"/>
        <v>-3.3823529411764737</v>
      </c>
      <c r="Z1031" s="29">
        <f t="shared" si="333"/>
        <v>69155033856</v>
      </c>
      <c r="AA1031" s="30">
        <f t="shared" ca="1" si="334"/>
        <v>66815966534.399994</v>
      </c>
      <c r="AB1031" s="31" t="s">
        <v>2265</v>
      </c>
      <c r="AC1031" s="28">
        <v>544045</v>
      </c>
      <c r="AD1031" s="28" t="s">
        <v>4330</v>
      </c>
      <c r="AE1031" s="29">
        <v>60687236</v>
      </c>
      <c r="AF1031" s="28">
        <v>1506.6</v>
      </c>
      <c r="AG1031" s="28">
        <f ca="1">IFERROR(__xludf.DUMMYFUNCTION("GOOGLEFINANCE(""BOM:"" &amp; AC1031,""price"")"),1558.3)</f>
        <v>1558.3</v>
      </c>
      <c r="AH1031" s="14">
        <f t="shared" ca="1" si="357"/>
        <v>3.4315677684853343</v>
      </c>
      <c r="AI1031" s="29">
        <f t="shared" si="358"/>
        <v>91431389757.599991</v>
      </c>
      <c r="AJ1031" s="30">
        <f t="shared" ca="1" si="359"/>
        <v>94568919858.800003</v>
      </c>
    </row>
    <row r="1032" spans="1:36" x14ac:dyDescent="0.25">
      <c r="A1032" s="31" t="s">
        <v>1695</v>
      </c>
      <c r="B1032" s="28">
        <v>544046</v>
      </c>
      <c r="C1032" s="28" t="s">
        <v>4331</v>
      </c>
      <c r="D1032" s="29">
        <v>90763500</v>
      </c>
      <c r="E1032" s="28">
        <v>1237.5</v>
      </c>
      <c r="F1032" s="28">
        <f ca="1">IFERROR(__xludf.DUMMYFUNCTION("GOOGLEFINANCE(""BOM:"" &amp; B1032,""price"")"),1216)</f>
        <v>1216</v>
      </c>
      <c r="G1032" s="14">
        <f t="shared" ca="1" si="351"/>
        <v>-1.7373737373737375</v>
      </c>
      <c r="H1032" s="29">
        <f t="shared" si="352"/>
        <v>112319831250</v>
      </c>
      <c r="I1032" s="30">
        <f t="shared" ca="1" si="353"/>
        <v>110368416000</v>
      </c>
      <c r="J1032" s="31" t="s">
        <v>1695</v>
      </c>
      <c r="K1032" s="28">
        <v>544047</v>
      </c>
      <c r="L1032" s="28" t="s">
        <v>4332</v>
      </c>
      <c r="M1032" s="29">
        <v>18797500</v>
      </c>
      <c r="N1032" s="28">
        <v>86</v>
      </c>
      <c r="O1032" s="28">
        <f ca="1">IFERROR(__xludf.DUMMYFUNCTION("GOOGLEFINANCE(""BOM:"" &amp; K1032,""price"")"),64.52)</f>
        <v>64.52</v>
      </c>
      <c r="P1032" s="14">
        <f t="shared" ref="P1032:P1034" ca="1" si="360">((O1032-N1032)/N1032)*100</f>
        <v>-24.976744186046513</v>
      </c>
      <c r="Q1032" s="29">
        <f t="shared" ref="Q1032:Q1034" si="361">M1032*N1032</f>
        <v>1616585000</v>
      </c>
      <c r="R1032" s="30">
        <f t="shared" ref="R1032:R1034" ca="1" si="362">M1032*O1032</f>
        <v>1212814700</v>
      </c>
      <c r="S1032" s="31" t="s">
        <v>2753</v>
      </c>
      <c r="T1032" s="28">
        <v>544052</v>
      </c>
      <c r="U1032" s="28" t="s">
        <v>4333</v>
      </c>
      <c r="V1032" s="29">
        <v>6864000</v>
      </c>
      <c r="W1032" s="28">
        <v>66</v>
      </c>
      <c r="X1032" s="32">
        <f ca="1">IFERROR(__xludf.DUMMYFUNCTION("GOOGLEFINANCE(""BOM:"" &amp; T1032,""price"")"),47.49)</f>
        <v>47.49</v>
      </c>
      <c r="Y1032" s="14">
        <f t="shared" ca="1" si="332"/>
        <v>-28.04545454545454</v>
      </c>
      <c r="Z1032" s="29">
        <f t="shared" si="333"/>
        <v>453024000</v>
      </c>
      <c r="AA1032" s="30">
        <f t="shared" ca="1" si="334"/>
        <v>325971360</v>
      </c>
      <c r="AB1032" s="31" t="s">
        <v>3110</v>
      </c>
      <c r="AC1032" s="28">
        <v>544056</v>
      </c>
      <c r="AD1032" s="28" t="s">
        <v>4334</v>
      </c>
      <c r="AE1032" s="29">
        <v>3070650</v>
      </c>
      <c r="AF1032" s="28">
        <v>70</v>
      </c>
      <c r="AG1032" s="28">
        <f ca="1">IFERROR(__xludf.DUMMYFUNCTION("GOOGLEFINANCE(""BOM:"" &amp; AC1032,""price"")"),47.05)</f>
        <v>47.05</v>
      </c>
      <c r="AH1032" s="14">
        <f t="shared" ca="1" si="357"/>
        <v>-32.785714285714292</v>
      </c>
      <c r="AI1032" s="29">
        <f t="shared" si="358"/>
        <v>214945500</v>
      </c>
      <c r="AJ1032" s="30">
        <f t="shared" ca="1" si="359"/>
        <v>144474082.5</v>
      </c>
    </row>
    <row r="1033" spans="1:36" x14ac:dyDescent="0.25">
      <c r="A1033" s="31" t="s">
        <v>858</v>
      </c>
      <c r="B1033" s="28">
        <v>544054</v>
      </c>
      <c r="C1033" s="28" t="s">
        <v>4335</v>
      </c>
      <c r="D1033" s="29">
        <v>44361111</v>
      </c>
      <c r="E1033" s="28">
        <v>340.4</v>
      </c>
      <c r="F1033" s="28">
        <f ca="1">IFERROR(__xludf.DUMMYFUNCTION("GOOGLEFINANCE(""BOM:"" &amp; B1033,""price"")"),260.05)</f>
        <v>260.05</v>
      </c>
      <c r="G1033" s="14">
        <f t="shared" ca="1" si="351"/>
        <v>-23.604582843713271</v>
      </c>
      <c r="H1033" s="29">
        <f t="shared" si="352"/>
        <v>15100522184.4</v>
      </c>
      <c r="I1033" s="30">
        <f t="shared" ca="1" si="353"/>
        <v>11536106915.550001</v>
      </c>
      <c r="J1033" s="31" t="s">
        <v>4215</v>
      </c>
      <c r="K1033" s="28">
        <v>544053</v>
      </c>
      <c r="L1033" s="28" t="s">
        <v>4336</v>
      </c>
      <c r="M1033" s="29">
        <v>98446000</v>
      </c>
      <c r="N1033" s="28">
        <v>174.75</v>
      </c>
      <c r="O1033" s="28">
        <f ca="1">IFERROR(__xludf.DUMMYFUNCTION("GOOGLEFINANCE(""BOM:"" &amp; K1033,""price"")"),159)</f>
        <v>159</v>
      </c>
      <c r="P1033" s="14">
        <f t="shared" ca="1" si="360"/>
        <v>-9.0128755364806867</v>
      </c>
      <c r="Q1033" s="29">
        <f t="shared" si="361"/>
        <v>17203438500</v>
      </c>
      <c r="R1033" s="30">
        <f t="shared" ca="1" si="362"/>
        <v>15652914000</v>
      </c>
      <c r="S1033" s="31" t="s">
        <v>4177</v>
      </c>
      <c r="T1033" s="28">
        <v>544055</v>
      </c>
      <c r="U1033" s="28" t="s">
        <v>4337</v>
      </c>
      <c r="V1033" s="29">
        <v>170492176</v>
      </c>
      <c r="W1033" s="28">
        <v>235.75</v>
      </c>
      <c r="X1033" s="32">
        <f ca="1">IFERROR(__xludf.DUMMYFUNCTION("GOOGLEFINANCE(""BOM:"" &amp; T1033,""price"")"),199.8)</f>
        <v>199.8</v>
      </c>
      <c r="Y1033" s="14">
        <f t="shared" ca="1" si="332"/>
        <v>-15.249204665959699</v>
      </c>
      <c r="Z1033" s="29">
        <f t="shared" si="333"/>
        <v>40193530492</v>
      </c>
      <c r="AA1033" s="30">
        <f t="shared" ca="1" si="334"/>
        <v>34064336764.800003</v>
      </c>
      <c r="AB1033" s="31" t="s">
        <v>4222</v>
      </c>
      <c r="AC1033" s="28">
        <v>544058</v>
      </c>
      <c r="AD1033" s="28" t="s">
        <v>4338</v>
      </c>
      <c r="AE1033" s="29">
        <v>64301880</v>
      </c>
      <c r="AF1033" s="28">
        <v>223.45</v>
      </c>
      <c r="AG1033" s="28">
        <f ca="1">IFERROR(__xludf.DUMMYFUNCTION("GOOGLEFINANCE(""BOM:"" &amp; AC1033,""price"")"),166.75)</f>
        <v>166.75</v>
      </c>
      <c r="AH1033" s="14">
        <f t="shared" ca="1" si="357"/>
        <v>-25.374804206757663</v>
      </c>
      <c r="AI1033" s="29">
        <f t="shared" si="358"/>
        <v>14368255086</v>
      </c>
      <c r="AJ1033" s="30">
        <f t="shared" ca="1" si="359"/>
        <v>10722338490</v>
      </c>
    </row>
    <row r="1034" spans="1:36" x14ac:dyDescent="0.25">
      <c r="A1034" s="31" t="s">
        <v>4215</v>
      </c>
      <c r="B1034" s="28">
        <v>544060</v>
      </c>
      <c r="C1034" s="28" t="s">
        <v>4339</v>
      </c>
      <c r="D1034" s="29">
        <v>40000000</v>
      </c>
      <c r="E1034" s="28">
        <v>165</v>
      </c>
      <c r="F1034" s="28">
        <f ca="1">IFERROR(__xludf.DUMMYFUNCTION("GOOGLEFINANCE(""BOM:"" &amp; B1034,""price"")"),148.2)</f>
        <v>148.19999999999999</v>
      </c>
      <c r="G1034" s="14">
        <f t="shared" ca="1" si="351"/>
        <v>-10.181818181818189</v>
      </c>
      <c r="H1034" s="29">
        <f t="shared" si="352"/>
        <v>6600000000</v>
      </c>
      <c r="I1034" s="30">
        <f t="shared" ca="1" si="353"/>
        <v>5928000000</v>
      </c>
      <c r="J1034" s="31" t="s">
        <v>1046</v>
      </c>
      <c r="K1034" s="28">
        <v>544057</v>
      </c>
      <c r="L1034" s="28" t="s">
        <v>4340</v>
      </c>
      <c r="M1034" s="29">
        <v>94204882</v>
      </c>
      <c r="N1034" s="28">
        <v>980.35</v>
      </c>
      <c r="O1034" s="28">
        <f ca="1">IFERROR(__xludf.DUMMYFUNCTION("GOOGLEFINANCE(""BOM:"" &amp; K1034,""price"")"),897)</f>
        <v>897</v>
      </c>
      <c r="P1034" s="14">
        <f t="shared" ca="1" si="360"/>
        <v>-8.5020655888203223</v>
      </c>
      <c r="Q1034" s="29">
        <f t="shared" si="361"/>
        <v>92353756068.699997</v>
      </c>
      <c r="R1034" s="30">
        <f t="shared" ca="1" si="362"/>
        <v>84501779154</v>
      </c>
      <c r="S1034" s="31" t="s">
        <v>1793</v>
      </c>
      <c r="T1034" s="28">
        <v>544059</v>
      </c>
      <c r="U1034" s="28" t="s">
        <v>4341</v>
      </c>
      <c r="V1034" s="29">
        <v>13900000</v>
      </c>
      <c r="W1034" s="28">
        <v>71.2</v>
      </c>
      <c r="X1034" s="32">
        <f ca="1">IFERROR(__xludf.DUMMYFUNCTION("GOOGLEFINANCE(""BOM:"" &amp; T1034,""price"")"),49)</f>
        <v>49</v>
      </c>
      <c r="Y1034" s="14">
        <f t="shared" ca="1" si="332"/>
        <v>-31.17977528089888</v>
      </c>
      <c r="Z1034" s="29">
        <f t="shared" si="333"/>
        <v>989680000</v>
      </c>
      <c r="AA1034" s="30">
        <f t="shared" ca="1" si="334"/>
        <v>681100000</v>
      </c>
      <c r="AB1034" s="31" t="s">
        <v>807</v>
      </c>
      <c r="AC1034" s="28">
        <v>544061</v>
      </c>
      <c r="AD1034" s="28" t="s">
        <v>4342</v>
      </c>
      <c r="AE1034" s="29">
        <v>59112993</v>
      </c>
      <c r="AF1034" s="28">
        <v>1269.8499999999999</v>
      </c>
      <c r="AG1034" s="28">
        <f ca="1">IFERROR(__xludf.DUMMYFUNCTION("GOOGLEFINANCE(""BOM:"" &amp; AC1034,""price"")"),1364.6)</f>
        <v>1364.6</v>
      </c>
      <c r="AH1034" s="14">
        <f t="shared" ca="1" si="357"/>
        <v>7.4615112021104864</v>
      </c>
      <c r="AI1034" s="29">
        <f t="shared" si="358"/>
        <v>75064634161.049988</v>
      </c>
      <c r="AJ1034" s="30">
        <f t="shared" ca="1" si="359"/>
        <v>80665590247.799988</v>
      </c>
    </row>
    <row r="1035" spans="1:36" x14ac:dyDescent="0.25">
      <c r="A1035" s="31" t="s">
        <v>15</v>
      </c>
      <c r="B1035" s="28">
        <v>544067</v>
      </c>
      <c r="C1035" s="28" t="s">
        <v>4343</v>
      </c>
      <c r="D1035" s="29">
        <v>57224929</v>
      </c>
      <c r="E1035" s="28">
        <v>534.54999999999995</v>
      </c>
      <c r="F1035" s="28">
        <f ca="1">IFERROR(__xludf.DUMMYFUNCTION("GOOGLEFINANCE(""BOM:"" &amp; B1035,""price"")"),449.55)</f>
        <v>449.55</v>
      </c>
      <c r="G1035" s="14">
        <f t="shared" ca="1" si="351"/>
        <v>-15.901225329716576</v>
      </c>
      <c r="H1035" s="29">
        <f t="shared" si="352"/>
        <v>30589585796.949997</v>
      </c>
      <c r="I1035" s="30">
        <f t="shared" ca="1" si="353"/>
        <v>25725466831.950001</v>
      </c>
      <c r="J1035" s="31" t="s">
        <v>3744</v>
      </c>
      <c r="K1035" s="28">
        <v>544072</v>
      </c>
      <c r="L1035" s="28" t="s">
        <v>4344</v>
      </c>
      <c r="M1035" s="29"/>
      <c r="N1035" s="28"/>
      <c r="O1035" s="28"/>
      <c r="P1035" s="14"/>
      <c r="Q1035" s="29"/>
      <c r="R1035" s="30"/>
      <c r="S1035" s="31" t="s">
        <v>4345</v>
      </c>
      <c r="T1035" s="28">
        <v>544073</v>
      </c>
      <c r="U1035" s="28" t="s">
        <v>4346</v>
      </c>
      <c r="V1035" s="29">
        <v>8334000</v>
      </c>
      <c r="W1035" s="28">
        <v>120.13</v>
      </c>
      <c r="X1035" s="32">
        <f ca="1">IFERROR(__xludf.DUMMYFUNCTION("GOOGLEFINANCE(""BOM:"" &amp; T1035,""price"")"),102)</f>
        <v>102</v>
      </c>
      <c r="Y1035" s="14">
        <f t="shared" ca="1" si="332"/>
        <v>-15.091983684341958</v>
      </c>
      <c r="Z1035" s="29">
        <f t="shared" si="333"/>
        <v>1001163420</v>
      </c>
      <c r="AA1035" s="30">
        <f t="shared" ca="1" si="334"/>
        <v>850068000</v>
      </c>
      <c r="AB1035" s="31" t="s">
        <v>4200</v>
      </c>
      <c r="AC1035" s="28">
        <v>544074</v>
      </c>
      <c r="AD1035" s="28" t="s">
        <v>4347</v>
      </c>
      <c r="AE1035" s="29">
        <v>8160000</v>
      </c>
      <c r="AF1035" s="28">
        <v>205.9</v>
      </c>
      <c r="AG1035" s="28">
        <f ca="1">IFERROR(__xludf.DUMMYFUNCTION("GOOGLEFINANCE(""BOM:"" &amp; AC1035,""price"")"),151.65)</f>
        <v>151.65</v>
      </c>
      <c r="AH1035" s="14">
        <f t="shared" ca="1" si="357"/>
        <v>-26.347741622146671</v>
      </c>
      <c r="AI1035" s="29">
        <f t="shared" si="358"/>
        <v>1680144000</v>
      </c>
      <c r="AJ1035" s="30">
        <f t="shared" ca="1" si="359"/>
        <v>1237464000</v>
      </c>
    </row>
    <row r="1036" spans="1:36" x14ac:dyDescent="0.25">
      <c r="A1036" s="31" t="s">
        <v>4200</v>
      </c>
      <c r="B1036" s="28">
        <v>544081</v>
      </c>
      <c r="C1036" s="28" t="s">
        <v>4348</v>
      </c>
      <c r="D1036" s="29">
        <v>227423096</v>
      </c>
      <c r="E1036" s="28">
        <v>617.45000000000005</v>
      </c>
      <c r="F1036" s="28">
        <f ca="1">IFERROR(__xludf.DUMMYFUNCTION("GOOGLEFINANCE(""BOM:"" &amp; B1036,""price"")"),820.75)</f>
        <v>820.75</v>
      </c>
      <c r="G1036" s="14">
        <f t="shared" ca="1" si="351"/>
        <v>32.925742975139677</v>
      </c>
      <c r="H1036" s="29">
        <f t="shared" si="352"/>
        <v>140422390625.20001</v>
      </c>
      <c r="I1036" s="30">
        <f t="shared" ca="1" si="353"/>
        <v>186657506042</v>
      </c>
      <c r="J1036" s="31" t="s">
        <v>376</v>
      </c>
      <c r="K1036" s="28">
        <v>544082</v>
      </c>
      <c r="L1036" s="28" t="s">
        <v>4349</v>
      </c>
      <c r="M1036" s="29">
        <v>18574240</v>
      </c>
      <c r="N1036" s="28">
        <v>95.4</v>
      </c>
      <c r="O1036" s="28">
        <f ca="1">IFERROR(__xludf.DUMMYFUNCTION("GOOGLEFINANCE(""BOM:"" &amp; K1036,""price"")"),66)</f>
        <v>66</v>
      </c>
      <c r="P1036" s="14">
        <f ca="1">((O1036-N1036)/N1036)*100</f>
        <v>-30.817610062893085</v>
      </c>
      <c r="Q1036" s="29">
        <f>M1036*N1036</f>
        <v>1771982496</v>
      </c>
      <c r="R1036" s="30">
        <f ca="1">M1036*O1036</f>
        <v>1225899840</v>
      </c>
      <c r="S1036" s="31" t="s">
        <v>2297</v>
      </c>
      <c r="T1036" s="28">
        <v>544083</v>
      </c>
      <c r="U1036" s="28" t="s">
        <v>4350</v>
      </c>
      <c r="V1036" s="29">
        <v>3460000</v>
      </c>
      <c r="W1036" s="28">
        <v>384</v>
      </c>
      <c r="X1036" s="32">
        <f ca="1">IFERROR(__xludf.DUMMYFUNCTION("GOOGLEFINANCE(""BOM:"" &amp; T1036,""price"")"),265.3)</f>
        <v>265.3</v>
      </c>
      <c r="Y1036" s="14">
        <f t="shared" ca="1" si="332"/>
        <v>-30.911458333333329</v>
      </c>
      <c r="Z1036" s="29">
        <f t="shared" si="333"/>
        <v>1328640000</v>
      </c>
      <c r="AA1036" s="30">
        <f t="shared" ca="1" si="334"/>
        <v>917938000</v>
      </c>
      <c r="AB1036" s="31" t="s">
        <v>4351</v>
      </c>
      <c r="AC1036" s="28">
        <v>544088</v>
      </c>
      <c r="AD1036" s="28" t="s">
        <v>4352</v>
      </c>
      <c r="AE1036" s="29">
        <v>68859212</v>
      </c>
      <c r="AF1036" s="28">
        <v>509.5</v>
      </c>
      <c r="AG1036" s="28">
        <f ca="1">IFERROR(__xludf.DUMMYFUNCTION("GOOGLEFINANCE(""BOM:"" &amp; AC1036,""price"")"),504.8)</f>
        <v>504.8</v>
      </c>
      <c r="AH1036" s="14">
        <f t="shared" ca="1" si="357"/>
        <v>-0.92247301275760329</v>
      </c>
      <c r="AI1036" s="29">
        <f t="shared" si="358"/>
        <v>35083768514</v>
      </c>
      <c r="AJ1036" s="30">
        <f t="shared" ca="1" si="359"/>
        <v>34760130217.599998</v>
      </c>
    </row>
    <row r="1037" spans="1:36" x14ac:dyDescent="0.25">
      <c r="A1037" s="31" t="s">
        <v>2346</v>
      </c>
      <c r="B1037" s="28">
        <v>544091</v>
      </c>
      <c r="C1037" s="28" t="s">
        <v>4353</v>
      </c>
      <c r="D1037" s="29">
        <v>7371900</v>
      </c>
      <c r="E1037" s="28">
        <v>169.65</v>
      </c>
      <c r="F1037" s="28">
        <f ca="1">IFERROR(__xludf.DUMMYFUNCTION("GOOGLEFINANCE(""BOM:"" &amp; B1037,""price"")"),151)</f>
        <v>151</v>
      </c>
      <c r="G1037" s="14">
        <f t="shared" ca="1" si="351"/>
        <v>-10.993221338048926</v>
      </c>
      <c r="H1037" s="29">
        <f t="shared" si="352"/>
        <v>1250642835</v>
      </c>
      <c r="I1037" s="30">
        <f t="shared" ca="1" si="353"/>
        <v>1113156900</v>
      </c>
      <c r="J1037" s="31"/>
      <c r="K1037" s="28"/>
      <c r="L1037" s="28"/>
      <c r="M1037" s="29"/>
      <c r="N1037" s="28"/>
      <c r="O1037" s="28"/>
      <c r="P1037" s="28"/>
      <c r="Q1037" s="29"/>
      <c r="R1037" s="30"/>
      <c r="S1037" s="8"/>
      <c r="T1037" s="8"/>
      <c r="U1037" s="8"/>
      <c r="V1037" s="12"/>
      <c r="W1037" s="8"/>
      <c r="X1037" s="11"/>
      <c r="Y1037" s="8"/>
      <c r="Z1037" s="12"/>
      <c r="AA1037" s="12"/>
      <c r="AB1037" s="8"/>
      <c r="AC1037" s="8"/>
      <c r="AD1037" s="8"/>
      <c r="AE1037" s="12"/>
      <c r="AF1037" s="8"/>
      <c r="AG1037" s="8"/>
      <c r="AH1037" s="8"/>
      <c r="AI1037" s="12"/>
      <c r="AJ1037" s="12"/>
    </row>
    <row r="1038" spans="1:36" x14ac:dyDescent="0.25">
      <c r="A1038" s="8"/>
      <c r="B1038" s="8"/>
      <c r="C1038" s="8"/>
      <c r="D1038" s="12"/>
      <c r="E1038" s="8"/>
      <c r="F1038" s="8"/>
      <c r="G1038" s="8"/>
      <c r="H1038" s="12"/>
      <c r="I1038" s="12"/>
      <c r="J1038" s="8"/>
      <c r="K1038" s="8"/>
      <c r="L1038" s="8"/>
      <c r="M1038" s="12"/>
      <c r="N1038" s="8"/>
      <c r="O1038" s="8"/>
      <c r="P1038" s="8"/>
      <c r="Q1038" s="12"/>
      <c r="R1038" s="12"/>
      <c r="S1038" s="8"/>
      <c r="T1038" s="8"/>
      <c r="U1038" s="8"/>
      <c r="V1038" s="12"/>
      <c r="W1038" s="8"/>
      <c r="X1038" s="11"/>
      <c r="Y1038" s="8"/>
      <c r="Z1038" s="12"/>
      <c r="AA1038" s="12"/>
      <c r="AB1038" s="8"/>
      <c r="AC1038" s="8"/>
      <c r="AD1038" s="8"/>
      <c r="AE1038" s="12"/>
      <c r="AF1038" s="8"/>
      <c r="AG1038" s="8"/>
      <c r="AH1038" s="8"/>
      <c r="AI1038" s="12"/>
      <c r="AJ1038" s="12"/>
    </row>
    <row r="1039" spans="1:36" x14ac:dyDescent="0.25">
      <c r="A1039" s="8"/>
      <c r="B1039" s="8"/>
      <c r="C1039" s="8"/>
      <c r="D1039" s="12"/>
      <c r="E1039" s="8"/>
      <c r="F1039" s="8"/>
      <c r="G1039" s="8"/>
      <c r="H1039" s="12"/>
      <c r="I1039" s="12"/>
      <c r="J1039" s="8"/>
      <c r="K1039" s="8"/>
      <c r="L1039" s="8"/>
      <c r="M1039" s="12"/>
      <c r="N1039" s="8"/>
      <c r="O1039" s="8"/>
      <c r="P1039" s="8"/>
      <c r="Q1039" s="12"/>
      <c r="R1039" s="12"/>
      <c r="S1039" s="8"/>
      <c r="T1039" s="8"/>
      <c r="U1039" s="8"/>
      <c r="V1039" s="12"/>
      <c r="W1039" s="8"/>
      <c r="X1039" s="11"/>
      <c r="Y1039" s="8"/>
      <c r="Z1039" s="12"/>
      <c r="AA1039" s="12"/>
      <c r="AB1039" s="8"/>
      <c r="AC1039" s="8"/>
      <c r="AD1039" s="8"/>
      <c r="AE1039" s="12"/>
      <c r="AF1039" s="8"/>
      <c r="AG1039" s="8"/>
      <c r="AH1039" s="8"/>
      <c r="AI1039" s="12"/>
      <c r="AJ1039" s="12"/>
    </row>
    <row r="1040" spans="1:36" x14ac:dyDescent="0.25">
      <c r="A1040" s="8"/>
      <c r="B1040" s="8"/>
      <c r="C1040" s="8"/>
      <c r="D1040" s="12"/>
      <c r="E1040" s="8"/>
      <c r="F1040" s="8"/>
      <c r="G1040" s="8"/>
      <c r="H1040" s="12"/>
      <c r="I1040" s="12"/>
      <c r="J1040" s="8"/>
      <c r="K1040" s="8"/>
      <c r="L1040" s="8"/>
      <c r="M1040" s="12"/>
      <c r="N1040" s="8"/>
      <c r="O1040" s="8"/>
      <c r="P1040" s="8"/>
      <c r="Q1040" s="12"/>
      <c r="R1040" s="12"/>
      <c r="S1040" s="8"/>
      <c r="T1040" s="8"/>
      <c r="U1040" s="8"/>
      <c r="V1040" s="12"/>
      <c r="W1040" s="8"/>
      <c r="X1040" s="11"/>
      <c r="Y1040" s="8"/>
      <c r="Z1040" s="12"/>
      <c r="AA1040" s="12"/>
      <c r="AB1040" s="8"/>
      <c r="AC1040" s="8"/>
      <c r="AD1040" s="8"/>
      <c r="AE1040" s="12"/>
      <c r="AF1040" s="8"/>
      <c r="AG1040" s="8"/>
      <c r="AH1040" s="8"/>
      <c r="AI1040" s="12"/>
      <c r="AJ1040" s="12"/>
    </row>
    <row r="1041" spans="1:36" x14ac:dyDescent="0.25">
      <c r="A1041" s="8"/>
      <c r="B1041" s="8"/>
      <c r="C1041" s="8"/>
      <c r="D1041" s="12"/>
      <c r="E1041" s="8"/>
      <c r="F1041" s="8"/>
      <c r="G1041" s="8"/>
      <c r="H1041" s="12"/>
      <c r="I1041" s="12"/>
      <c r="J1041" s="8"/>
      <c r="K1041" s="8"/>
      <c r="L1041" s="8"/>
      <c r="M1041" s="12"/>
      <c r="N1041" s="8"/>
      <c r="O1041" s="8"/>
      <c r="P1041" s="8"/>
      <c r="Q1041" s="12"/>
      <c r="R1041" s="12"/>
      <c r="S1041" s="8"/>
      <c r="T1041" s="8"/>
      <c r="U1041" s="8"/>
      <c r="V1041" s="12"/>
      <c r="W1041" s="8"/>
      <c r="X1041" s="11"/>
      <c r="Y1041" s="8"/>
      <c r="Z1041" s="12"/>
      <c r="AA1041" s="12"/>
      <c r="AB1041" s="8"/>
      <c r="AC1041" s="8"/>
      <c r="AD1041" s="8"/>
      <c r="AE1041" s="12"/>
      <c r="AF1041" s="8"/>
      <c r="AG1041" s="8"/>
      <c r="AH1041" s="8"/>
      <c r="AI1041" s="12"/>
      <c r="AJ1041" s="12"/>
    </row>
    <row r="1042" spans="1:36" x14ac:dyDescent="0.25">
      <c r="A1042" s="8"/>
      <c r="B1042" s="8"/>
      <c r="C1042" s="8"/>
      <c r="D1042" s="12"/>
      <c r="E1042" s="8"/>
      <c r="F1042" s="8"/>
      <c r="G1042" s="8"/>
      <c r="H1042" s="12"/>
      <c r="I1042" s="12"/>
      <c r="J1042" s="8"/>
      <c r="K1042" s="8"/>
      <c r="L1042" s="8"/>
      <c r="M1042" s="12"/>
      <c r="N1042" s="8"/>
      <c r="O1042" s="8"/>
      <c r="P1042" s="8"/>
      <c r="Q1042" s="12"/>
      <c r="R1042" s="12"/>
      <c r="S1042" s="8"/>
      <c r="T1042" s="8"/>
      <c r="U1042" s="8"/>
      <c r="V1042" s="12"/>
      <c r="W1042" s="8"/>
      <c r="X1042" s="11"/>
      <c r="Y1042" s="8"/>
      <c r="Z1042" s="12"/>
      <c r="AA1042" s="12"/>
      <c r="AB1042" s="8"/>
      <c r="AC1042" s="8"/>
      <c r="AD1042" s="8"/>
      <c r="AE1042" s="12"/>
      <c r="AF1042" s="8"/>
      <c r="AG1042" s="8"/>
      <c r="AH1042" s="8"/>
      <c r="AI1042" s="12"/>
      <c r="AJ1042" s="12"/>
    </row>
    <row r="1043" spans="1:36" x14ac:dyDescent="0.25">
      <c r="A1043" s="8"/>
      <c r="B1043" s="8"/>
      <c r="C1043" s="8"/>
      <c r="D1043" s="12"/>
      <c r="E1043" s="8"/>
      <c r="F1043" s="8"/>
      <c r="G1043" s="8"/>
      <c r="H1043" s="12"/>
      <c r="I1043" s="12"/>
      <c r="J1043" s="8"/>
      <c r="K1043" s="8"/>
      <c r="L1043" s="8"/>
      <c r="M1043" s="12"/>
      <c r="N1043" s="8"/>
      <c r="O1043" s="8"/>
      <c r="P1043" s="8"/>
      <c r="Q1043" s="12"/>
      <c r="R1043" s="12"/>
      <c r="S1043" s="8"/>
      <c r="T1043" s="8"/>
      <c r="U1043" s="8"/>
      <c r="V1043" s="12"/>
      <c r="W1043" s="8"/>
      <c r="X1043" s="11"/>
      <c r="Y1043" s="8"/>
      <c r="Z1043" s="12"/>
      <c r="AA1043" s="12"/>
      <c r="AB1043" s="8"/>
      <c r="AC1043" s="8"/>
      <c r="AD1043" s="8"/>
      <c r="AE1043" s="12"/>
      <c r="AF1043" s="8"/>
      <c r="AG1043" s="8"/>
      <c r="AH1043" s="8"/>
      <c r="AI1043" s="12"/>
      <c r="AJ1043" s="12"/>
    </row>
    <row r="1044" spans="1:36" x14ac:dyDescent="0.25">
      <c r="A1044" s="8"/>
      <c r="B1044" s="8"/>
      <c r="C1044" s="8"/>
      <c r="D1044" s="12"/>
      <c r="E1044" s="8"/>
      <c r="F1044" s="8"/>
      <c r="G1044" s="8"/>
      <c r="H1044" s="12"/>
      <c r="I1044" s="12"/>
      <c r="J1044" s="8"/>
      <c r="K1044" s="8"/>
      <c r="L1044" s="8"/>
      <c r="M1044" s="12"/>
      <c r="N1044" s="8"/>
      <c r="O1044" s="8"/>
      <c r="P1044" s="8"/>
      <c r="Q1044" s="12"/>
      <c r="R1044" s="12"/>
      <c r="S1044" s="8"/>
      <c r="T1044" s="8"/>
      <c r="U1044" s="8"/>
      <c r="V1044" s="12"/>
      <c r="W1044" s="8"/>
      <c r="X1044" s="11"/>
      <c r="Y1044" s="8"/>
      <c r="Z1044" s="12"/>
      <c r="AA1044" s="12"/>
      <c r="AB1044" s="8"/>
      <c r="AC1044" s="8"/>
      <c r="AD1044" s="8"/>
      <c r="AE1044" s="12"/>
      <c r="AF1044" s="8"/>
      <c r="AG1044" s="8"/>
      <c r="AH1044" s="8"/>
      <c r="AI1044" s="12"/>
      <c r="AJ1044" s="12"/>
    </row>
    <row r="1045" spans="1:36" x14ac:dyDescent="0.25">
      <c r="A1045" s="8"/>
      <c r="B1045" s="8"/>
      <c r="C1045" s="8"/>
      <c r="D1045" s="12"/>
      <c r="E1045" s="8"/>
      <c r="F1045" s="8"/>
      <c r="G1045" s="8"/>
      <c r="H1045" s="12"/>
      <c r="I1045" s="12"/>
      <c r="J1045" s="8"/>
      <c r="K1045" s="8"/>
      <c r="L1045" s="8"/>
      <c r="M1045" s="12"/>
      <c r="N1045" s="8"/>
      <c r="O1045" s="8"/>
      <c r="P1045" s="8"/>
      <c r="Q1045" s="12"/>
      <c r="R1045" s="12"/>
      <c r="S1045" s="8"/>
      <c r="T1045" s="8"/>
      <c r="U1045" s="8"/>
      <c r="V1045" s="12"/>
      <c r="W1045" s="8"/>
      <c r="X1045" s="11"/>
      <c r="Y1045" s="8"/>
      <c r="Z1045" s="12"/>
      <c r="AA1045" s="12"/>
      <c r="AB1045" s="8"/>
      <c r="AC1045" s="8"/>
      <c r="AD1045" s="8"/>
      <c r="AE1045" s="12"/>
      <c r="AF1045" s="8"/>
      <c r="AG1045" s="8"/>
      <c r="AH1045" s="8"/>
      <c r="AI1045" s="12"/>
      <c r="AJ1045" s="12"/>
    </row>
    <row r="1046" spans="1:36" x14ac:dyDescent="0.25">
      <c r="A1046" s="8"/>
      <c r="B1046" s="8"/>
      <c r="C1046" s="8"/>
      <c r="D1046" s="12"/>
      <c r="E1046" s="8"/>
      <c r="F1046" s="8"/>
      <c r="G1046" s="8"/>
      <c r="H1046" s="12"/>
      <c r="I1046" s="12"/>
      <c r="J1046" s="8"/>
      <c r="K1046" s="8"/>
      <c r="L1046" s="8"/>
      <c r="M1046" s="12"/>
      <c r="N1046" s="8"/>
      <c r="O1046" s="8"/>
      <c r="P1046" s="8"/>
      <c r="Q1046" s="12"/>
      <c r="R1046" s="12"/>
      <c r="S1046" s="8"/>
      <c r="T1046" s="8"/>
      <c r="U1046" s="8"/>
      <c r="V1046" s="12"/>
      <c r="W1046" s="8"/>
      <c r="X1046" s="11"/>
      <c r="Y1046" s="8"/>
      <c r="Z1046" s="12"/>
      <c r="AA1046" s="12"/>
      <c r="AB1046" s="8"/>
      <c r="AC1046" s="8"/>
      <c r="AD1046" s="8"/>
      <c r="AE1046" s="12"/>
      <c r="AF1046" s="8"/>
      <c r="AG1046" s="8"/>
      <c r="AH1046" s="8"/>
      <c r="AI1046" s="12"/>
      <c r="AJ1046" s="12"/>
    </row>
    <row r="1047" spans="1:36" x14ac:dyDescent="0.25">
      <c r="A1047" s="8"/>
      <c r="B1047" s="8"/>
      <c r="C1047" s="8"/>
      <c r="D1047" s="12"/>
      <c r="E1047" s="8"/>
      <c r="F1047" s="8"/>
      <c r="G1047" s="8"/>
      <c r="H1047" s="12"/>
      <c r="I1047" s="12"/>
      <c r="J1047" s="8"/>
      <c r="K1047" s="8"/>
      <c r="L1047" s="8"/>
      <c r="M1047" s="12"/>
      <c r="N1047" s="8"/>
      <c r="O1047" s="8"/>
      <c r="P1047" s="8"/>
      <c r="Q1047" s="12"/>
      <c r="R1047" s="12"/>
      <c r="S1047" s="8"/>
      <c r="T1047" s="8"/>
      <c r="U1047" s="8"/>
      <c r="V1047" s="12"/>
      <c r="W1047" s="8"/>
      <c r="X1047" s="11"/>
      <c r="Y1047" s="8"/>
      <c r="Z1047" s="12"/>
      <c r="AA1047" s="12"/>
      <c r="AB1047" s="8"/>
      <c r="AC1047" s="8"/>
      <c r="AD1047" s="8"/>
      <c r="AE1047" s="12"/>
      <c r="AF1047" s="8"/>
      <c r="AG1047" s="8"/>
      <c r="AH1047" s="8"/>
      <c r="AI1047" s="12"/>
      <c r="AJ1047" s="12"/>
    </row>
    <row r="1048" spans="1:36" x14ac:dyDescent="0.25">
      <c r="A1048" s="8"/>
      <c r="B1048" s="8"/>
      <c r="C1048" s="8"/>
      <c r="D1048" s="12"/>
      <c r="E1048" s="8"/>
      <c r="F1048" s="8"/>
      <c r="G1048" s="8"/>
      <c r="H1048" s="12"/>
      <c r="I1048" s="12"/>
      <c r="J1048" s="8"/>
      <c r="K1048" s="8"/>
      <c r="L1048" s="8"/>
      <c r="M1048" s="12"/>
      <c r="N1048" s="8"/>
      <c r="O1048" s="8"/>
      <c r="P1048" s="8"/>
      <c r="Q1048" s="12"/>
      <c r="R1048" s="12"/>
      <c r="S1048" s="8"/>
      <c r="T1048" s="8"/>
      <c r="U1048" s="8"/>
      <c r="V1048" s="12"/>
      <c r="W1048" s="8"/>
      <c r="X1048" s="11"/>
      <c r="Y1048" s="8"/>
      <c r="Z1048" s="12"/>
      <c r="AA1048" s="12"/>
      <c r="AB1048" s="8"/>
      <c r="AC1048" s="8"/>
      <c r="AD1048" s="8"/>
      <c r="AE1048" s="12"/>
      <c r="AF1048" s="8"/>
      <c r="AG1048" s="8"/>
      <c r="AH1048" s="8"/>
      <c r="AI1048" s="12"/>
      <c r="AJ1048" s="12"/>
    </row>
    <row r="1049" spans="1:36" x14ac:dyDescent="0.25">
      <c r="A1049" s="8"/>
      <c r="B1049" s="8"/>
      <c r="C1049" s="8"/>
      <c r="D1049" s="12"/>
      <c r="E1049" s="8"/>
      <c r="F1049" s="8"/>
      <c r="G1049" s="8"/>
      <c r="H1049" s="12"/>
      <c r="I1049" s="12"/>
      <c r="J1049" s="8"/>
      <c r="K1049" s="8"/>
      <c r="L1049" s="8"/>
      <c r="M1049" s="12"/>
      <c r="N1049" s="8"/>
      <c r="O1049" s="8"/>
      <c r="P1049" s="8"/>
      <c r="Q1049" s="12"/>
      <c r="R1049" s="12"/>
      <c r="S1049" s="8"/>
      <c r="T1049" s="8"/>
      <c r="U1049" s="8"/>
      <c r="V1049" s="12"/>
      <c r="W1049" s="8"/>
      <c r="X1049" s="11"/>
      <c r="Y1049" s="8"/>
      <c r="Z1049" s="12"/>
      <c r="AA1049" s="12"/>
      <c r="AB1049" s="8"/>
      <c r="AC1049" s="8"/>
      <c r="AD1049" s="8"/>
      <c r="AE1049" s="12"/>
      <c r="AF1049" s="8"/>
      <c r="AG1049" s="8"/>
      <c r="AH1049" s="8"/>
      <c r="AI1049" s="12"/>
      <c r="AJ1049" s="12"/>
    </row>
    <row r="1050" spans="1:36" x14ac:dyDescent="0.25">
      <c r="A1050" s="8"/>
      <c r="B1050" s="8"/>
      <c r="C1050" s="8"/>
      <c r="D1050" s="12"/>
      <c r="E1050" s="8"/>
      <c r="F1050" s="8"/>
      <c r="G1050" s="8"/>
      <c r="H1050" s="12"/>
      <c r="I1050" s="12"/>
      <c r="J1050" s="8"/>
      <c r="K1050" s="8"/>
      <c r="L1050" s="8"/>
      <c r="M1050" s="12"/>
      <c r="N1050" s="8"/>
      <c r="O1050" s="8"/>
      <c r="P1050" s="8"/>
      <c r="Q1050" s="12"/>
      <c r="R1050" s="12"/>
      <c r="S1050" s="8"/>
      <c r="T1050" s="8"/>
      <c r="U1050" s="8"/>
      <c r="V1050" s="12"/>
      <c r="W1050" s="8"/>
      <c r="X1050" s="11"/>
      <c r="Y1050" s="8"/>
      <c r="Z1050" s="12"/>
      <c r="AA1050" s="12"/>
      <c r="AB1050" s="8"/>
      <c r="AC1050" s="8"/>
      <c r="AD1050" s="8"/>
      <c r="AE1050" s="12"/>
      <c r="AF1050" s="8"/>
      <c r="AG1050" s="8"/>
      <c r="AH1050" s="8"/>
      <c r="AI1050" s="12"/>
      <c r="AJ1050" s="12"/>
    </row>
    <row r="1051" spans="1:36" x14ac:dyDescent="0.25">
      <c r="A1051" s="8"/>
      <c r="B1051" s="8"/>
      <c r="C1051" s="8"/>
      <c r="D1051" s="12"/>
      <c r="E1051" s="8"/>
      <c r="F1051" s="8"/>
      <c r="G1051" s="8"/>
      <c r="H1051" s="12"/>
      <c r="I1051" s="12"/>
      <c r="J1051" s="8"/>
      <c r="K1051" s="8"/>
      <c r="L1051" s="8"/>
      <c r="M1051" s="12"/>
      <c r="N1051" s="8"/>
      <c r="O1051" s="8"/>
      <c r="P1051" s="8"/>
      <c r="Q1051" s="12"/>
      <c r="R1051" s="12"/>
      <c r="S1051" s="8"/>
      <c r="T1051" s="8"/>
      <c r="U1051" s="8"/>
      <c r="V1051" s="12"/>
      <c r="W1051" s="8"/>
      <c r="X1051" s="11"/>
      <c r="Y1051" s="8"/>
      <c r="Z1051" s="12"/>
      <c r="AA1051" s="12"/>
      <c r="AI1051" s="37"/>
      <c r="AJ1051" s="37"/>
    </row>
  </sheetData>
  <mergeCells count="173">
    <mergeCell ref="J808:J816"/>
    <mergeCell ref="J817:J840"/>
    <mergeCell ref="J841:J844"/>
    <mergeCell ref="J979:J999"/>
    <mergeCell ref="S973:S981"/>
    <mergeCell ref="S982:S988"/>
    <mergeCell ref="S989:S1000"/>
    <mergeCell ref="J905:J909"/>
    <mergeCell ref="J910:J914"/>
    <mergeCell ref="J915:J918"/>
    <mergeCell ref="J919:J935"/>
    <mergeCell ref="J936:J978"/>
    <mergeCell ref="S966:S969"/>
    <mergeCell ref="S971:S972"/>
    <mergeCell ref="J663:J720"/>
    <mergeCell ref="J721:J726"/>
    <mergeCell ref="J727:J737"/>
    <mergeCell ref="J738:J741"/>
    <mergeCell ref="J742:J747"/>
    <mergeCell ref="J748:J783"/>
    <mergeCell ref="J784:J789"/>
    <mergeCell ref="J790:J795"/>
    <mergeCell ref="J796:J807"/>
    <mergeCell ref="J458:J472"/>
    <mergeCell ref="J473:J479"/>
    <mergeCell ref="J480:J536"/>
    <mergeCell ref="J193:J222"/>
    <mergeCell ref="J223:J234"/>
    <mergeCell ref="J254:J304"/>
    <mergeCell ref="S280:S405"/>
    <mergeCell ref="J305:J319"/>
    <mergeCell ref="J320:J323"/>
    <mergeCell ref="S430:S661"/>
    <mergeCell ref="J537:J552"/>
    <mergeCell ref="J553:J662"/>
    <mergeCell ref="S952:S961"/>
    <mergeCell ref="S962:S965"/>
    <mergeCell ref="J845:J848"/>
    <mergeCell ref="J849:J854"/>
    <mergeCell ref="J855:J904"/>
    <mergeCell ref="S879:S880"/>
    <mergeCell ref="S881:S884"/>
    <mergeCell ref="S885:S888"/>
    <mergeCell ref="S889:S897"/>
    <mergeCell ref="S841:S866"/>
    <mergeCell ref="S867:S878"/>
    <mergeCell ref="S898:S951"/>
    <mergeCell ref="S663:S703"/>
    <mergeCell ref="S704:S764"/>
    <mergeCell ref="S765:S770"/>
    <mergeCell ref="S771:S816"/>
    <mergeCell ref="Q817:Q840"/>
    <mergeCell ref="S817:S823"/>
    <mergeCell ref="S824:S840"/>
    <mergeCell ref="J401:J403"/>
    <mergeCell ref="J404:J457"/>
    <mergeCell ref="S406:S421"/>
    <mergeCell ref="S422:S429"/>
    <mergeCell ref="A203:A208"/>
    <mergeCell ref="A209:A212"/>
    <mergeCell ref="A272:A315"/>
    <mergeCell ref="A316:A320"/>
    <mergeCell ref="A321:A383"/>
    <mergeCell ref="A384:A387"/>
    <mergeCell ref="A388:A391"/>
    <mergeCell ref="J330:J348"/>
    <mergeCell ref="J349:J354"/>
    <mergeCell ref="J324:J329"/>
    <mergeCell ref="A777:A809"/>
    <mergeCell ref="A810:A829"/>
    <mergeCell ref="A830:A834"/>
    <mergeCell ref="A931:A934"/>
    <mergeCell ref="A935:A938"/>
    <mergeCell ref="A939:A946"/>
    <mergeCell ref="A947:A966"/>
    <mergeCell ref="A967:A994"/>
    <mergeCell ref="A995:A996"/>
    <mergeCell ref="A835:A868"/>
    <mergeCell ref="A869:A873"/>
    <mergeCell ref="A874:A876"/>
    <mergeCell ref="A877:A883"/>
    <mergeCell ref="A884:A922"/>
    <mergeCell ref="A923:A928"/>
    <mergeCell ref="A929:A930"/>
    <mergeCell ref="A619:A620"/>
    <mergeCell ref="A621:A624"/>
    <mergeCell ref="A625:A632"/>
    <mergeCell ref="A633:A645"/>
    <mergeCell ref="A646:A749"/>
    <mergeCell ref="A750:A752"/>
    <mergeCell ref="A753:A754"/>
    <mergeCell ref="A755:A766"/>
    <mergeCell ref="A767:A776"/>
    <mergeCell ref="A392:A464"/>
    <mergeCell ref="A465:A472"/>
    <mergeCell ref="A473:A544"/>
    <mergeCell ref="A545:A558"/>
    <mergeCell ref="A559:A564"/>
    <mergeCell ref="A565:A588"/>
    <mergeCell ref="A589:A602"/>
    <mergeCell ref="A603:A607"/>
    <mergeCell ref="A608:A618"/>
    <mergeCell ref="AB973:AB974"/>
    <mergeCell ref="AB976:AB977"/>
    <mergeCell ref="AB689:AB694"/>
    <mergeCell ref="AB695:AB697"/>
    <mergeCell ref="AB698:AB708"/>
    <mergeCell ref="AB709:AB926"/>
    <mergeCell ref="AB928:AB951"/>
    <mergeCell ref="AB952:AB969"/>
    <mergeCell ref="AB970:AB972"/>
    <mergeCell ref="AB620:AB642"/>
    <mergeCell ref="AB643:AB654"/>
    <mergeCell ref="AB655:AB662"/>
    <mergeCell ref="AB663:AB667"/>
    <mergeCell ref="AB668:AB669"/>
    <mergeCell ref="AB670:AB676"/>
    <mergeCell ref="AB677:AB678"/>
    <mergeCell ref="AB679:AB680"/>
    <mergeCell ref="AB681:AB688"/>
    <mergeCell ref="AB360:AB368"/>
    <mergeCell ref="AB369:AB374"/>
    <mergeCell ref="AB375:AB379"/>
    <mergeCell ref="AB380:AB384"/>
    <mergeCell ref="AB385:AB393"/>
    <mergeCell ref="AB394:AB432"/>
    <mergeCell ref="AB448:AB540"/>
    <mergeCell ref="AB550:AB582"/>
    <mergeCell ref="AB583:AB619"/>
    <mergeCell ref="AB433:AB447"/>
    <mergeCell ref="AB541:AB544"/>
    <mergeCell ref="AB545:AB549"/>
    <mergeCell ref="A239:A249"/>
    <mergeCell ref="A250:A271"/>
    <mergeCell ref="A2:A8"/>
    <mergeCell ref="S2:S279"/>
    <mergeCell ref="AB2:AB161"/>
    <mergeCell ref="A9:A11"/>
    <mergeCell ref="A12:A23"/>
    <mergeCell ref="A24:A37"/>
    <mergeCell ref="A213:A228"/>
    <mergeCell ref="AB183:AB187"/>
    <mergeCell ref="AB188:AB197"/>
    <mergeCell ref="AB204:AB359"/>
    <mergeCell ref="AB162:AB180"/>
    <mergeCell ref="AB181:AB182"/>
    <mergeCell ref="A47:A60"/>
    <mergeCell ref="A195:A198"/>
    <mergeCell ref="AB198:AB203"/>
    <mergeCell ref="A199:A202"/>
    <mergeCell ref="A229:A238"/>
    <mergeCell ref="J235:J253"/>
    <mergeCell ref="J355:J400"/>
    <mergeCell ref="J14:J20"/>
    <mergeCell ref="J21:J23"/>
    <mergeCell ref="J11:J13"/>
    <mergeCell ref="J24:J46"/>
    <mergeCell ref="A38:A41"/>
    <mergeCell ref="A42:A46"/>
    <mergeCell ref="J2:J10"/>
    <mergeCell ref="J47:J79"/>
    <mergeCell ref="A61:A68"/>
    <mergeCell ref="A69:A75"/>
    <mergeCell ref="A76:A81"/>
    <mergeCell ref="J80:J82"/>
    <mergeCell ref="A82:A87"/>
    <mergeCell ref="J83:J153"/>
    <mergeCell ref="A88:A194"/>
    <mergeCell ref="J154:J157"/>
    <mergeCell ref="J158:J159"/>
    <mergeCell ref="J160:J161"/>
    <mergeCell ref="J162:J169"/>
    <mergeCell ref="J170:J192"/>
  </mergeCells>
  <conditionalFormatting sqref="G2:G1051 P2:P1051 Y2:Y1051 AH2:AH1051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W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3" x14ac:dyDescent="0.25">
      <c r="A1" s="38" t="s">
        <v>0</v>
      </c>
      <c r="B1" s="38" t="s">
        <v>4354</v>
      </c>
      <c r="C1" s="38" t="s">
        <v>4355</v>
      </c>
      <c r="D1" s="38" t="s">
        <v>6</v>
      </c>
      <c r="E1" s="38" t="s">
        <v>4356</v>
      </c>
      <c r="F1" s="38" t="s">
        <v>4357</v>
      </c>
      <c r="G1" s="38" t="s">
        <v>4358</v>
      </c>
      <c r="H1" s="38" t="s">
        <v>4359</v>
      </c>
      <c r="I1" s="38" t="s">
        <v>4360</v>
      </c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</row>
    <row r="2" spans="1:23" x14ac:dyDescent="0.25">
      <c r="A2" s="8" t="s">
        <v>4261</v>
      </c>
      <c r="B2" s="12">
        <f>Stocks!Z1015</f>
        <v>35679846112.5</v>
      </c>
      <c r="C2" s="12">
        <f ca="1">Stocks!AA1015</f>
        <v>25288873385</v>
      </c>
      <c r="D2" s="8">
        <f t="shared" ref="D2:D189" ca="1" si="0">((C2-B2)/B2)*100</f>
        <v>-29.122807017543863</v>
      </c>
      <c r="E2" s="8">
        <f ca="1">COUNTIF(Stocks!$Y$1015,"&gt;"&amp;0)</f>
        <v>0</v>
      </c>
      <c r="F2" s="8">
        <f ca="1">COUNTIF(Stocks!$Y$1015,"&lt;"&amp;0)</f>
        <v>1</v>
      </c>
      <c r="G2" s="8">
        <f ca="1">COUNTIF(Stocks!$Y$1015,"="&amp;0)</f>
        <v>0</v>
      </c>
      <c r="H2" s="8">
        <f t="shared" ref="H2:H189" ca="1" si="1">(E2/(E2+F2+G2))*100</f>
        <v>0</v>
      </c>
      <c r="I2" s="8">
        <f t="shared" ref="I2:I189" ca="1" si="2">(F2/(E2+F2+G2))*100</f>
        <v>100</v>
      </c>
      <c r="J2" s="8"/>
      <c r="K2" s="8"/>
      <c r="L2" s="8"/>
    </row>
    <row r="3" spans="1:23" x14ac:dyDescent="0.25">
      <c r="A3" s="8" t="s">
        <v>4230</v>
      </c>
      <c r="B3" s="12">
        <f>Stocks!Z1008</f>
        <v>13095981762</v>
      </c>
      <c r="C3" s="12">
        <f ca="1">Stocks!AA1008</f>
        <v>9832581776</v>
      </c>
      <c r="D3" s="8">
        <f t="shared" ca="1" si="0"/>
        <v>-24.919093851132686</v>
      </c>
      <c r="E3" s="39">
        <f ca="1">COUNTIF(Stocks!Y1008,"&gt;"&amp;0)</f>
        <v>0</v>
      </c>
      <c r="F3" s="39">
        <f ca="1">COUNTIF(Stocks!Y1008,"&lt;"&amp;0)</f>
        <v>1</v>
      </c>
      <c r="G3" s="39">
        <f ca="1">COUNTIF(Stocks!Y1008,"="&amp;0)</f>
        <v>0</v>
      </c>
      <c r="H3" s="8">
        <f t="shared" ca="1" si="1"/>
        <v>0</v>
      </c>
      <c r="I3" s="8">
        <f t="shared" ca="1" si="2"/>
        <v>100</v>
      </c>
      <c r="J3" s="8"/>
      <c r="K3" s="8"/>
      <c r="L3" s="8"/>
    </row>
    <row r="4" spans="1:23" x14ac:dyDescent="0.25">
      <c r="A4" s="8" t="s">
        <v>2778</v>
      </c>
      <c r="B4" s="12">
        <f>SUM(Stocks!AI668:'Stocks'!AI669)</f>
        <v>4679524969.8700008</v>
      </c>
      <c r="C4" s="12">
        <f ca="1">SUM(Stocks!AJ668:'Stocks'!AJ669)</f>
        <v>3540472807.1999998</v>
      </c>
      <c r="D4" s="8">
        <f t="shared" ca="1" si="0"/>
        <v>-24.341192108258895</v>
      </c>
      <c r="E4" s="39">
        <f ca="1">COUNTIF(Stocks!$AH$668:'Stocks'!$AH$669,"&gt;"&amp;0)</f>
        <v>0</v>
      </c>
      <c r="F4" s="39">
        <f ca="1">COUNTIF(Stocks!$AH$668:'Stocks'!$AH$669,"&lt;"&amp;0)</f>
        <v>2</v>
      </c>
      <c r="G4" s="39">
        <f ca="1">COUNTIF(Stocks!$AH$668:'Stocks'!$AH$669,"="&amp;0)</f>
        <v>0</v>
      </c>
      <c r="H4" s="8">
        <f t="shared" ca="1" si="1"/>
        <v>0</v>
      </c>
      <c r="I4" s="8">
        <f t="shared" ca="1" si="2"/>
        <v>100</v>
      </c>
      <c r="J4" s="8"/>
      <c r="K4" s="8"/>
      <c r="L4" s="8"/>
    </row>
    <row r="5" spans="1:23" x14ac:dyDescent="0.25">
      <c r="A5" s="40" t="s">
        <v>3068</v>
      </c>
      <c r="B5" s="41">
        <f>SUM(Stocks!Q738:'Stocks'!Q741)</f>
        <v>7893692785.2399998</v>
      </c>
      <c r="C5" s="41">
        <f ca="1">SUM(Stocks!R738:'Stocks'!R741)</f>
        <v>5954496147.8899994</v>
      </c>
      <c r="D5" s="40">
        <f t="shared" ca="1" si="0"/>
        <v>-24.566406244945359</v>
      </c>
      <c r="E5" s="39">
        <f ca="1">COUNTIF(Stocks!$P$738:'Stocks'!$P$741,"&gt;"&amp;0)</f>
        <v>0</v>
      </c>
      <c r="F5" s="39">
        <f ca="1">COUNTIF(Stocks!$P$738:'Stocks'!$P$741,"&lt;"&amp;0)</f>
        <v>4</v>
      </c>
      <c r="G5" s="39">
        <f ca="1">COUNTIF(Stocks!$P$738:'Stocks'!$P$741,"="&amp;0)</f>
        <v>0</v>
      </c>
      <c r="H5" s="8">
        <f t="shared" ca="1" si="1"/>
        <v>0</v>
      </c>
      <c r="I5" s="8">
        <f t="shared" ca="1" si="2"/>
        <v>100</v>
      </c>
      <c r="J5" s="8"/>
      <c r="K5" s="8"/>
      <c r="L5" s="8"/>
    </row>
    <row r="6" spans="1:23" x14ac:dyDescent="0.25">
      <c r="A6" s="42" t="s">
        <v>2247</v>
      </c>
      <c r="B6" s="43">
        <f>SUM(Stocks!AI541:'Stocks'!AI544)</f>
        <v>296990358975.47998</v>
      </c>
      <c r="C6" s="43">
        <f ca="1">SUM(Stocks!AJ541:'Stocks'!AJ544)</f>
        <v>239495201065.85999</v>
      </c>
      <c r="D6" s="42">
        <f t="shared" ca="1" si="0"/>
        <v>-19.359267454997383</v>
      </c>
      <c r="E6" s="39">
        <f ca="1">COUNTIF(Stocks!$AH$541:'Stocks'!$AH$544,"&gt;"&amp;0)</f>
        <v>0</v>
      </c>
      <c r="F6" s="39">
        <f ca="1">COUNTIF(Stocks!$AH$541:'Stocks'!$AH$544,"&lt;"&amp;0)</f>
        <v>3</v>
      </c>
      <c r="G6" s="39">
        <f ca="1">COUNTIF(Stocks!$AH$541:'Stocks'!$AH$544,"="&amp;0)</f>
        <v>0</v>
      </c>
      <c r="H6" s="8">
        <f t="shared" ca="1" si="1"/>
        <v>0</v>
      </c>
      <c r="I6" s="8">
        <f t="shared" ca="1" si="2"/>
        <v>100</v>
      </c>
      <c r="J6" s="8"/>
      <c r="K6" s="8"/>
      <c r="L6" s="8"/>
    </row>
    <row r="7" spans="1:23" x14ac:dyDescent="0.25">
      <c r="A7" s="8" t="s">
        <v>4235</v>
      </c>
      <c r="B7" s="12">
        <f>Stocks!H1011+Stocks!Z1009</f>
        <v>473965040</v>
      </c>
      <c r="C7" s="12">
        <f ca="1">Stocks!I1011+Stocks!AA1009</f>
        <v>375778850</v>
      </c>
      <c r="D7" s="8">
        <f t="shared" ca="1" si="0"/>
        <v>-20.715913983866827</v>
      </c>
      <c r="E7" s="8">
        <f ca="1">COUNTIF(Stocks!$G$1011,"&gt;"&amp;0)+COUNTIF(Stocks!$Y$1009,"&gt;"&amp;0)</f>
        <v>0</v>
      </c>
      <c r="F7" s="8">
        <f ca="1">COUNTIF(Stocks!$G$1011,"&lt;"&amp;0)+COUNTIF(Stocks!$Y$1009,"&lt;"&amp;0)</f>
        <v>2</v>
      </c>
      <c r="G7" s="8">
        <f ca="1">COUNTIF(Stocks!$G$1011,"="&amp;0)+COUNTIF(Stocks!$Y$1009,"="&amp;0)</f>
        <v>0</v>
      </c>
      <c r="H7" s="8">
        <f t="shared" ca="1" si="1"/>
        <v>0</v>
      </c>
      <c r="I7" s="8">
        <f t="shared" ca="1" si="2"/>
        <v>100</v>
      </c>
      <c r="J7" s="8"/>
      <c r="K7" s="8"/>
      <c r="L7" s="8"/>
    </row>
    <row r="8" spans="1:23" x14ac:dyDescent="0.25">
      <c r="A8" s="40" t="s">
        <v>3519</v>
      </c>
      <c r="B8" s="41">
        <f>SUM(Stocks!Q845:'Stocks'!Q848)</f>
        <v>15134869548.199999</v>
      </c>
      <c r="C8" s="41">
        <f ca="1">SUM(Stocks!R845:'Stocks'!R848)</f>
        <v>13971456500</v>
      </c>
      <c r="D8" s="40">
        <f t="shared" ca="1" si="0"/>
        <v>-7.6869711000473364</v>
      </c>
      <c r="E8" s="39">
        <f ca="1">COUNTIF(Stocks!$P$845:'Stocks'!$P$848,"&gt;"&amp;0)</f>
        <v>0</v>
      </c>
      <c r="F8" s="39">
        <f ca="1">COUNTIF(Stocks!$P$845:'Stocks'!$P$848,"&lt;"&amp;0)</f>
        <v>4</v>
      </c>
      <c r="G8" s="39">
        <f ca="1">COUNTIF(Stocks!$P$845:'Stocks'!$P$848,"="&amp;0)</f>
        <v>0</v>
      </c>
      <c r="H8" s="8">
        <f t="shared" ca="1" si="1"/>
        <v>0</v>
      </c>
      <c r="I8" s="8">
        <f t="shared" ca="1" si="2"/>
        <v>100</v>
      </c>
      <c r="J8" s="8"/>
      <c r="K8" s="8"/>
      <c r="L8" s="8"/>
    </row>
    <row r="9" spans="1:23" x14ac:dyDescent="0.25">
      <c r="A9" s="8" t="s">
        <v>4245</v>
      </c>
      <c r="B9" s="12">
        <f>Stocks!AI1011+Stocks!Q1020</f>
        <v>1404893000</v>
      </c>
      <c r="C9" s="12">
        <f ca="1">Stocks!AJ1011+Stocks!R1020</f>
        <v>1233716980</v>
      </c>
      <c r="D9" s="8">
        <f t="shared" ca="1" si="0"/>
        <v>-12.184274531939444</v>
      </c>
      <c r="E9" s="8">
        <f ca="1">COUNTIF(Stocks!$AH$1011,"&gt;"&amp;0)+COUNTIF(Stocks!P1020,"&gt;"&amp;0)</f>
        <v>0</v>
      </c>
      <c r="F9" s="8">
        <f ca="1">COUNTIF(Stocks!$AH$1011,"&lt;"&amp;0)+COUNTIF(Stocks!P1020,"&lt;"&amp;0)</f>
        <v>2</v>
      </c>
      <c r="G9" s="8">
        <f ca="1">COUNTIF(Stocks!$AH$1011,"="&amp;0)+COUNTIF(Stocks!P1020,"="&amp;0)</f>
        <v>0</v>
      </c>
      <c r="H9" s="8">
        <f t="shared" ca="1" si="1"/>
        <v>0</v>
      </c>
      <c r="I9" s="8">
        <f t="shared" ca="1" si="2"/>
        <v>100</v>
      </c>
      <c r="J9" s="8"/>
      <c r="K9" s="8"/>
      <c r="L9" s="8"/>
    </row>
    <row r="10" spans="1:23" x14ac:dyDescent="0.25">
      <c r="A10" s="40" t="s">
        <v>3867</v>
      </c>
      <c r="B10" s="41">
        <f>SUM(Stocks!AI927:'Stocks'!AI927)</f>
        <v>8714454581.7999992</v>
      </c>
      <c r="C10" s="41">
        <f ca="1">SUM(Stocks!AJ927:'Stocks'!AJ927)</f>
        <v>7406426720</v>
      </c>
      <c r="D10" s="40">
        <f t="shared" ca="1" si="0"/>
        <v>-15.009864926392465</v>
      </c>
      <c r="E10" s="39">
        <f ca="1">COUNTIF(Stocks!$AH$927:'Stocks'!$AH$927,"&gt;"&amp;0)</f>
        <v>0</v>
      </c>
      <c r="F10" s="39">
        <f ca="1">COUNTIF(Stocks!$AH$927:'Stocks'!$AH$927,"&lt;"&amp;0)</f>
        <v>1</v>
      </c>
      <c r="G10" s="39">
        <f ca="1">COUNTIF(Stocks!$AH$927:'Stocks'!$AH$927,"="&amp;0)</f>
        <v>0</v>
      </c>
      <c r="H10" s="8">
        <f t="shared" ca="1" si="1"/>
        <v>0</v>
      </c>
      <c r="I10" s="8">
        <f t="shared" ca="1" si="2"/>
        <v>100</v>
      </c>
      <c r="J10" s="8"/>
      <c r="K10" s="8"/>
      <c r="L10" s="8"/>
    </row>
    <row r="11" spans="1:23" x14ac:dyDescent="0.25">
      <c r="A11" s="40" t="s">
        <v>4066</v>
      </c>
      <c r="B11" s="41">
        <f>SUM(Stocks!Z973:'Stocks'!Z981)</f>
        <v>108732298509.27</v>
      </c>
      <c r="C11" s="41">
        <f ca="1">SUM(Stocks!AA973:'Stocks'!AA981)</f>
        <v>97882099524.449997</v>
      </c>
      <c r="D11" s="40">
        <f t="shared" ca="1" si="0"/>
        <v>-9.9788187443632221</v>
      </c>
      <c r="E11" s="39">
        <f ca="1">COUNTIF(Stocks!$Y$973:'Stocks'!$Y$981,"&gt;"&amp;0)</f>
        <v>1</v>
      </c>
      <c r="F11" s="39">
        <f ca="1">COUNTIF(Stocks!$Y$973:'Stocks'!$Y$981,"&lt;"&amp;0)</f>
        <v>8</v>
      </c>
      <c r="G11" s="39">
        <f ca="1">COUNTIF(Stocks!$Y$973:'Stocks'!$Y$981,"="&amp;0)</f>
        <v>0</v>
      </c>
      <c r="H11" s="8">
        <f t="shared" ca="1" si="1"/>
        <v>11.111111111111111</v>
      </c>
      <c r="I11" s="8">
        <f t="shared" ca="1" si="2"/>
        <v>88.888888888888886</v>
      </c>
      <c r="J11" s="8"/>
      <c r="K11" s="8"/>
      <c r="L11" s="8"/>
    </row>
    <row r="12" spans="1:23" x14ac:dyDescent="0.25">
      <c r="A12" s="40" t="s">
        <v>3707</v>
      </c>
      <c r="B12" s="41">
        <f>SUM(Stocks!Z889:'Stocks'!Z897)+Stocks!H1003</f>
        <v>216634217522.78998</v>
      </c>
      <c r="C12" s="41">
        <f ca="1">SUM(Stocks!AA889:'Stocks'!AA897)+Stocks!I1003</f>
        <v>193807884050.77002</v>
      </c>
      <c r="D12" s="40">
        <f t="shared" ca="1" si="0"/>
        <v>-10.536808881366408</v>
      </c>
      <c r="E12" s="39">
        <f ca="1">COUNTIF(Stocks!$Y$889:'Stocks'!$Y$897,"&gt;"&amp;0)+COUNTIF(Stocks!$G$1003,"&gt;"&amp;0)</f>
        <v>0</v>
      </c>
      <c r="F12" s="39">
        <f ca="1">COUNTIF(Stocks!$Y$889:'Stocks'!$Y$897,"&lt;"&amp;0)+COUNTIF(Stocks!$G$1003,"&lt;"&amp;0)</f>
        <v>10</v>
      </c>
      <c r="G12" s="39">
        <f ca="1">COUNTIF(Stocks!$Y$889:'Stocks'!$Y$897,"="&amp;0)+COUNTIF(Stocks!$G$1003,"="&amp;0)</f>
        <v>0</v>
      </c>
      <c r="H12" s="8">
        <f t="shared" ca="1" si="1"/>
        <v>0</v>
      </c>
      <c r="I12" s="8">
        <f t="shared" ca="1" si="2"/>
        <v>100</v>
      </c>
      <c r="J12" s="8"/>
      <c r="K12" s="8"/>
      <c r="L12" s="8"/>
    </row>
    <row r="13" spans="1:23" x14ac:dyDescent="0.25">
      <c r="A13" s="42" t="s">
        <v>3312</v>
      </c>
      <c r="B13" s="43">
        <f>SUM(Stocks!Q796:'Stocks'!Q807)</f>
        <v>291996246828.26996</v>
      </c>
      <c r="C13" s="43">
        <f ca="1">SUM(Stocks!R796:'Stocks'!R807)</f>
        <v>247328949222.03</v>
      </c>
      <c r="D13" s="42">
        <f t="shared" ca="1" si="0"/>
        <v>-15.297216348301173</v>
      </c>
      <c r="E13" s="39">
        <f ca="1">COUNTIF(Stocks!$P$796:'Stocks'!$P$807,"&gt;"&amp;0)</f>
        <v>0</v>
      </c>
      <c r="F13" s="39">
        <f ca="1">COUNTIF(Stocks!$P$796:'Stocks'!$P$807,"&lt;"&amp;0)</f>
        <v>12</v>
      </c>
      <c r="G13" s="39">
        <f ca="1">COUNTIF(Stocks!$P$796:'Stocks'!$P$807,"="&amp;0)</f>
        <v>0</v>
      </c>
      <c r="H13" s="8">
        <f t="shared" ca="1" si="1"/>
        <v>0</v>
      </c>
      <c r="I13" s="8">
        <f t="shared" ca="1" si="2"/>
        <v>100</v>
      </c>
      <c r="J13" s="8"/>
      <c r="K13" s="8"/>
      <c r="L13" s="8"/>
    </row>
    <row r="14" spans="1:23" x14ac:dyDescent="0.25">
      <c r="A14" s="8" t="s">
        <v>262</v>
      </c>
      <c r="B14" s="12">
        <f>SUM(Stocks!H61:'Stocks'!H68)</f>
        <v>21716235130.93</v>
      </c>
      <c r="C14" s="12">
        <f ca="1">SUM(Stocks!I61:'Stocks'!I68)</f>
        <v>19599789969.140003</v>
      </c>
      <c r="D14" s="8">
        <f t="shared" ca="1" si="0"/>
        <v>-9.7459119825774341</v>
      </c>
      <c r="E14" s="39">
        <f ca="1">COUNTIF(Stocks!$G$61:'Stocks'!$G$68,"&gt;"&amp;0)</f>
        <v>1</v>
      </c>
      <c r="F14" s="39">
        <f ca="1">COUNTIF(Stocks!$G$61:'Stocks'!$G$68,"&lt;"&amp;0)</f>
        <v>6</v>
      </c>
      <c r="G14" s="39">
        <f ca="1">COUNTIF(Stocks!$G$61:'Stocks'!$G$68,"="&amp;0)</f>
        <v>1</v>
      </c>
      <c r="H14" s="8">
        <f t="shared" ca="1" si="1"/>
        <v>12.5</v>
      </c>
      <c r="I14" s="8">
        <f t="shared" ca="1" si="2"/>
        <v>75</v>
      </c>
      <c r="J14" s="8"/>
      <c r="K14" s="8"/>
      <c r="L14" s="8"/>
    </row>
    <row r="15" spans="1:23" x14ac:dyDescent="0.25">
      <c r="A15" s="8" t="s">
        <v>4191</v>
      </c>
      <c r="B15" s="12">
        <f>Stocks!Q1000</f>
        <v>9895599750.25</v>
      </c>
      <c r="C15" s="12">
        <f ca="1">Stocks!R1000</f>
        <v>8616644891.5</v>
      </c>
      <c r="D15" s="8">
        <f t="shared" ca="1" si="0"/>
        <v>-12.924480486568676</v>
      </c>
      <c r="E15" s="39">
        <f ca="1">COUNTIF(Stocks!$P$1000,"&gt;"&amp;0)</f>
        <v>0</v>
      </c>
      <c r="F15" s="39">
        <f ca="1">COUNTIF(Stocks!$P$1000,"&lt;"&amp;0)</f>
        <v>1</v>
      </c>
      <c r="G15" s="39">
        <f ca="1">COUNTIF(Stocks!$P$1000,"="&amp;0)</f>
        <v>0</v>
      </c>
      <c r="H15" s="8">
        <f t="shared" ca="1" si="1"/>
        <v>0</v>
      </c>
      <c r="I15" s="8">
        <f t="shared" ca="1" si="2"/>
        <v>100</v>
      </c>
      <c r="J15" s="8"/>
      <c r="K15" s="8"/>
      <c r="L15" s="8"/>
    </row>
    <row r="16" spans="1:23" x14ac:dyDescent="0.25">
      <c r="A16" s="8" t="s">
        <v>4177</v>
      </c>
      <c r="B16" s="12">
        <f>Stocks!H997+Stocks!Z1033</f>
        <v>95837295410.25</v>
      </c>
      <c r="C16" s="12">
        <f ca="1">Stocks!I997+Stocks!AA1033</f>
        <v>80374601011.800003</v>
      </c>
      <c r="D16" s="8">
        <f t="shared" ca="1" si="0"/>
        <v>-16.134318411489971</v>
      </c>
      <c r="E16" s="39">
        <f ca="1">COUNTIF(Stocks!$G$997,"&gt;"&amp;0)+COUNTIF(Stocks!Y1033,"&gt;"&amp;0)</f>
        <v>0</v>
      </c>
      <c r="F16" s="39">
        <f ca="1">COUNTIF(Stocks!$G$997,"&lt;"&amp;0)+COUNTIF(Stocks!Y1033,"&lt;"&amp;0)</f>
        <v>2</v>
      </c>
      <c r="G16" s="39">
        <f ca="1">COUNTIF(Stocks!$G$997,"="&amp;0)+COUNTIF(Stocks!Y1033,"="&amp;0)</f>
        <v>0</v>
      </c>
      <c r="H16" s="8">
        <f t="shared" ca="1" si="1"/>
        <v>0</v>
      </c>
      <c r="I16" s="8">
        <f t="shared" ca="1" si="2"/>
        <v>100</v>
      </c>
      <c r="J16" s="8"/>
      <c r="K16" s="8"/>
      <c r="L16" s="8"/>
    </row>
    <row r="17" spans="1:12" x14ac:dyDescent="0.25">
      <c r="A17" s="40" t="s">
        <v>3361</v>
      </c>
      <c r="B17" s="41">
        <f>SUM(Stocks!Q808:'Stocks'!Q816)+Stocks!Q1014</f>
        <v>192009681965.95001</v>
      </c>
      <c r="C17" s="41">
        <f ca="1">SUM(Stocks!R808:'Stocks'!R816)+Stocks!R1014</f>
        <v>182352489534.25</v>
      </c>
      <c r="D17" s="40">
        <f t="shared" ca="1" si="0"/>
        <v>-5.0295341010004737</v>
      </c>
      <c r="E17" s="39">
        <f ca="1">COUNTIF(Stocks!$P$808:'Stocks'!$P$816,"&gt;"&amp;0)+COUNTIF(Stocks!P1014,"&gt;"&amp;0)</f>
        <v>1</v>
      </c>
      <c r="F17" s="39">
        <f ca="1">COUNTIF(Stocks!$P$808:'Stocks'!$P$816,"&lt;"&amp;0)+COUNTIF(Stocks!P1014,"&lt;"&amp;0)</f>
        <v>7</v>
      </c>
      <c r="G17" s="39">
        <f ca="1">COUNTIF(Stocks!$P$808:'Stocks'!$P$816,"="&amp;0)+COUNTIF(Stocks!P1014,"="&amp;0)</f>
        <v>1</v>
      </c>
      <c r="H17" s="8">
        <f t="shared" ca="1" si="1"/>
        <v>11.111111111111111</v>
      </c>
      <c r="I17" s="8">
        <f t="shared" ca="1" si="2"/>
        <v>77.777777777777786</v>
      </c>
      <c r="J17" s="8"/>
      <c r="K17" s="8"/>
      <c r="L17" s="8"/>
    </row>
    <row r="18" spans="1:12" x14ac:dyDescent="0.25">
      <c r="A18" s="40" t="s">
        <v>3690</v>
      </c>
      <c r="B18" s="41">
        <f>SUM(Stocks!Z885:'Stocks'!Z888)</f>
        <v>209890697348.14999</v>
      </c>
      <c r="C18" s="41">
        <f ca="1">SUM(Stocks!AA885:'Stocks'!AA888)</f>
        <v>175471350940</v>
      </c>
      <c r="D18" s="40">
        <f t="shared" ca="1" si="0"/>
        <v>-16.398700296401376</v>
      </c>
      <c r="E18" s="39">
        <f ca="1">COUNTIF(Stocks!$Y$885:'Stocks'!$Y$888,"&gt;"&amp;0)</f>
        <v>1</v>
      </c>
      <c r="F18" s="39">
        <f ca="1">COUNTIF(Stocks!$Y$885:'Stocks'!$Y$888,"&lt;"&amp;0)</f>
        <v>1</v>
      </c>
      <c r="G18" s="39">
        <f ca="1">COUNTIF(Stocks!$Y$885:'Stocks'!$Y$888,"="&amp;0)</f>
        <v>0</v>
      </c>
      <c r="H18" s="8">
        <f t="shared" ca="1" si="1"/>
        <v>50</v>
      </c>
      <c r="I18" s="8">
        <f t="shared" ca="1" si="2"/>
        <v>50</v>
      </c>
      <c r="J18" s="8"/>
      <c r="K18" s="8"/>
      <c r="L18" s="8"/>
    </row>
    <row r="19" spans="1:12" x14ac:dyDescent="0.25">
      <c r="A19" s="40" t="s">
        <v>2321</v>
      </c>
      <c r="B19" s="41">
        <f>SUM(Stocks!H559:'Stocks'!H564)</f>
        <v>343668562161.14996</v>
      </c>
      <c r="C19" s="41">
        <f ca="1">SUM(Stocks!I559:'Stocks'!I564)</f>
        <v>345062752630.5</v>
      </c>
      <c r="D19" s="40">
        <f t="shared" ca="1" si="0"/>
        <v>0.40567879138630242</v>
      </c>
      <c r="E19" s="39">
        <f ca="1">COUNTIF(Stocks!$G$559:'Stocks'!$G$564,"&gt;"&amp;0)</f>
        <v>3</v>
      </c>
      <c r="F19" s="39">
        <f ca="1">COUNTIF(Stocks!$G$559:'Stocks'!$G$564,"&lt;"&amp;0)</f>
        <v>3</v>
      </c>
      <c r="G19" s="39">
        <f ca="1">COUNTIF(Stocks!$G$559:'Stocks'!$G$564,"="&amp;0)</f>
        <v>0</v>
      </c>
      <c r="H19" s="8">
        <f t="shared" ca="1" si="1"/>
        <v>50</v>
      </c>
      <c r="I19" s="8">
        <f t="shared" ca="1" si="2"/>
        <v>50</v>
      </c>
      <c r="J19" s="8"/>
      <c r="K19" s="8"/>
      <c r="L19" s="8"/>
    </row>
    <row r="20" spans="1:12" x14ac:dyDescent="0.25">
      <c r="A20" s="8" t="s">
        <v>3874</v>
      </c>
      <c r="B20" s="12">
        <f>SUM(Stocks!H929:'Stocks'!H930)</f>
        <v>324368047336.20001</v>
      </c>
      <c r="C20" s="12">
        <f ca="1">SUM(Stocks!I929:'Stocks'!I930)</f>
        <v>291708922626.09998</v>
      </c>
      <c r="D20" s="8">
        <f t="shared" ca="1" si="0"/>
        <v>-10.068539419435973</v>
      </c>
      <c r="E20" s="39">
        <f ca="1">COUNTIF(Stocks!$G$929:'Stocks'!$G$930,"&gt;"&amp;0)</f>
        <v>0</v>
      </c>
      <c r="F20" s="39">
        <f ca="1">COUNTIF(Stocks!$G$929:'Stocks'!$G$930,"&lt;"&amp;0)</f>
        <v>2</v>
      </c>
      <c r="G20" s="39">
        <f ca="1">COUNTIF(Stocks!$G$929:'Stocks'!$G$930,"="&amp;0)</f>
        <v>0</v>
      </c>
      <c r="H20" s="8">
        <f t="shared" ca="1" si="1"/>
        <v>0</v>
      </c>
      <c r="I20" s="8">
        <f t="shared" ca="1" si="2"/>
        <v>100</v>
      </c>
      <c r="J20" s="8"/>
      <c r="K20" s="8"/>
      <c r="L20" s="8"/>
    </row>
    <row r="21" spans="1:12" x14ac:dyDescent="0.25">
      <c r="A21" s="40" t="s">
        <v>2749</v>
      </c>
      <c r="B21" s="41">
        <f>SUM(Stocks!Z662:'Stocks'!Z662)+Stocks!Q1002</f>
        <v>40364265324.099998</v>
      </c>
      <c r="C21" s="41">
        <f ca="1">SUM(Stocks!AA662:'Stocks'!AA662)+Stocks!R1002</f>
        <v>35037612778.800003</v>
      </c>
      <c r="D21" s="40">
        <f t="shared" ca="1" si="0"/>
        <v>-13.1964560794809</v>
      </c>
      <c r="E21" s="39">
        <f ca="1">COUNTIF(Stocks!$Y$662:'Stocks'!$Y$662,"&gt;"&amp;0)+COUNTIF(Stocks!$P$1002,"&gt;"&amp;0)</f>
        <v>0</v>
      </c>
      <c r="F21" s="39">
        <f ca="1">COUNTIF(Stocks!$Y$662:'Stocks'!$Y$662,"&lt;"&amp;0)+COUNTIF(Stocks!$P$1002,"&lt;"&amp;0)</f>
        <v>2</v>
      </c>
      <c r="G21" s="39">
        <f ca="1">COUNTIF(Stocks!$Y$662:'Stocks'!$Y$662,"="&amp;0)+COUNTIF(Stocks!$P$1002,"="&amp;0)</f>
        <v>0</v>
      </c>
      <c r="H21" s="8">
        <f t="shared" ca="1" si="1"/>
        <v>0</v>
      </c>
      <c r="I21" s="8">
        <f t="shared" ca="1" si="2"/>
        <v>100</v>
      </c>
      <c r="J21" s="8"/>
      <c r="K21" s="8"/>
      <c r="L21" s="8"/>
    </row>
    <row r="22" spans="1:12" x14ac:dyDescent="0.25">
      <c r="A22" s="8" t="s">
        <v>4194</v>
      </c>
      <c r="B22" s="12">
        <f>Stocks!AI1002+Stocks!AI1000+Stocks!Q1011+Stocks!AI1012</f>
        <v>11576950175</v>
      </c>
      <c r="C22" s="12">
        <f ca="1">Stocks!AJ1002+Stocks!AJ1000+Stocks!R1011+Stocks!AJ1012</f>
        <v>10428034395</v>
      </c>
      <c r="D22" s="44">
        <f t="shared" ca="1" si="0"/>
        <v>-9.9241662323212001</v>
      </c>
      <c r="E22" s="39">
        <f ca="1">COUNTIF(Stocks!$AH$1002,"&gt;"&amp;0)+COUNTIF(Stocks!$AH$1000,"&gt;"&amp;0)+COUNTIF(Stocks!$P$1011,"&gt;"&amp;0)+COUNTIF(Stocks!AH1012,"&gt;"&amp;0)</f>
        <v>0</v>
      </c>
      <c r="F22" s="39">
        <f ca="1">COUNTIF(Stocks!$AH$1002,"&lt;"&amp;0)+COUNTIF(Stocks!$AH$1000,"&lt;"&amp;0)+COUNTIF(Stocks!$P$1011,"&lt;"&amp;0)+COUNTIF(Stocks!AH1012,"&lt;"&amp;0)</f>
        <v>4</v>
      </c>
      <c r="G22" s="39">
        <f ca="1">COUNTIF(Stocks!$AH$1002,"="&amp;0)+COUNTIF(Stocks!$AH$1000,"="&amp;0)+COUNTIF(Stocks!$P$1011,"="&amp;0)+COUNTIF(Stocks!AH1012,"="&amp;0)</f>
        <v>0</v>
      </c>
      <c r="H22" s="8">
        <f t="shared" ca="1" si="1"/>
        <v>0</v>
      </c>
      <c r="I22" s="8">
        <f t="shared" ca="1" si="2"/>
        <v>100</v>
      </c>
      <c r="J22" s="8"/>
      <c r="K22" s="8"/>
      <c r="L22" s="8"/>
    </row>
    <row r="23" spans="1:12" x14ac:dyDescent="0.25">
      <c r="A23" s="40" t="s">
        <v>3918</v>
      </c>
      <c r="B23" s="41">
        <f>SUM(Stocks!H939:'Stocks'!H946)</f>
        <v>78757414439.029999</v>
      </c>
      <c r="C23" s="41">
        <f ca="1">SUM(Stocks!I939:'Stocks'!I946)</f>
        <v>74158263214.360001</v>
      </c>
      <c r="D23" s="40">
        <f t="shared" ca="1" si="0"/>
        <v>-5.8396422196292743</v>
      </c>
      <c r="E23" s="39">
        <f ca="1">COUNTIF(Stocks!$G$939:'Stocks'!$G$946,"&gt;"&amp;0)</f>
        <v>1</v>
      </c>
      <c r="F23" s="39">
        <f ca="1">COUNTIF(Stocks!$G$939:'Stocks'!$G$946,"&lt;"&amp;0)</f>
        <v>7</v>
      </c>
      <c r="G23" s="39">
        <f ca="1">COUNTIF(Stocks!$G$939:'Stocks'!$G$946,"="&amp;0)</f>
        <v>0</v>
      </c>
      <c r="H23" s="8">
        <f t="shared" ca="1" si="1"/>
        <v>12.5</v>
      </c>
      <c r="I23" s="8">
        <f t="shared" ca="1" si="2"/>
        <v>87.5</v>
      </c>
      <c r="J23" s="8"/>
      <c r="K23" s="8"/>
      <c r="L23" s="8"/>
    </row>
    <row r="24" spans="1:12" x14ac:dyDescent="0.25">
      <c r="A24" s="40" t="s">
        <v>4057</v>
      </c>
      <c r="B24" s="41">
        <f>SUM(Stocks!Z971:'Stocks'!Z972)+Stocks!AI1008</f>
        <v>10881698726.199999</v>
      </c>
      <c r="C24" s="41">
        <f ca="1">SUM(Stocks!AA971:'Stocks'!AA972)+Stocks!AJ1008</f>
        <v>9091101016.6999989</v>
      </c>
      <c r="D24" s="40">
        <f t="shared" ca="1" si="0"/>
        <v>-16.455130348249359</v>
      </c>
      <c r="E24" s="39">
        <f ca="1">COUNTIF(Stocks!$Y$971:'Stocks'!$Y$972,"&gt;"&amp;0)+COUNTIF(Stocks!$AH$1008,"&gt;"&amp;0)</f>
        <v>1</v>
      </c>
      <c r="F24" s="39">
        <f ca="1">COUNTIF(Stocks!$Y$971:'Stocks'!$Y$972,"&lt;"&amp;0)+COUNTIF(Stocks!$AH$1008,"&lt;"&amp;0)</f>
        <v>1</v>
      </c>
      <c r="G24" s="39">
        <f ca="1">COUNTIF(Stocks!$Y$971:'Stocks'!$Y$972,"="&amp;0)+COUNTIF(Stocks!$AH$1008,"="&amp;0)</f>
        <v>1</v>
      </c>
      <c r="H24" s="8">
        <f t="shared" ca="1" si="1"/>
        <v>33.333333333333329</v>
      </c>
      <c r="I24" s="8">
        <f t="shared" ca="1" si="2"/>
        <v>33.333333333333329</v>
      </c>
      <c r="J24" s="8"/>
      <c r="K24" s="8"/>
      <c r="L24" s="8"/>
    </row>
    <row r="25" spans="1:12" x14ac:dyDescent="0.25">
      <c r="A25" s="40" t="s">
        <v>3974</v>
      </c>
      <c r="B25" s="41">
        <f>SUM(Stocks!Z952:'Stocks'!Z961)</f>
        <v>313619296179.03003</v>
      </c>
      <c r="C25" s="41">
        <f ca="1">SUM(Stocks!AA952:'Stocks'!AA961)</f>
        <v>278205014981.65002</v>
      </c>
      <c r="D25" s="40">
        <f t="shared" ca="1" si="0"/>
        <v>-11.292124441591666</v>
      </c>
      <c r="E25" s="39">
        <f ca="1">COUNTIF(Stocks!$Y$952:'Stocks'!$Y$961,"&gt;"&amp;0)</f>
        <v>0</v>
      </c>
      <c r="F25" s="39">
        <f ca="1">COUNTIF(Stocks!$Y$952:'Stocks'!$Y$961,"&lt;"&amp;0)</f>
        <v>10</v>
      </c>
      <c r="G25" s="39">
        <f ca="1">COUNTIF(Stocks!$Y$952:'Stocks'!$Y$961,"="&amp;0)</f>
        <v>0</v>
      </c>
      <c r="H25" s="8">
        <f t="shared" ca="1" si="1"/>
        <v>0</v>
      </c>
      <c r="I25" s="8">
        <f t="shared" ca="1" si="2"/>
        <v>100</v>
      </c>
      <c r="J25" s="8"/>
      <c r="K25" s="8"/>
      <c r="L25" s="8"/>
    </row>
    <row r="26" spans="1:12" x14ac:dyDescent="0.25">
      <c r="A26" s="8" t="s">
        <v>4351</v>
      </c>
      <c r="B26" s="12">
        <f>Stocks!AI1036</f>
        <v>35083768514</v>
      </c>
      <c r="C26" s="12">
        <f ca="1">Stocks!AJ1036</f>
        <v>34760130217.599998</v>
      </c>
      <c r="D26" s="8">
        <f t="shared" ca="1" si="0"/>
        <v>-0.92247301275760973</v>
      </c>
      <c r="E26" s="8">
        <f ca="1">COUNTIF(Stocks!AH1036,"&gt;"&amp;0)</f>
        <v>0</v>
      </c>
      <c r="F26" s="8">
        <f ca="1">COUNTIF(Stocks!AH1036,"&lt;"&amp;0)</f>
        <v>1</v>
      </c>
      <c r="G26" s="8">
        <f ca="1">COUNTIF(Stocks!AH1036,"="&amp;0)</f>
        <v>0</v>
      </c>
      <c r="H26" s="8">
        <f t="shared" ca="1" si="1"/>
        <v>0</v>
      </c>
      <c r="I26" s="8">
        <f t="shared" ca="1" si="2"/>
        <v>100</v>
      </c>
      <c r="J26" s="69" t="s">
        <v>4361</v>
      </c>
      <c r="K26" s="67"/>
      <c r="L26" s="67"/>
    </row>
    <row r="27" spans="1:12" x14ac:dyDescent="0.25">
      <c r="A27" s="8" t="s">
        <v>3652</v>
      </c>
      <c r="B27" s="12">
        <f>SUM(Stocks!H877:'Stocks'!H883)</f>
        <v>171723743389.27997</v>
      </c>
      <c r="C27" s="12">
        <f ca="1">SUM(Stocks!I877:'Stocks'!I883)</f>
        <v>165613734635.52002</v>
      </c>
      <c r="D27" s="8">
        <f t="shared" ca="1" si="0"/>
        <v>-3.5580454008093634</v>
      </c>
      <c r="E27" s="39">
        <f ca="1">COUNTIF(Stocks!$G$877:'Stocks'!$G$883,"&gt;"&amp;0)</f>
        <v>2</v>
      </c>
      <c r="F27" s="39">
        <f ca="1">COUNTIF(Stocks!$G$877:'Stocks'!$G$883,"&lt;"&amp;0)</f>
        <v>5</v>
      </c>
      <c r="G27" s="39">
        <f ca="1">COUNTIF(Stocks!$G$877:'Stocks'!$G$883,"="&amp;0)</f>
        <v>0</v>
      </c>
      <c r="H27" s="8">
        <f t="shared" ca="1" si="1"/>
        <v>28.571428571428569</v>
      </c>
      <c r="I27" s="8">
        <f t="shared" ca="1" si="2"/>
        <v>71.428571428571431</v>
      </c>
      <c r="J27" s="8"/>
      <c r="K27" s="8"/>
      <c r="L27" s="8"/>
    </row>
    <row r="28" spans="1:12" x14ac:dyDescent="0.25">
      <c r="A28" s="40" t="s">
        <v>4053</v>
      </c>
      <c r="B28" s="41">
        <f>SUM(Stocks!AI970:'Stocks'!AI972)+Stocks!AI992</f>
        <v>30029727510.550003</v>
      </c>
      <c r="C28" s="41">
        <f ca="1">SUM(Stocks!AJ970:'Stocks'!AJ972)+Stocks!AJ992</f>
        <v>28163053323.049999</v>
      </c>
      <c r="D28" s="40">
        <f t="shared" ca="1" si="0"/>
        <v>-6.2160876646123624</v>
      </c>
      <c r="E28" s="39">
        <f ca="1">COUNTIF(Stocks!$AH$970:'Stocks'!$AH$972,"&gt;"&amp;0)+COUNTIF(Stocks!$AH$992,"&gt;"&amp;0)</f>
        <v>1</v>
      </c>
      <c r="F28" s="39">
        <f ca="1">COUNTIF(Stocks!$AH$970:'Stocks'!$AH$972,"&lt;"&amp;0)+COUNTIF(Stocks!$AH$992,"&lt;"&amp;0)</f>
        <v>3</v>
      </c>
      <c r="G28" s="39">
        <f ca="1">COUNTIF(Stocks!$AH$970:'Stocks'!$AH$972,"="&amp;0)+COUNTIF(Stocks!$AH$992,"="&amp;0)</f>
        <v>0</v>
      </c>
      <c r="H28" s="8">
        <f t="shared" ca="1" si="1"/>
        <v>25</v>
      </c>
      <c r="I28" s="8">
        <f t="shared" ca="1" si="2"/>
        <v>75</v>
      </c>
      <c r="J28" s="8"/>
      <c r="K28" s="8"/>
      <c r="L28" s="8"/>
    </row>
    <row r="29" spans="1:12" x14ac:dyDescent="0.25">
      <c r="A29" s="40" t="s">
        <v>3454</v>
      </c>
      <c r="B29" s="41">
        <f>SUM(Stocks!H830:'Stocks'!H834)</f>
        <v>40972475619.340004</v>
      </c>
      <c r="C29" s="41">
        <f ca="1">SUM(Stocks!I830:'Stocks'!I834)</f>
        <v>36910683219.889999</v>
      </c>
      <c r="D29" s="40">
        <f t="shared" ca="1" si="0"/>
        <v>-9.9134659013202029</v>
      </c>
      <c r="E29" s="39">
        <f ca="1">COUNTIF(Stocks!$G$830:'Stocks'!$G$834,"&gt;"&amp;0)</f>
        <v>0</v>
      </c>
      <c r="F29" s="39">
        <f ca="1">COUNTIF(Stocks!$G$830:'Stocks'!$G$834,"&lt;"&amp;0)</f>
        <v>5</v>
      </c>
      <c r="G29" s="39">
        <f ca="1">COUNTIF(Stocks!$G$830:'Stocks'!$G$834,"="&amp;0)</f>
        <v>0</v>
      </c>
      <c r="H29" s="8">
        <f t="shared" ca="1" si="1"/>
        <v>0</v>
      </c>
      <c r="I29" s="8">
        <f t="shared" ca="1" si="2"/>
        <v>100</v>
      </c>
      <c r="J29" s="8"/>
      <c r="K29" s="8"/>
      <c r="L29" s="8"/>
    </row>
    <row r="30" spans="1:12" x14ac:dyDescent="0.25">
      <c r="A30" s="8" t="s">
        <v>2867</v>
      </c>
      <c r="B30" s="12">
        <f>SUM(Stocks!AI689:'Stocks'!AI694)</f>
        <v>5032568167.6999998</v>
      </c>
      <c r="C30" s="12">
        <f ca="1">SUM(Stocks!AJ689:'Stocks'!AJ694)</f>
        <v>4492589924.5500002</v>
      </c>
      <c r="D30" s="8">
        <f t="shared" ca="1" si="0"/>
        <v>-10.729675687568127</v>
      </c>
      <c r="E30" s="39">
        <f ca="1">COUNTIF(Stocks!$AH$689:'Stocks'!$AH$694,"&gt;"&amp;0)</f>
        <v>0</v>
      </c>
      <c r="F30" s="39">
        <f ca="1">COUNTIF(Stocks!$AH$689:'Stocks'!$AH$694,"&lt;"&amp;0)</f>
        <v>5</v>
      </c>
      <c r="G30" s="39">
        <f ca="1">COUNTIF(Stocks!$AH$689:'Stocks'!$AH$694,"="&amp;0)</f>
        <v>1</v>
      </c>
      <c r="H30" s="8">
        <f t="shared" ca="1" si="1"/>
        <v>0</v>
      </c>
      <c r="I30" s="8">
        <f t="shared" ca="1" si="2"/>
        <v>83.333333333333343</v>
      </c>
      <c r="J30" s="8"/>
      <c r="K30" s="8"/>
      <c r="L30" s="8"/>
    </row>
    <row r="31" spans="1:12" x14ac:dyDescent="0.25">
      <c r="A31" s="40" t="s">
        <v>3190</v>
      </c>
      <c r="B31" s="41">
        <f>SUM(Stocks!H767:'Stocks'!H776)</f>
        <v>119179813341.00999</v>
      </c>
      <c r="C31" s="41">
        <f ca="1">SUM(Stocks!I767:'Stocks'!I776)</f>
        <v>107939846824.41</v>
      </c>
      <c r="D31" s="40">
        <f t="shared" ca="1" si="0"/>
        <v>-9.4310992789013692</v>
      </c>
      <c r="E31" s="39">
        <f ca="1">COUNTIF(Stocks!$G$767:'Stocks'!$G$776,"&gt;"&amp;0)</f>
        <v>1</v>
      </c>
      <c r="F31" s="39">
        <f ca="1">COUNTIF(Stocks!$G$767:'Stocks'!$G$776,"&lt;"&amp;0)</f>
        <v>8</v>
      </c>
      <c r="G31" s="39">
        <f ca="1">COUNTIF(Stocks!$G$767:'Stocks'!$G$776,"="&amp;0)</f>
        <v>1</v>
      </c>
      <c r="H31" s="8">
        <f t="shared" ca="1" si="1"/>
        <v>10</v>
      </c>
      <c r="I31" s="8">
        <f t="shared" ca="1" si="2"/>
        <v>80</v>
      </c>
      <c r="J31" s="8"/>
      <c r="K31" s="8"/>
      <c r="L31" s="8"/>
    </row>
    <row r="32" spans="1:12" x14ac:dyDescent="0.25">
      <c r="A32" s="42" t="s">
        <v>3672</v>
      </c>
      <c r="B32" s="43">
        <f>SUM(Stocks!Z881:'Stocks'!Z884)</f>
        <v>11188033075.9</v>
      </c>
      <c r="C32" s="43">
        <f ca="1">SUM(Stocks!AA881:'Stocks'!AA884)</f>
        <v>9484748688.4899998</v>
      </c>
      <c r="D32" s="42">
        <f t="shared" ca="1" si="0"/>
        <v>-15.22416295925173</v>
      </c>
      <c r="E32" s="39">
        <f ca="1">COUNTIF(Stocks!$Y$881:'Stocks'!$Y$884,"&gt;"&amp;0)</f>
        <v>0</v>
      </c>
      <c r="F32" s="39">
        <f ca="1">COUNTIF(Stocks!$Y$881:'Stocks'!$Y$884,"&lt;"&amp;0)</f>
        <v>4</v>
      </c>
      <c r="G32" s="39">
        <f ca="1">COUNTIF(Stocks!$Y$881:'Stocks'!$Y$884,"="&amp;0)</f>
        <v>0</v>
      </c>
      <c r="H32" s="8">
        <f t="shared" ca="1" si="1"/>
        <v>0</v>
      </c>
      <c r="I32" s="8">
        <f t="shared" ca="1" si="2"/>
        <v>100</v>
      </c>
      <c r="J32" s="8"/>
      <c r="K32" s="8"/>
      <c r="L32" s="8"/>
    </row>
    <row r="33" spans="1:12" x14ac:dyDescent="0.25">
      <c r="A33" s="42" t="s">
        <v>3872</v>
      </c>
      <c r="B33" s="43">
        <f>SUM(Stocks!AI928:'Stocks'!AI951)</f>
        <v>666281160814.41003</v>
      </c>
      <c r="C33" s="43">
        <f ca="1">SUM(Stocks!AJ928:'Stocks'!AJ951)</f>
        <v>598266318997.00012</v>
      </c>
      <c r="D33" s="42">
        <f t="shared" ca="1" si="0"/>
        <v>-10.208129212939756</v>
      </c>
      <c r="E33" s="39">
        <f ca="1">COUNTIF(Stocks!$AH$928:'Stocks'!$AH$951,"&gt;"&amp;0)</f>
        <v>0</v>
      </c>
      <c r="F33" s="39">
        <f ca="1">COUNTIF(Stocks!$AH$928:'Stocks'!$AH$951,"&lt;"&amp;0)</f>
        <v>21</v>
      </c>
      <c r="G33" s="39">
        <f ca="1">COUNTIF(Stocks!$AH$928:'Stocks'!$AH$951,"="&amp;0)</f>
        <v>0</v>
      </c>
      <c r="H33" s="8">
        <f t="shared" ca="1" si="1"/>
        <v>0</v>
      </c>
      <c r="I33" s="8">
        <f t="shared" ca="1" si="2"/>
        <v>100</v>
      </c>
      <c r="J33" s="8"/>
      <c r="K33" s="8"/>
      <c r="L33" s="8"/>
    </row>
    <row r="34" spans="1:12" x14ac:dyDescent="0.25">
      <c r="A34" s="40" t="s">
        <v>4051</v>
      </c>
      <c r="B34" s="41">
        <f>SUM(Stocks!Z970:'Stocks'!Z970)</f>
        <v>56771834891</v>
      </c>
      <c r="C34" s="41">
        <f ca="1">SUM(Stocks!AA970:'Stocks'!AA970)</f>
        <v>53168181895.400002</v>
      </c>
      <c r="D34" s="40">
        <f t="shared" ca="1" si="0"/>
        <v>-6.3476070528967226</v>
      </c>
      <c r="E34" s="39">
        <f ca="1">COUNTIF(Stocks!$Y$970:'Stocks'!$Y$970,"&gt;"&amp;0)</f>
        <v>0</v>
      </c>
      <c r="F34" s="39">
        <f ca="1">COUNTIF(Stocks!$Y$970:'Stocks'!$Y$970,"&lt;"&amp;0)</f>
        <v>1</v>
      </c>
      <c r="G34" s="39">
        <f ca="1">COUNTIF(Stocks!$Y$970:'Stocks'!$Y$970,"="&amp;0)</f>
        <v>0</v>
      </c>
      <c r="H34" s="8">
        <f t="shared" ca="1" si="1"/>
        <v>0</v>
      </c>
      <c r="I34" s="8">
        <f t="shared" ca="1" si="2"/>
        <v>100</v>
      </c>
      <c r="J34" s="8"/>
      <c r="K34" s="8"/>
      <c r="L34" s="8"/>
    </row>
    <row r="35" spans="1:12" x14ac:dyDescent="0.25">
      <c r="A35" s="8" t="s">
        <v>4345</v>
      </c>
      <c r="B35" s="12">
        <f>Stocks!Z1035</f>
        <v>1001163420</v>
      </c>
      <c r="C35" s="12">
        <f ca="1">Stocks!AA1035</f>
        <v>850068000</v>
      </c>
      <c r="D35" s="44">
        <f t="shared" ca="1" si="0"/>
        <v>-15.091983684341963</v>
      </c>
      <c r="E35" s="8">
        <f ca="1">COUNTIF(Stocks!Y1035,"&gt;"&amp;0)</f>
        <v>0</v>
      </c>
      <c r="F35" s="8">
        <f ca="1">COUNTIF(Stocks!Y1035,"&lt;"&amp;0)</f>
        <v>1</v>
      </c>
      <c r="G35" s="8">
        <f ca="1">COUNTIF(Stocks!Y1035,"="&amp;0)</f>
        <v>0</v>
      </c>
      <c r="H35" s="8">
        <f t="shared" ca="1" si="1"/>
        <v>0</v>
      </c>
      <c r="I35" s="8">
        <f t="shared" ca="1" si="2"/>
        <v>100</v>
      </c>
      <c r="J35" s="69" t="s">
        <v>4362</v>
      </c>
      <c r="K35" s="67"/>
      <c r="L35" s="67"/>
    </row>
    <row r="36" spans="1:12" x14ac:dyDescent="0.25">
      <c r="A36" s="40" t="s">
        <v>1563</v>
      </c>
      <c r="B36" s="41">
        <f>SUM(Stocks!AI375:'Stocks'!AI379)</f>
        <v>52896122227.599998</v>
      </c>
      <c r="C36" s="41">
        <f ca="1">SUM(Stocks!AJ375:'Stocks'!AJ379)</f>
        <v>50571949331.090004</v>
      </c>
      <c r="D36" s="40">
        <f t="shared" ca="1" si="0"/>
        <v>-4.3938436290463914</v>
      </c>
      <c r="E36" s="39">
        <f ca="1">COUNTIF(Stocks!$AH$375:'Stocks'!$AH$379,"&gt;"&amp;0)</f>
        <v>1</v>
      </c>
      <c r="F36" s="39">
        <f ca="1">COUNTIF(Stocks!$AH$375:'Stocks'!$AH$379,"&lt;"&amp;0)</f>
        <v>4</v>
      </c>
      <c r="G36" s="39">
        <f ca="1">COUNTIF(Stocks!$AH$375:'Stocks'!$AH$379,"="&amp;0)</f>
        <v>0</v>
      </c>
      <c r="H36" s="8">
        <f t="shared" ca="1" si="1"/>
        <v>20</v>
      </c>
      <c r="I36" s="8">
        <f t="shared" ca="1" si="2"/>
        <v>80</v>
      </c>
      <c r="J36" s="8"/>
      <c r="K36" s="8"/>
      <c r="L36" s="8"/>
    </row>
    <row r="37" spans="1:12" x14ac:dyDescent="0.25">
      <c r="A37" s="8" t="s">
        <v>4133</v>
      </c>
      <c r="B37" s="12">
        <f>Stocks!AI986</f>
        <v>4844408675.4000006</v>
      </c>
      <c r="C37" s="12">
        <f ca="1">Stocks!AJ986</f>
        <v>4267669392</v>
      </c>
      <c r="D37" s="8">
        <f t="shared" ca="1" si="0"/>
        <v>-11.905256596717233</v>
      </c>
      <c r="E37" s="39">
        <f ca="1">COUNTIF(Stocks!$AH$986,"&gt;"&amp;0)</f>
        <v>0</v>
      </c>
      <c r="F37" s="39">
        <f ca="1">COUNTIF(Stocks!$AH$986,"&lt;"&amp;0)</f>
        <v>1</v>
      </c>
      <c r="G37" s="39">
        <f ca="1">COUNTIF(Stocks!$AH$986,"="&amp;0)</f>
        <v>0</v>
      </c>
      <c r="H37" s="8">
        <f t="shared" ca="1" si="1"/>
        <v>0</v>
      </c>
      <c r="I37" s="8">
        <f t="shared" ca="1" si="2"/>
        <v>100</v>
      </c>
      <c r="J37" s="8"/>
      <c r="K37" s="8"/>
      <c r="L37" s="8"/>
    </row>
    <row r="38" spans="1:12" x14ac:dyDescent="0.25">
      <c r="A38" s="8" t="s">
        <v>4128</v>
      </c>
      <c r="B38" s="12">
        <f>Stocks!AI985</f>
        <v>27480887500.000004</v>
      </c>
      <c r="C38" s="12">
        <f ca="1">Stocks!AJ985</f>
        <v>25498000000</v>
      </c>
      <c r="D38" s="8">
        <f t="shared" ca="1" si="0"/>
        <v>-7.2155147827740409</v>
      </c>
      <c r="E38" s="39">
        <f ca="1">COUNTIF(Stocks!$AH$985,"&gt;"&amp;0)</f>
        <v>0</v>
      </c>
      <c r="F38" s="39">
        <f ca="1">COUNTIF(Stocks!$AH$985,"&lt;"&amp;0)</f>
        <v>1</v>
      </c>
      <c r="G38" s="39">
        <f ca="1">COUNTIF(Stocks!$AH$985,"="&amp;0)</f>
        <v>0</v>
      </c>
      <c r="H38" s="8">
        <f t="shared" ca="1" si="1"/>
        <v>0</v>
      </c>
      <c r="I38" s="8">
        <f t="shared" ca="1" si="2"/>
        <v>100</v>
      </c>
      <c r="J38" s="8"/>
      <c r="K38" s="8"/>
      <c r="L38" s="8"/>
    </row>
    <row r="39" spans="1:12" x14ac:dyDescent="0.25">
      <c r="A39" s="8" t="s">
        <v>3287</v>
      </c>
      <c r="B39" s="12">
        <f>SUM(Stocks!Q790:'Stocks'!Q795)+Stocks!Z1030</f>
        <v>364045204210.05005</v>
      </c>
      <c r="C39" s="12">
        <f ca="1">SUM(Stocks!R790:'Stocks'!R795)+Stocks!AA1030</f>
        <v>326605212237.45001</v>
      </c>
      <c r="D39" s="8">
        <f t="shared" ca="1" si="0"/>
        <v>-10.284434883256305</v>
      </c>
      <c r="E39" s="39">
        <f ca="1">COUNTIF(Stocks!$P$790:'Stocks'!$P$795,"&gt;"&amp;0)+COUNTIF(Stocks!Y1030,"&gt;"&amp;0)</f>
        <v>1</v>
      </c>
      <c r="F39" s="39">
        <f ca="1">COUNTIF(Stocks!$P$790:'Stocks'!$P$795,"&lt;"&amp;0)+COUNTIF(Stocks!Y1030,"&lt;"&amp;0)</f>
        <v>6</v>
      </c>
      <c r="G39" s="39">
        <f ca="1">COUNTIF(Stocks!$P$790:'Stocks'!$P$795,"="&amp;0)+COUNTIF(Stocks!Y1030,"="&amp;0)</f>
        <v>0</v>
      </c>
      <c r="H39" s="8">
        <f t="shared" ca="1" si="1"/>
        <v>14.285714285714285</v>
      </c>
      <c r="I39" s="8">
        <f t="shared" ca="1" si="2"/>
        <v>85.714285714285708</v>
      </c>
      <c r="J39" s="8"/>
      <c r="K39" s="8"/>
      <c r="L39" s="8"/>
    </row>
    <row r="40" spans="1:12" x14ac:dyDescent="0.25">
      <c r="A40" s="8" t="s">
        <v>2265</v>
      </c>
      <c r="B40" s="12">
        <f>SUM(Stocks!AI545:'Stocks'!AI549)+Stocks!H1030+Stocks!AI1031</f>
        <v>143738835671.84</v>
      </c>
      <c r="C40" s="12">
        <f ca="1">SUM(Stocks!AJ545:'Stocks'!AJ549)+Stocks!I1030+Stocks!AJ1031</f>
        <v>141287792175.33002</v>
      </c>
      <c r="D40" s="8">
        <f t="shared" ca="1" si="0"/>
        <v>-1.7052061713549591</v>
      </c>
      <c r="E40" s="39">
        <f ca="1">COUNTIF(Stocks!$AH$545:'Stocks'!$AH$549,"&gt;"&amp;0)+COUNTIF(Stocks!G1030,"&gt;"&amp;0)+COUNTIF(Stocks!AH1031,"&gt;"&amp;0)</f>
        <v>1</v>
      </c>
      <c r="F40" s="39">
        <f ca="1">COUNTIF(Stocks!$AH$545:'Stocks'!$AH$549,"&lt;"&amp;0)+COUNTIF(Stocks!G1030,"&lt;"&amp;0)+COUNTIF(Stocks!AH1031,"&lt;"&amp;0)</f>
        <v>6</v>
      </c>
      <c r="G40" s="39">
        <f ca="1">COUNTIF(Stocks!$AH$545:'Stocks'!$AH$549,"="&amp;0)+COUNTIF(Stocks!G1030,"="&amp;0)+COUNTIF(Stocks!AH1031,"="&amp;0)</f>
        <v>0</v>
      </c>
      <c r="H40" s="8">
        <f t="shared" ca="1" si="1"/>
        <v>14.285714285714285</v>
      </c>
      <c r="I40" s="8">
        <f t="shared" ca="1" si="2"/>
        <v>85.714285714285708</v>
      </c>
      <c r="J40" s="8"/>
      <c r="K40" s="8"/>
      <c r="L40" s="8"/>
    </row>
    <row r="41" spans="1:12" x14ac:dyDescent="0.25">
      <c r="A41" s="40" t="s">
        <v>2757</v>
      </c>
      <c r="B41" s="41">
        <f>SUM(Stocks!AI663:'Stocks'!AI667)+Stocks!H1021</f>
        <v>944499852725.07983</v>
      </c>
      <c r="C41" s="41">
        <f ca="1">SUM(Stocks!AJ663:'Stocks'!AJ667)+Stocks!I1021</f>
        <v>987626165101.3999</v>
      </c>
      <c r="D41" s="40">
        <f t="shared" ca="1" si="0"/>
        <v>4.566047549069661</v>
      </c>
      <c r="E41" s="39">
        <f ca="1">COUNTIF(Stocks!$AH$663:'Stocks'!$AH$667,"&gt;"&amp;0)+COUNTIF(Stocks!G1021,"&gt;"&amp;0)</f>
        <v>1</v>
      </c>
      <c r="F41" s="39">
        <f ca="1">COUNTIF(Stocks!$AH$663:'Stocks'!$AH$667,"&lt;"&amp;0)+COUNTIF(Stocks!G1021,"&lt;"&amp;0)</f>
        <v>5</v>
      </c>
      <c r="G41" s="39">
        <f ca="1">COUNTIF(Stocks!$AH$663:'Stocks'!$AH$667,"="&amp;0)+COUNTIF(Stocks!G1021,"="&amp;0)</f>
        <v>0</v>
      </c>
      <c r="H41" s="8">
        <f t="shared" ca="1" si="1"/>
        <v>16.666666666666664</v>
      </c>
      <c r="I41" s="8">
        <f t="shared" ca="1" si="2"/>
        <v>83.333333333333343</v>
      </c>
      <c r="J41" s="8"/>
      <c r="K41" s="8"/>
      <c r="L41" s="8"/>
    </row>
    <row r="42" spans="1:12" x14ac:dyDescent="0.25">
      <c r="A42" s="8" t="s">
        <v>4200</v>
      </c>
      <c r="B42" s="12">
        <f>Stocks!H1002+Stocks!Z1003+Stocks!H1016+Stocks!Z1026+Stocks!Q1029+Stocks!H1029+Stocks!AI1035+Stocks!H1036</f>
        <v>406166994741.84998</v>
      </c>
      <c r="C42" s="12">
        <f ca="1">Stocks!I1002+Stocks!AA1003+Stocks!I1016+Stocks!AA1026+Stocks!R1029+Stocks!I1029+Stocks!AJ1035+Stocks!I1036</f>
        <v>438240281526.79999</v>
      </c>
      <c r="D42" s="44">
        <f t="shared" ca="1" si="0"/>
        <v>7.8965763344052666</v>
      </c>
      <c r="E42" s="39">
        <f ca="1">COUNTIF(Stocks!$G$1002,"&gt;"&amp;0)+COUNTIF(Stocks!$Y$1003,"&gt;"&amp;0)+COUNTIF(Stocks!$G$1016,"&gt;"&amp;0)+COUNTIF(Stocks!Y1026,"&gt;"&amp;0)+COUNTIF(Stocks!P1029,"&gt;"&amp;0)+COUNTIF(Stocks!G1029,"&gt;"&amp;0)+COUNTIF(Stocks!AH1035,"&gt;"&amp;0)+COUNTIF(Stocks!G1036,"&gt;"&amp;0)</f>
        <v>2</v>
      </c>
      <c r="F42" s="39">
        <f ca="1">COUNTIF(Stocks!$G$1002,"&lt;"&amp;0)+COUNTIF(Stocks!$Y$1003,"&lt;"&amp;0)+COUNTIF(Stocks!$G$1016,"&lt;"&amp;0)+COUNTIF(Stocks!Y1026,"&lt;"&amp;0)+COUNTIF(Stocks!P1029,"&lt;"&amp;0)+COUNTIF(Stocks!G1029,"&lt;"&amp;0)+COUNTIF(Stocks!AH1035,"&lt;"&amp;0)+COUNTIF(Stocks!G1036,"&lt;"&amp;0)</f>
        <v>6</v>
      </c>
      <c r="G42" s="39">
        <f ca="1">COUNTIF(Stocks!$G$1002,"="&amp;0)+COUNTIF(Stocks!$Y$1003,"="&amp;0)+COUNTIF(Stocks!$G$1016,"="&amp;0)+COUNTIF(Stocks!Y1026,"="&amp;0)+COUNTIF(Stocks!P1029,"="&amp;0)+COUNTIF(Stocks!G1029,"="&amp;0)+COUNTIF(Stocks!AH1035,"="&amp;0)+COUNTIF(Stocks!G1036,"="&amp;0)</f>
        <v>0</v>
      </c>
      <c r="H42" s="8">
        <f t="shared" ca="1" si="1"/>
        <v>25</v>
      </c>
      <c r="I42" s="8">
        <f t="shared" ca="1" si="2"/>
        <v>75</v>
      </c>
      <c r="J42" s="69" t="s">
        <v>4363</v>
      </c>
      <c r="K42" s="67"/>
      <c r="L42" s="8"/>
    </row>
    <row r="43" spans="1:12" x14ac:dyDescent="0.25">
      <c r="A43" s="40" t="s">
        <v>295</v>
      </c>
      <c r="B43" s="41">
        <f>SUM(Stocks!H69:'Stocks'!H75)</f>
        <v>104511950723.85001</v>
      </c>
      <c r="C43" s="41">
        <f ca="1">SUM(Stocks!I69:'Stocks'!I75)</f>
        <v>98228103507.25</v>
      </c>
      <c r="D43" s="40">
        <f t="shared" ca="1" si="0"/>
        <v>-6.0125633222593837</v>
      </c>
      <c r="E43" s="39">
        <f ca="1">COUNTIF(Stocks!$G$69:'Stocks'!$G$75,"&gt;"&amp;0)</f>
        <v>1</v>
      </c>
      <c r="F43" s="39">
        <f ca="1">COUNTIF(Stocks!$G$69:'Stocks'!$G$75,"&lt;"&amp;0)</f>
        <v>5</v>
      </c>
      <c r="G43" s="39">
        <f ca="1">COUNTIF(Stocks!$G$69:'Stocks'!$G$75,"="&amp;0)</f>
        <v>1</v>
      </c>
      <c r="H43" s="8">
        <f t="shared" ca="1" si="1"/>
        <v>14.285714285714285</v>
      </c>
      <c r="I43" s="8">
        <f t="shared" ca="1" si="2"/>
        <v>71.428571428571431</v>
      </c>
      <c r="J43" s="8"/>
      <c r="K43" s="8"/>
      <c r="L43" s="8"/>
    </row>
    <row r="44" spans="1:12" x14ac:dyDescent="0.25">
      <c r="A44" s="8" t="s">
        <v>2627</v>
      </c>
      <c r="B44" s="12">
        <f>SUM(Stocks!H633:'Stocks'!H645)</f>
        <v>572823330733.81995</v>
      </c>
      <c r="C44" s="12">
        <f ca="1">SUM(Stocks!I633:'Stocks'!I645)</f>
        <v>549418577893.34998</v>
      </c>
      <c r="D44" s="8">
        <f t="shared" ca="1" si="0"/>
        <v>-4.0858588651560552</v>
      </c>
      <c r="E44" s="39">
        <f ca="1">COUNTIF(Stocks!$G$633:'Stocks'!$G$645,"&gt;"&amp;0)</f>
        <v>2</v>
      </c>
      <c r="F44" s="39">
        <f ca="1">COUNTIF(Stocks!$G$633:'Stocks'!$G$645,"&lt;"&amp;0)</f>
        <v>10</v>
      </c>
      <c r="G44" s="39">
        <f ca="1">COUNTIF(Stocks!$G$633:'Stocks'!$G$645,"="&amp;0)</f>
        <v>0</v>
      </c>
      <c r="H44" s="8">
        <f t="shared" ca="1" si="1"/>
        <v>16.666666666666664</v>
      </c>
      <c r="I44" s="8">
        <f t="shared" ca="1" si="2"/>
        <v>83.333333333333343</v>
      </c>
      <c r="J44" s="8"/>
      <c r="K44" s="8"/>
      <c r="L44" s="8"/>
    </row>
    <row r="45" spans="1:12" x14ac:dyDescent="0.25">
      <c r="A45" s="8" t="s">
        <v>11</v>
      </c>
      <c r="B45" s="12">
        <f>SUM(Stocks!Q2:'Stocks'!Q10)+Stocks!Z1029</f>
        <v>5770330247300.4912</v>
      </c>
      <c r="C45" s="12">
        <f ca="1">SUM(Stocks!R2:'Stocks'!R10)+Stocks!AA1029</f>
        <v>5501686167079.5</v>
      </c>
      <c r="D45" s="8">
        <f t="shared" ca="1" si="0"/>
        <v>-4.6556101420134457</v>
      </c>
      <c r="E45" s="39">
        <f ca="1">COUNTIF(Stocks!$P$2:'Stocks'!$P$10,"&gt;"&amp;0)+COUNTIF(Stocks!Y1029,"&gt;"&amp;0)</f>
        <v>0</v>
      </c>
      <c r="F45" s="39">
        <f ca="1">COUNTIF(Stocks!$P$2:'Stocks'!$P$10,"&lt;"&amp;0)+COUNTIF(Stocks!Y1029,"&lt;"&amp;0)</f>
        <v>8</v>
      </c>
      <c r="G45" s="39">
        <f ca="1">COUNTIF(Stocks!$P$2:'Stocks'!$P$10,"="&amp;0)+COUNTIF(Stocks!Y1029,"="&amp;0)</f>
        <v>1</v>
      </c>
      <c r="H45" s="8">
        <f t="shared" ca="1" si="1"/>
        <v>0</v>
      </c>
      <c r="I45" s="8">
        <f t="shared" ca="1" si="2"/>
        <v>88.888888888888886</v>
      </c>
      <c r="J45" s="8"/>
      <c r="K45" s="8"/>
      <c r="L45" s="8"/>
    </row>
    <row r="46" spans="1:12" x14ac:dyDescent="0.25">
      <c r="A46" s="8" t="s">
        <v>1598</v>
      </c>
      <c r="B46" s="12">
        <f>SUM(Stocks!H384:'Stocks'!H387)+Stocks!AI997</f>
        <v>2754178765809.5</v>
      </c>
      <c r="C46" s="12">
        <f ca="1">SUM(Stocks!I384:'Stocks'!I387)+Stocks!AJ997</f>
        <v>2675715474215</v>
      </c>
      <c r="D46" s="8">
        <f t="shared" ca="1" si="0"/>
        <v>-2.8488815819999362</v>
      </c>
      <c r="E46" s="39">
        <f ca="1">COUNTIF(Stocks!$G$384:'Stocks'!$G$387,"&gt;"&amp;0)+COUNTIF(Stocks!$AH$997,"&gt;"&amp;0)</f>
        <v>0</v>
      </c>
      <c r="F46" s="39">
        <f ca="1">COUNTIF(Stocks!$G$384:'Stocks'!$G$387,"&lt;"&amp;0)+COUNTIF(Stocks!$AH$997,"&lt;"&amp;0)</f>
        <v>3</v>
      </c>
      <c r="G46" s="39">
        <f ca="1">COUNTIF(Stocks!$G$384:'Stocks'!$G$387,"="&amp;0)+COUNTIF(Stocks!$AH$997,"="&amp;0)</f>
        <v>1</v>
      </c>
      <c r="H46" s="8">
        <f t="shared" ca="1" si="1"/>
        <v>0</v>
      </c>
      <c r="I46" s="8">
        <f t="shared" ca="1" si="2"/>
        <v>75</v>
      </c>
      <c r="J46" s="8"/>
      <c r="K46" s="8"/>
      <c r="L46" s="8"/>
    </row>
    <row r="47" spans="1:12" x14ac:dyDescent="0.25">
      <c r="A47" s="40" t="s">
        <v>1606</v>
      </c>
      <c r="B47" s="41">
        <f>SUM(Stocks!AI385:'Stocks'!AI393)</f>
        <v>305609400090.46997</v>
      </c>
      <c r="C47" s="41">
        <f ca="1">SUM(Stocks!AJ385:'Stocks'!AJ393)</f>
        <v>290439027474.95996</v>
      </c>
      <c r="D47" s="40">
        <f t="shared" ca="1" si="0"/>
        <v>-4.963974475595025</v>
      </c>
      <c r="E47" s="39">
        <f ca="1">COUNTIF(Stocks!$AH$385:'Stocks'!$AH$393,"&gt;"&amp;0)</f>
        <v>1</v>
      </c>
      <c r="F47" s="39">
        <f ca="1">COUNTIF(Stocks!$AH$385:'Stocks'!$AH$393,"&lt;"&amp;0)</f>
        <v>7</v>
      </c>
      <c r="G47" s="39">
        <f ca="1">COUNTIF(Stocks!$AH$385:'Stocks'!$AH$393,"="&amp;0)</f>
        <v>1</v>
      </c>
      <c r="H47" s="8">
        <f t="shared" ca="1" si="1"/>
        <v>11.111111111111111</v>
      </c>
      <c r="I47" s="8">
        <f t="shared" ca="1" si="2"/>
        <v>77.777777777777786</v>
      </c>
      <c r="J47" s="8"/>
      <c r="K47" s="8"/>
      <c r="L47" s="8"/>
    </row>
    <row r="48" spans="1:12" x14ac:dyDescent="0.25">
      <c r="A48" s="8" t="s">
        <v>4210</v>
      </c>
      <c r="B48" s="12">
        <f>Stocks!Q1004</f>
        <v>29917783966.700001</v>
      </c>
      <c r="C48" s="12">
        <f ca="1">Stocks!R1004</f>
        <v>28704285550</v>
      </c>
      <c r="D48" s="8">
        <f t="shared" ca="1" si="0"/>
        <v>-4.0561106332296726</v>
      </c>
      <c r="E48" s="39">
        <f ca="1">COUNTIF(Stocks!$P$1004,"&gt;"&amp;0)</f>
        <v>0</v>
      </c>
      <c r="F48" s="39">
        <f ca="1">COUNTIF(Stocks!$P$1004,"&lt;"&amp;0)</f>
        <v>1</v>
      </c>
      <c r="G48" s="39">
        <f ca="1">COUNTIF(Stocks!$P$1004,"="&amp;0)</f>
        <v>0</v>
      </c>
      <c r="H48" s="8">
        <f t="shared" ca="1" si="1"/>
        <v>0</v>
      </c>
      <c r="I48" s="8">
        <f t="shared" ca="1" si="2"/>
        <v>100</v>
      </c>
      <c r="J48" s="8"/>
      <c r="K48" s="8"/>
      <c r="L48" s="8"/>
    </row>
    <row r="49" spans="1:12" x14ac:dyDescent="0.25">
      <c r="A49" s="40" t="s">
        <v>2816</v>
      </c>
      <c r="B49" s="41">
        <f>SUM(Stocks!AI677:'Stocks'!AI678)</f>
        <v>407612914191.04999</v>
      </c>
      <c r="C49" s="41">
        <f ca="1">SUM(Stocks!AJ677:'Stocks'!AJ678)</f>
        <v>391177988761.70001</v>
      </c>
      <c r="D49" s="40">
        <f t="shared" ca="1" si="0"/>
        <v>-4.0319933096248404</v>
      </c>
      <c r="E49" s="39">
        <f ca="1">COUNTIF(Stocks!$AH$677:'Stocks'!$AH$678,"&gt;"&amp;0)</f>
        <v>0</v>
      </c>
      <c r="F49" s="39">
        <f ca="1">COUNTIF(Stocks!$AH$677:'Stocks'!$AH$678,"&lt;"&amp;0)</f>
        <v>2</v>
      </c>
      <c r="G49" s="39">
        <f ca="1">COUNTIF(Stocks!$AH$677:'Stocks'!$AH$678,"="&amp;0)</f>
        <v>0</v>
      </c>
      <c r="H49" s="8">
        <f t="shared" ca="1" si="1"/>
        <v>0</v>
      </c>
      <c r="I49" s="8">
        <f t="shared" ca="1" si="2"/>
        <v>100</v>
      </c>
      <c r="J49" s="8"/>
      <c r="K49" s="8"/>
      <c r="L49" s="8"/>
    </row>
    <row r="50" spans="1:12" x14ac:dyDescent="0.25">
      <c r="A50" s="8" t="s">
        <v>1616</v>
      </c>
      <c r="B50" s="12">
        <f>SUM(Stocks!H388:'Stocks'!H391)</f>
        <v>688458862505</v>
      </c>
      <c r="C50" s="12">
        <f ca="1">SUM(Stocks!I388:'Stocks'!I391)</f>
        <v>682811927115.80005</v>
      </c>
      <c r="D50" s="8">
        <f t="shared" ca="1" si="0"/>
        <v>-0.82022844017916019</v>
      </c>
      <c r="E50" s="39">
        <f ca="1">COUNTIF(Stocks!$G$388:'Stocks'!$G$391,"&gt;"&amp;0)</f>
        <v>1</v>
      </c>
      <c r="F50" s="39">
        <f ca="1">COUNTIF(Stocks!$G$388:'Stocks'!$G$391,"&lt;"&amp;0)</f>
        <v>3</v>
      </c>
      <c r="G50" s="39">
        <f ca="1">COUNTIF(Stocks!$G$388:'Stocks'!$G$391,"="&amp;0)</f>
        <v>0</v>
      </c>
      <c r="H50" s="8">
        <f t="shared" ca="1" si="1"/>
        <v>25</v>
      </c>
      <c r="I50" s="8">
        <f t="shared" ca="1" si="2"/>
        <v>75</v>
      </c>
      <c r="J50" s="8"/>
      <c r="K50" s="8"/>
      <c r="L50" s="8"/>
    </row>
    <row r="51" spans="1:12" x14ac:dyDescent="0.25">
      <c r="A51" s="40" t="s">
        <v>324</v>
      </c>
      <c r="B51" s="41">
        <f>SUM(Stocks!H76:'Stocks'!H81)</f>
        <v>447937614170.59998</v>
      </c>
      <c r="C51" s="41">
        <f ca="1">SUM(Stocks!I76:'Stocks'!I81)</f>
        <v>423752630794.54999</v>
      </c>
      <c r="D51" s="40">
        <f t="shared" ca="1" si="0"/>
        <v>-5.3991856479458269</v>
      </c>
      <c r="E51" s="39">
        <f ca="1">COUNTIF(Stocks!$G$76:'Stocks'!$G$81,"&gt;"&amp;0)</f>
        <v>0</v>
      </c>
      <c r="F51" s="39">
        <f ca="1">COUNTIF(Stocks!$G$76:'Stocks'!$G$81,"&lt;"&amp;0)</f>
        <v>6</v>
      </c>
      <c r="G51" s="39">
        <f ca="1">COUNTIF(Stocks!$G$76:'Stocks'!$G$81,"="&amp;0)</f>
        <v>0</v>
      </c>
      <c r="H51" s="8">
        <f t="shared" ca="1" si="1"/>
        <v>0</v>
      </c>
      <c r="I51" s="8">
        <f t="shared" ca="1" si="2"/>
        <v>100</v>
      </c>
      <c r="J51" s="8"/>
      <c r="K51" s="8"/>
      <c r="L51" s="8"/>
    </row>
    <row r="52" spans="1:12" x14ac:dyDescent="0.25">
      <c r="A52" s="40" t="s">
        <v>3262</v>
      </c>
      <c r="B52" s="41">
        <f>SUM(Stocks!Q784:'Stocks'!Q789)+Stocks!AI1025</f>
        <v>2055161442582.05</v>
      </c>
      <c r="C52" s="41">
        <f ca="1">SUM(Stocks!R784:'Stocks'!R789)+Stocks!AJ1025</f>
        <v>1874766854143.2998</v>
      </c>
      <c r="D52" s="40">
        <f t="shared" ca="1" si="0"/>
        <v>-8.7776358927845237</v>
      </c>
      <c r="E52" s="39">
        <f ca="1">COUNTIF(Stocks!$P$784:'Stocks'!$P$789,"&gt;"&amp;0)+COUNTIF(Stocks!AH1025,"&gt;"&amp;0)</f>
        <v>0</v>
      </c>
      <c r="F52" s="39">
        <f ca="1">COUNTIF(Stocks!$P$784:'Stocks'!$P$789,"&lt;"&amp;0)+COUNTIF(Stocks!AH1025,"&lt;"&amp;0)</f>
        <v>7</v>
      </c>
      <c r="G52" s="39">
        <f ca="1">COUNTIF(Stocks!$P$784:'Stocks'!$P$789,"="&amp;0)+COUNTIF(Stocks!AH1025,"="&amp;0)</f>
        <v>0</v>
      </c>
      <c r="H52" s="8">
        <f t="shared" ca="1" si="1"/>
        <v>0</v>
      </c>
      <c r="I52" s="8">
        <f t="shared" ca="1" si="2"/>
        <v>100</v>
      </c>
      <c r="J52" s="8"/>
      <c r="K52" s="8"/>
      <c r="L52" s="8"/>
    </row>
    <row r="53" spans="1:12" x14ac:dyDescent="0.25">
      <c r="A53" s="8" t="s">
        <v>342</v>
      </c>
      <c r="B53" s="12">
        <f>SUM(Stocks!Q80:'Stocks'!Q82)</f>
        <v>1814711410672.7</v>
      </c>
      <c r="C53" s="12">
        <f ca="1">SUM(Stocks!R80:'Stocks'!R82)</f>
        <v>1764799943647.5</v>
      </c>
      <c r="D53" s="8">
        <f t="shared" ca="1" si="0"/>
        <v>-2.750380403829507</v>
      </c>
      <c r="E53" s="39">
        <f ca="1">COUNTIF(Stocks!$P$80:'Stocks'!$P$82,"&gt;"&amp;0)</f>
        <v>0</v>
      </c>
      <c r="F53" s="39">
        <f ca="1">COUNTIF(Stocks!$P$80:'Stocks'!$P$82,"&lt;"&amp;0)</f>
        <v>3</v>
      </c>
      <c r="G53" s="39">
        <f ca="1">COUNTIF(Stocks!$P$80:'Stocks'!$P$82,"="&amp;0)</f>
        <v>0</v>
      </c>
      <c r="H53" s="8">
        <f t="shared" ca="1" si="1"/>
        <v>0</v>
      </c>
      <c r="I53" s="8">
        <f t="shared" ca="1" si="2"/>
        <v>100</v>
      </c>
      <c r="J53" s="8"/>
      <c r="K53" s="8"/>
      <c r="L53" s="8"/>
    </row>
    <row r="54" spans="1:12" x14ac:dyDescent="0.25">
      <c r="A54" s="8" t="s">
        <v>3900</v>
      </c>
      <c r="B54" s="12">
        <f>SUM(Stocks!H935:'Stocks'!H938)</f>
        <v>240591462968.51001</v>
      </c>
      <c r="C54" s="12">
        <f ca="1">SUM(Stocks!I935:'Stocks'!I938)</f>
        <v>242010177542.35999</v>
      </c>
      <c r="D54" s="8">
        <f t="shared" ca="1" si="0"/>
        <v>0.58967785321446131</v>
      </c>
      <c r="E54" s="39">
        <f ca="1">COUNTIF(Stocks!$G$935:'Stocks'!$G$938,"&gt;"&amp;0)</f>
        <v>1</v>
      </c>
      <c r="F54" s="39">
        <f ca="1">COUNTIF(Stocks!$G$935:'Stocks'!$G$938,"&lt;"&amp;0)</f>
        <v>3</v>
      </c>
      <c r="G54" s="39">
        <f ca="1">COUNTIF(Stocks!$G$935:'Stocks'!$G$938,"="&amp;0)</f>
        <v>0</v>
      </c>
      <c r="H54" s="8">
        <f t="shared" ca="1" si="1"/>
        <v>25</v>
      </c>
      <c r="I54" s="8">
        <f t="shared" ca="1" si="2"/>
        <v>75</v>
      </c>
      <c r="J54" s="8"/>
      <c r="K54" s="8"/>
      <c r="L54" s="8"/>
    </row>
    <row r="55" spans="1:12" x14ac:dyDescent="0.25">
      <c r="A55" s="40" t="s">
        <v>833</v>
      </c>
      <c r="B55" s="41">
        <f>SUM(Stocks!H199:'Stocks'!H202)</f>
        <v>416549053170.40002</v>
      </c>
      <c r="C55" s="41">
        <f ca="1">SUM(Stocks!I199:'Stocks'!I202)</f>
        <v>386040638501.38007</v>
      </c>
      <c r="D55" s="40">
        <f t="shared" ca="1" si="0"/>
        <v>-7.3240869080885203</v>
      </c>
      <c r="E55" s="39">
        <f ca="1">COUNTIF(Stocks!$G$199:'Stocks'!$G$202,"&gt;"&amp;0)</f>
        <v>0</v>
      </c>
      <c r="F55" s="39">
        <f ca="1">COUNTIF(Stocks!$G$199:'Stocks'!$G$202,"&lt;"&amp;0)</f>
        <v>4</v>
      </c>
      <c r="G55" s="39">
        <f ca="1">COUNTIF(Stocks!$G$199:'Stocks'!$G$202,"="&amp;0)</f>
        <v>0</v>
      </c>
      <c r="H55" s="8">
        <f t="shared" ca="1" si="1"/>
        <v>0</v>
      </c>
      <c r="I55" s="8">
        <f t="shared" ca="1" si="2"/>
        <v>100</v>
      </c>
      <c r="J55" s="8"/>
      <c r="K55" s="8"/>
      <c r="L55" s="8"/>
    </row>
    <row r="56" spans="1:12" x14ac:dyDescent="0.25">
      <c r="A56" s="8" t="s">
        <v>1333</v>
      </c>
      <c r="B56" s="12">
        <f>SUM(Stocks!Q320:'Stocks'!Q323)</f>
        <v>166485510946.07999</v>
      </c>
      <c r="C56" s="12">
        <f ca="1">SUM(Stocks!R320:'Stocks'!R323)</f>
        <v>162947944070.63</v>
      </c>
      <c r="D56" s="8">
        <f t="shared" ca="1" si="0"/>
        <v>-2.1248496973383473</v>
      </c>
      <c r="E56" s="39">
        <f ca="1">COUNTIF(Stocks!$P$320:'Stocks'!$P$323,"&gt;"&amp;0)</f>
        <v>0</v>
      </c>
      <c r="F56" s="39">
        <f ca="1">COUNTIF(Stocks!$P$320:'Stocks'!$P$323,"&lt;"&amp;0)</f>
        <v>4</v>
      </c>
      <c r="G56" s="39">
        <f ca="1">COUNTIF(Stocks!$P$320:'Stocks'!$P$323,"="&amp;0)</f>
        <v>0</v>
      </c>
      <c r="H56" s="8">
        <f t="shared" ca="1" si="1"/>
        <v>0</v>
      </c>
      <c r="I56" s="8">
        <f t="shared" ca="1" si="2"/>
        <v>100</v>
      </c>
      <c r="J56" s="8"/>
      <c r="K56" s="8"/>
      <c r="L56" s="8"/>
    </row>
    <row r="57" spans="1:12" x14ac:dyDescent="0.25">
      <c r="A57" s="40" t="s">
        <v>4033</v>
      </c>
      <c r="B57" s="41">
        <f>SUM(Stocks!Z966:'Stocks'!Z969)</f>
        <v>4052646366861.5</v>
      </c>
      <c r="C57" s="41">
        <f ca="1">SUM(Stocks!AA966:'Stocks'!AA969)</f>
        <v>3899662783017</v>
      </c>
      <c r="D57" s="40">
        <f t="shared" ca="1" si="0"/>
        <v>-3.7749058268554387</v>
      </c>
      <c r="E57" s="39">
        <f ca="1">COUNTIF(Stocks!$Y$966:'Stocks'!$Y$969,"&gt;"&amp;0)</f>
        <v>0</v>
      </c>
      <c r="F57" s="39">
        <f ca="1">COUNTIF(Stocks!$Y$966:'Stocks'!$Y$969,"&lt;"&amp;0)</f>
        <v>4</v>
      </c>
      <c r="G57" s="39">
        <f ca="1">COUNTIF(Stocks!$Y$966:'Stocks'!$Y$969,"="&amp;0)</f>
        <v>0</v>
      </c>
      <c r="H57" s="8">
        <f t="shared" ca="1" si="1"/>
        <v>0</v>
      </c>
      <c r="I57" s="8">
        <f t="shared" ca="1" si="2"/>
        <v>100</v>
      </c>
      <c r="J57" s="8"/>
      <c r="K57" s="8"/>
      <c r="L57" s="8"/>
    </row>
    <row r="58" spans="1:12" x14ac:dyDescent="0.25">
      <c r="A58" s="40" t="s">
        <v>4077</v>
      </c>
      <c r="B58" s="41">
        <f>SUM(Stocks!AI975:'Stocks'!AI975)</f>
        <v>4463909336.25</v>
      </c>
      <c r="C58" s="41">
        <f ca="1">SUM(Stocks!AJ975:'Stocks'!AJ975)</f>
        <v>4006356997.4999995</v>
      </c>
      <c r="D58" s="40">
        <f t="shared" ca="1" si="0"/>
        <v>-10.250036555051919</v>
      </c>
      <c r="E58" s="39">
        <f ca="1">COUNTIF(Stocks!$AH$975:'Stocks'!$AH$975,"&gt;"&amp;0)</f>
        <v>0</v>
      </c>
      <c r="F58" s="39">
        <f ca="1">COUNTIF(Stocks!$AH$975:'Stocks'!$AH$975,"&lt;"&amp;0)</f>
        <v>1</v>
      </c>
      <c r="G58" s="39">
        <f ca="1">COUNTIF(Stocks!$AH$975:'Stocks'!$AH$975,"="&amp;0)</f>
        <v>0</v>
      </c>
      <c r="H58" s="8">
        <f t="shared" ca="1" si="1"/>
        <v>0</v>
      </c>
      <c r="I58" s="8">
        <f t="shared" ca="1" si="2"/>
        <v>100</v>
      </c>
      <c r="J58" s="8"/>
      <c r="K58" s="8"/>
      <c r="L58" s="8"/>
    </row>
    <row r="59" spans="1:12" x14ac:dyDescent="0.25">
      <c r="A59" s="45" t="s">
        <v>2567</v>
      </c>
      <c r="B59" s="41">
        <f>SUM(Stocks!H619:'Stocks'!H620)+Stocks!Z1004</f>
        <v>270435258907.64999</v>
      </c>
      <c r="C59" s="41">
        <f ca="1">SUM(Stocks!I619:'Stocks'!I620)+Stocks!AA1004</f>
        <v>249998493200.29999</v>
      </c>
      <c r="D59" s="40">
        <f t="shared" ca="1" si="0"/>
        <v>-7.5569900869800737</v>
      </c>
      <c r="E59" s="39">
        <f ca="1">COUNTIF(Stocks!$G$619:'Stocks'!$G$620,"&gt;"&amp;0)+COUNTIF(Stocks!$Y$1004,"&gt;"&amp;0)</f>
        <v>0</v>
      </c>
      <c r="F59" s="39">
        <f ca="1">COUNTIF(Stocks!$G$619:'Stocks'!$G$620,"&lt;"&amp;0)+COUNTIF(Stocks!$Y$1004,"&lt;"&amp;0)</f>
        <v>3</v>
      </c>
      <c r="G59" s="39">
        <f ca="1">COUNTIF(Stocks!$G$619:'Stocks'!$G$620,"="&amp;0)+COUNTIF(Stocks!$Y$1004,"="&amp;0)</f>
        <v>0</v>
      </c>
      <c r="H59" s="8">
        <f t="shared" ca="1" si="1"/>
        <v>0</v>
      </c>
      <c r="I59" s="8">
        <f t="shared" ca="1" si="2"/>
        <v>100</v>
      </c>
      <c r="J59" s="8"/>
      <c r="K59" s="8"/>
      <c r="L59" s="8"/>
    </row>
    <row r="60" spans="1:12" x14ac:dyDescent="0.25">
      <c r="A60" s="40" t="s">
        <v>850</v>
      </c>
      <c r="B60" s="41">
        <f>SUM(Stocks!H203:'Stocks'!H208)</f>
        <v>466054407433.84998</v>
      </c>
      <c r="C60" s="41">
        <f ca="1">SUM(Stocks!I203:'Stocks'!I208)</f>
        <v>446220104203.58002</v>
      </c>
      <c r="D60" s="40">
        <f t="shared" ca="1" si="0"/>
        <v>-4.2557913655360435</v>
      </c>
      <c r="E60" s="39">
        <f ca="1">COUNTIF(Stocks!$G$203:'Stocks'!$G$208,"&gt;"&amp;0)</f>
        <v>2</v>
      </c>
      <c r="F60" s="39">
        <f ca="1">COUNTIF(Stocks!$G$203:'Stocks'!$G$208,"&lt;"&amp;0)</f>
        <v>4</v>
      </c>
      <c r="G60" s="39">
        <f ca="1">COUNTIF(Stocks!$G$203:'Stocks'!$G$208,"="&amp;0)</f>
        <v>0</v>
      </c>
      <c r="H60" s="8">
        <f t="shared" ca="1" si="1"/>
        <v>33.333333333333329</v>
      </c>
      <c r="I60" s="8">
        <f t="shared" ca="1" si="2"/>
        <v>66.666666666666657</v>
      </c>
      <c r="J60" s="8"/>
      <c r="K60" s="8"/>
      <c r="L60" s="8"/>
    </row>
    <row r="61" spans="1:12" x14ac:dyDescent="0.25">
      <c r="A61" s="42" t="s">
        <v>108</v>
      </c>
      <c r="B61" s="46">
        <f>SUM(Stocks!H24:'Stocks'!H37)+Stocks!Q1001+Stocks!Z1014+Stocks!AI1015</f>
        <v>4608253921922.2988</v>
      </c>
      <c r="C61" s="46">
        <f ca="1">SUM(Stocks!I24:'Stocks'!I37)+Stocks!R1001+Stocks!AA1014+Stocks!AJ1015</f>
        <v>4621889473913.1504</v>
      </c>
      <c r="D61" s="42">
        <f t="shared" ca="1" si="0"/>
        <v>0.29589411134626875</v>
      </c>
      <c r="E61" s="39">
        <f ca="1">COUNTIF(Stocks!$G$24:'Stocks'!$G$37,"&gt;"&amp;0)+COUNTIF(Stocks!Y1014,"&gt;"&amp;0)+COUNTIF(Stocks!AH1014,"&gt;"&amp;0)</f>
        <v>2</v>
      </c>
      <c r="F61" s="39">
        <f ca="1">COUNTIF(Stocks!$G$24:'Stocks'!$G$37,"&lt;"&amp;0)+COUNTIF(Stocks!Y1014,"&lt;"&amp;0)+COUNTIF(Stocks!AH1014,"&lt;"&amp;0)</f>
        <v>14</v>
      </c>
      <c r="G61" s="39">
        <f ca="1">COUNTIF(Stocks!$G$24:'Stocks'!$G$37,"="&amp;0)+COUNTIF(Stocks!Y1014,"="&amp;0)+COUNTIF(Stocks!AH1014,"="&amp;0)</f>
        <v>0</v>
      </c>
      <c r="H61" s="8">
        <f t="shared" ca="1" si="1"/>
        <v>12.5</v>
      </c>
      <c r="I61" s="8">
        <f t="shared" ca="1" si="2"/>
        <v>87.5</v>
      </c>
      <c r="J61" s="8"/>
      <c r="K61" s="8"/>
      <c r="L61" s="8"/>
    </row>
    <row r="62" spans="1:12" x14ac:dyDescent="0.25">
      <c r="A62" s="8" t="s">
        <v>2892</v>
      </c>
      <c r="B62" s="12">
        <f>SUM(Stocks!AI695:'Stocks'!AI697)</f>
        <v>3787020811338.2002</v>
      </c>
      <c r="C62" s="12">
        <f ca="1">SUM(Stocks!AJ695:'Stocks'!AJ697)</f>
        <v>3644517600031.9502</v>
      </c>
      <c r="D62" s="8">
        <f t="shared" ca="1" si="0"/>
        <v>-3.7629371055897201</v>
      </c>
      <c r="E62" s="39">
        <f ca="1">COUNTIF(Stocks!$AH$695:'Stocks'!$AH$697,"&gt;"&amp;0)</f>
        <v>0</v>
      </c>
      <c r="F62" s="39">
        <f ca="1">COUNTIF(Stocks!$AH$695:'Stocks'!$AH$697,"&lt;"&amp;0)</f>
        <v>3</v>
      </c>
      <c r="G62" s="39">
        <f ca="1">COUNTIF(Stocks!$AH$695:'Stocks'!$AH$697,"="&amp;0)</f>
        <v>0</v>
      </c>
      <c r="H62" s="8">
        <f t="shared" ca="1" si="1"/>
        <v>0</v>
      </c>
      <c r="I62" s="8">
        <f t="shared" ca="1" si="2"/>
        <v>100</v>
      </c>
      <c r="J62" s="8"/>
      <c r="K62" s="8"/>
      <c r="L62" s="8"/>
    </row>
    <row r="63" spans="1:12" x14ac:dyDescent="0.25">
      <c r="A63" s="8" t="s">
        <v>52</v>
      </c>
      <c r="B63" s="12">
        <f>SUM(Stocks!Q11:'Stocks'!Q13)</f>
        <v>778080664489.08008</v>
      </c>
      <c r="C63" s="12">
        <f ca="1">SUM(Stocks!R11:'Stocks'!R13)</f>
        <v>770136720932.12</v>
      </c>
      <c r="D63" s="8">
        <f t="shared" ca="1" si="0"/>
        <v>-1.0209665809105288</v>
      </c>
      <c r="E63" s="39">
        <f ca="1">COUNTIF(Stocks!$P$11:'Stocks'!$P$13,"&gt;"&amp;0)</f>
        <v>1</v>
      </c>
      <c r="F63" s="39">
        <f ca="1">COUNTIF(Stocks!$P$11:'Stocks'!$P$13,"&lt;"&amp;0)</f>
        <v>2</v>
      </c>
      <c r="G63" s="39">
        <f ca="1">COUNTIF(Stocks!$P$11:'Stocks'!$P$13,"="&amp;0)</f>
        <v>0</v>
      </c>
      <c r="H63" s="8">
        <f t="shared" ca="1" si="1"/>
        <v>33.333333333333329</v>
      </c>
      <c r="I63" s="8">
        <f t="shared" ca="1" si="2"/>
        <v>66.666666666666657</v>
      </c>
      <c r="J63" s="8"/>
      <c r="K63" s="8"/>
      <c r="L63" s="8"/>
    </row>
    <row r="64" spans="1:12" x14ac:dyDescent="0.25">
      <c r="A64" s="8" t="s">
        <v>96</v>
      </c>
      <c r="B64" s="12">
        <f>SUM(Stocks!Q21:'Stocks'!Q23)</f>
        <v>27933876412.599998</v>
      </c>
      <c r="C64" s="12">
        <f ca="1">SUM(Stocks!R21:'Stocks'!R23)</f>
        <v>27587449684.099998</v>
      </c>
      <c r="D64" s="8">
        <f t="shared" ca="1" si="0"/>
        <v>-1.2401670408470016</v>
      </c>
      <c r="E64" s="39">
        <f ca="1">COUNTIF(Stocks!$P$21:'Stocks'!$P$23,"&gt;"&amp;0)</f>
        <v>1</v>
      </c>
      <c r="F64" s="39">
        <f ca="1">COUNTIF(Stocks!$P$21:'Stocks'!$P$23,"&lt;"&amp;0)</f>
        <v>2</v>
      </c>
      <c r="G64" s="39">
        <f ca="1">COUNTIF(Stocks!$P$21:'Stocks'!$P$23,"="&amp;0)</f>
        <v>0</v>
      </c>
      <c r="H64" s="8">
        <f t="shared" ca="1" si="1"/>
        <v>33.333333333333329</v>
      </c>
      <c r="I64" s="8">
        <f t="shared" ca="1" si="2"/>
        <v>66.666666666666657</v>
      </c>
      <c r="J64" s="8"/>
      <c r="K64" s="8"/>
      <c r="L64" s="8"/>
    </row>
    <row r="65" spans="1:13" x14ac:dyDescent="0.25">
      <c r="A65" s="8" t="s">
        <v>2825</v>
      </c>
      <c r="B65" s="12">
        <f>SUM(Stocks!AI679:'Stocks'!AI680)</f>
        <v>3021821787.5999999</v>
      </c>
      <c r="C65" s="12">
        <f ca="1">SUM(Stocks!AJ679:'Stocks'!AJ680)</f>
        <v>2892796854.25</v>
      </c>
      <c r="D65" s="8">
        <f t="shared" ca="1" si="0"/>
        <v>-4.269773084549584</v>
      </c>
      <c r="E65" s="39">
        <f ca="1">COUNTIF(Stocks!$AH$679:'Stocks'!$AH$680,"&gt;"&amp;0)</f>
        <v>0</v>
      </c>
      <c r="F65" s="39">
        <f ca="1">COUNTIF(Stocks!$AH$679:'Stocks'!$AH$680,"&lt;"&amp;0)</f>
        <v>2</v>
      </c>
      <c r="G65" s="39">
        <f ca="1">COUNTIF(Stocks!$AH$679:'Stocks'!$AH$680,"="&amp;0)</f>
        <v>0</v>
      </c>
      <c r="H65" s="8">
        <f t="shared" ca="1" si="1"/>
        <v>0</v>
      </c>
      <c r="I65" s="8">
        <f t="shared" ca="1" si="2"/>
        <v>100</v>
      </c>
      <c r="J65" s="8"/>
      <c r="K65" s="8"/>
      <c r="L65" s="8"/>
    </row>
    <row r="66" spans="1:13" x14ac:dyDescent="0.25">
      <c r="A66" s="8" t="s">
        <v>758</v>
      </c>
      <c r="B66" s="12">
        <f>SUM(Stocks!AI181:'Stocks'!AI182)</f>
        <v>89710769137.699997</v>
      </c>
      <c r="C66" s="12">
        <f ca="1">SUM(Stocks!AJ181:'Stocks'!AJ182)</f>
        <v>85719716289.5</v>
      </c>
      <c r="D66" s="8">
        <f t="shared" ca="1" si="0"/>
        <v>-4.4488001680979901</v>
      </c>
      <c r="E66" s="39">
        <f ca="1">COUNTIF(Stocks!$AH$181:'Stocks'!$AH$182,"&gt;"&amp;0)</f>
        <v>0</v>
      </c>
      <c r="F66" s="39">
        <f ca="1">COUNTIF(Stocks!$AH$181:'Stocks'!$AH$182,"&lt;"&amp;0)</f>
        <v>2</v>
      </c>
      <c r="G66" s="39">
        <f ca="1">COUNTIF(Stocks!$AH$181:'Stocks'!$AH$182,"="&amp;0)</f>
        <v>0</v>
      </c>
      <c r="H66" s="8">
        <f t="shared" ca="1" si="1"/>
        <v>0</v>
      </c>
      <c r="I66" s="8">
        <f t="shared" ca="1" si="2"/>
        <v>100</v>
      </c>
      <c r="J66" s="8"/>
      <c r="K66" s="8"/>
      <c r="L66" s="8"/>
    </row>
    <row r="67" spans="1:13" x14ac:dyDescent="0.25">
      <c r="A67" s="40" t="s">
        <v>788</v>
      </c>
      <c r="B67" s="41">
        <f>SUM(Stocks!AI188:'Stocks'!AI197)+Stocks!H1010</f>
        <v>25028252959223.344</v>
      </c>
      <c r="C67" s="41">
        <f ca="1">SUM(Stocks!AJ188:'Stocks'!AJ197)+Stocks!I1010</f>
        <v>24819181749110.918</v>
      </c>
      <c r="D67" s="40">
        <f t="shared" ca="1" si="0"/>
        <v>-0.83534080646000286</v>
      </c>
      <c r="E67" s="39">
        <f ca="1">COUNTIF(Stocks!$AH$188:'Stocks'!$AH$197,"&gt;"&amp;0)+COUNTIF(Stocks!$G$1010,"&gt;"&amp;0)</f>
        <v>1</v>
      </c>
      <c r="F67" s="39">
        <f ca="1">COUNTIF(Stocks!$AH$188:'Stocks'!$AH$197,"&lt;"&amp;0)+COUNTIF(Stocks!$G$1010,"&lt;"&amp;0)</f>
        <v>9</v>
      </c>
      <c r="G67" s="39">
        <f ca="1">COUNTIF(Stocks!$AH$188:'Stocks'!$AH$197,"="&amp;0)+COUNTIF(Stocks!$G$1010,"="&amp;0)</f>
        <v>1</v>
      </c>
      <c r="H67" s="8">
        <f t="shared" ca="1" si="1"/>
        <v>9.0909090909090917</v>
      </c>
      <c r="I67" s="8">
        <f t="shared" ca="1" si="2"/>
        <v>81.818181818181827</v>
      </c>
      <c r="J67" s="8"/>
      <c r="K67" s="8"/>
      <c r="L67" s="8"/>
    </row>
    <row r="68" spans="1:13" x14ac:dyDescent="0.25">
      <c r="A68" s="40" t="s">
        <v>985</v>
      </c>
      <c r="B68" s="41">
        <f>SUM(Stocks!Q235:'Stocks'!Q253)+Stocks!H999+Stocks!AI1018+Stocks!Q1018+Stocks!AI1021+Stocks!H1027</f>
        <v>3340635577294.5498</v>
      </c>
      <c r="C68" s="41">
        <f ca="1">SUM(Stocks!R235:'Stocks'!R253)+Stocks!I999+Stocks!AJ1018+Stocks!R1018+Stocks!AJ1021+Stocks!I1027</f>
        <v>3420998361908.3696</v>
      </c>
      <c r="D68" s="40">
        <f t="shared" ca="1" si="0"/>
        <v>2.4056136251444253</v>
      </c>
      <c r="E68" s="39">
        <f ca="1">COUNTIF(Stocks!$P$235:'Stocks'!$P$253,"&gt;"&amp;0)+COUNTIF(Stocks!$G$999,"&gt;"&amp;0)+COUNTIF(Stocks!AH1018,"&gt;"&amp;0)+COUNTIF(Stocks!P1018,"&gt;"&amp;0)+COUNTIF(Stocks!AH1021,"&gt;"&amp;0)+COUNTIF(Stocks!G1027,"&gt;"&amp;0)</f>
        <v>5</v>
      </c>
      <c r="F68" s="39">
        <f ca="1">COUNTIF(Stocks!$P$235:'Stocks'!$P$253,"&lt;"&amp;0)+COUNTIF(Stocks!$G$999,"&lt;"&amp;0)+COUNTIF(Stocks!AH1018,"&lt;"&amp;0)+COUNTIF(Stocks!P1018,"&lt;"&amp;0)+COUNTIF(Stocks!AH1021,"&lt;"&amp;0)+COUNTIF(Stocks!G1027,"&lt;"&amp;0)</f>
        <v>19</v>
      </c>
      <c r="G68" s="39">
        <f ca="1">COUNTIF(Stocks!$P$235:'Stocks'!$P$253,"="&amp;0)+COUNTIF(Stocks!$G$999,"="&amp;0)+COUNTIF(Stocks!AH1018,"="&amp;0)+COUNTIF(Stocks!P1018,"="&amp;0)+COUNTIF(Stocks!AH1021,"="&amp;0)+COUNTIF(Stocks!G1027,"="&amp;0)</f>
        <v>0</v>
      </c>
      <c r="H68" s="8">
        <f t="shared" ca="1" si="1"/>
        <v>20.833333333333336</v>
      </c>
      <c r="I68" s="8">
        <f t="shared" ca="1" si="2"/>
        <v>79.166666666666657</v>
      </c>
      <c r="J68" s="8"/>
      <c r="K68" s="8"/>
      <c r="L68" s="8"/>
    </row>
    <row r="69" spans="1:13" x14ac:dyDescent="0.25">
      <c r="A69" s="8" t="s">
        <v>677</v>
      </c>
      <c r="B69" s="12">
        <f>SUM(Stocks!Q162:'Stocks'!Q169)</f>
        <v>316736400095.49005</v>
      </c>
      <c r="C69" s="12">
        <f ca="1">SUM(Stocks!R162:'Stocks'!R169)</f>
        <v>312055575954.66998</v>
      </c>
      <c r="D69" s="8">
        <f t="shared" ca="1" si="0"/>
        <v>-1.4778295577675595</v>
      </c>
      <c r="E69" s="39">
        <f ca="1">COUNTIF(Stocks!$P$162:'Stocks'!$P$169,"&gt;"&amp;0)</f>
        <v>1</v>
      </c>
      <c r="F69" s="39">
        <f ca="1">COUNTIF(Stocks!$P$162:'Stocks'!$P$169,"&lt;"&amp;0)</f>
        <v>7</v>
      </c>
      <c r="G69" s="39">
        <f ca="1">COUNTIF(Stocks!$P$162:'Stocks'!$P$169,"="&amp;0)</f>
        <v>0</v>
      </c>
      <c r="H69" s="8">
        <f t="shared" ca="1" si="1"/>
        <v>12.5</v>
      </c>
      <c r="I69" s="8">
        <f t="shared" ca="1" si="2"/>
        <v>87.5</v>
      </c>
      <c r="J69" s="8"/>
      <c r="K69" s="8"/>
      <c r="L69" s="8"/>
    </row>
    <row r="70" spans="1:13" x14ac:dyDescent="0.25">
      <c r="A70" s="8" t="s">
        <v>1136</v>
      </c>
      <c r="B70" s="12">
        <f>SUM(Stocks!H272:'Stocks'!H315)</f>
        <v>8776018187002.5293</v>
      </c>
      <c r="C70" s="12">
        <f ca="1">SUM(Stocks!I272:'Stocks'!I315)</f>
        <v>8516989704765.749</v>
      </c>
      <c r="D70" s="8">
        <f t="shared" ca="1" si="0"/>
        <v>-2.9515490592351665</v>
      </c>
      <c r="E70" s="39">
        <f ca="1">COUNTIF(Stocks!$G$272:'Stocks'!$G$315,"&gt;"&amp;0)</f>
        <v>4</v>
      </c>
      <c r="F70" s="39">
        <f ca="1">COUNTIF(Stocks!$G$272:'Stocks'!$G$315,"&lt;"&amp;0)</f>
        <v>36</v>
      </c>
      <c r="G70" s="39">
        <f ca="1">COUNTIF(Stocks!$G$272:'Stocks'!$G$315,"="&amp;0)</f>
        <v>3</v>
      </c>
      <c r="H70" s="8">
        <f t="shared" ca="1" si="1"/>
        <v>9.3023255813953494</v>
      </c>
      <c r="I70" s="8">
        <f t="shared" ca="1" si="2"/>
        <v>83.720930232558146</v>
      </c>
      <c r="J70" s="8"/>
      <c r="K70" s="8"/>
      <c r="L70" s="8"/>
    </row>
    <row r="71" spans="1:13" x14ac:dyDescent="0.25">
      <c r="A71" s="8" t="s">
        <v>3536</v>
      </c>
      <c r="B71" s="12">
        <f>SUM(Stocks!Q849:'Stocks'!Q854)</f>
        <v>4082083648704.1895</v>
      </c>
      <c r="C71" s="12">
        <f ca="1">SUM(Stocks!R849:'Stocks'!R854)</f>
        <v>4054447621826.1504</v>
      </c>
      <c r="D71" s="8">
        <f t="shared" ca="1" si="0"/>
        <v>-0.67700785325189994</v>
      </c>
      <c r="E71" s="39">
        <f ca="1">COUNTIF(Stocks!$P$849:'Stocks'!$P$854,"&gt;"&amp;0)</f>
        <v>1</v>
      </c>
      <c r="F71" s="39">
        <f ca="1">COUNTIF(Stocks!$P$849:'Stocks'!$P$854,"&lt;"&amp;0)</f>
        <v>5</v>
      </c>
      <c r="G71" s="39">
        <f ca="1">COUNTIF(Stocks!$P$849:'Stocks'!$P$854,"="&amp;0)</f>
        <v>0</v>
      </c>
      <c r="H71" s="8">
        <f t="shared" ca="1" si="1"/>
        <v>16.666666666666664</v>
      </c>
      <c r="I71" s="8">
        <f t="shared" ca="1" si="2"/>
        <v>83.333333333333343</v>
      </c>
      <c r="J71" s="8"/>
      <c r="K71" s="8"/>
      <c r="L71" s="8"/>
    </row>
    <row r="72" spans="1:13" x14ac:dyDescent="0.25">
      <c r="A72" s="40" t="s">
        <v>3847</v>
      </c>
      <c r="B72" s="41">
        <f>SUM(Stocks!H923:'Stocks'!H928)+Stocks!Z1001+Stocks!H1009+Stocks!H1018</f>
        <v>1574237260356.2097</v>
      </c>
      <c r="C72" s="41">
        <f ca="1">SUM(Stocks!I923:'Stocks'!I928)+Stocks!AA1001+Stocks!I1009+Stocks!I1018</f>
        <v>1681922417868.49</v>
      </c>
      <c r="D72" s="40">
        <f t="shared" ca="1" si="0"/>
        <v>6.8404655526901879</v>
      </c>
      <c r="E72" s="39">
        <f ca="1">COUNTIF(Stocks!$G$923:'Stocks'!$G$928,"&gt;"&amp;0)+COUNTIF(Stocks!$Y$1001,"&gt;"&amp;0)+COUNTIF(Stocks!G1009,"&gt;"&amp;0)+COUNTIF(Stocks!G1018,"&gt;"&amp;0)</f>
        <v>2</v>
      </c>
      <c r="F72" s="39">
        <f ca="1">COUNTIF(Stocks!$G$923:'Stocks'!$G$928,"&lt;"&amp;0)+COUNTIF(Stocks!$Y$1001,"&lt;"&amp;0)+COUNTIF(Stocks!G1009,"&lt;"&amp;0)+COUNTIF(Stocks!G1018,"&lt;"&amp;0)</f>
        <v>6</v>
      </c>
      <c r="G72" s="39">
        <f ca="1">COUNTIF(Stocks!$G$923:'Stocks'!$G$928,"="&amp;0)+COUNTIF(Stocks!$Y$1001,"="&amp;0)+COUNTIF(Stocks!G1009,"="&amp;0)+COUNTIF(Stocks!G1018,"="&amp;0)</f>
        <v>1</v>
      </c>
      <c r="H72" s="8">
        <f t="shared" ca="1" si="1"/>
        <v>22.222222222222221</v>
      </c>
      <c r="I72" s="8">
        <f t="shared" ca="1" si="2"/>
        <v>66.666666666666657</v>
      </c>
      <c r="J72" s="8"/>
      <c r="K72" s="8"/>
      <c r="L72" s="8"/>
    </row>
    <row r="73" spans="1:13" x14ac:dyDescent="0.25">
      <c r="A73" s="8" t="s">
        <v>935</v>
      </c>
      <c r="B73" s="12">
        <f>SUM(Stocks!Q223:'Stocks'!Q234)+Stocks!AI1003</f>
        <v>3840434646417</v>
      </c>
      <c r="C73" s="12">
        <f ca="1">SUM(Stocks!R223:'Stocks'!R234)+Stocks!AJ1003</f>
        <v>3781845528470.8999</v>
      </c>
      <c r="D73" s="8">
        <f t="shared" ca="1" si="0"/>
        <v>-1.5255856000768513</v>
      </c>
      <c r="E73" s="39">
        <f ca="1">COUNTIF(Stocks!$P$223:'Stocks'!$P$234,"&gt;"&amp;0)+COUNTIF(Stocks!$AH$1003,"&gt;"&amp;0)</f>
        <v>2</v>
      </c>
      <c r="F73" s="39">
        <f ca="1">COUNTIF(Stocks!$P$223:'Stocks'!$P$234,"&lt;"&amp;0)+COUNTIF(Stocks!$AH$1003,"&lt;"&amp;0)</f>
        <v>10</v>
      </c>
      <c r="G73" s="39">
        <f ca="1">COUNTIF(Stocks!$P$223:'Stocks'!$P$234,"="&amp;0)+COUNTIF(Stocks!$AH$1003,"="&amp;0)</f>
        <v>0</v>
      </c>
      <c r="H73" s="8">
        <f t="shared" ca="1" si="1"/>
        <v>16.666666666666664</v>
      </c>
      <c r="I73" s="8">
        <f t="shared" ca="1" si="2"/>
        <v>83.333333333333343</v>
      </c>
      <c r="J73" s="8"/>
      <c r="K73" s="8"/>
      <c r="L73" s="8"/>
    </row>
    <row r="74" spans="1:13" x14ac:dyDescent="0.25">
      <c r="A74" s="8" t="s">
        <v>4068</v>
      </c>
      <c r="B74" s="12">
        <f>SUM(Stocks!AI973:'Stocks'!AI974)</f>
        <v>58717779858.400002</v>
      </c>
      <c r="C74" s="12">
        <f ca="1">SUM(Stocks!AJ973:'Stocks'!AJ974)</f>
        <v>61435315378.800003</v>
      </c>
      <c r="D74" s="8">
        <f t="shared" ca="1" si="0"/>
        <v>4.6281305712740402</v>
      </c>
      <c r="E74" s="39">
        <f ca="1">COUNTIF(Stocks!$AH$973:'Stocks'!$AH$974,"&gt;"&amp;0)</f>
        <v>2</v>
      </c>
      <c r="F74" s="39">
        <f ca="1">COUNTIF(Stocks!$AH$973:'Stocks'!$AH$974,"&lt;"&amp;0)</f>
        <v>0</v>
      </c>
      <c r="G74" s="39">
        <f ca="1">COUNTIF(Stocks!$AH$973:'Stocks'!$AH$974,"="&amp;0)</f>
        <v>0</v>
      </c>
      <c r="H74" s="8">
        <f t="shared" ca="1" si="1"/>
        <v>100</v>
      </c>
      <c r="I74" s="8">
        <f t="shared" ca="1" si="2"/>
        <v>0</v>
      </c>
      <c r="J74" s="8"/>
      <c r="K74" s="8"/>
      <c r="L74" s="8"/>
    </row>
    <row r="75" spans="1:13" x14ac:dyDescent="0.25">
      <c r="A75" s="8" t="s">
        <v>959</v>
      </c>
      <c r="B75" s="12">
        <f>SUM(Stocks!H229:'Stocks'!H238)</f>
        <v>272534414936.55005</v>
      </c>
      <c r="C75" s="12">
        <f ca="1">SUM(Stocks!I229:'Stocks'!I238)</f>
        <v>256469747405.48999</v>
      </c>
      <c r="D75" s="8">
        <f t="shared" ca="1" si="0"/>
        <v>-5.8945463951039523</v>
      </c>
      <c r="E75" s="39">
        <f ca="1">COUNTIF(Stocks!$G$229:'Stocks'!$G$238,"&gt;"&amp;0)</f>
        <v>1</v>
      </c>
      <c r="F75" s="39">
        <f ca="1">COUNTIF(Stocks!$G$229:'Stocks'!$G$238,"&lt;"&amp;0)</f>
        <v>7</v>
      </c>
      <c r="G75" s="39">
        <f ca="1">COUNTIF(Stocks!$G$229:'Stocks'!$G$238,"="&amp;0)</f>
        <v>2</v>
      </c>
      <c r="H75" s="8">
        <f t="shared" ca="1" si="1"/>
        <v>10</v>
      </c>
      <c r="I75" s="8">
        <f t="shared" ca="1" si="2"/>
        <v>70</v>
      </c>
      <c r="J75" s="8"/>
      <c r="K75" s="8"/>
      <c r="L75" s="8"/>
      <c r="M75" s="8"/>
    </row>
    <row r="76" spans="1:13" x14ac:dyDescent="0.25">
      <c r="A76" s="8" t="s">
        <v>4016</v>
      </c>
      <c r="B76" s="12">
        <f>SUM(Stocks!Z962:'Stocks'!Z965)+Stocks!Z1024</f>
        <v>3435860175721.8896</v>
      </c>
      <c r="C76" s="12">
        <f ca="1">SUM(Stocks!AA962:'Stocks'!AA965)+Stocks!AA1024</f>
        <v>3453117506790.2397</v>
      </c>
      <c r="D76" s="8">
        <f t="shared" ca="1" si="0"/>
        <v>0.50227105253851767</v>
      </c>
      <c r="E76" s="39">
        <f ca="1">COUNTIF(Stocks!$Y$962:'Stocks'!$Y$965,"&gt;"&amp;0)+COUNTIF(Stocks!Y1024,"&gt;"&amp;0)</f>
        <v>1</v>
      </c>
      <c r="F76" s="39">
        <f ca="1">COUNTIF(Stocks!$Y$962:'Stocks'!$Y$965,"&lt;"&amp;0)+COUNTIF(Stocks!Y1024,"&lt;"&amp;0)</f>
        <v>4</v>
      </c>
      <c r="G76" s="39">
        <f ca="1">COUNTIF(Stocks!$Y$962:'Stocks'!$Y$965,"="&amp;0)+COUNTIF(Stocks!Y1024,"="&amp;0)</f>
        <v>0</v>
      </c>
      <c r="H76" s="8">
        <f t="shared" ca="1" si="1"/>
        <v>20</v>
      </c>
      <c r="I76" s="8">
        <f t="shared" ca="1" si="2"/>
        <v>80</v>
      </c>
      <c r="J76" s="8"/>
      <c r="K76" s="8"/>
      <c r="L76" s="8"/>
    </row>
    <row r="77" spans="1:13" x14ac:dyDescent="0.25">
      <c r="A77" s="40" t="s">
        <v>3402</v>
      </c>
      <c r="B77" s="41">
        <f>SUM(Stocks!Z817:'Stocks'!Z823)</f>
        <v>9761997949610.0488</v>
      </c>
      <c r="C77" s="41">
        <f ca="1">SUM(Stocks!AA817:'Stocks'!AA823)</f>
        <v>10051641779494.449</v>
      </c>
      <c r="D77" s="40">
        <f t="shared" ca="1" si="0"/>
        <v>2.9670548117249957</v>
      </c>
      <c r="E77" s="39">
        <f ca="1">COUNTIF(Stocks!$Y$817:'Stocks'!$Y$823,"&gt;"&amp;0)</f>
        <v>3</v>
      </c>
      <c r="F77" s="39">
        <f ca="1">COUNTIF(Stocks!$Y$817:'Stocks'!$Y$823,"&lt;"&amp;0)</f>
        <v>3</v>
      </c>
      <c r="G77" s="39">
        <f ca="1">COUNTIF(Stocks!$Y$817:'Stocks'!$Y$823,"="&amp;0)</f>
        <v>1</v>
      </c>
      <c r="H77" s="8">
        <f t="shared" ca="1" si="1"/>
        <v>42.857142857142854</v>
      </c>
      <c r="I77" s="8">
        <f t="shared" ca="1" si="2"/>
        <v>42.857142857142854</v>
      </c>
      <c r="J77" s="8"/>
      <c r="K77" s="8"/>
      <c r="L77" s="8"/>
    </row>
    <row r="78" spans="1:13" x14ac:dyDescent="0.25">
      <c r="A78" s="8" t="s">
        <v>166</v>
      </c>
      <c r="B78" s="12">
        <f>SUM(Stocks!H38:'Stocks'!H41)</f>
        <v>752672530167.80005</v>
      </c>
      <c r="C78" s="12">
        <f ca="1">SUM(Stocks!I38:'Stocks'!I41)</f>
        <v>750602750890.84998</v>
      </c>
      <c r="D78" s="8">
        <f t="shared" ca="1" si="0"/>
        <v>-0.27499067575757535</v>
      </c>
      <c r="E78" s="39">
        <f ca="1">COUNTIF(Stocks!$G$38:'Stocks'!$G$41,"&gt;"&amp;0)</f>
        <v>2</v>
      </c>
      <c r="F78" s="39">
        <f ca="1">COUNTIF(Stocks!$G$38:'Stocks'!$G$41,"&lt;"&amp;0)</f>
        <v>2</v>
      </c>
      <c r="G78" s="39">
        <f ca="1">COUNTIF(Stocks!$G$38:'Stocks'!$G$41,"="&amp;0)</f>
        <v>0</v>
      </c>
      <c r="H78" s="8">
        <f t="shared" ca="1" si="1"/>
        <v>50</v>
      </c>
      <c r="I78" s="8">
        <f t="shared" ca="1" si="2"/>
        <v>50</v>
      </c>
      <c r="J78" s="8"/>
      <c r="K78" s="8"/>
      <c r="L78" s="8"/>
    </row>
    <row r="79" spans="1:13" x14ac:dyDescent="0.25">
      <c r="A79" s="8" t="s">
        <v>3131</v>
      </c>
      <c r="B79" s="12">
        <f>SUM(Stocks!H753:'Stocks'!H754)</f>
        <v>1008250047484.88</v>
      </c>
      <c r="C79" s="12">
        <f ca="1">SUM(Stocks!I753:'Stocks'!I754)</f>
        <v>1007932854755.0099</v>
      </c>
      <c r="D79" s="8">
        <f t="shared" ca="1" si="0"/>
        <v>-3.1459728731118547E-2</v>
      </c>
      <c r="E79" s="39">
        <f ca="1">COUNTIF(Stocks!$G$753:'Stocks'!$G$754,"&gt;"&amp;0)</f>
        <v>0</v>
      </c>
      <c r="F79" s="39">
        <f ca="1">COUNTIF(Stocks!$G$753:'Stocks'!$G$754,"&lt;"&amp;0)</f>
        <v>2</v>
      </c>
      <c r="G79" s="39">
        <f ca="1">COUNTIF(Stocks!$G$753:'Stocks'!$G$754,"="&amp;0)</f>
        <v>0</v>
      </c>
      <c r="H79" s="8">
        <f t="shared" ca="1" si="1"/>
        <v>0</v>
      </c>
      <c r="I79" s="8">
        <f t="shared" ca="1" si="2"/>
        <v>100</v>
      </c>
      <c r="J79" s="8"/>
      <c r="K79" s="8"/>
      <c r="L79" s="8"/>
    </row>
    <row r="80" spans="1:13" x14ac:dyDescent="0.25">
      <c r="A80" s="45" t="s">
        <v>2577</v>
      </c>
      <c r="B80" s="41">
        <f>SUM(Stocks!H621:'Stocks'!H624)</f>
        <v>943773874583.84998</v>
      </c>
      <c r="C80" s="41">
        <f ca="1">SUM(Stocks!I621:'Stocks'!I624)</f>
        <v>1008852280542.5</v>
      </c>
      <c r="D80" s="40">
        <f t="shared" ca="1" si="0"/>
        <v>6.8955506939992235</v>
      </c>
      <c r="E80" s="39">
        <f ca="1">COUNTIF(Stocks!$G$621:'Stocks'!$G$624,"&gt;"&amp;0)</f>
        <v>1</v>
      </c>
      <c r="F80" s="39">
        <f ca="1">COUNTIF(Stocks!$G$621:'Stocks'!$G$624,"&lt;"&amp;0)</f>
        <v>3</v>
      </c>
      <c r="G80" s="39">
        <f ca="1">COUNTIF(Stocks!$G$621:'Stocks'!$G$624,"="&amp;0)</f>
        <v>0</v>
      </c>
      <c r="H80" s="8">
        <f t="shared" ca="1" si="1"/>
        <v>25</v>
      </c>
      <c r="I80" s="8">
        <f t="shared" ca="1" si="2"/>
        <v>75</v>
      </c>
      <c r="J80" s="8"/>
      <c r="K80" s="8"/>
      <c r="L80" s="8"/>
    </row>
    <row r="81" spans="1:12" x14ac:dyDescent="0.25">
      <c r="A81" s="8" t="s">
        <v>3814</v>
      </c>
      <c r="B81" s="12">
        <f>SUM(Stocks!Q915:'Stocks'!Q918)</f>
        <v>4404171464.2600002</v>
      </c>
      <c r="C81" s="12">
        <f ca="1">SUM(Stocks!R915:'Stocks'!R918)</f>
        <v>4192518840.48</v>
      </c>
      <c r="D81" s="8">
        <f t="shared" ca="1" si="0"/>
        <v>-4.8057307826811098</v>
      </c>
      <c r="E81" s="39">
        <f ca="1">COUNTIF(Stocks!$P$915:'Stocks'!$P$918,"&gt;"&amp;0)</f>
        <v>1</v>
      </c>
      <c r="F81" s="39">
        <f ca="1">COUNTIF(Stocks!$P$915:'Stocks'!$P$918,"&lt;"&amp;0)</f>
        <v>3</v>
      </c>
      <c r="G81" s="39">
        <f ca="1">COUNTIF(Stocks!$P$915:'Stocks'!$P$918,"="&amp;0)</f>
        <v>0</v>
      </c>
      <c r="H81" s="8">
        <f t="shared" ca="1" si="1"/>
        <v>25</v>
      </c>
      <c r="I81" s="8">
        <f t="shared" ca="1" si="2"/>
        <v>75</v>
      </c>
      <c r="J81" s="8"/>
      <c r="K81" s="8"/>
      <c r="L81" s="8"/>
    </row>
    <row r="82" spans="1:12" x14ac:dyDescent="0.25">
      <c r="A82" s="40" t="s">
        <v>1970</v>
      </c>
      <c r="B82" s="41">
        <f>SUM(Stocks!Q473:'Stocks'!Q479)</f>
        <v>936146281137.34998</v>
      </c>
      <c r="C82" s="41">
        <f ca="1">SUM(Stocks!R473:'Stocks'!R479)</f>
        <v>950360549312.54004</v>
      </c>
      <c r="D82" s="40">
        <f t="shared" ca="1" si="0"/>
        <v>1.5183810972277492</v>
      </c>
      <c r="E82" s="39">
        <f ca="1">COUNTIF(Stocks!$P$473:'Stocks'!$P$479,"&gt;"&amp;0)</f>
        <v>1</v>
      </c>
      <c r="F82" s="39">
        <f ca="1">COUNTIF(Stocks!$P$473:'Stocks'!$P$479,"&lt;"&amp;0)</f>
        <v>5</v>
      </c>
      <c r="G82" s="39">
        <f ca="1">COUNTIF(Stocks!$P$473:'Stocks'!$P$479,"="&amp;0)</f>
        <v>1</v>
      </c>
      <c r="H82" s="8">
        <f t="shared" ca="1" si="1"/>
        <v>14.285714285714285</v>
      </c>
      <c r="I82" s="8">
        <f t="shared" ca="1" si="2"/>
        <v>71.428571428571431</v>
      </c>
      <c r="J82" s="8"/>
      <c r="K82" s="8"/>
      <c r="L82" s="8"/>
    </row>
    <row r="83" spans="1:12" x14ac:dyDescent="0.25">
      <c r="A83" s="42" t="s">
        <v>2422</v>
      </c>
      <c r="B83" s="43">
        <f>SUM(Stocks!AI583:'Stocks'!AI619)</f>
        <v>534580429753.50012</v>
      </c>
      <c r="C83" s="43">
        <f ca="1">SUM(Stocks!AJ583:'Stocks'!AJ619)</f>
        <v>477783722259.89996</v>
      </c>
      <c r="D83" s="42">
        <f t="shared" ca="1" si="0"/>
        <v>-10.624539233467569</v>
      </c>
      <c r="E83" s="39">
        <f ca="1">COUNTIF(Stocks!$AH$583:'Stocks'!$AH$619,"&gt;"&amp;0)</f>
        <v>1</v>
      </c>
      <c r="F83" s="39">
        <f ca="1">COUNTIF(Stocks!$AH$583:'Stocks'!$AH$619,"&lt;"&amp;0)</f>
        <v>33</v>
      </c>
      <c r="G83" s="39">
        <f ca="1">COUNTIF(Stocks!$AH$583:'Stocks'!$AH$619,"="&amp;0)</f>
        <v>1</v>
      </c>
      <c r="H83" s="8">
        <f t="shared" ca="1" si="1"/>
        <v>2.8571428571428572</v>
      </c>
      <c r="I83" s="8">
        <f t="shared" ca="1" si="2"/>
        <v>94.285714285714278</v>
      </c>
      <c r="J83" s="8"/>
      <c r="K83" s="8"/>
      <c r="L83" s="8"/>
    </row>
    <row r="84" spans="1:12" x14ac:dyDescent="0.25">
      <c r="A84" s="40" t="s">
        <v>1337</v>
      </c>
      <c r="B84" s="41">
        <f>SUM(Stocks!H321:'Stocks'!H383)+Stocks!H1012+Stocks!Z1020</f>
        <v>1629609830182.3203</v>
      </c>
      <c r="C84" s="41">
        <f ca="1">SUM(Stocks!I321:'Stocks'!I383)+Stocks!I1012+Stocks!AA1020</f>
        <v>1570237736707.1602</v>
      </c>
      <c r="D84" s="40">
        <f t="shared" ca="1" si="0"/>
        <v>-3.6433318194035209</v>
      </c>
      <c r="E84" s="39">
        <f ca="1">COUNTIF(Stocks!$G$321:'Stocks'!$G$383,"&gt;"&amp;0)+COUNTIF(Stocks!$G$1012,"&gt;"&amp;0)+COUNTIF(Stocks!Y1020,"&gt;"&amp;0)</f>
        <v>12</v>
      </c>
      <c r="F84" s="39">
        <f ca="1">COUNTIF(Stocks!$G$321:'Stocks'!$G$383,"&lt;"&amp;0)+COUNTIF(Stocks!$G$1012,"&lt;"&amp;0)+COUNTIF(Stocks!Y1020,"&lt;"&amp;0)</f>
        <v>45</v>
      </c>
      <c r="G84" s="39">
        <f ca="1">COUNTIF(Stocks!$G$321:'Stocks'!$G$383,"="&amp;0)+COUNTIF(Stocks!$G$1012,"="&amp;0)+COUNTIF(Stocks!Y1020,"="&amp;0)</f>
        <v>3</v>
      </c>
      <c r="H84" s="8">
        <f t="shared" ca="1" si="1"/>
        <v>20</v>
      </c>
      <c r="I84" s="8">
        <f t="shared" ca="1" si="2"/>
        <v>75</v>
      </c>
      <c r="J84" s="8"/>
      <c r="K84" s="8"/>
      <c r="L84" s="8"/>
    </row>
    <row r="85" spans="1:12" x14ac:dyDescent="0.25">
      <c r="A85" s="40" t="s">
        <v>2346</v>
      </c>
      <c r="B85" s="41">
        <f>SUM(Stocks!H565:'Stocks'!H588)+Stocks!Q1023+Stocks!H1037</f>
        <v>56257818438.340004</v>
      </c>
      <c r="C85" s="41">
        <f ca="1">SUM(Stocks!I565:'Stocks'!I588)+Stocks!R1023+Stocks!I1037</f>
        <v>43896732500.679993</v>
      </c>
      <c r="D85" s="40">
        <f t="shared" ca="1" si="0"/>
        <v>-21.972209873740617</v>
      </c>
      <c r="E85" s="39">
        <f ca="1">COUNTIF(Stocks!$G$565:'Stocks'!$G$588,"&gt;"&amp;0)+COUNTIF(Stocks!P1023,"&gt;"&amp;0)+COUNTIF(Stocks!G1037,"&gt;"&amp;0)</f>
        <v>4</v>
      </c>
      <c r="F85" s="39">
        <f ca="1">COUNTIF(Stocks!$G$565:'Stocks'!$G$588,"&lt;"&amp;0)+COUNTIF(Stocks!P1023,"&lt;"&amp;0)+COUNTIF(Stocks!G1037,"&lt;"&amp;0)</f>
        <v>18</v>
      </c>
      <c r="G85" s="39">
        <f ca="1">COUNTIF(Stocks!$G$565:'Stocks'!$G$588,"="&amp;0)+COUNTIF(Stocks!P1023,"="&amp;0)+COUNTIF(Stocks!G1037,"="&amp;0)</f>
        <v>3</v>
      </c>
      <c r="H85" s="8">
        <f t="shared" ca="1" si="1"/>
        <v>16</v>
      </c>
      <c r="I85" s="8">
        <f t="shared" ca="1" si="2"/>
        <v>72</v>
      </c>
      <c r="J85" s="69" t="s">
        <v>4364</v>
      </c>
      <c r="K85" s="67"/>
      <c r="L85" s="8"/>
    </row>
    <row r="86" spans="1:12" x14ac:dyDescent="0.25">
      <c r="A86" s="40" t="s">
        <v>110</v>
      </c>
      <c r="B86" s="41">
        <f>SUM(Stocks!Q24:'Stocks'!Q46)</f>
        <v>481527298272.02997</v>
      </c>
      <c r="C86" s="41">
        <f ca="1">SUM(Stocks!R24:'Stocks'!R46)</f>
        <v>432013581775.78003</v>
      </c>
      <c r="D86" s="40">
        <f t="shared" ca="1" si="0"/>
        <v>-10.28263956663119</v>
      </c>
      <c r="E86" s="39">
        <f ca="1">COUNTIF(Stocks!$P$24:'Stocks'!$P$46,"&gt;"&amp;0)</f>
        <v>1</v>
      </c>
      <c r="F86" s="39">
        <f ca="1">COUNTIF(Stocks!$P$24:'Stocks'!$P$46,"&lt;"&amp;0)</f>
        <v>21</v>
      </c>
      <c r="G86" s="39">
        <f ca="1">COUNTIF(Stocks!$P$24:'Stocks'!$P$46,"="&amp;0)</f>
        <v>0</v>
      </c>
      <c r="H86" s="8">
        <f t="shared" ca="1" si="1"/>
        <v>4.5454545454545459</v>
      </c>
      <c r="I86" s="8">
        <f t="shared" ca="1" si="2"/>
        <v>95.454545454545453</v>
      </c>
      <c r="J86" s="8"/>
      <c r="K86" s="8"/>
      <c r="L86" s="8"/>
    </row>
    <row r="87" spans="1:12" x14ac:dyDescent="0.25">
      <c r="A87" s="42" t="s">
        <v>3369</v>
      </c>
      <c r="B87" s="43">
        <f>SUM(Stocks!H810:'Stocks'!H829)</f>
        <v>60840612941.290001</v>
      </c>
      <c r="C87" s="43">
        <f ca="1">SUM(Stocks!I810:'Stocks'!I829)</f>
        <v>55634025335.679993</v>
      </c>
      <c r="D87" s="42">
        <f t="shared" ca="1" si="0"/>
        <v>-8.5577500848557566</v>
      </c>
      <c r="E87" s="39">
        <f ca="1">COUNTIF(Stocks!$G$810:'Stocks'!$G$829,"&gt;"&amp;0)</f>
        <v>4</v>
      </c>
      <c r="F87" s="39">
        <f ca="1">COUNTIF(Stocks!$G$810:'Stocks'!$G$829,"&lt;"&amp;0)</f>
        <v>14</v>
      </c>
      <c r="G87" s="39">
        <f ca="1">COUNTIF(Stocks!$G$810:'Stocks'!$G$829,"="&amp;0)</f>
        <v>2</v>
      </c>
      <c r="H87" s="8">
        <f t="shared" ca="1" si="1"/>
        <v>20</v>
      </c>
      <c r="I87" s="8">
        <f t="shared" ca="1" si="2"/>
        <v>70</v>
      </c>
      <c r="J87" s="8"/>
      <c r="K87" s="8"/>
      <c r="L87" s="8"/>
    </row>
    <row r="88" spans="1:12" x14ac:dyDescent="0.25">
      <c r="A88" s="40" t="s">
        <v>3951</v>
      </c>
      <c r="B88" s="41">
        <f>SUM(Stocks!H947:'Stocks'!H966)</f>
        <v>1286622679334.6401</v>
      </c>
      <c r="C88" s="41">
        <f ca="1">SUM(Stocks!I947:'Stocks'!I966)</f>
        <v>1168433896728.9497</v>
      </c>
      <c r="D88" s="40">
        <f t="shared" ca="1" si="0"/>
        <v>-9.1859707203987888</v>
      </c>
      <c r="E88" s="39">
        <f ca="1">COUNTIF(Stocks!$G$947:'Stocks'!$G$966,"&gt;"&amp;0)</f>
        <v>2</v>
      </c>
      <c r="F88" s="39">
        <f ca="1">COUNTIF(Stocks!$G$947:'Stocks'!$G$966,"&lt;"&amp;0)</f>
        <v>18</v>
      </c>
      <c r="G88" s="39">
        <f ca="1">COUNTIF(Stocks!$G$947:'Stocks'!$G$966,"="&amp;0)</f>
        <v>0</v>
      </c>
      <c r="H88" s="8">
        <f t="shared" ca="1" si="1"/>
        <v>10</v>
      </c>
      <c r="I88" s="8">
        <f t="shared" ca="1" si="2"/>
        <v>90</v>
      </c>
      <c r="J88" s="8"/>
      <c r="K88" s="8"/>
      <c r="L88" s="8"/>
    </row>
    <row r="89" spans="1:12" x14ac:dyDescent="0.25">
      <c r="A89" s="8" t="s">
        <v>1376</v>
      </c>
      <c r="B89" s="12">
        <f>SUM(Stocks!Q330:'Stocks'!Q348)+Stocks!Z1031</f>
        <v>1149182237371.48</v>
      </c>
      <c r="C89" s="12">
        <f ca="1">SUM(Stocks!R330:'Stocks'!R348)+Stocks!AA1031</f>
        <v>1066953859503.2699</v>
      </c>
      <c r="D89" s="8">
        <f t="shared" ca="1" si="0"/>
        <v>-7.1553819049875607</v>
      </c>
      <c r="E89" s="39">
        <f ca="1">COUNTIF(Stocks!$P$330:'Stocks'!$P$348,"&gt;"&amp;0)+COUNTIF(Stocks!Y1031,"&gt;"&amp;0)</f>
        <v>1</v>
      </c>
      <c r="F89" s="39">
        <f ca="1">COUNTIF(Stocks!$P$330:'Stocks'!$P$348,"&lt;"&amp;0)+COUNTIF(Stocks!Y1031,"&lt;"&amp;0)</f>
        <v>17</v>
      </c>
      <c r="G89" s="39">
        <f ca="1">COUNTIF(Stocks!$P$330:'Stocks'!$P$348,"="&amp;0)+COUNTIF(Stocks!Y1031,"="&amp;0)</f>
        <v>1</v>
      </c>
      <c r="H89" s="8">
        <f t="shared" ca="1" si="1"/>
        <v>5.2631578947368416</v>
      </c>
      <c r="I89" s="8">
        <f t="shared" ca="1" si="2"/>
        <v>89.473684210526315</v>
      </c>
      <c r="J89" s="8"/>
      <c r="K89" s="8"/>
      <c r="L89" s="8"/>
    </row>
    <row r="90" spans="1:12" x14ac:dyDescent="0.25">
      <c r="A90" s="40" t="s">
        <v>3683</v>
      </c>
      <c r="B90" s="41">
        <f>SUM(Stocks!H884:'Stocks'!H922)</f>
        <v>7336385162132.0605</v>
      </c>
      <c r="C90" s="41">
        <f ca="1">SUM(Stocks!I884:'Stocks'!I922)</f>
        <v>7429906899468.2305</v>
      </c>
      <c r="D90" s="40">
        <f t="shared" ca="1" si="0"/>
        <v>1.274765913585038</v>
      </c>
      <c r="E90" s="39">
        <f ca="1">COUNTIF(Stocks!$G$884:'Stocks'!$G$922,"&gt;"&amp;0)</f>
        <v>8</v>
      </c>
      <c r="F90" s="39">
        <f ca="1">COUNTIF(Stocks!$G$884:'Stocks'!$G$922,"&lt;"&amp;0)</f>
        <v>29</v>
      </c>
      <c r="G90" s="39">
        <f ca="1">COUNTIF(Stocks!$G$884:'Stocks'!$G$922,"="&amp;0)</f>
        <v>0</v>
      </c>
      <c r="H90" s="8">
        <f t="shared" ca="1" si="1"/>
        <v>21.621621621621621</v>
      </c>
      <c r="I90" s="8">
        <f t="shared" ca="1" si="2"/>
        <v>78.378378378378372</v>
      </c>
      <c r="J90" s="8"/>
      <c r="K90" s="8"/>
      <c r="L90" s="8"/>
    </row>
    <row r="91" spans="1:12" x14ac:dyDescent="0.25">
      <c r="A91" s="42" t="s">
        <v>3232</v>
      </c>
      <c r="B91" s="43">
        <f>SUM(Stocks!H777:'Stocks'!H809)+Stocks!H1005</f>
        <v>1147606778865.6602</v>
      </c>
      <c r="C91" s="43">
        <f ca="1">SUM(Stocks!I777:'Stocks'!I809)+Stocks!I1005</f>
        <v>973037127222.12024</v>
      </c>
      <c r="D91" s="42">
        <f t="shared" ca="1" si="0"/>
        <v>-15.21162604285864</v>
      </c>
      <c r="E91" s="39">
        <f ca="1">COUNTIF(Stocks!$G$777:'Stocks'!$G$809,"&gt;"&amp;0)+COUNTIF(Stocks!$G$1005,"&gt;"&amp;0)</f>
        <v>5</v>
      </c>
      <c r="F91" s="39">
        <f ca="1">COUNTIF(Stocks!$G$777:'Stocks'!$G$809,"&lt;"&amp;0)+COUNTIF(Stocks!$G$1005,"&lt;"&amp;0)</f>
        <v>26</v>
      </c>
      <c r="G91" s="39">
        <f ca="1">COUNTIF(Stocks!$G$777:'Stocks'!$G$809,"="&amp;0)+COUNTIF(Stocks!$G$1005,"="&amp;0)</f>
        <v>2</v>
      </c>
      <c r="H91" s="8">
        <f t="shared" ca="1" si="1"/>
        <v>15.151515151515152</v>
      </c>
      <c r="I91" s="8">
        <f t="shared" ca="1" si="2"/>
        <v>78.787878787878782</v>
      </c>
      <c r="J91" s="8"/>
      <c r="K91" s="8"/>
      <c r="L91" s="8"/>
    </row>
    <row r="92" spans="1:12" x14ac:dyDescent="0.25">
      <c r="A92" s="40" t="s">
        <v>2286</v>
      </c>
      <c r="B92" s="41">
        <f>SUM(Stocks!AI550:'Stocks'!AI582)</f>
        <v>988469104189.96985</v>
      </c>
      <c r="C92" s="41">
        <f ca="1">SUM(Stocks!AJ550:'Stocks'!AJ582)</f>
        <v>943614940851.28003</v>
      </c>
      <c r="D92" s="40">
        <f t="shared" ca="1" si="0"/>
        <v>-4.5377405473332306</v>
      </c>
      <c r="E92" s="39">
        <f ca="1">COUNTIF(Stocks!$AH$550:'Stocks'!$AH$582,"&gt;"&amp;0)</f>
        <v>5</v>
      </c>
      <c r="F92" s="39">
        <f ca="1">COUNTIF(Stocks!$AH$550:'Stocks'!$AH$582,"&lt;"&amp;0)</f>
        <v>27</v>
      </c>
      <c r="G92" s="39">
        <f ca="1">COUNTIF(Stocks!$AH$550:'Stocks'!$AH$582,"="&amp;0)</f>
        <v>0</v>
      </c>
      <c r="H92" s="8">
        <f t="shared" ca="1" si="1"/>
        <v>15.625</v>
      </c>
      <c r="I92" s="8">
        <f t="shared" ca="1" si="2"/>
        <v>84.375</v>
      </c>
      <c r="J92" s="8"/>
      <c r="K92" s="8"/>
      <c r="L92" s="8"/>
    </row>
    <row r="93" spans="1:12" x14ac:dyDescent="0.25">
      <c r="A93" s="40" t="s">
        <v>1271</v>
      </c>
      <c r="B93" s="41">
        <f>SUM(Stocks!Q305:'Stocks'!Q319)+Stocks!AI1004</f>
        <v>967917662751.19983</v>
      </c>
      <c r="C93" s="41">
        <f ca="1">SUM(Stocks!R305:'Stocks'!R319)+Stocks!AJ1004</f>
        <v>911414612630.30005</v>
      </c>
      <c r="D93" s="40">
        <f t="shared" ca="1" si="0"/>
        <v>-5.8375884949031773</v>
      </c>
      <c r="E93" s="39">
        <f ca="1">COUNTIF(Stocks!$P$305:'Stocks'!$P$319,"&gt;"&amp;0)+COUNTIF(Stocks!$AH$1004,"&gt;"&amp;0)</f>
        <v>4</v>
      </c>
      <c r="F93" s="39">
        <f ca="1">COUNTIF(Stocks!$P$305:'Stocks'!$P$319,"&lt;"&amp;0)+COUNTIF(Stocks!$AH$1004,"&lt;"&amp;0)</f>
        <v>12</v>
      </c>
      <c r="G93" s="39">
        <f ca="1">COUNTIF(Stocks!$P$305:'Stocks'!$P$319,"="&amp;0)+COUNTIF(Stocks!$AH$1004,"="&amp;0)</f>
        <v>0</v>
      </c>
      <c r="H93" s="8">
        <f t="shared" ca="1" si="1"/>
        <v>25</v>
      </c>
      <c r="I93" s="8">
        <f t="shared" ca="1" si="2"/>
        <v>75</v>
      </c>
      <c r="J93" s="8"/>
      <c r="K93" s="8"/>
      <c r="L93" s="8"/>
    </row>
    <row r="94" spans="1:12" x14ac:dyDescent="0.25">
      <c r="A94" s="8" t="s">
        <v>2228</v>
      </c>
      <c r="B94" s="12">
        <f>SUM(Stocks!Q537:'Stocks'!Q552)</f>
        <v>6183563781177.8008</v>
      </c>
      <c r="C94" s="12">
        <f ca="1">SUM(Stocks!R537:'Stocks'!R552)</f>
        <v>6264438586826.5098</v>
      </c>
      <c r="D94" s="8">
        <f t="shared" ca="1" si="0"/>
        <v>1.3078995949695618</v>
      </c>
      <c r="E94" s="39">
        <f ca="1">COUNTIF(Stocks!$P$537:'Stocks'!$P$552,"&gt;"&amp;0)</f>
        <v>5</v>
      </c>
      <c r="F94" s="39">
        <f ca="1">COUNTIF(Stocks!$P$537:'Stocks'!$P$552,"&lt;"&amp;0)</f>
        <v>10</v>
      </c>
      <c r="G94" s="39">
        <f ca="1">COUNTIF(Stocks!$P$537:'Stocks'!$P$552,"="&amp;0)</f>
        <v>1</v>
      </c>
      <c r="H94" s="8">
        <f t="shared" ca="1" si="1"/>
        <v>31.25</v>
      </c>
      <c r="I94" s="8">
        <f t="shared" ca="1" si="2"/>
        <v>62.5</v>
      </c>
      <c r="J94" s="8"/>
      <c r="K94" s="8"/>
      <c r="L94" s="8"/>
    </row>
    <row r="95" spans="1:12" x14ac:dyDescent="0.25">
      <c r="A95" s="40" t="s">
        <v>2444</v>
      </c>
      <c r="B95" s="41">
        <f>SUM(Stocks!H589:'Stocks'!H602)+Stocks!Z1013+Stocks!H1014</f>
        <v>1576439952906.5901</v>
      </c>
      <c r="C95" s="41">
        <f ca="1">SUM(Stocks!I589:'Stocks'!I602)+Stocks!AA1013+Stocks!I1014</f>
        <v>1591362932032.8101</v>
      </c>
      <c r="D95" s="40">
        <f t="shared" ca="1" si="0"/>
        <v>0.94662528050659045</v>
      </c>
      <c r="E95" s="39">
        <f ca="1">COUNTIF(Stocks!$G$589:'Stocks'!$G$602,"&gt;"&amp;0)+COUNTIF(Stocks!$Y$1013,"&gt;"&amp;0)+COUNTIF(Stocks!$G$1014,"&gt;"&amp;0)</f>
        <v>3</v>
      </c>
      <c r="F95" s="39">
        <f ca="1">COUNTIF(Stocks!$G$589:'Stocks'!$G$602,"&lt;"&amp;0)+COUNTIF(Stocks!$Y$1013,"&lt;"&amp;0)+COUNTIF(Stocks!$G$1014,"&lt;"&amp;0)</f>
        <v>13</v>
      </c>
      <c r="G95" s="39">
        <f ca="1">COUNTIF(Stocks!$G$589:'Stocks'!$G$602,"="&amp;0)+COUNTIF(Stocks!$Y$1013,"="&amp;0)+COUNTIF(Stocks!$G$1014,"="&amp;0)</f>
        <v>0</v>
      </c>
      <c r="H95" s="8">
        <f t="shared" ca="1" si="1"/>
        <v>18.75</v>
      </c>
      <c r="I95" s="8">
        <f t="shared" ca="1" si="2"/>
        <v>81.25</v>
      </c>
      <c r="J95" s="8"/>
      <c r="K95" s="8"/>
      <c r="L95" s="8"/>
    </row>
    <row r="96" spans="1:12" x14ac:dyDescent="0.25">
      <c r="A96" s="42" t="s">
        <v>1868</v>
      </c>
      <c r="B96" s="43">
        <f>SUM(Stocks!AI448:'Stocks'!AI540)+Stocks!H1001+Stocks!AI1009</f>
        <v>5305761935139.1582</v>
      </c>
      <c r="C96" s="43">
        <f ca="1">SUM(Stocks!AJ448:'Stocks'!AJ540)+Stocks!I1001+Stocks!AJ1009</f>
        <v>5229193717048</v>
      </c>
      <c r="D96" s="42">
        <f t="shared" ca="1" si="0"/>
        <v>-1.4431144673879905</v>
      </c>
      <c r="E96" s="39">
        <f ca="1">COUNTIF(Stocks!$AH$448:'Stocks'!$AH$540,"&gt;"&amp;0)+COUNTIF(Stocks!$G$1001,"&gt;"&amp;0)+COUNTIF(Stocks!$AH$1009,"&gt;"&amp;0)</f>
        <v>9</v>
      </c>
      <c r="F96" s="39">
        <f ca="1">COUNTIF(Stocks!$AH$448:'Stocks'!$AH$540,"&lt;"&amp;0)+COUNTIF(Stocks!$G$1001,"&lt;"&amp;0)+COUNTIF(Stocks!$AH$1009,"&lt;"&amp;0)</f>
        <v>83</v>
      </c>
      <c r="G96" s="39">
        <f ca="1">COUNTIF(Stocks!$AH$448:'Stocks'!$AH$540,"="&amp;0)+COUNTIF(Stocks!$G$1001,"="&amp;0)+COUNTIF(Stocks!$AH$1009,"="&amp;0)</f>
        <v>3</v>
      </c>
      <c r="H96" s="8">
        <f t="shared" ca="1" si="1"/>
        <v>9.4736842105263168</v>
      </c>
      <c r="I96" s="8">
        <f t="shared" ca="1" si="2"/>
        <v>87.368421052631589</v>
      </c>
      <c r="J96" s="8"/>
      <c r="K96" s="8"/>
      <c r="L96" s="8"/>
    </row>
    <row r="97" spans="1:12" x14ac:dyDescent="0.25">
      <c r="A97" s="40" t="s">
        <v>2261</v>
      </c>
      <c r="B97" s="41">
        <f>SUM(Stocks!H545:'Stocks'!H558)+Stocks!AI1016</f>
        <v>155510603988.09</v>
      </c>
      <c r="C97" s="41">
        <f ca="1">SUM(Stocks!I545:'Stocks'!I558)+Stocks!AJ1016</f>
        <v>145360461771.87</v>
      </c>
      <c r="D97" s="40">
        <f t="shared" ca="1" si="0"/>
        <v>-6.5269775538891004</v>
      </c>
      <c r="E97" s="39">
        <f ca="1">COUNTIF(Stocks!$G$545:'Stocks'!$G$558,"&gt;"&amp;0)+COUNTIF(Stocks!$AH$1016,"&gt;"&amp;0)</f>
        <v>2</v>
      </c>
      <c r="F97" s="39">
        <f ca="1">COUNTIF(Stocks!$G$545:'Stocks'!$G$558,"&lt;"&amp;0)+COUNTIF(Stocks!$AH$1016,"&lt;"&amp;0)</f>
        <v>13</v>
      </c>
      <c r="G97" s="39">
        <f ca="1">COUNTIF(Stocks!$G$545:'Stocks'!$G$558,"="&amp;0)+COUNTIF(Stocks!$AH$1016,"="&amp;0)</f>
        <v>0</v>
      </c>
      <c r="H97" s="8">
        <f t="shared" ca="1" si="1"/>
        <v>13.333333333333334</v>
      </c>
      <c r="I97" s="8">
        <f t="shared" ca="1" si="2"/>
        <v>86.666666666666671</v>
      </c>
      <c r="J97" s="8"/>
      <c r="K97" s="8"/>
      <c r="L97" s="8"/>
    </row>
    <row r="98" spans="1:12" x14ac:dyDescent="0.25">
      <c r="A98" s="42" t="s">
        <v>3209</v>
      </c>
      <c r="B98" s="43">
        <f>SUM(Stocks!Z771:'Stocks'!Z816)</f>
        <v>423998879921.82996</v>
      </c>
      <c r="C98" s="43">
        <f ca="1">SUM(Stocks!AA771:'Stocks'!AA816)</f>
        <v>413166635317.01001</v>
      </c>
      <c r="D98" s="42">
        <f t="shared" ca="1" si="0"/>
        <v>-2.554781419898331</v>
      </c>
      <c r="E98" s="39">
        <f ca="1">COUNTIF(Stocks!$Y$771:'Stocks'!$Y$816,"&gt;"&amp;0)</f>
        <v>5</v>
      </c>
      <c r="F98" s="39">
        <f ca="1">COUNTIF(Stocks!$Y$771:'Stocks'!$Y$816,"&lt;"&amp;0)</f>
        <v>37</v>
      </c>
      <c r="G98" s="39">
        <f ca="1">COUNTIF(Stocks!$Y$771:'Stocks'!$Y$816,"="&amp;0)</f>
        <v>3</v>
      </c>
      <c r="H98" s="8">
        <f t="shared" ca="1" si="1"/>
        <v>11.111111111111111</v>
      </c>
      <c r="I98" s="8">
        <f t="shared" ca="1" si="2"/>
        <v>82.222222222222214</v>
      </c>
      <c r="J98" s="8"/>
      <c r="K98" s="8"/>
      <c r="L98" s="8"/>
    </row>
    <row r="99" spans="1:12" x14ac:dyDescent="0.25">
      <c r="A99" s="8" t="s">
        <v>376</v>
      </c>
      <c r="B99" s="12">
        <f>SUM(Stocks!H88:'Stocks'!H194)+Stocks!Q1008+Stocks!Z1028+Stocks!Q1036</f>
        <v>6230492954315.8809</v>
      </c>
      <c r="C99" s="12">
        <f ca="1">SUM(Stocks!I88:'Stocks'!I194)+Stocks!R1008+Stocks!AA1028+Stocks!R1036</f>
        <v>6143448722687.9014</v>
      </c>
      <c r="D99" s="8">
        <f t="shared" ca="1" si="0"/>
        <v>-1.3970681335524775</v>
      </c>
      <c r="E99" s="39">
        <f ca="1">COUNTIF(Stocks!$G$88:'Stocks'!$G$194,"&gt;"&amp;0)+COUNTIF(Stocks!P1008,"&gt;"&amp;0)+COUNTIF(Stocks!Y1028,"&gt;"&amp;0)+COUNTIF(Stocks!P1036,"&gt;"&amp;0)</f>
        <v>24</v>
      </c>
      <c r="F99" s="39">
        <f ca="1">COUNTIF(Stocks!$G$88:'Stocks'!$G$194,"&lt;"&amp;0)+COUNTIF(Stocks!P1008,"&lt;"&amp;0)+COUNTIF(Stocks!Y1028,"&lt;"&amp;0)+COUNTIF(Stocks!P1036,"&lt;"&amp;0)</f>
        <v>84</v>
      </c>
      <c r="G99" s="39">
        <f ca="1">COUNTIF(Stocks!$G$88:'Stocks'!$G$194,"="&amp;0)+COUNTIF(Stocks!P1008,"="&amp;0)+COUNTIF(Stocks!Y1028,"="&amp;0)+COUNTIF(Stocks!P1036,"="&amp;0)</f>
        <v>2</v>
      </c>
      <c r="H99" s="8">
        <f t="shared" ca="1" si="1"/>
        <v>21.818181818181817</v>
      </c>
      <c r="I99" s="8">
        <f t="shared" ca="1" si="2"/>
        <v>76.363636363636374</v>
      </c>
      <c r="J99" s="69" t="s">
        <v>4365</v>
      </c>
      <c r="K99" s="67"/>
      <c r="L99" s="8"/>
    </row>
    <row r="100" spans="1:12" x14ac:dyDescent="0.25">
      <c r="A100" s="40" t="s">
        <v>3110</v>
      </c>
      <c r="B100" s="41">
        <f>SUM(Stocks!Q748:'Stocks'!Q783)+Stocks!AI996+Stocks!Q1007+Stocks!AI999+Stocks!Z1019+Stocks!AI1032</f>
        <v>1625634731750.2898</v>
      </c>
      <c r="C100" s="41">
        <f ca="1">SUM(Stocks!R748:'Stocks'!R783)+Stocks!AJ996+Stocks!R1007+Stocks!AJ999+Stocks!AA1019+Stocks!AJ1032</f>
        <v>1495221386090.8896</v>
      </c>
      <c r="D100" s="40">
        <f t="shared" ca="1" si="0"/>
        <v>-8.0223031110430689</v>
      </c>
      <c r="E100" s="39">
        <f ca="1">COUNTIF(Stocks!$P$748:'Stocks'!$P$783,"&gt;"&amp;0)+COUNTIF(Stocks!$AH$996,"&gt;"&amp;0)+COUNTIF(Stocks!$P$1007,"&gt;"&amp;0)+COUNTIF(Stocks!$AH$999,"&gt;"&amp;0)+COUNTIF(Stocks!Y1019,"&gt;"&amp;0)+COUNTIF(Stocks!AH1032,"&gt;"&amp;0)</f>
        <v>6</v>
      </c>
      <c r="F100" s="39">
        <f ca="1">COUNTIF(Stocks!$P$748:'Stocks'!$P$783,"&lt;"&amp;0)+COUNTIF(Stocks!$AH$996,"&lt;"&amp;0)+COUNTIF(Stocks!$P$1007,"&lt;"&amp;0)+COUNTIF(Stocks!$AH$999,"&lt;"&amp;0)+COUNTIF(Stocks!Y1019,"&lt;"&amp;0)+COUNTIF(Stocks!AH1032,"&lt;"&amp;0)</f>
        <v>33</v>
      </c>
      <c r="G100" s="39">
        <f ca="1">COUNTIF(Stocks!$P$748:'Stocks'!$P$783,"="&amp;0)+COUNTIF(Stocks!$AH$996,"="&amp;0)+COUNTIF(Stocks!$P$1007,"="&amp;0)+COUNTIF(Stocks!$AH$999,"="&amp;0)+COUNTIF(Stocks!Y1019,"="&amp;0)+COUNTIF(Stocks!AH1032,"="&amp;0)</f>
        <v>1</v>
      </c>
      <c r="H100" s="8">
        <f t="shared" ca="1" si="1"/>
        <v>15</v>
      </c>
      <c r="I100" s="8">
        <f t="shared" ca="1" si="2"/>
        <v>82.5</v>
      </c>
      <c r="J100" s="8"/>
      <c r="K100" s="8"/>
      <c r="L100" s="8"/>
    </row>
    <row r="101" spans="1:12" x14ac:dyDescent="0.25">
      <c r="A101" s="8" t="s">
        <v>1645</v>
      </c>
      <c r="B101" s="12">
        <f>SUM(Stocks!AI394:'Stocks'!AI432)+Stocks!AI981</f>
        <v>1036845308085.4401</v>
      </c>
      <c r="C101" s="12">
        <f ca="1">SUM(Stocks!AJ394:'Stocks'!AJ432)+Stocks!AJ981</f>
        <v>1092952274940.3401</v>
      </c>
      <c r="D101" s="8">
        <f t="shared" ca="1" si="0"/>
        <v>5.4113151130039734</v>
      </c>
      <c r="E101" s="39">
        <f ca="1">COUNTIF(Stocks!$AH$394:'Stocks'!$AH$432,"&gt;"&amp;0)+COUNTIF(Stocks!$AH$981,"&gt;"&amp;0)</f>
        <v>6</v>
      </c>
      <c r="F101" s="39">
        <f ca="1">COUNTIF(Stocks!$AH$394:'Stocks'!$AH$432,"&lt;"&amp;0)+COUNTIF(Stocks!$AH$981,"&lt;"&amp;0)</f>
        <v>31</v>
      </c>
      <c r="G101" s="39">
        <f ca="1">COUNTIF(Stocks!$AH$394:'Stocks'!$AH$432,"="&amp;0)+COUNTIF(Stocks!$AH$981,"="&amp;0)</f>
        <v>2</v>
      </c>
      <c r="H101" s="8">
        <f t="shared" ca="1" si="1"/>
        <v>15.384615384615385</v>
      </c>
      <c r="I101" s="8">
        <f t="shared" ca="1" si="2"/>
        <v>79.487179487179489</v>
      </c>
      <c r="J101" s="8"/>
      <c r="K101" s="8"/>
      <c r="L101" s="8"/>
    </row>
    <row r="102" spans="1:12" x14ac:dyDescent="0.25">
      <c r="A102" s="40" t="s">
        <v>3611</v>
      </c>
      <c r="B102" s="41">
        <f>SUM(Stocks!Z867:'Stocks'!Z878)</f>
        <v>249796634096.03</v>
      </c>
      <c r="C102" s="41">
        <f ca="1">SUM(Stocks!AA867:'Stocks'!AA878)</f>
        <v>211587369834.55002</v>
      </c>
      <c r="D102" s="40">
        <f t="shared" ca="1" si="0"/>
        <v>-15.296148564912643</v>
      </c>
      <c r="E102" s="39">
        <f ca="1">COUNTIF(Stocks!$Y$867:'Stocks'!$Y$878,"&gt;"&amp;0)</f>
        <v>1</v>
      </c>
      <c r="F102" s="39">
        <f ca="1">COUNTIF(Stocks!$Y$867:'Stocks'!$Y$878,"&lt;"&amp;0)</f>
        <v>10</v>
      </c>
      <c r="G102" s="39">
        <f ca="1">COUNTIF(Stocks!$Y$867:'Stocks'!$Y$878,"="&amp;0)</f>
        <v>1</v>
      </c>
      <c r="H102" s="8">
        <f t="shared" ca="1" si="1"/>
        <v>8.3333333333333321</v>
      </c>
      <c r="I102" s="8">
        <f t="shared" ca="1" si="2"/>
        <v>83.333333333333343</v>
      </c>
      <c r="J102" s="8"/>
      <c r="K102" s="8"/>
      <c r="L102" s="8"/>
    </row>
    <row r="103" spans="1:12" x14ac:dyDescent="0.25">
      <c r="A103" s="8" t="s">
        <v>2671</v>
      </c>
      <c r="B103" s="12">
        <f>SUM(Stocks!AI643:'Stocks'!AI654)</f>
        <v>460549857614.02997</v>
      </c>
      <c r="C103" s="12">
        <f ca="1">SUM(Stocks!AJ643:'Stocks'!AJ654)</f>
        <v>398286838694.84003</v>
      </c>
      <c r="D103" s="8">
        <f t="shared" ca="1" si="0"/>
        <v>-13.519278725164716</v>
      </c>
      <c r="E103" s="39">
        <f ca="1">COUNTIF(Stocks!$AH$643:'Stocks'!$AH$654,"&gt;"&amp;0)</f>
        <v>1</v>
      </c>
      <c r="F103" s="39">
        <f ca="1">COUNTIF(Stocks!$AH$643:'Stocks'!$AH$654,"&lt;"&amp;0)</f>
        <v>11</v>
      </c>
      <c r="G103" s="39">
        <f ca="1">COUNTIF(Stocks!$AH$643:'Stocks'!$AH$654,"="&amp;0)</f>
        <v>0</v>
      </c>
      <c r="H103" s="8">
        <f t="shared" ca="1" si="1"/>
        <v>8.3333333333333321</v>
      </c>
      <c r="I103" s="8">
        <f t="shared" ca="1" si="2"/>
        <v>91.666666666666657</v>
      </c>
      <c r="J103" s="8"/>
      <c r="K103" s="8"/>
      <c r="L103" s="8"/>
    </row>
    <row r="104" spans="1:12" x14ac:dyDescent="0.25">
      <c r="A104" s="47" t="s">
        <v>4145</v>
      </c>
      <c r="B104" s="48">
        <f>SUM(Stocks!Z989:'Stocks'!Z1000)</f>
        <v>16147503139497.232</v>
      </c>
      <c r="C104" s="48">
        <f ca="1">SUM(Stocks!AA989:'Stocks'!AA1000)</f>
        <v>15798331379948.672</v>
      </c>
      <c r="D104" s="47">
        <f t="shared" ca="1" si="0"/>
        <v>-2.162388553401033</v>
      </c>
      <c r="E104" s="49">
        <f ca="1">COUNTIF(Stocks!$Y$989:'Stocks'!$Y$1000,"&gt;"&amp;0)</f>
        <v>4</v>
      </c>
      <c r="F104" s="49">
        <f ca="1">COUNTIF(Stocks!$Y$989:'Stocks'!$Y$1000,"&lt;"&amp;0)</f>
        <v>8</v>
      </c>
      <c r="G104" s="49">
        <f ca="1">COUNTIF(Stocks!$Y$989:'Stocks'!$Y$1000,"="&amp;0)</f>
        <v>0</v>
      </c>
      <c r="H104" s="8">
        <f t="shared" ca="1" si="1"/>
        <v>33.333333333333329</v>
      </c>
      <c r="I104" s="8">
        <f t="shared" ca="1" si="2"/>
        <v>66.666666666666657</v>
      </c>
      <c r="J104" s="8"/>
      <c r="K104" s="8"/>
      <c r="L104" s="8"/>
    </row>
    <row r="105" spans="1:12" x14ac:dyDescent="0.25">
      <c r="A105" s="40" t="s">
        <v>2522</v>
      </c>
      <c r="B105" s="41">
        <f>SUM(Stocks!H608:'Stocks'!H618)+Stocks!AI980</f>
        <v>379906225435.19995</v>
      </c>
      <c r="C105" s="41">
        <f ca="1">SUM(Stocks!I608:'Stocks'!I618)+Stocks!AJ980</f>
        <v>339359248066.71002</v>
      </c>
      <c r="D105" s="40">
        <f t="shared" ca="1" si="0"/>
        <v>-10.672891006732389</v>
      </c>
      <c r="E105" s="39">
        <f ca="1">COUNTIF(Stocks!$G$608:'Stocks'!$G$618,"&gt;"&amp;0)+COUNTIF(Stocks!$AH$980,"&gt;"&amp;0)</f>
        <v>2</v>
      </c>
      <c r="F105" s="39">
        <f ca="1">COUNTIF(Stocks!$G$608:'Stocks'!$G$618,"&lt;"&amp;0)+COUNTIF(Stocks!$AH$980,"&lt;"&amp;0)</f>
        <v>10</v>
      </c>
      <c r="G105" s="39">
        <f ca="1">COUNTIF(Stocks!$G$608:'Stocks'!$G$618,"="&amp;0)+COUNTIF(Stocks!$AH$980,"="&amp;0)</f>
        <v>0</v>
      </c>
      <c r="H105" s="8">
        <f t="shared" ca="1" si="1"/>
        <v>16.666666666666664</v>
      </c>
      <c r="I105" s="8">
        <f t="shared" ca="1" si="2"/>
        <v>83.333333333333343</v>
      </c>
      <c r="J105" s="8"/>
      <c r="K105" s="8"/>
      <c r="L105" s="8"/>
    </row>
    <row r="106" spans="1:12" x14ac:dyDescent="0.25">
      <c r="A106" s="40" t="s">
        <v>1001</v>
      </c>
      <c r="B106" s="41">
        <f>SUM(Stocks!H239:'Stocks'!H249)+Stocks!Q1022+Stocks!AI1024</f>
        <v>1365928601807.9199</v>
      </c>
      <c r="C106" s="41">
        <f ca="1">SUM(Stocks!I239:'Stocks'!I249)+Stocks!R1022+Stocks!AJ1024</f>
        <v>1442458962939.3601</v>
      </c>
      <c r="D106" s="40">
        <f t="shared" ca="1" si="0"/>
        <v>5.602808304192906</v>
      </c>
      <c r="E106" s="39">
        <f ca="1">COUNTIF(Stocks!$G$239:'Stocks'!$G$249,"&gt;"&amp;0)+COUNTIF(Stocks!P1022,"&gt;"&amp;0)+COUNTIF(Stocks!AH1024,"&gt;"&amp;0)</f>
        <v>5</v>
      </c>
      <c r="F106" s="39">
        <f ca="1">COUNTIF(Stocks!$G$239:'Stocks'!$G$249,"&lt;"&amp;0)+COUNTIF(Stocks!P1022,"&lt;"&amp;0)+COUNTIF(Stocks!AH1024,"&lt;"&amp;0)</f>
        <v>7</v>
      </c>
      <c r="G106" s="39">
        <f ca="1">COUNTIF(Stocks!$G$239:'Stocks'!$G$249,"="&amp;0)+COUNTIF(Stocks!P1022,"="&amp;0)+COUNTIF(Stocks!AH1024,"="&amp;0)</f>
        <v>0</v>
      </c>
      <c r="H106" s="8">
        <f t="shared" ca="1" si="1"/>
        <v>41.666666666666671</v>
      </c>
      <c r="I106" s="8">
        <f t="shared" ca="1" si="2"/>
        <v>58.333333333333336</v>
      </c>
      <c r="J106" s="8"/>
      <c r="K106" s="8"/>
      <c r="L106" s="8"/>
    </row>
    <row r="107" spans="1:12" x14ac:dyDescent="0.25">
      <c r="A107" s="8" t="s">
        <v>206</v>
      </c>
      <c r="B107" s="12">
        <f>SUM(Stocks!Q47:'Stocks'!Q79)+Stocks!H1015+Stocks!AI1027</f>
        <v>1191485334249.3398</v>
      </c>
      <c r="C107" s="12">
        <f ca="1">SUM(Stocks!R47:'Stocks'!R79)+Stocks!I1015+Stocks!AJ1027</f>
        <v>1151065070902.6902</v>
      </c>
      <c r="D107" s="8">
        <f t="shared" ca="1" si="0"/>
        <v>-3.3924264264750899</v>
      </c>
      <c r="E107" s="39">
        <f ca="1">COUNTIF(Stocks!$P$47:'Stocks'!$P$79,"&gt;"&amp;0)+COUNTIF(Stocks!$G$1015,"&gt;"&amp;0)+COUNTIF(Stocks!AH1027,"&gt;"&amp;0)</f>
        <v>6</v>
      </c>
      <c r="F107" s="39">
        <f ca="1">COUNTIF(Stocks!$P$47:'Stocks'!$P$79,"&lt;"&amp;0)+COUNTIF(Stocks!$G$1015,"&lt;"&amp;0)+COUNTIF(Stocks!AH1027,"&lt;"&amp;0)</f>
        <v>29</v>
      </c>
      <c r="G107" s="39">
        <f ca="1">COUNTIF(Stocks!$P$47:'Stocks'!$P$79,"="&amp;0)+COUNTIF(Stocks!$G$1015,"="&amp;0)+COUNTIF(Stocks!AH1027,"="&amp;0)</f>
        <v>0</v>
      </c>
      <c r="H107" s="8">
        <f t="shared" ca="1" si="1"/>
        <v>17.142857142857142</v>
      </c>
      <c r="I107" s="8">
        <f t="shared" ca="1" si="2"/>
        <v>82.857142857142861</v>
      </c>
      <c r="J107" s="8"/>
      <c r="K107" s="8"/>
      <c r="L107" s="8"/>
    </row>
    <row r="108" spans="1:12" x14ac:dyDescent="0.25">
      <c r="A108" s="8" t="s">
        <v>2905</v>
      </c>
      <c r="B108" s="12">
        <f>SUM(Stocks!AI698:'Stocks'!AI708)</f>
        <v>77385123128.270004</v>
      </c>
      <c r="C108" s="12">
        <f ca="1">SUM(Stocks!AJ698:'Stocks'!AJ708)</f>
        <v>70329573279.630005</v>
      </c>
      <c r="D108" s="8">
        <f t="shared" ca="1" si="0"/>
        <v>-9.1174499224418692</v>
      </c>
      <c r="E108" s="39">
        <f ca="1">COUNTIF(Stocks!$AH$698:'Stocks'!$AH$708,"&gt;"&amp;0)</f>
        <v>3</v>
      </c>
      <c r="F108" s="39">
        <f ca="1">COUNTIF(Stocks!$AH$698:'Stocks'!$AH$708,"&lt;"&amp;0)</f>
        <v>7</v>
      </c>
      <c r="G108" s="39">
        <f ca="1">COUNTIF(Stocks!$AH$698:'Stocks'!$AH$708,"="&amp;0)</f>
        <v>1</v>
      </c>
      <c r="H108" s="8">
        <f t="shared" ca="1" si="1"/>
        <v>27.27272727272727</v>
      </c>
      <c r="I108" s="8">
        <f t="shared" ca="1" si="2"/>
        <v>63.636363636363633</v>
      </c>
      <c r="J108" s="8"/>
      <c r="K108" s="8"/>
      <c r="L108" s="8"/>
    </row>
    <row r="109" spans="1:12" x14ac:dyDescent="0.25">
      <c r="A109" s="40" t="s">
        <v>1633</v>
      </c>
      <c r="B109" s="41">
        <f>SUM(Stocks!H392:'Stocks'!H464)+Stocks!Z1025</f>
        <v>1194605541628.0095</v>
      </c>
      <c r="C109" s="41">
        <f ca="1">SUM(Stocks!I392:'Stocks'!I464)+Stocks!AA1025</f>
        <v>1162875498395.1597</v>
      </c>
      <c r="D109" s="40">
        <f t="shared" ca="1" si="0"/>
        <v>-2.6561105006769115</v>
      </c>
      <c r="E109" s="39">
        <f ca="1">COUNTIF(Stocks!$G$392:'Stocks'!$G$464,"&gt;"&amp;0)+COUNTIF(Stocks!Y1025,"&gt;"&amp;0)</f>
        <v>8</v>
      </c>
      <c r="F109" s="39">
        <f ca="1">COUNTIF(Stocks!$G$392:'Stocks'!$G$464,"&lt;"&amp;0)+COUNTIF(Stocks!Y1025,"&lt;"&amp;0)</f>
        <v>62</v>
      </c>
      <c r="G109" s="39">
        <f ca="1">COUNTIF(Stocks!$G$392:'Stocks'!$G$464,"="&amp;0)+COUNTIF(Stocks!Y1025,"="&amp;0)</f>
        <v>2</v>
      </c>
      <c r="H109" s="8">
        <f t="shared" ca="1" si="1"/>
        <v>11.111111111111111</v>
      </c>
      <c r="I109" s="8">
        <f t="shared" ca="1" si="2"/>
        <v>86.111111111111114</v>
      </c>
      <c r="J109" s="8"/>
      <c r="K109" s="8"/>
      <c r="L109" s="8"/>
    </row>
    <row r="110" spans="1:12" x14ac:dyDescent="0.25">
      <c r="A110" s="8" t="s">
        <v>2297</v>
      </c>
      <c r="B110" s="12">
        <f>SUM(Stocks!Q553:'Stocks'!Q662)+Stocks!AI984+Stocks!Z1007+Stocks!Q1015+Stocks!AI1019+Stocks!Z1012+Stocks!Z1021+Stocks!Z1036</f>
        <v>1844162601123.6799</v>
      </c>
      <c r="C110" s="12">
        <f ca="1">SUM(Stocks!R553:'Stocks'!R662)+Stocks!AJ984+Stocks!AA1007+Stocks!R1015+Stocks!AJ1019+Stocks!AA1012+Stocks!AA1021+Stocks!AA1036</f>
        <v>1695428834113.3904</v>
      </c>
      <c r="D110" s="8">
        <f t="shared" ca="1" si="0"/>
        <v>-8.0651113366936027</v>
      </c>
      <c r="E110" s="39">
        <f ca="1">COUNTIF(Stocks!$P$553:'Stocks'!$P$662,"&gt;"&amp;0)+COUNTIF(Stocks!$AH$984,"&gt;"&amp;0)+COUNTIF(Stocks!$Y$1007,"&gt;"&amp;0)+COUNTIF(Stocks!$P$1015,"&gt;"&amp;0)+COUNTIF(Stocks!AH1019,"&gt;"&amp;0)+COUNTIF(Stocks!Y1012,"&gt;"&amp;0)+COUNTIF(Stocks!Y1021,"&gt;"&amp;0)+COUNTIF(Stocks!Y1036,"&gt;"&amp;0)</f>
        <v>11</v>
      </c>
      <c r="F110" s="39">
        <f ca="1">COUNTIF(Stocks!$P$553:'Stocks'!$P$662,"&lt;"&amp;0)+COUNTIF(Stocks!$AH$984,"&lt;"&amp;0)+COUNTIF(Stocks!$Y$1007,"&lt;"&amp;0)+COUNTIF(Stocks!$P$1015,"&lt;"&amp;0)+COUNTIF(Stocks!AH1019,"&lt;"&amp;0)+COUNTIF(Stocks!Y1012,"&lt;"&amp;0)+COUNTIF(Stocks!Y1021,"&lt;"&amp;0)+COUNTIF(Stocks!Y1036,"&lt;"&amp;0)</f>
        <v>91</v>
      </c>
      <c r="G110" s="39">
        <f ca="1">COUNTIF(Stocks!$P$553:'Stocks'!$P$662,"="&amp;0)+COUNTIF(Stocks!$AH$984,"="&amp;0)+COUNTIF(Stocks!$Y$1007,"="&amp;0)+COUNTIF(Stocks!$P$1015,"="&amp;0)+COUNTIF(Stocks!AH1019,"="&amp;0)+COUNTIF(Stocks!Y1012,"="&amp;0)+COUNTIF(Stocks!Y1021,"="&amp;0)+COUNTIF(Stocks!Y1036,"="&amp;0)</f>
        <v>11</v>
      </c>
      <c r="H110" s="8">
        <f t="shared" ca="1" si="1"/>
        <v>9.7345132743362832</v>
      </c>
      <c r="I110" s="8">
        <f t="shared" ca="1" si="2"/>
        <v>80.530973451327441</v>
      </c>
      <c r="J110" s="69" t="s">
        <v>4366</v>
      </c>
      <c r="K110" s="67"/>
      <c r="L110" s="8"/>
    </row>
    <row r="111" spans="1:12" x14ac:dyDescent="0.25">
      <c r="A111" s="40" t="s">
        <v>1807</v>
      </c>
      <c r="B111" s="41">
        <f>SUM(Stocks!AI433:'Stocks'!AI447)+Stocks!AI987+Stocks!AI990+Stocks!AI1006+Stocks!Z1023+Stocks!AI1033</f>
        <v>2184974299133.6099</v>
      </c>
      <c r="C111" s="41">
        <f ca="1">SUM(Stocks!AJ433:'Stocks'!AJ447)+Stocks!AJ987+Stocks!AJ990+Stocks!AJ1006+Stocks!AA1023+Stocks!AJ1033</f>
        <v>2141070000211.1902</v>
      </c>
      <c r="D111" s="40">
        <f t="shared" ca="1" si="0"/>
        <v>-2.0093737001770999</v>
      </c>
      <c r="E111" s="39">
        <f ca="1">COUNTIF(Stocks!$AH$433:'Stocks'!$AH$447,"&gt;"&amp;0)+COUNTIF(Stocks!$AH$987,"&gt;"&amp;0)+COUNTIF(Stocks!$AH$990,"&gt;"&amp;0)+COUNTIF(Stocks!$AH$1006,"&gt;"&amp;0)+COUNTIF(Stocks!Y1023,"&gt;"&amp;0)+COUNTIF(Stocks!AH1033,"&gt;"&amp;0)</f>
        <v>4</v>
      </c>
      <c r="F111" s="39">
        <f ca="1">COUNTIF(Stocks!$AH$433:'Stocks'!$AH$447,"&lt;"&amp;0)+COUNTIF(Stocks!$AH$987,"&lt;"&amp;0)+COUNTIF(Stocks!$AH$990,"&lt;"&amp;0)+COUNTIF(Stocks!$AH$1006,"&lt;"&amp;0)+COUNTIF(Stocks!Y1023,"&lt;"&amp;0)+COUNTIF(Stocks!AH1033,"&lt;"&amp;0)</f>
        <v>15</v>
      </c>
      <c r="G111" s="39">
        <f ca="1">COUNTIF(Stocks!$AH$433:'Stocks'!$AH$447,"="&amp;0)+COUNTIF(Stocks!$AH$987,"="&amp;0)+COUNTIF(Stocks!$AH$990,"="&amp;0)+COUNTIF(Stocks!$AH$1006,"="&amp;0)+COUNTIF(Stocks!Y1023,"="&amp;0)+COUNTIF(Stocks!AH1033,"="&amp;0)</f>
        <v>1</v>
      </c>
      <c r="H111" s="8">
        <f t="shared" ca="1" si="1"/>
        <v>20</v>
      </c>
      <c r="I111" s="8">
        <f t="shared" ca="1" si="2"/>
        <v>75</v>
      </c>
      <c r="J111" s="8"/>
      <c r="K111" s="8"/>
      <c r="L111" s="8"/>
    </row>
    <row r="112" spans="1:12" x14ac:dyDescent="0.25">
      <c r="A112" s="47" t="s">
        <v>680</v>
      </c>
      <c r="B112" s="48">
        <f>SUM(Stocks!AI162:'Stocks'!AI180)+Stocks!AI982</f>
        <v>26990549027455.367</v>
      </c>
      <c r="C112" s="48">
        <f ca="1">SUM(Stocks!AJ162:'Stocks'!AJ180)+Stocks!AJ982</f>
        <v>26882441356637.168</v>
      </c>
      <c r="D112" s="47">
        <f t="shared" ca="1" si="0"/>
        <v>-0.40053898387998621</v>
      </c>
      <c r="E112" s="49">
        <f ca="1">COUNTIF(Stocks!$AH$162:'Stocks'!$AH$180,"&gt;"&amp;0)+COUNTIF(Stocks!$AH$982,"&gt;"&amp;0)</f>
        <v>5</v>
      </c>
      <c r="F112" s="49">
        <f ca="1">COUNTIF(Stocks!$AH$162:'Stocks'!$AH$180,"&lt;"&amp;0)+COUNTIF(Stocks!$AH$982,"&lt;"&amp;0)</f>
        <v>15</v>
      </c>
      <c r="G112" s="49">
        <f ca="1">COUNTIF(Stocks!$AH$162:'Stocks'!$AH$180,"="&amp;0)+COUNTIF(Stocks!$AH$982,"="&amp;0)</f>
        <v>0</v>
      </c>
      <c r="H112" s="8">
        <f t="shared" ca="1" si="1"/>
        <v>25</v>
      </c>
      <c r="I112" s="8">
        <f t="shared" ca="1" si="2"/>
        <v>75</v>
      </c>
      <c r="J112" s="8"/>
      <c r="K112" s="8"/>
      <c r="L112" s="8"/>
    </row>
    <row r="113" spans="1:12" x14ac:dyDescent="0.25">
      <c r="A113" s="8" t="s">
        <v>1999</v>
      </c>
      <c r="B113" s="12">
        <f>SUM(Stocks!Q480:'Stocks'!Q536)</f>
        <v>1488020483588.0002</v>
      </c>
      <c r="C113" s="12">
        <f ca="1">SUM(Stocks!R480:'Stocks'!R536)</f>
        <v>1349185283468.47</v>
      </c>
      <c r="D113" s="8">
        <f t="shared" ca="1" si="0"/>
        <v>-9.3301941506048944</v>
      </c>
      <c r="E113" s="39">
        <f ca="1">COUNTIF(Stocks!$P$480:'Stocks'!$P$536,"&gt;"&amp;0)</f>
        <v>9</v>
      </c>
      <c r="F113" s="39">
        <f ca="1">COUNTIF(Stocks!$P$480:'Stocks'!$P$536,"&lt;"&amp;0)</f>
        <v>42</v>
      </c>
      <c r="G113" s="39">
        <f ca="1">COUNTIF(Stocks!$P$480:'Stocks'!$P$536,"="&amp;0)</f>
        <v>6</v>
      </c>
      <c r="H113" s="8">
        <f t="shared" ca="1" si="1"/>
        <v>15.789473684210526</v>
      </c>
      <c r="I113" s="8">
        <f t="shared" ca="1" si="2"/>
        <v>73.68421052631578</v>
      </c>
      <c r="J113" s="8"/>
      <c r="K113" s="8"/>
      <c r="L113" s="8"/>
    </row>
    <row r="114" spans="1:12" x14ac:dyDescent="0.25">
      <c r="A114" s="8" t="s">
        <v>858</v>
      </c>
      <c r="B114" s="12">
        <f>SUM(Stocks!AI204:'Stocks'!AI359)+Stocks!AI988+Stocks!Z1002+Stocks!H1006+Stocks!AI1023+Stocks!H1033</f>
        <v>7377924859057.7627</v>
      </c>
      <c r="C114" s="8" t="e">
        <f ca="1">SUM(Stocks!AJ204:'Stocks'!AJ359)+Stocks!AJ988+Stocks!AA1002+Stocks!I1006+Stocks!AJ1023+Stocks!I1033</f>
        <v>#VALUE!</v>
      </c>
      <c r="D114" s="8" t="e">
        <f t="shared" ca="1" si="0"/>
        <v>#VALUE!</v>
      </c>
      <c r="E114" s="39">
        <f ca="1">COUNTIF(Stocks!$AH$204:'Stocks'!$AH$359,"&gt;"&amp;0)+COUNTIF(Stocks!$AH$988,"&gt;"&amp;0)+COUNTIF(Stocks!$Y$1002,"&gt;"&amp;0)+COUNTIF(Stocks!$G$1006,"&gt;"&amp;0)+COUNTIF(Stocks!AH1023,"&gt;"&amp;0)+COUNTIF(Stocks!G1033,"&gt;"&amp;0)</f>
        <v>31</v>
      </c>
      <c r="F114" s="39">
        <f ca="1">COUNTIF(Stocks!$AH$204:'Stocks'!$AH$359,"&lt;"&amp;0)+COUNTIF(Stocks!$AH$988,"&lt;"&amp;0)+COUNTIF(Stocks!$Y$1002,"&lt;"&amp;0)+COUNTIF(Stocks!$G$1006,"&lt;"&amp;0)+COUNTIF(Stocks!AH1023,"&lt;"&amp;0)+COUNTIF(Stocks!G1033,"&lt;"&amp;0)</f>
        <v>114</v>
      </c>
      <c r="G114" s="39">
        <f ca="1">COUNTIF(Stocks!$AH$204:'Stocks'!$AH$359,"="&amp;0)+COUNTIF(Stocks!$AH$988,"="&amp;0)+COUNTIF(Stocks!$Y$1002,"="&amp;0)+COUNTIF(Stocks!$G$1006,"="&amp;0)+COUNTIF(Stocks!AH1023,"="&amp;0)+COUNTIF(Stocks!G1033,"="&amp;0)</f>
        <v>10</v>
      </c>
      <c r="H114" s="8">
        <f t="shared" ca="1" si="1"/>
        <v>20</v>
      </c>
      <c r="I114" s="8">
        <f t="shared" ca="1" si="2"/>
        <v>73.548387096774192</v>
      </c>
      <c r="J114" s="8"/>
      <c r="K114" s="8"/>
      <c r="L114" s="8"/>
    </row>
    <row r="115" spans="1:12" x14ac:dyDescent="0.25">
      <c r="A115" s="40" t="s">
        <v>1760</v>
      </c>
      <c r="B115" s="41">
        <f>SUM(Stocks!Z422:'Stocks'!Z429)+Stocks!AI993</f>
        <v>322196961922.76001</v>
      </c>
      <c r="C115" s="41">
        <f ca="1">SUM(Stocks!AA422:'Stocks'!AA429)+Stocks!AJ993</f>
        <v>281392032891.29999</v>
      </c>
      <c r="D115" s="40">
        <f t="shared" ca="1" si="0"/>
        <v>-12.664591493336971</v>
      </c>
      <c r="E115" s="39">
        <f ca="1">COUNTIF(Stocks!$Y$422:'Stocks'!$Y$429,"&gt;"&amp;0)+COUNTIF(Stocks!$AH$993,"&gt;"&amp;0)</f>
        <v>3</v>
      </c>
      <c r="F115" s="39">
        <f ca="1">COUNTIF(Stocks!$Y$422:'Stocks'!$Y$429,"&lt;"&amp;0)+COUNTIF(Stocks!$AH$993,"&lt;"&amp;0)</f>
        <v>6</v>
      </c>
      <c r="G115" s="39">
        <f ca="1">COUNTIF(Stocks!$Y$422:'Stocks'!$Y$429,"="&amp;0)+COUNTIF(Stocks!$AH$993,"="&amp;0)</f>
        <v>0</v>
      </c>
      <c r="H115" s="8">
        <f t="shared" ca="1" si="1"/>
        <v>33.333333333333329</v>
      </c>
      <c r="I115" s="8">
        <f t="shared" ca="1" si="2"/>
        <v>66.666666666666657</v>
      </c>
      <c r="J115" s="8"/>
      <c r="K115" s="8"/>
      <c r="L115" s="8"/>
    </row>
    <row r="116" spans="1:12" x14ac:dyDescent="0.25">
      <c r="A116" s="8" t="s">
        <v>1793</v>
      </c>
      <c r="B116" s="12">
        <f>SUM(Stocks!Z430:'Stocks'!Z661)+Stocks!Z1034</f>
        <v>1503995647742.3606</v>
      </c>
      <c r="C116" s="12">
        <f ca="1">SUM(Stocks!AA430:'Stocks'!AA661)+Stocks!AA1034</f>
        <v>1341236671608.4502</v>
      </c>
      <c r="D116" s="8">
        <f t="shared" ca="1" si="0"/>
        <v>-10.821771750352269</v>
      </c>
      <c r="E116" s="39">
        <f ca="1">COUNTIF(Stocks!$Y$430:'Stocks'!$Y$661,"&gt;"&amp;0)+COUNTIF(Stocks!Y1034,"&gt;"&amp;0)</f>
        <v>29</v>
      </c>
      <c r="F116" s="39">
        <f ca="1">COUNTIF(Stocks!$Y$430:'Stocks'!$Y$661,"&lt;"&amp;0)+COUNTIF(Stocks!Y1034,"&lt;"&amp;0)</f>
        <v>184</v>
      </c>
      <c r="G116" s="39">
        <f ca="1">COUNTIF(Stocks!$Y$430:'Stocks'!$Y$661,"="&amp;0)+COUNTIF(Stocks!Y1034,"="&amp;0)</f>
        <v>12</v>
      </c>
      <c r="H116" s="8">
        <f t="shared" ca="1" si="1"/>
        <v>12.888888888888889</v>
      </c>
      <c r="I116" s="8">
        <f t="shared" ca="1" si="2"/>
        <v>81.777777777777786</v>
      </c>
      <c r="J116" s="8"/>
      <c r="K116" s="8"/>
      <c r="L116" s="8"/>
    </row>
    <row r="117" spans="1:12" x14ac:dyDescent="0.25">
      <c r="A117" s="8" t="s">
        <v>2834</v>
      </c>
      <c r="B117" s="12">
        <f>SUM(Stocks!AI681:'Stocks'!AI688)+Stocks!Q1009</f>
        <v>26074870130.700001</v>
      </c>
      <c r="C117" s="12">
        <f ca="1">SUM(Stocks!AJ681:'Stocks'!AJ688)+Stocks!R1009</f>
        <v>23553164050.5</v>
      </c>
      <c r="D117" s="8">
        <f t="shared" ca="1" si="0"/>
        <v>-9.6710206707069943</v>
      </c>
      <c r="E117" s="39">
        <f ca="1">COUNTIF(Stocks!$AH$681:'Stocks'!$AH$688,"&gt;"&amp;0)+COUNTIF(Stocks!P1009,"&gt;"&amp;0)</f>
        <v>1</v>
      </c>
      <c r="F117" s="39">
        <f ca="1">COUNTIF(Stocks!$AH$681:'Stocks'!$AH$688,"&lt;"&amp;0)+COUNTIF(Stocks!P1009,"&lt;"&amp;0)</f>
        <v>8</v>
      </c>
      <c r="G117" s="39">
        <f ca="1">COUNTIF(Stocks!$AH$681:'Stocks'!$AH$688,"="&amp;0)+COUNTIF(Stocks!P1009,"="&amp;0)</f>
        <v>0</v>
      </c>
      <c r="H117" s="8">
        <f t="shared" ca="1" si="1"/>
        <v>11.111111111111111</v>
      </c>
      <c r="I117" s="8">
        <f t="shared" ca="1" si="2"/>
        <v>88.888888888888886</v>
      </c>
      <c r="J117" s="8"/>
      <c r="K117" s="8"/>
      <c r="L117" s="8"/>
    </row>
    <row r="118" spans="1:12" x14ac:dyDescent="0.25">
      <c r="A118" s="40" t="s">
        <v>1501</v>
      </c>
      <c r="B118" s="41">
        <f>SUM(Stocks!AI360:'Stocks'!AI368)</f>
        <v>685860638192.40002</v>
      </c>
      <c r="C118" s="41">
        <f ca="1">SUM(Stocks!AJ360:'Stocks'!AJ368)</f>
        <v>666169832383.3999</v>
      </c>
      <c r="D118" s="40">
        <f t="shared" ca="1" si="0"/>
        <v>-2.8709630954906014</v>
      </c>
      <c r="E118" s="39">
        <f ca="1">COUNTIF(Stocks!$AH$360:'Stocks'!$AH$368,"&gt;"&amp;0)</f>
        <v>2</v>
      </c>
      <c r="F118" s="39">
        <f ca="1">COUNTIF(Stocks!$AH$360:'Stocks'!$AH$368,"&lt;"&amp;0)</f>
        <v>7</v>
      </c>
      <c r="G118" s="39">
        <f ca="1">COUNTIF(Stocks!$AH$360:'Stocks'!$AH$368,"="&amp;0)</f>
        <v>0</v>
      </c>
      <c r="H118" s="8">
        <f t="shared" ca="1" si="1"/>
        <v>22.222222222222221</v>
      </c>
      <c r="I118" s="8">
        <f t="shared" ca="1" si="2"/>
        <v>77.777777777777786</v>
      </c>
      <c r="J118" s="8"/>
      <c r="K118" s="8"/>
      <c r="L118" s="8"/>
    </row>
    <row r="119" spans="1:12" x14ac:dyDescent="0.25">
      <c r="A119" s="40" t="s">
        <v>1453</v>
      </c>
      <c r="B119" s="41">
        <f>SUM(Stocks!Q349:'Stocks'!Q354)+Stocks!AI978+Stocks!AI989+Stocks!AI995</f>
        <v>458333435803.90997</v>
      </c>
      <c r="C119" s="41">
        <f ca="1">SUM(Stocks!R349:'Stocks'!R354)+Stocks!AJ978+Stocks!AJ989+Stocks!AJ995</f>
        <v>452776412389.41998</v>
      </c>
      <c r="D119" s="40">
        <f t="shared" ca="1" si="0"/>
        <v>-1.2124412011842545</v>
      </c>
      <c r="E119" s="39">
        <f ca="1">COUNTIF(Stocks!$P$349:'Stocks'!$P$354,"&gt;"&amp;0)+COUNTIF(Stocks!$AH$978,"&gt;"&amp;0)+COUNTIF(Stocks!$AH$989,"&gt;"&amp;0)+COUNTIF(Stocks!$AH$995,"&gt;"&amp;0)</f>
        <v>1</v>
      </c>
      <c r="F119" s="39">
        <f ca="1">COUNTIF(Stocks!$P$349:'Stocks'!$P$354,"&lt;"&amp;0)+COUNTIF(Stocks!$AH$978,"&lt;"&amp;0)+COUNTIF(Stocks!$AH$989,"&lt;"&amp;0)+COUNTIF(Stocks!$AH$995,"&lt;"&amp;0)</f>
        <v>8</v>
      </c>
      <c r="G119" s="39">
        <f ca="1">COUNTIF(Stocks!$P$349:'Stocks'!$P$354,"="&amp;0)+COUNTIF(Stocks!$AH$978,"="&amp;0)+COUNTIF(Stocks!$AH$989,"="&amp;0)+COUNTIF(Stocks!$AH$995,"="&amp;0)</f>
        <v>0</v>
      </c>
      <c r="H119" s="8">
        <f t="shared" ca="1" si="1"/>
        <v>11.111111111111111</v>
      </c>
      <c r="I119" s="8">
        <f t="shared" ca="1" si="2"/>
        <v>88.888888888888886</v>
      </c>
      <c r="J119" s="8"/>
      <c r="K119" s="8"/>
      <c r="L119" s="8"/>
    </row>
    <row r="120" spans="1:12" x14ac:dyDescent="0.25">
      <c r="A120" s="40" t="s">
        <v>2929</v>
      </c>
      <c r="B120" s="41">
        <f>SUM(Stocks!Z704:'Stocks'!Z764)+Stocks!AI1005+Stocks!Z1018</f>
        <v>380144859939.22986</v>
      </c>
      <c r="C120" s="41">
        <f ca="1">SUM(Stocks!AA704:'Stocks'!AA764)+Stocks!AJ1005+Stocks!AA1018</f>
        <v>339836868852.08002</v>
      </c>
      <c r="D120" s="40">
        <f t="shared" ca="1" si="0"/>
        <v>-10.603323978546888</v>
      </c>
      <c r="E120" s="39">
        <f ca="1">COUNTIF(Stocks!$Y$704:'Stocks'!$Y$764,"&gt;"&amp;0)+COUNTIF(Stocks!$AH$1007,"&gt;"&amp;0)+COUNTIF(Stocks!Y1018,"&gt;"&amp;0)</f>
        <v>7</v>
      </c>
      <c r="F120" s="39">
        <f ca="1">COUNTIF(Stocks!$Y$704:'Stocks'!$Y$764,"&lt;"&amp;0)+COUNTIF(Stocks!$AH$1007,"&lt;"&amp;0)+COUNTIF(Stocks!Y1018,"&lt;"&amp;0)</f>
        <v>53</v>
      </c>
      <c r="G120" s="39">
        <f ca="1">COUNTIF(Stocks!$Y$704:'Stocks'!$Y$764,"="&amp;0)+COUNTIF(Stocks!$AH$1007,"="&amp;0)+COUNTIF(Stocks!Y1018,"="&amp;0)</f>
        <v>1</v>
      </c>
      <c r="H120" s="8">
        <f t="shared" ca="1" si="1"/>
        <v>11.475409836065573</v>
      </c>
      <c r="I120" s="8">
        <f t="shared" ca="1" si="2"/>
        <v>86.885245901639337</v>
      </c>
      <c r="J120" s="8"/>
      <c r="K120" s="8"/>
      <c r="L120" s="8"/>
    </row>
    <row r="121" spans="1:12" x14ac:dyDescent="0.25">
      <c r="A121" s="8" t="s">
        <v>2753</v>
      </c>
      <c r="B121" s="12">
        <f>SUM(Stocks!Q663:'Stocks'!Q720)+Stocks!H1013+Stocks!H1017+Stocks!Z1022+Stocks!AI1028+Stocks!Z1032</f>
        <v>1835643989211.9702</v>
      </c>
      <c r="C121" s="8" t="e">
        <f ca="1">SUM(Stocks!R663:'Stocks'!R720)+Stocks!I1013+Stocks!I1017+Stocks!AA1022+Stocks!AJ1028+Stocks!AA1032</f>
        <v>#VALUE!</v>
      </c>
      <c r="D121" s="8" t="e">
        <f t="shared" ca="1" si="0"/>
        <v>#VALUE!</v>
      </c>
      <c r="E121" s="39">
        <f ca="1">COUNTIF(Stocks!$P$663:'Stocks'!$P$720,"&gt;"&amp;0)+COUNTIF(Stocks!$G$1013,"&gt;"&amp;0)+COUNTIF(Stocks!$G$1017,"&gt;"&amp;0)+COUNTIF(Stocks!Y1022,"&gt;"&amp;0)+COUNTIF(Stocks!AH1028,"&gt;"&amp;0)+COUNTIF(Stocks!Y1032,"&gt;"&amp;0)</f>
        <v>10</v>
      </c>
      <c r="F121" s="39">
        <f ca="1">COUNTIF(Stocks!$P$663:'Stocks'!$P$720,"&lt;"&amp;0)+COUNTIF(Stocks!$G$1013,"&lt;"&amp;0)+COUNTIF(Stocks!$G$1017,"&lt;"&amp;0)+COUNTIF(Stocks!Y1022,"&lt;"&amp;0)+COUNTIF(Stocks!AH1028,"&lt;"&amp;0)+COUNTIF(Stocks!Y1032,"&lt;"&amp;0)</f>
        <v>50</v>
      </c>
      <c r="G121" s="39">
        <f ca="1">COUNTIF(Stocks!$P$663:'Stocks'!$P$720,"="&amp;0)+COUNTIF(Stocks!$G$1013,"="&amp;0)+COUNTIF(Stocks!$G$1017,"="&amp;0)+COUNTIF(Stocks!Y1022,"="&amp;0)+COUNTIF(Stocks!AH1028,"="&amp;0)+COUNTIF(Stocks!Y1032,"="&amp;0)</f>
        <v>1</v>
      </c>
      <c r="H121" s="8">
        <f t="shared" ca="1" si="1"/>
        <v>16.393442622950818</v>
      </c>
      <c r="I121" s="8">
        <f t="shared" ca="1" si="2"/>
        <v>81.967213114754102</v>
      </c>
      <c r="J121" s="8"/>
      <c r="K121" s="8"/>
      <c r="L121" s="8"/>
    </row>
    <row r="122" spans="1:12" x14ac:dyDescent="0.25">
      <c r="A122" s="40" t="s">
        <v>3503</v>
      </c>
      <c r="B122" s="41">
        <f>SUM(Stocks!Z841:'Stocks'!Z866)+Stocks!Q1003</f>
        <v>1716045115829.8198</v>
      </c>
      <c r="C122" s="41">
        <f ca="1">SUM(Stocks!AA841:'Stocks'!AA866)+Stocks!R1003</f>
        <v>1659526152139.46</v>
      </c>
      <c r="D122" s="40">
        <f t="shared" ca="1" si="0"/>
        <v>-3.293559310824369</v>
      </c>
      <c r="E122" s="39">
        <f ca="1">COUNTIF(Stocks!$Y$841:'Stocks'!$Y$866,"&gt;"&amp;0)+COUNTIF(Stocks!$P$1003,"&gt;"&amp;0)</f>
        <v>2</v>
      </c>
      <c r="F122" s="39">
        <f ca="1">COUNTIF(Stocks!$Y$841:'Stocks'!$Y$866,"&lt;"&amp;0)+COUNTIF(Stocks!$P$1003,"&lt;"&amp;0)</f>
        <v>24</v>
      </c>
      <c r="G122" s="39">
        <f ca="1">COUNTIF(Stocks!$Y$841:'Stocks'!$Y$866,"="&amp;0)+COUNTIF(Stocks!$P$1003,"="&amp;0)</f>
        <v>0</v>
      </c>
      <c r="H122" s="8">
        <f t="shared" ca="1" si="1"/>
        <v>7.6923076923076925</v>
      </c>
      <c r="I122" s="8">
        <f t="shared" ca="1" si="2"/>
        <v>92.307692307692307</v>
      </c>
      <c r="J122" s="8"/>
      <c r="K122" s="8"/>
      <c r="L122" s="8"/>
    </row>
    <row r="123" spans="1:12" x14ac:dyDescent="0.25">
      <c r="A123" s="40" t="s">
        <v>3976</v>
      </c>
      <c r="B123" s="41">
        <f>SUM(Stocks!AI952:'Stocks'!AI969)</f>
        <v>1633345814382.8</v>
      </c>
      <c r="C123" s="41">
        <f ca="1">SUM(Stocks!AJ952:'Stocks'!AJ969)</f>
        <v>1525629079282.6499</v>
      </c>
      <c r="D123" s="40">
        <f t="shared" ca="1" si="0"/>
        <v>-6.5948517547004313</v>
      </c>
      <c r="E123" s="39">
        <f ca="1">COUNTIF(Stocks!$AH$952:'Stocks'!$AH$969,"&gt;"&amp;0)</f>
        <v>2</v>
      </c>
      <c r="F123" s="39">
        <f ca="1">COUNTIF(Stocks!$AH$952:'Stocks'!$AH$969,"&lt;"&amp;0)</f>
        <v>15</v>
      </c>
      <c r="G123" s="39">
        <f ca="1">COUNTIF(Stocks!$AH$952:'Stocks'!$AH$969,"="&amp;0)</f>
        <v>0</v>
      </c>
      <c r="H123" s="8">
        <f t="shared" ca="1" si="1"/>
        <v>11.76470588235294</v>
      </c>
      <c r="I123" s="8">
        <f t="shared" ca="1" si="2"/>
        <v>88.235294117647058</v>
      </c>
      <c r="J123" s="8"/>
      <c r="K123" s="8"/>
      <c r="L123" s="8"/>
    </row>
    <row r="124" spans="1:12" x14ac:dyDescent="0.25">
      <c r="A124" s="40" t="s">
        <v>1064</v>
      </c>
      <c r="B124" s="41">
        <f>SUM(Stocks!Q254:'Stocks'!Q304)+Stocks!AI1022</f>
        <v>1841605172462.6597</v>
      </c>
      <c r="C124" s="41">
        <f ca="1">SUM(Stocks!R254:'Stocks'!R304)+Stocks!AJ1022</f>
        <v>1867186358639.3801</v>
      </c>
      <c r="D124" s="40">
        <f t="shared" ca="1" si="0"/>
        <v>1.3890700655728716</v>
      </c>
      <c r="E124" s="39">
        <f ca="1">COUNTIF(Stocks!$P$254:'Stocks'!$P$304,"&gt;"&amp;0)+COUNTIF(Stocks!AH1022,"&gt;"&amp;0)</f>
        <v>11</v>
      </c>
      <c r="F124" s="39">
        <f ca="1">COUNTIF(Stocks!$P$254:'Stocks'!$P$304,"&lt;"&amp;0)+COUNTIF(Stocks!AH1022,"&lt;"&amp;0)</f>
        <v>39</v>
      </c>
      <c r="G124" s="39">
        <f ca="1">COUNTIF(Stocks!$P$254:'Stocks'!$P$304,"="&amp;0)+COUNTIF(Stocks!AH1022,"="&amp;0)</f>
        <v>1</v>
      </c>
      <c r="H124" s="8">
        <f t="shared" ca="1" si="1"/>
        <v>21.568627450980394</v>
      </c>
      <c r="I124" s="8">
        <f t="shared" ca="1" si="2"/>
        <v>76.470588235294116</v>
      </c>
      <c r="J124" s="8"/>
      <c r="K124" s="8"/>
      <c r="L124" s="8"/>
    </row>
    <row r="125" spans="1:12" x14ac:dyDescent="0.25">
      <c r="A125" s="8" t="s">
        <v>1046</v>
      </c>
      <c r="B125" s="12">
        <f>SUM(Stocks!H250:'Stocks'!H271)+Stocks!H1031+Stocks!Q1034</f>
        <v>1316400068008.3899</v>
      </c>
      <c r="C125" s="12">
        <f ca="1">SUM(Stocks!I250:'Stocks'!I271)+Stocks!I1031+Stocks!R1034</f>
        <v>1300696227018.9502</v>
      </c>
      <c r="D125" s="8">
        <f t="shared" ca="1" si="0"/>
        <v>-1.1929383301535663</v>
      </c>
      <c r="E125" s="39">
        <f ca="1">COUNTIF(Stocks!$G$250:'Stocks'!$G$271,"&gt;"&amp;0)+COUNTIF(Stocks!G1031,"&gt;"&amp;0)+COUNTIF(Stocks!P1034,"&gt;"&amp;0)</f>
        <v>6</v>
      </c>
      <c r="F125" s="39">
        <f ca="1">COUNTIF(Stocks!$G$250:'Stocks'!$G$271,"&lt;"&amp;0)+COUNTIF(Stocks!G1031,"&lt;"&amp;0)+COUNTIF(Stocks!P1034,"&lt;"&amp;0)</f>
        <v>18</v>
      </c>
      <c r="G125" s="39">
        <f ca="1">COUNTIF(Stocks!$G$250:'Stocks'!$G$271,"="&amp;0)+COUNTIF(Stocks!G1031,"="&amp;0)+COUNTIF(Stocks!P1034,"="&amp;0)</f>
        <v>0</v>
      </c>
      <c r="H125" s="8">
        <f t="shared" ca="1" si="1"/>
        <v>25</v>
      </c>
      <c r="I125" s="8">
        <f t="shared" ca="1" si="2"/>
        <v>75</v>
      </c>
      <c r="J125" s="8"/>
      <c r="K125" s="8"/>
      <c r="L125" s="8"/>
    </row>
    <row r="126" spans="1:12" x14ac:dyDescent="0.25">
      <c r="A126" s="40" t="s">
        <v>1935</v>
      </c>
      <c r="B126" s="41">
        <f>SUM(Stocks!H465:'Stocks'!H472)</f>
        <v>627298405654.75012</v>
      </c>
      <c r="C126" s="41">
        <f ca="1">SUM(Stocks!I465:'Stocks'!I472)</f>
        <v>610551880658.09985</v>
      </c>
      <c r="D126" s="40">
        <f t="shared" ca="1" si="0"/>
        <v>-2.6696265837262709</v>
      </c>
      <c r="E126" s="39">
        <f ca="1">COUNTIF(Stocks!$G$465:'Stocks'!$G$472,"&gt;"&amp;0)</f>
        <v>3</v>
      </c>
      <c r="F126" s="39">
        <f ca="1">COUNTIF(Stocks!$G$465:'Stocks'!$G$472,"&lt;"&amp;0)</f>
        <v>4</v>
      </c>
      <c r="G126" s="39">
        <f ca="1">COUNTIF(Stocks!$G$465:'Stocks'!$G$472,"="&amp;0)</f>
        <v>1</v>
      </c>
      <c r="H126" s="8">
        <f t="shared" ca="1" si="1"/>
        <v>37.5</v>
      </c>
      <c r="I126" s="8">
        <f t="shared" ca="1" si="2"/>
        <v>50</v>
      </c>
      <c r="J126" s="8"/>
      <c r="K126" s="8"/>
      <c r="L126" s="8"/>
    </row>
    <row r="127" spans="1:12" x14ac:dyDescent="0.25">
      <c r="A127" s="40" t="s">
        <v>2787</v>
      </c>
      <c r="B127" s="41">
        <f>SUM(Stocks!AI670:'Stocks'!AI676)+Stocks!H1023</f>
        <v>936844575517.27991</v>
      </c>
      <c r="C127" s="41">
        <f ca="1">SUM(Stocks!AJ670:'Stocks'!AJ676)+Stocks!I1023</f>
        <v>922436670268.42004</v>
      </c>
      <c r="D127" s="40">
        <f t="shared" ca="1" si="0"/>
        <v>-1.53791841521893</v>
      </c>
      <c r="E127" s="39">
        <f ca="1">COUNTIF(Stocks!$AH$670:'Stocks'!$AH$676,"&gt;"&amp;0)+COUNTIF(Stocks!G1023,"&gt;"&amp;0)</f>
        <v>2</v>
      </c>
      <c r="F127" s="39">
        <f ca="1">COUNTIF(Stocks!$AH$670:'Stocks'!$AH$676,"&lt;"&amp;0)+COUNTIF(Stocks!G1023,"&lt;"&amp;0)</f>
        <v>6</v>
      </c>
      <c r="G127" s="39">
        <f ca="1">COUNTIF(Stocks!$AH$670:'Stocks'!$AH$676,"="&amp;0)+COUNTIF(Stocks!G1023,"="&amp;0)</f>
        <v>0</v>
      </c>
      <c r="H127" s="8">
        <f t="shared" ca="1" si="1"/>
        <v>25</v>
      </c>
      <c r="I127" s="8">
        <f t="shared" ca="1" si="2"/>
        <v>75</v>
      </c>
      <c r="J127" s="8"/>
      <c r="K127" s="8"/>
      <c r="L127" s="8"/>
    </row>
    <row r="128" spans="1:12" x14ac:dyDescent="0.25">
      <c r="A128" s="8" t="s">
        <v>1685</v>
      </c>
      <c r="B128" s="12">
        <f>SUM(Stocks!Q404:'Stocks'!Q457)</f>
        <v>382127899904.61993</v>
      </c>
      <c r="C128" s="12">
        <f ca="1">SUM(Stocks!R404:'Stocks'!R457)</f>
        <v>366856319871.72003</v>
      </c>
      <c r="D128" s="8">
        <f t="shared" ca="1" si="0"/>
        <v>-3.996457740120972</v>
      </c>
      <c r="E128" s="39">
        <f ca="1">COUNTIF(Stocks!$P$404:'Stocks'!$P$457,"&gt;"&amp;0)</f>
        <v>14</v>
      </c>
      <c r="F128" s="39">
        <f ca="1">COUNTIF(Stocks!$P$404:'Stocks'!$P$457,"&lt;"&amp;0)</f>
        <v>37</v>
      </c>
      <c r="G128" s="39">
        <f ca="1">COUNTIF(Stocks!$P$404:'Stocks'!$P$457,"="&amp;0)</f>
        <v>3</v>
      </c>
      <c r="H128" s="8">
        <f t="shared" ca="1" si="1"/>
        <v>25.925925925925924</v>
      </c>
      <c r="I128" s="8">
        <f t="shared" ca="1" si="2"/>
        <v>68.518518518518519</v>
      </c>
      <c r="J128" s="8"/>
      <c r="K128" s="8"/>
      <c r="L128" s="8"/>
    </row>
    <row r="129" spans="1:12" x14ac:dyDescent="0.25">
      <c r="A129" s="40" t="s">
        <v>2575</v>
      </c>
      <c r="B129" s="41">
        <f>SUM(Stocks!AI620:'Stocks'!AI642)+Stocks!AI1007</f>
        <v>1221808425802.9399</v>
      </c>
      <c r="C129" s="41">
        <f ca="1">SUM(Stocks!AJ620:'Stocks'!AJ642)+Stocks!AJ1007</f>
        <v>1112619933040.79</v>
      </c>
      <c r="D129" s="40">
        <f t="shared" ca="1" si="0"/>
        <v>-8.9366295448809119</v>
      </c>
      <c r="E129" s="39">
        <f ca="1">COUNTIF(Stocks!$AH$620:'Stocks'!$AH$642,"&gt;"&amp;0)+COUNTIF(Stocks!AH1007,"&gt;"&amp;0)</f>
        <v>1</v>
      </c>
      <c r="F129" s="39">
        <f ca="1">COUNTIF(Stocks!$AH$620:'Stocks'!$AH$642,"&lt;"&amp;0)+COUNTIF(Stocks!AH1007,"&lt;"&amp;0)</f>
        <v>22</v>
      </c>
      <c r="G129" s="39">
        <f ca="1">COUNTIF(Stocks!$AH$620:'Stocks'!$AH$642,"="&amp;0)+COUNTIF(Stocks!AH1007,"="&amp;0)</f>
        <v>0</v>
      </c>
      <c r="H129" s="8">
        <f t="shared" ca="1" si="1"/>
        <v>4.3478260869565215</v>
      </c>
      <c r="I129" s="8">
        <f t="shared" ca="1" si="2"/>
        <v>95.652173913043484</v>
      </c>
      <c r="J129" s="8"/>
      <c r="K129" s="8"/>
      <c r="L129" s="8"/>
    </row>
    <row r="130" spans="1:12" x14ac:dyDescent="0.25">
      <c r="A130" s="8" t="s">
        <v>1695</v>
      </c>
      <c r="B130" s="12">
        <f>SUM(Stocks!Z406:'Stocks'!Z421)+Stocks!AI983+Stocks!H1008+Stocks!Q1017+Stocks!H1022+Stocks!H1032+Stocks!Q1032</f>
        <v>331450815792.03003</v>
      </c>
      <c r="C130" s="12">
        <f ca="1">SUM(Stocks!AA406:'Stocks'!AA421)+Stocks!AJ983+Stocks!I1008+Stocks!R1017+Stocks!I1022+Stocks!I1032+Stocks!R1032</f>
        <v>319991974454.71997</v>
      </c>
      <c r="D130" s="8">
        <f t="shared" ca="1" si="0"/>
        <v>-3.4571769901752023</v>
      </c>
      <c r="E130" s="39">
        <f ca="1">COUNTIF(Stocks!$Y$406:'Stocks'!$Y$421,"&gt;"&amp;0)+COUNTIF(Stocks!$AH$983,"&gt;"&amp;0)+COUNTIF(Stocks!G1008,"&gt;"&amp;0)+COUNTIF(Stocks!P1017,"&gt;"&amp;0)+COUNTIF(Stocks!G1022,"&gt;"&amp;0)+COUNTIF(Stocks!G1032,"&gt;"&amp;0)+COUNTIF(Stocks!P1032,"&gt;"&amp;0)</f>
        <v>6</v>
      </c>
      <c r="F130" s="39">
        <f ca="1">COUNTIF(Stocks!$Y$406:'Stocks'!$Y$421,"&lt;"&amp;0)+COUNTIF(Stocks!$AH$983,"&lt;"&amp;0)+COUNTIF(Stocks!G1008,"&lt;"&amp;0)+COUNTIF(Stocks!P1017,"&lt;"&amp;0)+COUNTIF(Stocks!G1022,"&lt;"&amp;0)+COUNTIF(Stocks!G1032,"&lt;"&amp;0)+COUNTIF(Stocks!P1032,"&lt;"&amp;0)</f>
        <v>15</v>
      </c>
      <c r="G130" s="39">
        <f ca="1">COUNTIF(Stocks!$Y$406:'Stocks'!$Y$421,"="&amp;0)+COUNTIF(Stocks!$AH$983,"="&amp;0)+COUNTIF(Stocks!G1008,"="&amp;0)+COUNTIF(Stocks!P1017,"="&amp;0)+COUNTIF(Stocks!G1022,"="&amp;0)+COUNTIF(Stocks!G1032,"="&amp;0)+COUNTIF(Stocks!P1032,"="&amp;0)</f>
        <v>1</v>
      </c>
      <c r="H130" s="8">
        <f t="shared" ca="1" si="1"/>
        <v>27.27272727272727</v>
      </c>
      <c r="I130" s="8">
        <f t="shared" ca="1" si="2"/>
        <v>68.181818181818173</v>
      </c>
      <c r="J130" s="8"/>
      <c r="K130" s="8"/>
      <c r="L130" s="8"/>
    </row>
    <row r="131" spans="1:12" x14ac:dyDescent="0.25">
      <c r="A131" s="8" t="s">
        <v>1968</v>
      </c>
      <c r="B131" s="12">
        <f>SUM(Stocks!H473:'Stocks'!H544)+Stocks!Z1017</f>
        <v>35922110748825.555</v>
      </c>
      <c r="C131" s="12">
        <f ca="1">SUM(Stocks!I473:'Stocks'!I544)+Stocks!AA1017</f>
        <v>33301561508231.492</v>
      </c>
      <c r="D131" s="8">
        <f t="shared" ca="1" si="0"/>
        <v>-7.29508702569695</v>
      </c>
      <c r="E131" s="39">
        <f ca="1">COUNTIF(Stocks!$G$473:'Stocks'!$G$544,"&gt;"&amp;0)+COUNTIF(Stocks!$Y$1017,"&gt;"&amp;0)</f>
        <v>10</v>
      </c>
      <c r="F131" s="39">
        <f ca="1">COUNTIF(Stocks!$G$473:'Stocks'!$G$544,"&lt;"&amp;0)+COUNTIF(Stocks!$Y$1017,"&lt;"&amp;0)</f>
        <v>59</v>
      </c>
      <c r="G131" s="39">
        <f ca="1">COUNTIF(Stocks!$G$473:'Stocks'!$G$544,"="&amp;0)+COUNTIF(Stocks!$Y$1017,"="&amp;0)</f>
        <v>2</v>
      </c>
      <c r="H131" s="8">
        <f t="shared" ca="1" si="1"/>
        <v>14.084507042253522</v>
      </c>
      <c r="I131" s="8">
        <f t="shared" ca="1" si="2"/>
        <v>83.098591549295776</v>
      </c>
      <c r="J131" s="8"/>
      <c r="K131" s="8"/>
      <c r="L131" s="8"/>
    </row>
    <row r="132" spans="1:12" x14ac:dyDescent="0.25">
      <c r="A132" s="40" t="s">
        <v>1351</v>
      </c>
      <c r="B132" s="41">
        <f>SUM(Stocks!Q324:'Stocks'!Q329)+Stocks!Z1027</f>
        <v>217094968212.20001</v>
      </c>
      <c r="C132" s="41">
        <f ca="1">SUM(Stocks!R324:'Stocks'!R329)+Stocks!AA1027</f>
        <v>201418098068.19998</v>
      </c>
      <c r="D132" s="40">
        <f t="shared" ca="1" si="0"/>
        <v>-7.2212038229631546</v>
      </c>
      <c r="E132" s="39">
        <f ca="1">COUNTIF(Stocks!$P$324:'Stocks'!$P$329,"&gt;"&amp;0)+COUNTIF(Stocks!Y1027,"&gt;"&amp;0)</f>
        <v>2</v>
      </c>
      <c r="F132" s="39">
        <f ca="1">COUNTIF(Stocks!$P$324:'Stocks'!$P$329,"&lt;"&amp;0)+COUNTIF(Stocks!Y1027,"&lt;"&amp;0)</f>
        <v>5</v>
      </c>
      <c r="G132" s="39">
        <f ca="1">COUNTIF(Stocks!$P$324:'Stocks'!$P$329,"="&amp;0)+COUNTIF(Stocks!Y1027,"="&amp;0)</f>
        <v>0</v>
      </c>
      <c r="H132" s="8">
        <f t="shared" ca="1" si="1"/>
        <v>28.571428571428569</v>
      </c>
      <c r="I132" s="8">
        <f t="shared" ca="1" si="2"/>
        <v>71.428571428571431</v>
      </c>
      <c r="J132" s="8"/>
      <c r="K132" s="8"/>
      <c r="L132" s="8"/>
    </row>
    <row r="133" spans="1:12" x14ac:dyDescent="0.25">
      <c r="A133" s="8" t="s">
        <v>3744</v>
      </c>
      <c r="B133" s="12">
        <f>SUM(Stocks!Z898:'Stocks'!Z951)+Stocks!Z1011+Stocks!AI1017+Stocks!AI1030</f>
        <v>1591845148026.3105</v>
      </c>
      <c r="C133" s="12">
        <f ca="1">SUM(Stocks!AA898:'Stocks'!AA951)+Stocks!AA1011+Stocks!AJ1017+Stocks!AJ1030</f>
        <v>1577995740881.2898</v>
      </c>
      <c r="D133" s="8">
        <f t="shared" ca="1" si="0"/>
        <v>-0.87002226078285883</v>
      </c>
      <c r="E133" s="39">
        <f ca="1">COUNTIF(Stocks!$Y$898:'Stocks'!$Y$951,"&gt;"&amp;0)+COUNTIF(Stocks!$Y$1011,"&gt;"&amp;0)+COUNTIF(Stocks!$AH$1017,"&gt;"&amp;0)+COUNTIF(Stocks!AH1030,"&gt;"&amp;0)</f>
        <v>15</v>
      </c>
      <c r="F133" s="39">
        <f ca="1">COUNTIF(Stocks!$Y$898:'Stocks'!$Y$951,"&lt;"&amp;0)+COUNTIF(Stocks!$Y$1011,"&lt;"&amp;0)+COUNTIF(Stocks!$AH$1017,"&lt;"&amp;0)+COUNTIF(Stocks!AH1030,"&lt;"&amp;0)</f>
        <v>38</v>
      </c>
      <c r="G133" s="39">
        <f ca="1">COUNTIF(Stocks!$Y$898:'Stocks'!$Y$951,"="&amp;0)+COUNTIF(Stocks!$Y$1011,"="&amp;0)+COUNTIF(Stocks!$AH$1017,"="&amp;0)+COUNTIF(Stocks!AH1030,"="&amp;0)</f>
        <v>3</v>
      </c>
      <c r="H133" s="8">
        <f t="shared" ca="1" si="1"/>
        <v>26.785714285714285</v>
      </c>
      <c r="I133" s="8">
        <f t="shared" ca="1" si="2"/>
        <v>67.857142857142861</v>
      </c>
      <c r="J133" s="69" t="s">
        <v>4367</v>
      </c>
      <c r="K133" s="67"/>
      <c r="L133" s="8"/>
    </row>
    <row r="134" spans="1:12" x14ac:dyDescent="0.25">
      <c r="A134" s="47" t="s">
        <v>3772</v>
      </c>
      <c r="B134" s="48">
        <f>SUM(Stocks!Q905:'Stocks'!Q909)+Stocks!Z1016+Stocks!Q1028</f>
        <v>717106862825.71997</v>
      </c>
      <c r="C134" s="48">
        <f ca="1">SUM(Stocks!R905:'Stocks'!R909)+Stocks!AA1016+Stocks!R1028</f>
        <v>668855486071.02014</v>
      </c>
      <c r="D134" s="47">
        <f t="shared" ca="1" si="0"/>
        <v>-6.7286173450589972</v>
      </c>
      <c r="E134" s="49">
        <f ca="1">COUNTIF(Stocks!$P$905:'Stocks'!$P$909,"&gt;"&amp;0)+COUNTIF(Stocks!$Y$1016,"&gt;"&amp;0)+COUNTIF(Stocks!P1028,"&gt;"&amp;0)</f>
        <v>0</v>
      </c>
      <c r="F134" s="49">
        <f ca="1">COUNTIF(Stocks!$P$905:'Stocks'!$P$909,"&lt;"&amp;0)+COUNTIF(Stocks!$Y$1016,"&lt;"&amp;0)+COUNTIF(Stocks!P1028,"&lt;"&amp;0)</f>
        <v>7</v>
      </c>
      <c r="G134" s="49">
        <f ca="1">COUNTIF(Stocks!$P$905:'Stocks'!$P$909,"="&amp;0)+COUNTIF(Stocks!$Y$1016,"="&amp;0)+COUNTIF(Stocks!P1028,"="&amp;0)</f>
        <v>0</v>
      </c>
      <c r="H134" s="8">
        <f t="shared" ca="1" si="1"/>
        <v>0</v>
      </c>
      <c r="I134" s="8">
        <f t="shared" ca="1" si="2"/>
        <v>100</v>
      </c>
      <c r="J134" s="8"/>
      <c r="K134" s="8"/>
      <c r="L134" s="8"/>
    </row>
    <row r="135" spans="1:12" x14ac:dyDescent="0.25">
      <c r="A135" s="40" t="s">
        <v>893</v>
      </c>
      <c r="B135" s="41">
        <f>SUM(Stocks!H213:'Stocks'!H228)+Stocks!H1004</f>
        <v>1653402242399.2297</v>
      </c>
      <c r="C135" s="41">
        <f ca="1">SUM(Stocks!I213:'Stocks'!I228)+Stocks!I1004</f>
        <v>1651178689619.4902</v>
      </c>
      <c r="D135" s="40">
        <f t="shared" ca="1" si="0"/>
        <v>-0.13448347430041793</v>
      </c>
      <c r="E135" s="39">
        <f ca="1">COUNTIF(Stocks!$G$213:'Stocks'!$G$228,"&gt;"&amp;0)</f>
        <v>4</v>
      </c>
      <c r="F135" s="39">
        <f ca="1">COUNTIF(Stocks!$G$213:'Stocks'!$G$228,"&lt;"&amp;0)</f>
        <v>10</v>
      </c>
      <c r="G135" s="39">
        <f ca="1">COUNTIF(Stocks!$G$213:'Stocks'!$G$228,"="&amp;0)</f>
        <v>0</v>
      </c>
      <c r="H135" s="8">
        <f t="shared" ca="1" si="1"/>
        <v>28.571428571428569</v>
      </c>
      <c r="I135" s="8">
        <f t="shared" ca="1" si="2"/>
        <v>71.428571428571431</v>
      </c>
      <c r="J135" s="8"/>
      <c r="K135" s="8"/>
      <c r="L135" s="8"/>
    </row>
    <row r="136" spans="1:12" x14ac:dyDescent="0.25">
      <c r="A136" s="8" t="s">
        <v>67</v>
      </c>
      <c r="B136" s="12">
        <f>SUM(Stocks!Q14:'Stocks'!Q20)</f>
        <v>793996150115.94995</v>
      </c>
      <c r="C136" s="12">
        <f ca="1">SUM(Stocks!R14:'Stocks'!R20)</f>
        <v>768247863479.65002</v>
      </c>
      <c r="D136" s="8">
        <f t="shared" ca="1" si="0"/>
        <v>-3.2428729827644402</v>
      </c>
      <c r="E136" s="39">
        <f ca="1">COUNTIF(Stocks!$P$14:'Stocks'!$P$20,"&gt;"&amp;0)</f>
        <v>0</v>
      </c>
      <c r="F136" s="39">
        <f ca="1">COUNTIF(Stocks!$P$14:'Stocks'!$P$20,"&lt;"&amp;0)</f>
        <v>7</v>
      </c>
      <c r="G136" s="39">
        <f ca="1">COUNTIF(Stocks!$P$14:'Stocks'!$P$20,"="&amp;0)</f>
        <v>0</v>
      </c>
      <c r="H136" s="8">
        <f t="shared" ca="1" si="1"/>
        <v>0</v>
      </c>
      <c r="I136" s="8">
        <f t="shared" ca="1" si="2"/>
        <v>100</v>
      </c>
      <c r="J136" s="8"/>
      <c r="K136" s="8"/>
      <c r="L136" s="8"/>
    </row>
    <row r="137" spans="1:12" x14ac:dyDescent="0.25">
      <c r="A137" s="40" t="s">
        <v>3183</v>
      </c>
      <c r="B137" s="41">
        <f>SUM(Stocks!Z765:'Stocks'!Z770)+Stocks!Q1013</f>
        <v>3808744138066.8501</v>
      </c>
      <c r="C137" s="41">
        <f ca="1">SUM(Stocks!AA765:'Stocks'!AA770)+Stocks!R1013</f>
        <v>3767431926768.3501</v>
      </c>
      <c r="D137" s="40">
        <f t="shared" ca="1" si="0"/>
        <v>-1.0846675387196854</v>
      </c>
      <c r="E137" s="39">
        <f ca="1">COUNTIF(Stocks!$Y$765:'Stocks'!$Y$770,"&gt;"&amp;0)+COUNTIF(Stocks!$P$1013,"&gt;"&amp;0)</f>
        <v>2</v>
      </c>
      <c r="F137" s="39">
        <f ca="1">COUNTIF(Stocks!$Y$765:'Stocks'!$Y$770,"&lt;"&amp;0)+COUNTIF(Stocks!$P$1013,"&lt;"&amp;0)</f>
        <v>5</v>
      </c>
      <c r="G137" s="39">
        <f ca="1">COUNTIF(Stocks!$Y$765:'Stocks'!$Y$770,"="&amp;0)+COUNTIF(Stocks!$P$1013,"="&amp;0)</f>
        <v>0</v>
      </c>
      <c r="H137" s="8">
        <f t="shared" ca="1" si="1"/>
        <v>28.571428571428569</v>
      </c>
      <c r="I137" s="8">
        <f t="shared" ca="1" si="2"/>
        <v>71.428571428571431</v>
      </c>
      <c r="J137" s="8"/>
      <c r="K137" s="8"/>
      <c r="L137" s="8"/>
    </row>
    <row r="138" spans="1:12" x14ac:dyDescent="0.25">
      <c r="A138" s="8" t="s">
        <v>2681</v>
      </c>
      <c r="B138" s="12">
        <f>SUM(Stocks!H646:'Stocks'!H749)+Stocks!AI998+Stocks!Z1005+Stocks!Q1006+Stocks!Q1010+Stocks!Q1025+Stocks!Q1027</f>
        <v>532753672119.27997</v>
      </c>
      <c r="C138" s="12">
        <f ca="1">SUM(Stocks!I646:'Stocks'!I749)+Stocks!AJ998+Stocks!AA1005+Stocks!R1006+Stocks!R1010+Stocks!R1025+Stocks!R1027</f>
        <v>475820893849.77008</v>
      </c>
      <c r="D138" s="8">
        <f t="shared" ca="1" si="0"/>
        <v>-10.686510717614166</v>
      </c>
      <c r="E138" s="39">
        <f ca="1">COUNTIF(Stocks!$G$646:'Stocks'!$G$749,"&gt;"&amp;0)+COUNTIF(Stocks!$AH$998,"&gt;"&amp;0)+COUNTIF(Stocks!$Y$1005,"&gt;"&amp;0)+COUNTIF(Stocks!$P$1006,"&gt;"&amp;0)+COUNTIF(Stocks!$P$1010,"&gt;"&amp;0)+COUNTIF(Stocks!P1025,"&gt;"&amp;0)+COUNTIF(Stocks!P1027,"&gt;"&amp;0)</f>
        <v>17</v>
      </c>
      <c r="F138" s="39">
        <f ca="1">COUNTIF(Stocks!$G$646:'Stocks'!$G$749,"&lt;"&amp;0)+COUNTIF(Stocks!$AH$998,"&lt;"&amp;0)+COUNTIF(Stocks!$Y$1005,"&lt;"&amp;0)+COUNTIF(Stocks!$P$1006,"&lt;"&amp;0)+COUNTIF(Stocks!$P$1010,"&lt;"&amp;0)+COUNTIF(Stocks!P1025,"&lt;"&amp;0)+COUNTIF(Stocks!P1027,"&lt;"&amp;0)</f>
        <v>59</v>
      </c>
      <c r="G138" s="39">
        <f ca="1">COUNTIF(Stocks!$G$646:'Stocks'!$G$749,"="&amp;0)+COUNTIF(Stocks!$AH$998,"="&amp;0)+COUNTIF(Stocks!$Y$1005,"="&amp;0)+COUNTIF(Stocks!$P$1006,"="&amp;0)+COUNTIF(Stocks!$P$1010,"="&amp;0)+COUNTIF(Stocks!P1025,"="&amp;0)+COUNTIF(Stocks!P1027,"="&amp;0)</f>
        <v>32</v>
      </c>
      <c r="H138" s="8">
        <f t="shared" ca="1" si="1"/>
        <v>15.74074074074074</v>
      </c>
      <c r="I138" s="8">
        <f t="shared" ca="1" si="2"/>
        <v>54.629629629629626</v>
      </c>
      <c r="J138" s="8"/>
      <c r="K138" s="8"/>
      <c r="L138" s="8"/>
    </row>
    <row r="139" spans="1:12" x14ac:dyDescent="0.25">
      <c r="A139" s="8" t="s">
        <v>13</v>
      </c>
      <c r="B139" s="12">
        <f>SUM(Stocks!Z2:'Stocks'!Z279)+Stocks!H1000+Stocks!H1019+Stocks!Q1030</f>
        <v>10050577074498.652</v>
      </c>
      <c r="C139" s="12">
        <f ca="1">SUM(Stocks!AA2:'Stocks'!AA279)+Stocks!I1000+Stocks!I1019+Stocks!R1030</f>
        <v>10161024757907.945</v>
      </c>
      <c r="D139" s="8">
        <f t="shared" ca="1" si="0"/>
        <v>1.0989188241691323</v>
      </c>
      <c r="E139" s="39">
        <f ca="1">COUNTIF(Stocks!$Y$2:'Stocks'!$Y$279,"&gt;"&amp;0)+COUNTIF(Stocks!$G$1000,"&gt;"&amp;0)+COUNTIF(Stocks!G1019,"&gt;"&amp;0)+COUNTIF(Stocks!P1030,"&gt;"&amp;0)</f>
        <v>63</v>
      </c>
      <c r="F139" s="39">
        <f ca="1">COUNTIF(Stocks!$Y$2:'Stocks'!$Y$279,"&lt;"&amp;0)+COUNTIF(Stocks!$G$1000,"&lt;"&amp;0)+COUNTIF(Stocks!G1019,"&lt;"&amp;0)+COUNTIF(Stocks!P1030,"&lt;"&amp;0)</f>
        <v>186</v>
      </c>
      <c r="G139" s="39">
        <f ca="1">COUNTIF(Stocks!$Y$2:'Stocks'!$Y$279,"="&amp;0)+COUNTIF(Stocks!$G$1000,"="&amp;0)+COUNTIF(Stocks!G1019,"="&amp;0)+COUNTIF(Stocks!P1030,"="&amp;0)</f>
        <v>28</v>
      </c>
      <c r="H139" s="8">
        <f t="shared" ca="1" si="1"/>
        <v>22.743682310469314</v>
      </c>
      <c r="I139" s="8">
        <f t="shared" ca="1" si="2"/>
        <v>67.148014440433215</v>
      </c>
      <c r="J139" s="8"/>
      <c r="K139" s="8"/>
      <c r="L139" s="8"/>
    </row>
    <row r="140" spans="1:12" x14ac:dyDescent="0.25">
      <c r="A140" s="8" t="s">
        <v>15</v>
      </c>
      <c r="B140" s="12">
        <f>SUM(Stocks!AI2:'Stocks'!AI161)+Stocks!AI994+Stocks!AI1003+Stocks!Q1019+Stocks!H1026+Stocks!H1035</f>
        <v>16895225397340.303</v>
      </c>
      <c r="C140" s="12">
        <f ca="1">SUM(Stocks!AJ2:'Stocks'!AJ161)+Stocks!AJ994+Stocks!AJ1003+Stocks!R1019+Stocks!I1026+Stocks!I1035</f>
        <v>16876849138522.52</v>
      </c>
      <c r="D140" s="8">
        <f t="shared" ca="1" si="0"/>
        <v>-0.10876598793808367</v>
      </c>
      <c r="E140" s="39">
        <f ca="1">COUNTIF(Stocks!$AH$2:'Stocks'!$AH$161,"&gt;"&amp;0)+COUNTIF(Stocks!$AH$994,"&gt;"&amp;0)+COUNTIF(Stocks!$AH$1003,"&gt;"&amp;0)+COUNTIF(Stocks!P1019,"&gt;"&amp;0)+COUNTIF(Stocks!G1026,"&gt;"&amp;0)+COUNTIF(Stocks!G1035,"&gt;"&amp;0)</f>
        <v>31</v>
      </c>
      <c r="F140" s="39">
        <f ca="1">COUNTIF(Stocks!$AH$2:'Stocks'!$AH$161,"&lt;"&amp;0)+COUNTIF(Stocks!$AH$994,"&lt;"&amp;0)+COUNTIF(Stocks!$AH$1003,"&lt;"&amp;0)+COUNTIF(Stocks!P1019,"&lt;"&amp;0)+COUNTIF(Stocks!G1026,"&lt;"&amp;0)+COUNTIF(Stocks!G1035,"&lt;"&amp;0)</f>
        <v>128</v>
      </c>
      <c r="G140" s="39">
        <f ca="1">COUNTIF(Stocks!$AH$2:'Stocks'!$AH$161,"="&amp;0)+COUNTIF(Stocks!$AH$994,"="&amp;0)+COUNTIF(Stocks!$AH$1003,"="&amp;0)+COUNTIF(Stocks!P1019,"="&amp;0)+COUNTIF(Stocks!G1026,"="&amp;0)+COUNTIF(Stocks!G1035,"="&amp;0)</f>
        <v>5</v>
      </c>
      <c r="H140" s="8">
        <f t="shared" ca="1" si="1"/>
        <v>18.902439024390244</v>
      </c>
      <c r="I140" s="8">
        <f t="shared" ca="1" si="2"/>
        <v>78.048780487804876</v>
      </c>
      <c r="J140" s="8"/>
      <c r="K140" s="8"/>
      <c r="L140" s="8"/>
    </row>
    <row r="141" spans="1:12" x14ac:dyDescent="0.25">
      <c r="A141" s="8" t="s">
        <v>4036</v>
      </c>
      <c r="B141" s="12">
        <f>SUM(Stocks!H967:'Stocks'!H994)</f>
        <v>171228629331.70999</v>
      </c>
      <c r="C141" s="12">
        <f ca="1">SUM(Stocks!I967:'Stocks'!I994)</f>
        <v>157460217167.75</v>
      </c>
      <c r="D141" s="8">
        <f t="shared" ca="1" si="0"/>
        <v>-8.0409521571812324</v>
      </c>
      <c r="E141" s="39">
        <f ca="1">COUNTIF(Stocks!$G$967:'Stocks'!$G$994,"&gt;"&amp;0)</f>
        <v>3</v>
      </c>
      <c r="F141" s="39">
        <f ca="1">COUNTIF(Stocks!$G$967:'Stocks'!$G$994,"&lt;"&amp;0)</f>
        <v>19</v>
      </c>
      <c r="G141" s="39">
        <f ca="1">COUNTIF(Stocks!$G$967:'Stocks'!$G$994,"="&amp;0)</f>
        <v>4</v>
      </c>
      <c r="H141" s="8">
        <f t="shared" ca="1" si="1"/>
        <v>11.538461538461538</v>
      </c>
      <c r="I141" s="8">
        <f t="shared" ca="1" si="2"/>
        <v>73.076923076923066</v>
      </c>
      <c r="J141" s="8"/>
      <c r="K141" s="8"/>
      <c r="L141" s="8"/>
    </row>
    <row r="142" spans="1:12" x14ac:dyDescent="0.25">
      <c r="A142" s="8" t="s">
        <v>356</v>
      </c>
      <c r="B142" s="12">
        <f>SUM(Stocks!Q83:'Stocks'!Q153)+Stocks!AI979+Stocks!Q1005+Stocks!AI1010+Stocks!Q1016+Stocks!H1020+Stocks!AI1020+Stocks!Q1024+Stocks!Q1033+Stocks!H1034</f>
        <v>4264968475361.4995</v>
      </c>
      <c r="C142" s="12">
        <f ca="1">SUM(Stocks!R83:'Stocks'!R153)+Stocks!AJ979+Stocks!R1005+Stocks!AJ1010+Stocks!R1016+Stocks!I1020+Stocks!AJ1020+Stocks!R1024+Stocks!R1033+Stocks!I1034</f>
        <v>4270517444359.4297</v>
      </c>
      <c r="D142" s="8">
        <f t="shared" ca="1" si="0"/>
        <v>0.13010574474316236</v>
      </c>
      <c r="E142" s="39">
        <f ca="1">COUNTIF(Stocks!$P$83:'Stocks'!$P$153,"&gt;"&amp;0)+COUNTIF(Stocks!$AH$979,"&gt;"&amp;0)+COUNTIF(Stocks!$P$1005,"&gt;"&amp;0)+COUNTIF(Stocks!$AH$1010,"&gt;"&amp;0)+COUNTIF(Stocks!$P$1016,"&gt;"&amp;0)+COUNTIF(Stocks!G1020,"&gt;"&amp;0)+COUNTIF(Stocks!AH1020,"&gt;"&amp;0)+COUNTIF(Stocks!P1024,"&gt;"&amp;0)+COUNTIF(Stocks!P1033,"&gt;"&amp;0)+COUNTIF(Stocks!G1034,"&gt;"&amp;0)</f>
        <v>18</v>
      </c>
      <c r="F142" s="39">
        <f ca="1">COUNTIF(Stocks!$P$83:'Stocks'!$P$153,"&lt;"&amp;0)+COUNTIF(Stocks!$AH$979,"&lt;"&amp;0)+COUNTIF(Stocks!$P$1005,"&lt;"&amp;0)+COUNTIF(Stocks!$AH$1010,"&lt;"&amp;0)+COUNTIF(Stocks!$P$1016,"&lt;"&amp;0)+COUNTIF(Stocks!G1020,"&lt;"&amp;0)+COUNTIF(Stocks!AH1020,"&lt;"&amp;0)+COUNTIF(Stocks!P1024,"&lt;"&amp;0)+COUNTIF(Stocks!P1033,"&lt;"&amp;0)+COUNTIF(Stocks!G1034,"&lt;"&amp;0)</f>
        <v>55</v>
      </c>
      <c r="G142" s="39">
        <f ca="1">COUNTIF(Stocks!$P$83:'Stocks'!$P$153,"="&amp;0)+COUNTIF(Stocks!$AH$979,"="&amp;0)+COUNTIF(Stocks!$P$1005,"="&amp;0)+COUNTIF(Stocks!$AH$1010,"="&amp;0)+COUNTIF(Stocks!$P$1016,"="&amp;0)+COUNTIF(Stocks!G1020,"="&amp;0)+COUNTIF(Stocks!AH1020,"="&amp;0)+COUNTIF(Stocks!P1024,"="&amp;0)+COUNTIF(Stocks!P1033,"="&amp;0)+COUNTIF(Stocks!G1034,"="&amp;0)</f>
        <v>4</v>
      </c>
      <c r="H142" s="8">
        <f t="shared" ca="1" si="1"/>
        <v>23.376623376623375</v>
      </c>
      <c r="I142" s="8">
        <f t="shared" ca="1" si="2"/>
        <v>71.428571428571431</v>
      </c>
      <c r="J142" s="8"/>
      <c r="K142" s="8"/>
      <c r="L142" s="8"/>
    </row>
    <row r="143" spans="1:12" x14ac:dyDescent="0.25">
      <c r="A143" s="40" t="s">
        <v>1538</v>
      </c>
      <c r="B143" s="41">
        <f>SUM(Stocks!AI369:'Stocks'!AI374)</f>
        <v>1712582227.98</v>
      </c>
      <c r="C143" s="41">
        <f ca="1">SUM(Stocks!AJ369:'Stocks'!AJ374)</f>
        <v>1376662067.1299999</v>
      </c>
      <c r="D143" s="40">
        <f t="shared" ca="1" si="0"/>
        <v>-19.614833983546575</v>
      </c>
      <c r="E143" s="39">
        <f ca="1">COUNTIF(Stocks!$AH$369:'Stocks'!$AH$374,"&gt;"&amp;0)</f>
        <v>1</v>
      </c>
      <c r="F143" s="39">
        <f ca="1">COUNTIF(Stocks!$AH$369:'Stocks'!$AH$374,"&lt;"&amp;0)</f>
        <v>5</v>
      </c>
      <c r="G143" s="39">
        <f ca="1">COUNTIF(Stocks!$AH$369:'Stocks'!$AH$374,"="&amp;0)</f>
        <v>0</v>
      </c>
      <c r="H143" s="8">
        <f t="shared" ca="1" si="1"/>
        <v>16.666666666666664</v>
      </c>
      <c r="I143" s="8">
        <f t="shared" ca="1" si="2"/>
        <v>83.333333333333343</v>
      </c>
      <c r="J143" s="8"/>
      <c r="K143" s="8"/>
      <c r="L143" s="8"/>
    </row>
    <row r="144" spans="1:12" x14ac:dyDescent="0.25">
      <c r="A144" s="40" t="s">
        <v>831</v>
      </c>
      <c r="B144" s="41">
        <f>SUM(Stocks!AI198:'Stocks'!AI203)</f>
        <v>195601627944.95001</v>
      </c>
      <c r="C144" s="41">
        <f ca="1">SUM(Stocks!AJ198:'Stocks'!AJ203)</f>
        <v>188344047582.89999</v>
      </c>
      <c r="D144" s="40">
        <f t="shared" ca="1" si="0"/>
        <v>-3.7103885270794308</v>
      </c>
      <c r="E144" s="39">
        <f ca="1">COUNTIF(Stocks!$AH$198:'Stocks'!$AH$203,"&gt;"&amp;0)</f>
        <v>1</v>
      </c>
      <c r="F144" s="39">
        <f ca="1">COUNTIF(Stocks!$AH$198:'Stocks'!$AH$203,"&lt;"&amp;0)</f>
        <v>5</v>
      </c>
      <c r="G144" s="39">
        <f ca="1">COUNTIF(Stocks!$AH$198:'Stocks'!$AH$203,"="&amp;0)</f>
        <v>0</v>
      </c>
      <c r="H144" s="8">
        <f t="shared" ca="1" si="1"/>
        <v>16.666666666666664</v>
      </c>
      <c r="I144" s="8">
        <f t="shared" ca="1" si="2"/>
        <v>83.333333333333343</v>
      </c>
      <c r="J144" s="8"/>
      <c r="K144" s="8"/>
      <c r="L144" s="8"/>
    </row>
    <row r="145" spans="1:12" x14ac:dyDescent="0.25">
      <c r="A145" s="8" t="s">
        <v>350</v>
      </c>
      <c r="B145" s="12">
        <f>SUM(Stocks!H82:'Stocks'!H87)</f>
        <v>1397925745039.5498</v>
      </c>
      <c r="C145" s="12">
        <f ca="1">SUM(Stocks!I82:'Stocks'!I87)</f>
        <v>1333484314472.8501</v>
      </c>
      <c r="D145" s="8">
        <f t="shared" ca="1" si="0"/>
        <v>-4.6097892391899933</v>
      </c>
      <c r="E145" s="39">
        <f ca="1">COUNTIF(Stocks!$G$82:'Stocks'!$G$87,"&gt;"&amp;0)</f>
        <v>0</v>
      </c>
      <c r="F145" s="39">
        <f ca="1">COUNTIF(Stocks!$G$82:'Stocks'!$G$87,"&lt;"&amp;0)</f>
        <v>6</v>
      </c>
      <c r="G145" s="39">
        <f ca="1">COUNTIF(Stocks!$G$82:'Stocks'!$G$87,"="&amp;0)</f>
        <v>0</v>
      </c>
      <c r="H145" s="8">
        <f t="shared" ca="1" si="1"/>
        <v>0</v>
      </c>
      <c r="I145" s="8">
        <f t="shared" ca="1" si="2"/>
        <v>100</v>
      </c>
      <c r="J145" s="8"/>
      <c r="K145" s="8"/>
      <c r="L145" s="8"/>
    </row>
    <row r="146" spans="1:12" x14ac:dyDescent="0.25">
      <c r="A146" s="40" t="s">
        <v>3431</v>
      </c>
      <c r="B146" s="41">
        <f>SUM(Stocks!Z824:'Stocks'!Z840)+Stocks!H1028</f>
        <v>4762194860922.5303</v>
      </c>
      <c r="C146" s="41">
        <f ca="1">SUM(Stocks!AA824:'Stocks'!AA840)+Stocks!I1028</f>
        <v>4749632192580.6602</v>
      </c>
      <c r="D146" s="40">
        <f t="shared" ca="1" si="0"/>
        <v>-0.26379996427606245</v>
      </c>
      <c r="E146" s="39">
        <f ca="1">COUNTIF(Stocks!$Y$824:'Stocks'!$Y$840,"&gt;"&amp;0)+COUNTIF(Stocks!G1028,"&gt;"&amp;0)</f>
        <v>3</v>
      </c>
      <c r="F146" s="39">
        <f ca="1">COUNTIF(Stocks!$Y$824:'Stocks'!$Y$840,"&lt;"&amp;0)+COUNTIF(Stocks!G1028,"&lt;"&amp;0)</f>
        <v>12</v>
      </c>
      <c r="G146" s="39">
        <f ca="1">COUNTIF(Stocks!$Y$824:'Stocks'!$Y$840,"="&amp;0)+COUNTIF(Stocks!G1028,"="&amp;0)</f>
        <v>3</v>
      </c>
      <c r="H146" s="8">
        <f t="shared" ca="1" si="1"/>
        <v>16.666666666666664</v>
      </c>
      <c r="I146" s="8">
        <f t="shared" ca="1" si="2"/>
        <v>66.666666666666657</v>
      </c>
      <c r="J146" s="8"/>
      <c r="K146" s="8"/>
      <c r="L146" s="8"/>
    </row>
    <row r="147" spans="1:12" x14ac:dyDescent="0.25">
      <c r="A147" s="42" t="s">
        <v>3140</v>
      </c>
      <c r="B147" s="43">
        <f>SUM(Stocks!H755:'Stocks'!H766)</f>
        <v>2604417403574.5796</v>
      </c>
      <c r="C147" s="43">
        <f ca="1">SUM(Stocks!I755:'Stocks'!I766)</f>
        <v>3016091249028.9302</v>
      </c>
      <c r="D147" s="42">
        <f t="shared" ca="1" si="0"/>
        <v>15.806753744208804</v>
      </c>
      <c r="E147" s="39">
        <f ca="1">COUNTIF(Stocks!$G$755:'Stocks'!$G$766,"&gt;"&amp;0)</f>
        <v>3</v>
      </c>
      <c r="F147" s="39">
        <f ca="1">COUNTIF(Stocks!$G$755:'Stocks'!$G$766,"&lt;"&amp;0)</f>
        <v>9</v>
      </c>
      <c r="G147" s="39">
        <f ca="1">COUNTIF(Stocks!$G$755:'Stocks'!$G$766,"="&amp;0)</f>
        <v>0</v>
      </c>
      <c r="H147" s="8">
        <f t="shared" ca="1" si="1"/>
        <v>25</v>
      </c>
      <c r="I147" s="8">
        <f t="shared" ca="1" si="2"/>
        <v>75</v>
      </c>
      <c r="J147" s="8"/>
      <c r="K147" s="8"/>
      <c r="L147" s="8"/>
    </row>
    <row r="148" spans="1:12" x14ac:dyDescent="0.25">
      <c r="A148" s="40" t="s">
        <v>711</v>
      </c>
      <c r="B148" s="41">
        <f>SUM(Stocks!Q170:'Stocks'!Q192)</f>
        <v>418937877341.19995</v>
      </c>
      <c r="C148" s="41">
        <f ca="1">SUM(Stocks!R170:'Stocks'!R192)</f>
        <v>406514234686.20996</v>
      </c>
      <c r="D148" s="40">
        <f t="shared" ca="1" si="0"/>
        <v>-2.96550952466675</v>
      </c>
      <c r="E148" s="39">
        <f ca="1">COUNTIF(Stocks!$P$170:'Stocks'!$P$192,"&gt;"&amp;0)</f>
        <v>1</v>
      </c>
      <c r="F148" s="39">
        <f ca="1">COUNTIF(Stocks!$P$170:'Stocks'!$P$192,"&lt;"&amp;0)</f>
        <v>21</v>
      </c>
      <c r="G148" s="39">
        <f ca="1">COUNTIF(Stocks!$P$170:'Stocks'!$P$192,"="&amp;0)</f>
        <v>1</v>
      </c>
      <c r="H148" s="8">
        <f t="shared" ca="1" si="1"/>
        <v>4.3478260869565215</v>
      </c>
      <c r="I148" s="8">
        <f t="shared" ca="1" si="2"/>
        <v>91.304347826086953</v>
      </c>
      <c r="J148" s="8"/>
      <c r="K148" s="8"/>
      <c r="L148" s="8"/>
    </row>
    <row r="149" spans="1:12" x14ac:dyDescent="0.25">
      <c r="A149" s="40" t="s">
        <v>3475</v>
      </c>
      <c r="B149" s="41">
        <f>SUM(Stocks!H835:'Stocks'!H868)+Stocks!AI991</f>
        <v>13704136687776.609</v>
      </c>
      <c r="C149" s="41">
        <f ca="1">SUM(Stocks!I835:'Stocks'!I868)+Stocks!AJ991</f>
        <v>13538545936841.01</v>
      </c>
      <c r="D149" s="40">
        <f t="shared" ca="1" si="0"/>
        <v>-1.208326760804262</v>
      </c>
      <c r="E149" s="39">
        <f ca="1">COUNTIF(Stocks!$G$835:'Stocks'!$G$868,"&gt;"&amp;0)+COUNTIF(Stocks!$AH$991,"&gt;"&amp;0)</f>
        <v>11</v>
      </c>
      <c r="F149" s="39">
        <f ca="1">COUNTIF(Stocks!$G$835:'Stocks'!$G$868,"&lt;"&amp;0)+COUNTIF(Stocks!$AH$991,"&lt;"&amp;0)</f>
        <v>22</v>
      </c>
      <c r="G149" s="39">
        <f ca="1">COUNTIF(Stocks!$G$835:'Stocks'!$G$868,"="&amp;0)+COUNTIF(Stocks!$AH$991,"="&amp;0)</f>
        <v>1</v>
      </c>
      <c r="H149" s="8">
        <f t="shared" ca="1" si="1"/>
        <v>32.352941176470587</v>
      </c>
      <c r="I149" s="8">
        <f t="shared" ca="1" si="2"/>
        <v>64.705882352941174</v>
      </c>
      <c r="J149" s="8"/>
      <c r="K149" s="8"/>
      <c r="L149" s="8"/>
    </row>
    <row r="150" spans="1:12" x14ac:dyDescent="0.25">
      <c r="A150" s="8" t="s">
        <v>2951</v>
      </c>
      <c r="B150" s="12">
        <f>SUM(Stocks!AI709:'Stocks'!AI926)</f>
        <v>513358225849.86011</v>
      </c>
      <c r="C150" s="8" t="e">
        <f ca="1">SUM(Stocks!AJ709:'Stocks'!AJ926)</f>
        <v>#VALUE!</v>
      </c>
      <c r="D150" s="8" t="e">
        <f t="shared" ca="1" si="0"/>
        <v>#VALUE!</v>
      </c>
      <c r="E150" s="39">
        <f ca="1">COUNTIF(Stocks!$AH$709:'Stocks'!$AH$926,"&gt;"&amp;0)</f>
        <v>40</v>
      </c>
      <c r="F150" s="39">
        <f ca="1">COUNTIF(Stocks!$AH$709:'Stocks'!$AH$926,"&lt;"&amp;0)</f>
        <v>128</v>
      </c>
      <c r="G150" s="39">
        <f ca="1">COUNTIF(Stocks!$AH$709:'Stocks'!$AH$926,"="&amp;0)</f>
        <v>39</v>
      </c>
      <c r="H150" s="8">
        <f t="shared" ca="1" si="1"/>
        <v>19.323671497584542</v>
      </c>
      <c r="I150" s="8">
        <f t="shared" ca="1" si="2"/>
        <v>61.835748792270529</v>
      </c>
      <c r="J150" s="8"/>
      <c r="K150" s="8"/>
      <c r="L150" s="8"/>
    </row>
    <row r="151" spans="1:12" x14ac:dyDescent="0.25">
      <c r="A151" s="40" t="s">
        <v>3023</v>
      </c>
      <c r="B151" s="41">
        <f>SUM(Stocks!Q727:'Stocks'!Q737)</f>
        <v>39158288826.850006</v>
      </c>
      <c r="C151" s="41">
        <f ca="1">SUM(Stocks!R727:'Stocks'!R737)</f>
        <v>34261134987.280003</v>
      </c>
      <c r="D151" s="40">
        <f t="shared" ca="1" si="0"/>
        <v>-12.506046577326762</v>
      </c>
      <c r="E151" s="39">
        <f ca="1">COUNTIF(Stocks!$P$727:'Stocks'!$P$737,"&gt;"&amp;0)</f>
        <v>1</v>
      </c>
      <c r="F151" s="39">
        <f ca="1">COUNTIF(Stocks!$P$727:'Stocks'!$P$737,"&lt;"&amp;0)</f>
        <v>10</v>
      </c>
      <c r="G151" s="39">
        <f ca="1">COUNTIF(Stocks!$P$727:'Stocks'!$P$737,"="&amp;0)</f>
        <v>0</v>
      </c>
      <c r="H151" s="8">
        <f t="shared" ca="1" si="1"/>
        <v>9.0909090909090917</v>
      </c>
      <c r="I151" s="8">
        <f t="shared" ca="1" si="2"/>
        <v>90.909090909090907</v>
      </c>
      <c r="J151" s="8"/>
      <c r="K151" s="8"/>
      <c r="L151" s="8"/>
    </row>
    <row r="152" spans="1:12" x14ac:dyDescent="0.25">
      <c r="A152" s="8" t="s">
        <v>1171</v>
      </c>
      <c r="B152" s="12">
        <f>SUM(Stocks!Z280:'Stocks'!Z405)</f>
        <v>956277853935.84998</v>
      </c>
      <c r="C152" s="8" t="e">
        <f ca="1">SUM(Stocks!AA280:'Stocks'!AA405)</f>
        <v>#VALUE!</v>
      </c>
      <c r="D152" s="8" t="e">
        <f t="shared" ca="1" si="0"/>
        <v>#VALUE!</v>
      </c>
      <c r="E152" s="39">
        <f ca="1">COUNTIF(Stocks!$Y$280:'Stocks'!$Y$405,"&gt;"&amp;0)</f>
        <v>26</v>
      </c>
      <c r="F152" s="39">
        <f ca="1">COUNTIF(Stocks!$Y$280:'Stocks'!$Y$405,"&lt;"&amp;0)</f>
        <v>67</v>
      </c>
      <c r="G152" s="39">
        <f ca="1">COUNTIF(Stocks!$Y$280:'Stocks'!$Y$405,"="&amp;0)</f>
        <v>31</v>
      </c>
      <c r="H152" s="8">
        <f t="shared" ca="1" si="1"/>
        <v>20.967741935483872</v>
      </c>
      <c r="I152" s="8">
        <f t="shared" ca="1" si="2"/>
        <v>54.032258064516128</v>
      </c>
      <c r="J152" s="8"/>
      <c r="K152" s="8"/>
      <c r="L152" s="8"/>
    </row>
    <row r="153" spans="1:12" x14ac:dyDescent="0.25">
      <c r="A153" s="8" t="s">
        <v>1478</v>
      </c>
      <c r="B153" s="12">
        <f>SUM(Stocks!Q355:'Stocks'!Q400)</f>
        <v>681903361264.21997</v>
      </c>
      <c r="C153" s="12">
        <f ca="1">SUM(Stocks!R355:'Stocks'!R400)</f>
        <v>659951713225.12012</v>
      </c>
      <c r="D153" s="8">
        <f t="shared" ca="1" si="0"/>
        <v>-3.2191728749367687</v>
      </c>
      <c r="E153" s="39">
        <f ca="1">COUNTIF(Stocks!$P$355:'Stocks'!$P$400,"&gt;"&amp;0)</f>
        <v>16</v>
      </c>
      <c r="F153" s="39">
        <f ca="1">COUNTIF(Stocks!$P$355:'Stocks'!$P$400,"&lt;"&amp;0)</f>
        <v>30</v>
      </c>
      <c r="G153" s="39">
        <f ca="1">COUNTIF(Stocks!$P$355:'Stocks'!$P$400,"="&amp;0)</f>
        <v>0</v>
      </c>
      <c r="H153" s="8">
        <f t="shared" ca="1" si="1"/>
        <v>34.782608695652172</v>
      </c>
      <c r="I153" s="8">
        <f t="shared" ca="1" si="2"/>
        <v>65.217391304347828</v>
      </c>
      <c r="J153" s="8"/>
      <c r="K153" s="8"/>
      <c r="L153" s="8"/>
    </row>
    <row r="154" spans="1:12" x14ac:dyDescent="0.25">
      <c r="A154" s="42" t="s">
        <v>2998</v>
      </c>
      <c r="B154" s="43">
        <f>SUM(Stocks!Q721:'Stocks'!Q726)</f>
        <v>14795900828.5</v>
      </c>
      <c r="C154" s="43">
        <f ca="1">SUM(Stocks!R721:'Stocks'!R726)</f>
        <v>13781330953.690001</v>
      </c>
      <c r="D154" s="42">
        <f t="shared" ca="1" si="0"/>
        <v>-6.8571010752905668</v>
      </c>
      <c r="E154" s="39">
        <f ca="1">COUNTIF(Stocks!$P$721:'Stocks'!$P$726,"&gt;"&amp;0)</f>
        <v>1</v>
      </c>
      <c r="F154" s="39">
        <f ca="1">COUNTIF(Stocks!$P$721:'Stocks'!$P$726,"&lt;"&amp;0)</f>
        <v>4</v>
      </c>
      <c r="G154" s="39">
        <f ca="1">COUNTIF(Stocks!$P$721:'Stocks'!$P$726,"="&amp;0)</f>
        <v>0</v>
      </c>
      <c r="H154" s="8">
        <f t="shared" ca="1" si="1"/>
        <v>20</v>
      </c>
      <c r="I154" s="8">
        <f t="shared" ca="1" si="2"/>
        <v>80</v>
      </c>
      <c r="J154" s="8"/>
      <c r="K154" s="8"/>
      <c r="L154" s="8"/>
    </row>
    <row r="155" spans="1:12" x14ac:dyDescent="0.25">
      <c r="A155" s="40" t="s">
        <v>56</v>
      </c>
      <c r="B155" s="41">
        <f>SUM(Stocks!H12:'Stocks'!H23)</f>
        <v>20922477078.109997</v>
      </c>
      <c r="C155" s="41">
        <f ca="1">SUM(Stocks!I12:'Stocks'!I23)</f>
        <v>21538004337.610004</v>
      </c>
      <c r="D155" s="40">
        <f t="shared" ca="1" si="0"/>
        <v>2.9419425682822178</v>
      </c>
      <c r="E155" s="39">
        <f ca="1">COUNTIF(Stocks!$G$12:'Stocks'!$G$23,"&gt;"&amp;0)</f>
        <v>3</v>
      </c>
      <c r="F155" s="39">
        <f ca="1">COUNTIF(Stocks!$G$12:'Stocks'!$G$23,"&lt;"&amp;0)</f>
        <v>7</v>
      </c>
      <c r="G155" s="39">
        <f ca="1">COUNTIF(Stocks!$G$12:'Stocks'!$G$23,"="&amp;0)</f>
        <v>0</v>
      </c>
      <c r="H155" s="8">
        <f t="shared" ca="1" si="1"/>
        <v>30</v>
      </c>
      <c r="I155" s="8">
        <f t="shared" ca="1" si="2"/>
        <v>70</v>
      </c>
      <c r="J155" s="8"/>
      <c r="K155" s="8"/>
      <c r="L155" s="8"/>
    </row>
    <row r="156" spans="1:12" x14ac:dyDescent="0.25">
      <c r="A156" s="8" t="s">
        <v>3561</v>
      </c>
      <c r="B156" s="12">
        <f>SUM(Stocks!Q855:'Stocks'!Q904)+Stocks!Z1010</f>
        <v>401663791424.05005</v>
      </c>
      <c r="C156" s="12">
        <f ca="1">SUM(Stocks!R855:'Stocks'!R904)+Stocks!AA1010</f>
        <v>344302164859.65997</v>
      </c>
      <c r="D156" s="8">
        <f t="shared" ca="1" si="0"/>
        <v>-14.28100510653983</v>
      </c>
      <c r="E156" s="39">
        <f ca="1">COUNTIF(Stocks!$P$855:'Stocks'!$P$904,"&gt;"&amp;0)+COUNTIF(Stocks!$Y$1010,"&gt;"&amp;0)</f>
        <v>14</v>
      </c>
      <c r="F156" s="39">
        <f ca="1">COUNTIF(Stocks!$P$855:'Stocks'!$P$904,"&lt;"&amp;0)+COUNTIF(Stocks!$Y$1010,"&gt;"&amp;0)</f>
        <v>34</v>
      </c>
      <c r="G156" s="39">
        <f ca="1">COUNTIF(Stocks!$P$855:'Stocks'!$P$904,"="&amp;0)+COUNTIF(Stocks!$Y$1010,"="&amp;0)</f>
        <v>1</v>
      </c>
      <c r="H156" s="8">
        <f t="shared" ca="1" si="1"/>
        <v>28.571428571428569</v>
      </c>
      <c r="I156" s="8">
        <f t="shared" ca="1" si="2"/>
        <v>69.387755102040813</v>
      </c>
      <c r="J156" s="8"/>
      <c r="K156" s="8"/>
      <c r="L156" s="8"/>
    </row>
    <row r="157" spans="1:12" x14ac:dyDescent="0.25">
      <c r="A157" s="8" t="s">
        <v>3906</v>
      </c>
      <c r="B157" s="12">
        <f>SUM(Stocks!Q936:'Stocks'!Q978)+Stocks!Q1012+Stocks!Q1021</f>
        <v>734756020995.23022</v>
      </c>
      <c r="C157" s="12">
        <f ca="1">SUM(Stocks!R936:'Stocks'!R978)+Stocks!R1012+Stocks!R1021</f>
        <v>738715311436.1001</v>
      </c>
      <c r="D157" s="8">
        <f t="shared" ca="1" si="0"/>
        <v>0.53885784229532363</v>
      </c>
      <c r="E157" s="39">
        <f ca="1">COUNTIF(Stocks!$P$936:'Stocks'!$P$978,"&gt;"&amp;0)+COUNTIF(Stocks!$P$1012,"&gt;"&amp;0)+COUNTIF(Stocks!P1021,"&gt;"&amp;0)</f>
        <v>15</v>
      </c>
      <c r="F157" s="39">
        <f ca="1">COUNTIF(Stocks!$P$936:'Stocks'!$P$978,"&lt;"&amp;0)+COUNTIF(Stocks!$P$1012,"&lt;"&amp;0)+COUNTIF(Stocks!P1021,"&lt;"&amp;0)</f>
        <v>26</v>
      </c>
      <c r="G157" s="39">
        <f ca="1">COUNTIF(Stocks!$P$936:'Stocks'!$P$978,"="&amp;0)+COUNTIF(Stocks!$P$1012,"="&amp;0)+COUNTIF(Stocks!P1021,"="&amp;0)</f>
        <v>3</v>
      </c>
      <c r="H157" s="8">
        <f t="shared" ca="1" si="1"/>
        <v>34.090909090909086</v>
      </c>
      <c r="I157" s="8">
        <f t="shared" ca="1" si="2"/>
        <v>59.090909090909093</v>
      </c>
      <c r="J157" s="8"/>
      <c r="K157" s="8"/>
      <c r="L157" s="8"/>
    </row>
    <row r="158" spans="1:12" x14ac:dyDescent="0.25">
      <c r="A158" s="40" t="s">
        <v>807</v>
      </c>
      <c r="B158" s="41">
        <f>SUM(Stocks!Q193:'Stocks'!Q222)+Stocks!AI1034</f>
        <v>6731895936195.6895</v>
      </c>
      <c r="C158" s="41">
        <f ca="1">SUM(Stocks!R193:'Stocks'!R222)+Stocks!AJ1034</f>
        <v>7303615852784.6289</v>
      </c>
      <c r="D158" s="40">
        <f t="shared" ca="1" si="0"/>
        <v>8.4927028285589969</v>
      </c>
      <c r="E158" s="39">
        <f ca="1">COUNTIF(Stocks!$P$193:'Stocks'!$P$222,"&gt;"&amp;0)+COUNTIF(Stocks!AH1034,"&gt;"&amp;0)</f>
        <v>13</v>
      </c>
      <c r="F158" s="39">
        <f ca="1">COUNTIF(Stocks!$P$193:'Stocks'!$P$222,"&lt;"&amp;0)+COUNTIF(Stocks!AH1034,"&lt;"&amp;0)</f>
        <v>16</v>
      </c>
      <c r="G158" s="39">
        <f ca="1">COUNTIF(Stocks!$P$193:'Stocks'!$P$222,"="&amp;0)+COUNTIF(Stocks!AH1034,"="&amp;0)</f>
        <v>0</v>
      </c>
      <c r="H158" s="8">
        <f t="shared" ca="1" si="1"/>
        <v>44.827586206896555</v>
      </c>
      <c r="I158" s="8">
        <f t="shared" ca="1" si="2"/>
        <v>55.172413793103445</v>
      </c>
      <c r="J158" s="8"/>
      <c r="K158" s="8"/>
      <c r="L158" s="8"/>
    </row>
    <row r="159" spans="1:12" x14ac:dyDescent="0.25">
      <c r="A159" s="40" t="s">
        <v>1907</v>
      </c>
      <c r="B159" s="41">
        <f>SUM(Stocks!Q458:'Stocks'!Q472)</f>
        <v>1086285211232.1501</v>
      </c>
      <c r="C159" s="41">
        <f ca="1">SUM(Stocks!R458:'Stocks'!R472)</f>
        <v>971412048019.3999</v>
      </c>
      <c r="D159" s="40">
        <f t="shared" ca="1" si="0"/>
        <v>-10.574862110333996</v>
      </c>
      <c r="E159" s="39">
        <f ca="1">COUNTIF(Stocks!$P$458:'Stocks'!$P$472,"&gt;"&amp;0)</f>
        <v>2</v>
      </c>
      <c r="F159" s="39">
        <f ca="1">COUNTIF(Stocks!$P$458:'Stocks'!$P$472,"&lt;"&amp;0)</f>
        <v>12</v>
      </c>
      <c r="G159" s="39">
        <f ca="1">COUNTIF(Stocks!$P$458:'Stocks'!$P$472,"="&amp;0)</f>
        <v>0</v>
      </c>
      <c r="H159" s="8">
        <f t="shared" ca="1" si="1"/>
        <v>14.285714285714285</v>
      </c>
      <c r="I159" s="8">
        <f t="shared" ca="1" si="2"/>
        <v>85.714285714285708</v>
      </c>
      <c r="J159" s="8"/>
      <c r="K159" s="8"/>
      <c r="L159" s="8"/>
    </row>
    <row r="160" spans="1:12" x14ac:dyDescent="0.25">
      <c r="A160" s="40" t="s">
        <v>2755</v>
      </c>
      <c r="B160" s="41">
        <f>SUM(Stocks!Z663:'Stocks'!Z703)+Stocks!H998+Stocks!AI1014</f>
        <v>4286571138223.1895</v>
      </c>
      <c r="C160" s="41">
        <f ca="1">SUM(Stocks!AA663:'Stocks'!AA703)+Stocks!I998+Stocks!AJ1014</f>
        <v>4264308407923.5405</v>
      </c>
      <c r="D160" s="40">
        <f t="shared" ca="1" si="0"/>
        <v>-0.51935987020331975</v>
      </c>
      <c r="E160" s="39">
        <f ca="1">COUNTIF(Stocks!$Y$663:'Stocks'!$Y$703,"&gt;"&amp;0)+COUNTIF(Stocks!$G$998,"&gt;"&amp;0)+COUNTIF(Stocks!$AH$1014,"&gt;"&amp;0)</f>
        <v>12</v>
      </c>
      <c r="F160" s="39">
        <f ca="1">COUNTIF(Stocks!$Y$663:'Stocks'!$Y$703,"&lt;"&amp;0)+COUNTIF(Stocks!$G$998,"&lt;"&amp;0)+COUNTIF(Stocks!$AH$1014,"&lt;"&amp;0)</f>
        <v>29</v>
      </c>
      <c r="G160" s="39">
        <f ca="1">COUNTIF(Stocks!$Y$663:'Stocks'!$Y$703,"="&amp;0)+COUNTIF(Stocks!$G$998,"="&amp;0)+COUNTIF(Stocks!$AH$1014,"="&amp;0)</f>
        <v>1</v>
      </c>
      <c r="H160" s="8">
        <f t="shared" ca="1" si="1"/>
        <v>28.571428571428569</v>
      </c>
      <c r="I160" s="8">
        <f t="shared" ca="1" si="2"/>
        <v>69.047619047619051</v>
      </c>
      <c r="J160" s="8"/>
      <c r="K160" s="8"/>
      <c r="L160" s="8"/>
    </row>
    <row r="161" spans="1:12" x14ac:dyDescent="0.25">
      <c r="A161" s="40" t="s">
        <v>4094</v>
      </c>
      <c r="B161" s="41">
        <f>SUM(Stocks!Q979:'Stocks'!Q999)</f>
        <v>48861667272.44001</v>
      </c>
      <c r="C161" s="41">
        <f ca="1">SUM(Stocks!R979:'Stocks'!R999)</f>
        <v>44446842363.390007</v>
      </c>
      <c r="D161" s="40">
        <f t="shared" ca="1" si="0"/>
        <v>-9.0353546153758568</v>
      </c>
      <c r="E161" s="39">
        <f ca="1">COUNTIF(Stocks!$P$979:'Stocks'!$P$999,"&gt;"&amp;0)</f>
        <v>2</v>
      </c>
      <c r="F161" s="39">
        <f ca="1">COUNTIF(Stocks!$P$979:'Stocks'!$P$999,"&lt;"&amp;0)</f>
        <v>16</v>
      </c>
      <c r="G161" s="39">
        <f ca="1">COUNTIF(Stocks!$P$979:'Stocks'!$P$999,"="&amp;0)</f>
        <v>2</v>
      </c>
      <c r="H161" s="8">
        <f t="shared" ca="1" si="1"/>
        <v>10</v>
      </c>
      <c r="I161" s="8">
        <f t="shared" ca="1" si="2"/>
        <v>80</v>
      </c>
      <c r="J161" s="8"/>
      <c r="K161" s="8"/>
      <c r="L161" s="8"/>
    </row>
    <row r="162" spans="1:12" x14ac:dyDescent="0.25">
      <c r="A162" s="40" t="s">
        <v>815</v>
      </c>
      <c r="B162" s="41">
        <f>SUM(Stocks!H195:'Stocks'!H198)</f>
        <v>38037500677</v>
      </c>
      <c r="C162" s="41">
        <f ca="1">SUM(Stocks!I195:'Stocks'!I198)</f>
        <v>36444117705.099998</v>
      </c>
      <c r="D162" s="40">
        <f t="shared" ca="1" si="0"/>
        <v>-4.1889791483157746</v>
      </c>
      <c r="E162" s="39">
        <f ca="1">COUNTIF(Stocks!$G$195:'Stocks'!$G$198,"&gt;"&amp;0)</f>
        <v>1</v>
      </c>
      <c r="F162" s="39">
        <f ca="1">COUNTIF(Stocks!$G$195:'Stocks'!$G$198,"&lt;"&amp;0)</f>
        <v>3</v>
      </c>
      <c r="G162" s="39">
        <f ca="1">COUNTIF(Stocks!$G$195:'Stocks'!$G$198,"="&amp;0)</f>
        <v>0</v>
      </c>
      <c r="H162" s="8">
        <f t="shared" ca="1" si="1"/>
        <v>25</v>
      </c>
      <c r="I162" s="8">
        <f t="shared" ca="1" si="2"/>
        <v>75</v>
      </c>
      <c r="J162" s="8"/>
      <c r="K162" s="8"/>
      <c r="L162" s="8"/>
    </row>
    <row r="163" spans="1:12" x14ac:dyDescent="0.25">
      <c r="A163" s="42" t="s">
        <v>1584</v>
      </c>
      <c r="B163" s="43">
        <f>SUM(Stocks!AI380:'Stocks'!AI384)</f>
        <v>654219465196.15002</v>
      </c>
      <c r="C163" s="43">
        <f ca="1">SUM(Stocks!AJ380:'Stocks'!AJ384)</f>
        <v>605550805169.90002</v>
      </c>
      <c r="D163" s="42">
        <f t="shared" ca="1" si="0"/>
        <v>-7.4391947374506842</v>
      </c>
      <c r="E163" s="39">
        <f ca="1">COUNTIF(Stocks!$AH$380:'Stocks'!$AH$384,"&gt;"&amp;0)</f>
        <v>0</v>
      </c>
      <c r="F163" s="39">
        <f ca="1">COUNTIF(Stocks!$AH$380:'Stocks'!$AH$384,"&lt;"&amp;0)</f>
        <v>3</v>
      </c>
      <c r="G163" s="39">
        <f ca="1">COUNTIF(Stocks!$AH$380:'Stocks'!$AH$384,"="&amp;0)</f>
        <v>1</v>
      </c>
      <c r="H163" s="8">
        <f t="shared" ca="1" si="1"/>
        <v>0</v>
      </c>
      <c r="I163" s="8">
        <f t="shared" ca="1" si="2"/>
        <v>75</v>
      </c>
      <c r="J163" s="8"/>
      <c r="K163" s="8"/>
      <c r="L163" s="8"/>
    </row>
    <row r="164" spans="1:12" x14ac:dyDescent="0.25">
      <c r="A164" s="40" t="s">
        <v>2594</v>
      </c>
      <c r="B164" s="41">
        <f>SUM(Stocks!H625:'Stocks'!H632)</f>
        <v>5585589507.7999992</v>
      </c>
      <c r="C164" s="41">
        <f ca="1">SUM(Stocks!I625:'Stocks'!I632)</f>
        <v>5587875369.8000002</v>
      </c>
      <c r="D164" s="40">
        <f t="shared" ca="1" si="0"/>
        <v>4.0924274811259591E-2</v>
      </c>
      <c r="E164" s="39">
        <f ca="1">COUNTIF(Stocks!$G$625:'Stocks'!$G$632,"&gt;"&amp;0)</f>
        <v>3</v>
      </c>
      <c r="F164" s="39">
        <f ca="1">COUNTIF(Stocks!$G$625:'Stocks'!$G$632,"&lt;"&amp;0)</f>
        <v>4</v>
      </c>
      <c r="G164" s="39">
        <f ca="1">COUNTIF(Stocks!$G$625:'Stocks'!$G$632,"="&amp;0)</f>
        <v>1</v>
      </c>
      <c r="H164" s="8">
        <f t="shared" ca="1" si="1"/>
        <v>37.5</v>
      </c>
      <c r="I164" s="8">
        <f t="shared" ca="1" si="2"/>
        <v>50</v>
      </c>
      <c r="J164" s="8"/>
      <c r="K164" s="8"/>
      <c r="L164" s="8"/>
    </row>
    <row r="165" spans="1:12" x14ac:dyDescent="0.25">
      <c r="A165" s="40" t="s">
        <v>3501</v>
      </c>
      <c r="B165" s="41">
        <f>SUM(Stocks!Q841:'Stocks'!Q844)</f>
        <v>41507405045.5</v>
      </c>
      <c r="C165" s="41">
        <f ca="1">SUM(Stocks!R841:'Stocks'!R844)</f>
        <v>42470868873.199997</v>
      </c>
      <c r="D165" s="40">
        <f t="shared" ca="1" si="0"/>
        <v>2.3211854044931441</v>
      </c>
      <c r="E165" s="39">
        <f ca="1">COUNTIF(Stocks!$P$841:'Stocks'!$P$844,"&gt;"&amp;0)</f>
        <v>1</v>
      </c>
      <c r="F165" s="39">
        <f ca="1">COUNTIF(Stocks!$P$841:'Stocks'!$P$844,"&lt;"&amp;0)</f>
        <v>3</v>
      </c>
      <c r="G165" s="39">
        <f ca="1">COUNTIF(Stocks!$P$841:'Stocks'!$P$844,"="&amp;0)</f>
        <v>0</v>
      </c>
      <c r="H165" s="8">
        <f t="shared" ca="1" si="1"/>
        <v>25</v>
      </c>
      <c r="I165" s="8">
        <f t="shared" ca="1" si="2"/>
        <v>75</v>
      </c>
      <c r="J165" s="8"/>
      <c r="K165" s="8"/>
      <c r="L165" s="8"/>
    </row>
    <row r="166" spans="1:12" x14ac:dyDescent="0.25">
      <c r="A166" s="42" t="s">
        <v>876</v>
      </c>
      <c r="B166" s="43">
        <f>SUM(Stocks!H209:'Stocks'!H212)</f>
        <v>1061007695.4799999</v>
      </c>
      <c r="C166" s="43">
        <f ca="1">SUM(Stocks!I209:'Stocks'!I212)</f>
        <v>1019480676.11</v>
      </c>
      <c r="D166" s="42">
        <f t="shared" ca="1" si="0"/>
        <v>-3.9139225424008881</v>
      </c>
      <c r="E166" s="39">
        <f ca="1">COUNTIF(Stocks!$G$209:'Stocks'!$G$212,"&gt;"&amp;0)</f>
        <v>1</v>
      </c>
      <c r="F166" s="39">
        <f ca="1">COUNTIF(Stocks!$G$209:'Stocks'!$G$212,"&lt;"&amp;0)</f>
        <v>3</v>
      </c>
      <c r="G166" s="39">
        <f ca="1">COUNTIF(Stocks!$G$209:'Stocks'!$G$212,"="&amp;0)</f>
        <v>0</v>
      </c>
      <c r="H166" s="8">
        <f t="shared" ca="1" si="1"/>
        <v>25</v>
      </c>
      <c r="I166" s="8">
        <f t="shared" ca="1" si="2"/>
        <v>75</v>
      </c>
      <c r="J166" s="8"/>
      <c r="K166" s="8"/>
      <c r="L166" s="8"/>
    </row>
    <row r="167" spans="1:12" x14ac:dyDescent="0.25">
      <c r="A167" s="8" t="s">
        <v>4168</v>
      </c>
      <c r="B167" s="12">
        <f>SUM(Stocks!H995:'Stocks'!H996)+Stocks!H1007+Stocks!AI1001</f>
        <v>209444133784</v>
      </c>
      <c r="C167" s="12">
        <f ca="1">SUM(Stocks!I995:'Stocks'!I996)+Stocks!I1007+Stocks!AJ1001</f>
        <v>208260036588</v>
      </c>
      <c r="D167" s="8">
        <f t="shared" ca="1" si="0"/>
        <v>-0.565352284930148</v>
      </c>
      <c r="E167" s="39">
        <f ca="1">COUNTIF(Stocks!$G$995:'Stocks'!$G$996,"&gt;"&amp;0)+COUNTIF(Stocks!$G$1007,"&gt;"&amp;0)+COUNTIF(Stocks!$AH$1001,"&gt;"&amp;0)</f>
        <v>1</v>
      </c>
      <c r="F167" s="39">
        <f ca="1">COUNTIF(Stocks!$G$995:'Stocks'!$G$996,"&lt;"&amp;0)+COUNTIF(Stocks!$G$1007,"&lt;"&amp;0)+COUNTIF(Stocks!$AH$1001,"&lt;"&amp;0)</f>
        <v>3</v>
      </c>
      <c r="G167" s="39">
        <f ca="1">COUNTIF(Stocks!$G$995:'Stocks'!$G$996,"="&amp;0)+COUNTIF(Stocks!$G$1007,"="&amp;0)+COUNTIF(Stocks!$AH$1001,"="&amp;0)</f>
        <v>0</v>
      </c>
      <c r="H167" s="8">
        <f t="shared" ca="1" si="1"/>
        <v>25</v>
      </c>
      <c r="I167" s="8">
        <f t="shared" ca="1" si="2"/>
        <v>75</v>
      </c>
      <c r="J167" s="8"/>
      <c r="K167" s="8"/>
      <c r="L167" s="8"/>
    </row>
    <row r="168" spans="1:12" x14ac:dyDescent="0.25">
      <c r="A168" s="8" t="s">
        <v>2721</v>
      </c>
      <c r="B168" s="12">
        <f>SUM(Stocks!AI655:'Stocks'!AI662)</f>
        <v>7834803286853.5713</v>
      </c>
      <c r="C168" s="12">
        <f ca="1">SUM(Stocks!AJ655:'Stocks'!AJ662)</f>
        <v>8443817612688.8389</v>
      </c>
      <c r="D168" s="8">
        <f t="shared" ca="1" si="0"/>
        <v>7.7731923002733812</v>
      </c>
      <c r="E168" s="39">
        <f ca="1">COUNTIF(Stocks!$AH$655:'Stocks'!$AH$662,"&gt;"&amp;0)</f>
        <v>3</v>
      </c>
      <c r="F168" s="39">
        <f ca="1">COUNTIF(Stocks!$AH$655:'Stocks'!$AH$662,"&lt;"&amp;0)</f>
        <v>5</v>
      </c>
      <c r="G168" s="39">
        <f ca="1">COUNTIF(Stocks!$AH$655:'Stocks'!$AH$662,"="&amp;0)</f>
        <v>0</v>
      </c>
      <c r="H168" s="8">
        <f t="shared" ca="1" si="1"/>
        <v>37.5</v>
      </c>
      <c r="I168" s="8">
        <f t="shared" ca="1" si="2"/>
        <v>62.5</v>
      </c>
      <c r="J168" s="8"/>
      <c r="K168" s="8"/>
      <c r="L168" s="8"/>
    </row>
    <row r="169" spans="1:12" x14ac:dyDescent="0.25">
      <c r="A169" s="40" t="s">
        <v>3883</v>
      </c>
      <c r="B169" s="41">
        <f>SUM(Stocks!H931:'Stocks'!H934)</f>
        <v>660842483210.90002</v>
      </c>
      <c r="C169" s="41">
        <f ca="1">SUM(Stocks!I931:'Stocks'!I934)</f>
        <v>837316988330.05005</v>
      </c>
      <c r="D169" s="40">
        <f t="shared" ca="1" si="0"/>
        <v>26.704473396095253</v>
      </c>
      <c r="E169" s="39">
        <f ca="1">COUNTIF(Stocks!$G$931:'Stocks'!$G$934,"&gt;"&amp;0)</f>
        <v>2</v>
      </c>
      <c r="F169" s="39">
        <f ca="1">COUNTIF(Stocks!$G$931:'Stocks'!$G$934,"&lt;"&amp;0)</f>
        <v>2</v>
      </c>
      <c r="G169" s="39">
        <f ca="1">COUNTIF(Stocks!$G$931:'Stocks'!$G$934,"="&amp;0)</f>
        <v>0</v>
      </c>
      <c r="H169" s="8">
        <f t="shared" ca="1" si="1"/>
        <v>50</v>
      </c>
      <c r="I169" s="8">
        <f t="shared" ca="1" si="2"/>
        <v>50</v>
      </c>
      <c r="J169" s="8"/>
      <c r="K169" s="8"/>
      <c r="L169" s="8"/>
    </row>
    <row r="170" spans="1:12" x14ac:dyDescent="0.25">
      <c r="A170" s="40" t="s">
        <v>4111</v>
      </c>
      <c r="B170" s="41">
        <f>SUM(Stocks!Z982:'Stocks'!Z988)</f>
        <v>54558870886.620003</v>
      </c>
      <c r="C170" s="41">
        <f ca="1">SUM(Stocks!AA982:'Stocks'!AA988)</f>
        <v>50133651351.309998</v>
      </c>
      <c r="D170" s="40">
        <f t="shared" ca="1" si="0"/>
        <v>-8.1109074718686021</v>
      </c>
      <c r="E170" s="39">
        <f ca="1">COUNTIF(Stocks!$Y$982:'Stocks'!$Y$988,"&gt;"&amp;0)</f>
        <v>2</v>
      </c>
      <c r="F170" s="39">
        <f ca="1">COUNTIF(Stocks!$Y$982:'Stocks'!$Y$988,"&lt;"&amp;0)</f>
        <v>5</v>
      </c>
      <c r="G170" s="39">
        <f ca="1">COUNTIF(Stocks!$Y$982:'Stocks'!$Y$988,"="&amp;0)</f>
        <v>0</v>
      </c>
      <c r="H170" s="8">
        <f t="shared" ca="1" si="1"/>
        <v>28.571428571428569</v>
      </c>
      <c r="I170" s="8">
        <f t="shared" ca="1" si="2"/>
        <v>71.428571428571431</v>
      </c>
      <c r="J170" s="8"/>
      <c r="K170" s="8"/>
      <c r="L170" s="8"/>
    </row>
    <row r="171" spans="1:12" x14ac:dyDescent="0.25">
      <c r="A171" s="40" t="s">
        <v>204</v>
      </c>
      <c r="B171" s="41">
        <f>SUM(Stocks!H47:'Stocks'!H60)</f>
        <v>1455005330459.29</v>
      </c>
      <c r="C171" s="41">
        <f ca="1">SUM(Stocks!I47:'Stocks'!I60)</f>
        <v>1529816858116.4297</v>
      </c>
      <c r="D171" s="40">
        <f t="shared" ca="1" si="0"/>
        <v>5.1416669128988328</v>
      </c>
      <c r="E171" s="39">
        <f ca="1">COUNTIF(Stocks!$G$47:'Stocks'!$G$60,"&gt;"&amp;0)</f>
        <v>2</v>
      </c>
      <c r="F171" s="39">
        <f ca="1">COUNTIF(Stocks!$G$47:'Stocks'!$G$60,"&lt;"&amp;0)</f>
        <v>12</v>
      </c>
      <c r="G171" s="39">
        <f ca="1">COUNTIF(Stocks!$G$47:'Stocks'!$G$60,"="&amp;0)</f>
        <v>0</v>
      </c>
      <c r="H171" s="8">
        <f t="shared" ca="1" si="1"/>
        <v>14.285714285714285</v>
      </c>
      <c r="I171" s="8">
        <f t="shared" ca="1" si="2"/>
        <v>85.714285714285708</v>
      </c>
      <c r="J171" s="8"/>
      <c r="K171" s="8"/>
      <c r="L171" s="8"/>
    </row>
    <row r="172" spans="1:12" x14ac:dyDescent="0.25">
      <c r="A172" s="40" t="s">
        <v>3639</v>
      </c>
      <c r="B172" s="41">
        <f>SUM(Stocks!H874:'Stocks'!H876)</f>
        <v>3339548506.9499998</v>
      </c>
      <c r="C172" s="41">
        <f ca="1">SUM(Stocks!I874:'Stocks'!I876)</f>
        <v>2727881777.3400002</v>
      </c>
      <c r="D172" s="40">
        <f t="shared" ca="1" si="0"/>
        <v>-18.315851030073318</v>
      </c>
      <c r="E172" s="39">
        <f ca="1">COUNTIF(Stocks!$G$874:'Stocks'!$G$876,"&gt;"&amp;0)</f>
        <v>0</v>
      </c>
      <c r="F172" s="39">
        <f ca="1">COUNTIF(Stocks!$G$874:'Stocks'!$G$876,"&lt;"&amp;0)</f>
        <v>3</v>
      </c>
      <c r="G172" s="39">
        <f ca="1">COUNTIF(Stocks!$G$874:'Stocks'!$G$876,"="&amp;0)</f>
        <v>0</v>
      </c>
      <c r="H172" s="8">
        <f t="shared" ca="1" si="1"/>
        <v>0</v>
      </c>
      <c r="I172" s="8">
        <f t="shared" ca="1" si="2"/>
        <v>100</v>
      </c>
      <c r="J172" s="8"/>
      <c r="K172" s="8"/>
      <c r="L172" s="8"/>
    </row>
    <row r="173" spans="1:12" x14ac:dyDescent="0.25">
      <c r="A173" s="8" t="s">
        <v>3085</v>
      </c>
      <c r="B173" s="12">
        <f>SUM(Stocks!Q742:'Stocks'!Q747)</f>
        <v>10856316447442</v>
      </c>
      <c r="C173" s="12">
        <f ca="1">SUM(Stocks!R742:'Stocks'!R747)</f>
        <v>10262231130249.699</v>
      </c>
      <c r="D173" s="8">
        <f t="shared" ca="1" si="0"/>
        <v>-5.4722549777211134</v>
      </c>
      <c r="E173" s="39">
        <f ca="1">COUNTIF(Stocks!$P$742:'Stocks'!$P$747,"&gt;"&amp;0)</f>
        <v>3</v>
      </c>
      <c r="F173" s="39">
        <f ca="1">COUNTIF(Stocks!$P$742:'Stocks'!$P$747,"&lt;"&amp;0)</f>
        <v>3</v>
      </c>
      <c r="G173" s="39">
        <f ca="1">COUNTIF(Stocks!$P$742:'Stocks'!$P$747,"="&amp;0)</f>
        <v>0</v>
      </c>
      <c r="H173" s="8">
        <f t="shared" ca="1" si="1"/>
        <v>50</v>
      </c>
      <c r="I173" s="8">
        <f t="shared" ca="1" si="2"/>
        <v>50</v>
      </c>
      <c r="J173" s="8"/>
      <c r="K173" s="8"/>
      <c r="L173" s="8"/>
    </row>
    <row r="174" spans="1:12" x14ac:dyDescent="0.25">
      <c r="A174" s="8" t="s">
        <v>41</v>
      </c>
      <c r="B174" s="12">
        <f>SUM(Stocks!H9:'Stocks'!H11)</f>
        <v>457534942127.90002</v>
      </c>
      <c r="C174" s="12">
        <f ca="1">SUM(Stocks!I9:'Stocks'!I11)</f>
        <v>467872076142.09998</v>
      </c>
      <c r="D174" s="8">
        <f t="shared" ca="1" si="0"/>
        <v>2.2593102870185362</v>
      </c>
      <c r="E174" s="39">
        <f ca="1">COUNTIF(Stocks!$G$9:'Stocks'!$G$11,"&gt;"&amp;0)</f>
        <v>1</v>
      </c>
      <c r="F174" s="39">
        <f ca="1">COUNTIF(Stocks!$G$9:'Stocks'!$G$11,"&lt;"&amp;0)</f>
        <v>2</v>
      </c>
      <c r="G174" s="39">
        <f ca="1">COUNTIF(Stocks!$G$9:'Stocks'!$G$11,"="&amp;0)</f>
        <v>0</v>
      </c>
      <c r="H174" s="8">
        <f t="shared" ca="1" si="1"/>
        <v>33.333333333333329</v>
      </c>
      <c r="I174" s="8">
        <f t="shared" ca="1" si="2"/>
        <v>66.666666666666657</v>
      </c>
      <c r="J174" s="8"/>
      <c r="K174" s="8"/>
      <c r="L174" s="8"/>
    </row>
    <row r="175" spans="1:12" x14ac:dyDescent="0.25">
      <c r="A175" s="8" t="s">
        <v>3118</v>
      </c>
      <c r="B175" s="12">
        <f>SUM(Stocks!H750:'Stocks'!H752)</f>
        <v>10006894159547.699</v>
      </c>
      <c r="C175" s="12">
        <f ca="1">SUM(Stocks!I750:'Stocks'!I752)</f>
        <v>9868317263815.8516</v>
      </c>
      <c r="D175" s="8">
        <f t="shared" ca="1" si="0"/>
        <v>-1.3848142442840743</v>
      </c>
      <c r="E175" s="39">
        <f ca="1">COUNTIF(Stocks!$G$750:'Stocks'!$G$752,"&gt;"&amp;0)</f>
        <v>1</v>
      </c>
      <c r="F175" s="39">
        <f ca="1">COUNTIF(Stocks!$G$750:'Stocks'!$G$752,"&lt;"&amp;0)</f>
        <v>2</v>
      </c>
      <c r="G175" s="39">
        <f ca="1">COUNTIF(Stocks!$G$750:'Stocks'!$G$752,"="&amp;0)</f>
        <v>0</v>
      </c>
      <c r="H175" s="8">
        <f t="shared" ca="1" si="1"/>
        <v>33.333333333333329</v>
      </c>
      <c r="I175" s="8">
        <f t="shared" ca="1" si="2"/>
        <v>66.666666666666657</v>
      </c>
      <c r="J175" s="8"/>
      <c r="K175" s="8"/>
      <c r="L175" s="8"/>
    </row>
    <row r="176" spans="1:12" x14ac:dyDescent="0.25">
      <c r="A176" s="42" t="s">
        <v>1672</v>
      </c>
      <c r="B176" s="43">
        <f>SUM(Stocks!Q401:'Stocks'!Q403)</f>
        <v>483942047512.54999</v>
      </c>
      <c r="C176" s="43">
        <f ca="1">SUM(Stocks!R401:'Stocks'!R403)</f>
        <v>546325748428.85004</v>
      </c>
      <c r="D176" s="42">
        <f t="shared" ca="1" si="0"/>
        <v>12.890737896603676</v>
      </c>
      <c r="E176" s="39">
        <f ca="1">COUNTIF(Stocks!$P$401:'Stocks'!$P$403,"&gt;"&amp;0)</f>
        <v>1</v>
      </c>
      <c r="F176" s="39">
        <f ca="1">COUNTIF(Stocks!$P$401:'Stocks'!$P$403,"&lt;"&amp;0)</f>
        <v>2</v>
      </c>
      <c r="G176" s="39">
        <f ca="1">COUNTIF(Stocks!$P$401:'Stocks'!$P$403,"="&amp;0)</f>
        <v>0</v>
      </c>
      <c r="H176" s="8">
        <f t="shared" ca="1" si="1"/>
        <v>33.333333333333329</v>
      </c>
      <c r="I176" s="8">
        <f t="shared" ca="1" si="2"/>
        <v>66.666666666666657</v>
      </c>
      <c r="J176" s="8"/>
      <c r="K176" s="8"/>
      <c r="L176" s="8"/>
    </row>
    <row r="177" spans="1:12" x14ac:dyDescent="0.25">
      <c r="A177" s="40" t="s">
        <v>2501</v>
      </c>
      <c r="B177" s="41">
        <f>SUM(Stocks!H603:'Stocks'!H607)</f>
        <v>267275666367.50998</v>
      </c>
      <c r="C177" s="41">
        <f ca="1">SUM(Stocks!I603:'Stocks'!I607)</f>
        <v>272827343526.86996</v>
      </c>
      <c r="D177" s="40">
        <f t="shared" ca="1" si="0"/>
        <v>2.0771352793958826</v>
      </c>
      <c r="E177" s="39">
        <f ca="1">COUNTIF(Stocks!$G$603:'Stocks'!$G$607,"&gt;"&amp;0)</f>
        <v>3</v>
      </c>
      <c r="F177" s="39">
        <f ca="1">COUNTIF(Stocks!$G$603:'Stocks'!$G$607,"&lt;"&amp;0)</f>
        <v>2</v>
      </c>
      <c r="G177" s="39">
        <f ca="1">COUNTIF(Stocks!$G$603:'Stocks'!$G$607,"="&amp;0)</f>
        <v>0</v>
      </c>
      <c r="H177" s="8">
        <f t="shared" ca="1" si="1"/>
        <v>60</v>
      </c>
      <c r="I177" s="8">
        <f t="shared" ca="1" si="2"/>
        <v>40</v>
      </c>
      <c r="J177" s="8"/>
      <c r="K177" s="8"/>
      <c r="L177" s="8"/>
    </row>
    <row r="178" spans="1:12" x14ac:dyDescent="0.25">
      <c r="A178" s="40" t="s">
        <v>1315</v>
      </c>
      <c r="B178" s="41">
        <f>SUM(Stocks!H316:'Stocks'!H320)</f>
        <v>209210682799.20001</v>
      </c>
      <c r="C178" s="41">
        <f ca="1">SUM(Stocks!I316:'Stocks'!I320)</f>
        <v>214086232404.60001</v>
      </c>
      <c r="D178" s="40">
        <f t="shared" ca="1" si="0"/>
        <v>2.3304496406044124</v>
      </c>
      <c r="E178" s="39">
        <f ca="1">COUNTIF(Stocks!$G$316:'Stocks'!$G$320,"&gt;"&amp;0)</f>
        <v>1</v>
      </c>
      <c r="F178" s="39">
        <f ca="1">COUNTIF(Stocks!$G$316:'Stocks'!$G$320,"&lt;"&amp;0)</f>
        <v>4</v>
      </c>
      <c r="G178" s="39">
        <f ca="1">COUNTIF(Stocks!$G$316:'Stocks'!$G$320,"="&amp;0)</f>
        <v>0</v>
      </c>
      <c r="H178" s="8">
        <f t="shared" ca="1" si="1"/>
        <v>20</v>
      </c>
      <c r="I178" s="8">
        <f t="shared" ca="1" si="2"/>
        <v>80</v>
      </c>
      <c r="J178" s="8"/>
      <c r="K178" s="8"/>
      <c r="L178" s="8"/>
    </row>
    <row r="179" spans="1:12" x14ac:dyDescent="0.25">
      <c r="A179" s="8" t="s">
        <v>183</v>
      </c>
      <c r="B179" s="12">
        <f>SUM(Stocks!H42:'Stocks'!H46)</f>
        <v>1267127780472.2202</v>
      </c>
      <c r="C179" s="12">
        <f ca="1">SUM(Stocks!I42:'Stocks'!I46)</f>
        <v>1420757829008.28</v>
      </c>
      <c r="D179" s="8">
        <f t="shared" ca="1" si="0"/>
        <v>12.124274355251414</v>
      </c>
      <c r="E179" s="39">
        <f ca="1">COUNTIF(Stocks!$G$42:'Stocks'!$G$46,"&gt;"&amp;0)</f>
        <v>3</v>
      </c>
      <c r="F179" s="39">
        <f ca="1">COUNTIF(Stocks!$G$42:'Stocks'!$G$46,"&lt;"&amp;0)</f>
        <v>2</v>
      </c>
      <c r="G179" s="39">
        <f ca="1">COUNTIF(Stocks!$G$42:'Stocks'!$G$46,"="&amp;0)</f>
        <v>0</v>
      </c>
      <c r="H179" s="8">
        <f t="shared" ca="1" si="1"/>
        <v>60</v>
      </c>
      <c r="I179" s="8">
        <f t="shared" ca="1" si="2"/>
        <v>40</v>
      </c>
      <c r="J179" s="8"/>
      <c r="K179" s="8"/>
      <c r="L179" s="8"/>
    </row>
    <row r="180" spans="1:12" x14ac:dyDescent="0.25">
      <c r="A180" s="42" t="s">
        <v>3618</v>
      </c>
      <c r="B180" s="43">
        <f>SUM(Stocks!H869:'Stocks'!H873)</f>
        <v>210584620103.04999</v>
      </c>
      <c r="C180" s="43">
        <f ca="1">SUM(Stocks!I869:'Stocks'!I873)</f>
        <v>216372112272.95001</v>
      </c>
      <c r="D180" s="42">
        <f t="shared" ca="1" si="0"/>
        <v>2.7482976520640032</v>
      </c>
      <c r="E180" s="39">
        <f ca="1">COUNTIF(Stocks!$G$869:'Stocks'!$G$873,"&gt;"&amp;0)</f>
        <v>2</v>
      </c>
      <c r="F180" s="39">
        <f ca="1">COUNTIF(Stocks!$G$869:'Stocks'!$G$873,"&lt;"&amp;0)</f>
        <v>3</v>
      </c>
      <c r="G180" s="39">
        <f ca="1">COUNTIF(Stocks!$G$869:'Stocks'!$G$873,"="&amp;0)</f>
        <v>0</v>
      </c>
      <c r="H180" s="8">
        <f t="shared" ca="1" si="1"/>
        <v>40</v>
      </c>
      <c r="I180" s="8">
        <f t="shared" ca="1" si="2"/>
        <v>60</v>
      </c>
      <c r="J180" s="8"/>
      <c r="K180" s="8"/>
      <c r="L180" s="8"/>
    </row>
    <row r="181" spans="1:12" x14ac:dyDescent="0.25">
      <c r="A181" s="8" t="s">
        <v>3831</v>
      </c>
      <c r="B181" s="12">
        <f>SUM(Stocks!Q919:'Stocks'!Q935)</f>
        <v>3745801992.1900001</v>
      </c>
      <c r="C181" s="12">
        <f ca="1">SUM(Stocks!R919:'Stocks'!R935)</f>
        <v>3473185643.6199999</v>
      </c>
      <c r="D181" s="8">
        <f t="shared" ca="1" si="0"/>
        <v>-7.2779166955008687</v>
      </c>
      <c r="E181" s="39">
        <f ca="1">COUNTIF(Stocks!$P$919:'Stocks'!$P$935,"&gt;"&amp;0)</f>
        <v>6</v>
      </c>
      <c r="F181" s="39">
        <f ca="1">COUNTIF(Stocks!$P$919:'Stocks'!$P$935,"&lt;"&amp;0)</f>
        <v>11</v>
      </c>
      <c r="G181" s="39">
        <f ca="1">COUNTIF(Stocks!$P$919:'Stocks'!$P$935,"="&amp;0)</f>
        <v>0</v>
      </c>
      <c r="H181" s="8">
        <f t="shared" ca="1" si="1"/>
        <v>35.294117647058826</v>
      </c>
      <c r="I181" s="8">
        <f t="shared" ca="1" si="2"/>
        <v>64.705882352941174</v>
      </c>
      <c r="J181" s="8"/>
      <c r="K181" s="8"/>
      <c r="L181" s="8"/>
    </row>
    <row r="182" spans="1:12" x14ac:dyDescent="0.25">
      <c r="A182" s="40" t="s">
        <v>9</v>
      </c>
      <c r="B182" s="41">
        <f>SUM(Stocks!H2:'Stocks'!H8)</f>
        <v>5210567091285.6992</v>
      </c>
      <c r="C182" s="41">
        <f ca="1">SUM(Stocks!I2:'Stocks'!I8)</f>
        <v>5555188310815.1084</v>
      </c>
      <c r="D182" s="40">
        <f t="shared" ca="1" si="0"/>
        <v>6.6138908393630231</v>
      </c>
      <c r="E182" s="39">
        <f ca="1">COUNTIF(Stocks!$G$2:'Stocks'!$G$8,"&gt;"&amp;0)</f>
        <v>4</v>
      </c>
      <c r="F182" s="39">
        <f ca="1">COUNTIF(Stocks!$G$2:'Stocks'!$G$8,"&lt;"&amp;0)</f>
        <v>3</v>
      </c>
      <c r="G182" s="39">
        <f ca="1">COUNTIF(Stocks!$G$2:'Stocks'!$G$8,"="&amp;0)</f>
        <v>0</v>
      </c>
      <c r="H182" s="8">
        <f t="shared" ca="1" si="1"/>
        <v>57.142857142857139</v>
      </c>
      <c r="I182" s="8">
        <f t="shared" ca="1" si="2"/>
        <v>42.857142857142854</v>
      </c>
      <c r="J182" s="8"/>
      <c r="K182" s="8"/>
      <c r="L182" s="8"/>
    </row>
    <row r="183" spans="1:12" x14ac:dyDescent="0.25">
      <c r="A183" s="42" t="s">
        <v>668</v>
      </c>
      <c r="B183" s="43">
        <f>SUM(Stocks!Q160:'Stocks'!Q161)</f>
        <v>76483143733</v>
      </c>
      <c r="C183" s="43">
        <f ca="1">SUM(Stocks!R160:'Stocks'!R161)</f>
        <v>67687103630.100006</v>
      </c>
      <c r="D183" s="42">
        <f t="shared" ca="1" si="0"/>
        <v>-11.500625724285948</v>
      </c>
      <c r="E183" s="39">
        <f ca="1">COUNTIF(Stocks!$P$160:'Stocks'!$P$161,"&gt;"&amp;0)</f>
        <v>1</v>
      </c>
      <c r="F183" s="39">
        <f ca="1">COUNTIF(Stocks!$P$160:'Stocks'!$P$161,"&lt;"&amp;0)</f>
        <v>1</v>
      </c>
      <c r="G183" s="39">
        <f ca="1">COUNTIF(Stocks!$P$160:'Stocks'!$P$161,"="&amp;0)</f>
        <v>0</v>
      </c>
      <c r="H183" s="8">
        <f t="shared" ca="1" si="1"/>
        <v>50</v>
      </c>
      <c r="I183" s="8">
        <f t="shared" ca="1" si="2"/>
        <v>50</v>
      </c>
      <c r="J183" s="8"/>
      <c r="K183" s="8"/>
      <c r="L183" s="8"/>
    </row>
    <row r="184" spans="1:12" x14ac:dyDescent="0.25">
      <c r="A184" s="8" t="s">
        <v>642</v>
      </c>
      <c r="B184" s="12">
        <f>SUM(Stocks!Q154:'Stocks'!Q157)</f>
        <v>2243295792029.8003</v>
      </c>
      <c r="C184" s="12">
        <f ca="1">SUM(Stocks!R154:'Stocks'!R157)</f>
        <v>2093849362613.5996</v>
      </c>
      <c r="D184" s="8">
        <f t="shared" ca="1" si="0"/>
        <v>-6.6619136873152671</v>
      </c>
      <c r="E184" s="39">
        <f ca="1">COUNTIF(Stocks!$P$154:'Stocks'!$P$157,"&gt;"&amp;0)</f>
        <v>1</v>
      </c>
      <c r="F184" s="39">
        <f ca="1">COUNTIF(Stocks!$P$154:'Stocks'!$P$157,"&lt;"&amp;0)</f>
        <v>3</v>
      </c>
      <c r="G184" s="39">
        <f ca="1">COUNTIF(Stocks!$P$154:'Stocks'!$P$157,"="&amp;0)</f>
        <v>0</v>
      </c>
      <c r="H184" s="8">
        <f t="shared" ca="1" si="1"/>
        <v>25</v>
      </c>
      <c r="I184" s="8">
        <f t="shared" ca="1" si="2"/>
        <v>75</v>
      </c>
      <c r="J184" s="8"/>
      <c r="K184" s="8"/>
      <c r="L184" s="8"/>
    </row>
    <row r="185" spans="1:12" x14ac:dyDescent="0.25">
      <c r="A185" s="8" t="s">
        <v>4082</v>
      </c>
      <c r="B185" s="12">
        <f>SUM(Stocks!AI976:'Stocks'!AI977)</f>
        <v>1305112533364.5</v>
      </c>
      <c r="C185" s="12">
        <f ca="1">SUM(Stocks!AJ976:'Stocks'!AJ977)</f>
        <v>1234749480261.25</v>
      </c>
      <c r="D185" s="8">
        <f t="shared" ca="1" si="0"/>
        <v>-5.3913399269761335</v>
      </c>
      <c r="E185" s="39">
        <f ca="1">COUNTIF(Stocks!$AH$976:'Stocks'!$AH$977,"&gt;"&amp;0)</f>
        <v>0</v>
      </c>
      <c r="F185" s="39">
        <f ca="1">COUNTIF(Stocks!$AH$976:'Stocks'!$AH$977,"&lt;"&amp;0)</f>
        <v>2</v>
      </c>
      <c r="G185" s="39">
        <f ca="1">COUNTIF(Stocks!$AH$976:'Stocks'!$AH$977,"="&amp;0)</f>
        <v>0</v>
      </c>
      <c r="H185" s="8">
        <f t="shared" ca="1" si="1"/>
        <v>0</v>
      </c>
      <c r="I185" s="8">
        <f t="shared" ca="1" si="2"/>
        <v>100</v>
      </c>
      <c r="J185" s="8"/>
      <c r="K185" s="8"/>
      <c r="L185" s="8"/>
    </row>
    <row r="186" spans="1:12" x14ac:dyDescent="0.25">
      <c r="A186" s="40" t="s">
        <v>3663</v>
      </c>
      <c r="B186" s="41">
        <f>SUM(Stocks!Z879:'Stocks'!Z880)</f>
        <v>83507365527.899994</v>
      </c>
      <c r="C186" s="41">
        <f ca="1">SUM(Stocks!AA879:'Stocks'!AA880)</f>
        <v>82419906933.300003</v>
      </c>
      <c r="D186" s="40">
        <f t="shared" ca="1" si="0"/>
        <v>-1.3022307526114789</v>
      </c>
      <c r="E186" s="39">
        <f ca="1">COUNTIF(Stocks!$Y$879:'Stocks'!$Y$880,"&gt;"&amp;0)</f>
        <v>1</v>
      </c>
      <c r="F186" s="39">
        <f ca="1">COUNTIF(Stocks!$Y$879:'Stocks'!$Y$880,"&lt;"&amp;0)</f>
        <v>1</v>
      </c>
      <c r="G186" s="39">
        <f ca="1">COUNTIF(Stocks!$Y$879:'Stocks'!$Y$880,"="&amp;0)</f>
        <v>0</v>
      </c>
      <c r="H186" s="8">
        <f t="shared" ca="1" si="1"/>
        <v>50</v>
      </c>
      <c r="I186" s="8">
        <f t="shared" ca="1" si="2"/>
        <v>50</v>
      </c>
      <c r="J186" s="8"/>
      <c r="K186" s="8"/>
      <c r="L186" s="8"/>
    </row>
    <row r="187" spans="1:12" x14ac:dyDescent="0.25">
      <c r="A187" s="40" t="s">
        <v>659</v>
      </c>
      <c r="B187" s="41">
        <f>SUM(Stocks!Q158:'Stocks'!Q159)</f>
        <v>80599455231.75</v>
      </c>
      <c r="C187" s="41">
        <f ca="1">SUM(Stocks!R158:'Stocks'!R159)</f>
        <v>73264035661.899994</v>
      </c>
      <c r="D187" s="40">
        <f t="shared" ca="1" si="0"/>
        <v>-9.1010783494234015</v>
      </c>
      <c r="E187" s="39">
        <f ca="1">COUNTIF(Stocks!$P$158:'Stocks'!$P$159,"&gt;"&amp;0)</f>
        <v>0</v>
      </c>
      <c r="F187" s="39">
        <f ca="1">COUNTIF(Stocks!$P$158:'Stocks'!$P$159,"&lt;"&amp;0)</f>
        <v>2</v>
      </c>
      <c r="G187" s="39">
        <f ca="1">COUNTIF(Stocks!$P$158:'Stocks'!$P$159,"="&amp;0)</f>
        <v>0</v>
      </c>
      <c r="H187" s="8">
        <f t="shared" ca="1" si="1"/>
        <v>0</v>
      </c>
      <c r="I187" s="8">
        <f t="shared" ca="1" si="2"/>
        <v>100</v>
      </c>
      <c r="J187" s="8"/>
      <c r="K187" s="8"/>
      <c r="L187" s="8"/>
    </row>
    <row r="188" spans="1:12" x14ac:dyDescent="0.25">
      <c r="A188" s="8" t="s">
        <v>767</v>
      </c>
      <c r="B188" s="12">
        <f>SUM(Stocks!AI183:'Stocks'!AI187)</f>
        <v>1019807312492.9401</v>
      </c>
      <c r="C188" s="12">
        <f ca="1">SUM(Stocks!AJ183:'Stocks'!AJ187)</f>
        <v>872735472107.02002</v>
      </c>
      <c r="D188" s="8">
        <f t="shared" ca="1" si="0"/>
        <v>-14.421532242831237</v>
      </c>
      <c r="E188" s="39">
        <f ca="1">COUNTIF(Stocks!$AH$183:'Stocks'!$AH$187,"&gt;"&amp;0)</f>
        <v>1</v>
      </c>
      <c r="F188" s="39">
        <f ca="1">COUNTIF(Stocks!$AH$183:'Stocks'!$AH$187,"&lt;"&amp;0)</f>
        <v>1</v>
      </c>
      <c r="G188" s="39">
        <f ca="1">COUNTIF(Stocks!$AH$183:'Stocks'!$AH$187,"="&amp;0)</f>
        <v>2</v>
      </c>
      <c r="H188" s="8">
        <f t="shared" ca="1" si="1"/>
        <v>25</v>
      </c>
      <c r="I188" s="8">
        <f t="shared" ca="1" si="2"/>
        <v>25</v>
      </c>
      <c r="J188" s="8"/>
      <c r="K188" s="8"/>
      <c r="L188" s="8"/>
    </row>
    <row r="189" spans="1:12" x14ac:dyDescent="0.25">
      <c r="A189" s="40" t="s">
        <v>3793</v>
      </c>
      <c r="B189" s="41">
        <f>SUM(Stocks!Q910:'Stocks'!Q914)</f>
        <v>1844058596614.7102</v>
      </c>
      <c r="C189" s="41">
        <f ca="1">SUM(Stocks!R910:'Stocks'!R914)</f>
        <v>1820585674388.1401</v>
      </c>
      <c r="D189" s="40">
        <f t="shared" ca="1" si="0"/>
        <v>-1.2728945961728788</v>
      </c>
      <c r="E189" s="39">
        <f ca="1">COUNTIF(Stocks!$P$910:'Stocks'!$P$914,"&gt;"&amp;0)</f>
        <v>1</v>
      </c>
      <c r="F189" s="39">
        <f ca="1">COUNTIF(Stocks!$P$910:'Stocks'!$P$914,"&lt;"&amp;0)</f>
        <v>4</v>
      </c>
      <c r="G189" s="39">
        <f ca="1">COUNTIF(Stocks!$P$910:'Stocks'!$P$914,"="&amp;0)</f>
        <v>0</v>
      </c>
      <c r="H189" s="8">
        <f t="shared" ca="1" si="1"/>
        <v>20</v>
      </c>
      <c r="I189" s="8">
        <f t="shared" ca="1" si="2"/>
        <v>80</v>
      </c>
      <c r="J189" s="8"/>
      <c r="K189" s="8"/>
      <c r="L189" s="8"/>
    </row>
    <row r="190" spans="1:12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</row>
    <row r="191" spans="1:12" x14ac:dyDescent="0.25">
      <c r="A191" s="8"/>
      <c r="B191" s="12"/>
      <c r="C191" s="8"/>
      <c r="D191" s="8"/>
      <c r="E191" s="8"/>
      <c r="F191" s="8"/>
      <c r="G191" s="8"/>
      <c r="H191" s="8"/>
      <c r="I191" s="8"/>
      <c r="J191" s="8"/>
      <c r="K191" s="8"/>
    </row>
    <row r="192" spans="1:12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</row>
    <row r="193" spans="1:11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</row>
    <row r="194" spans="1:11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</row>
    <row r="195" spans="1:11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</row>
    <row r="196" spans="1:11" x14ac:dyDescent="0.2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</row>
    <row r="197" spans="1:11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</row>
    <row r="198" spans="1:11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</row>
    <row r="199" spans="1:11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</row>
    <row r="200" spans="1:11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</row>
    <row r="201" spans="1:11" x14ac:dyDescent="0.2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</row>
    <row r="202" spans="1:11" x14ac:dyDescent="0.2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</row>
    <row r="203" spans="1:11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</row>
    <row r="204" spans="1:11" x14ac:dyDescent="0.2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</row>
    <row r="205" spans="1:11" x14ac:dyDescent="0.2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</row>
    <row r="206" spans="1:11" x14ac:dyDescent="0.2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</row>
    <row r="207" spans="1:11" x14ac:dyDescent="0.2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</row>
    <row r="208" spans="1:11" x14ac:dyDescent="0.2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</row>
    <row r="209" spans="1:11" x14ac:dyDescent="0.2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</row>
    <row r="210" spans="1:11" x14ac:dyDescent="0.2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</row>
    <row r="211" spans="1:11" x14ac:dyDescent="0.2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</row>
    <row r="212" spans="1:11" x14ac:dyDescent="0.2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</row>
    <row r="213" spans="1:11" x14ac:dyDescent="0.2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</row>
    <row r="214" spans="1:11" x14ac:dyDescent="0.2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</row>
    <row r="215" spans="1:11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</row>
    <row r="216" spans="1:11" x14ac:dyDescent="0.2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</row>
    <row r="217" spans="1:11" x14ac:dyDescent="0.2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</row>
    <row r="218" spans="1:11" x14ac:dyDescent="0.2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</row>
    <row r="219" spans="1:11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</row>
    <row r="220" spans="1:11" x14ac:dyDescent="0.2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</row>
    <row r="221" spans="1:11" x14ac:dyDescent="0.2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</row>
    <row r="222" spans="1:11" x14ac:dyDescent="0.2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</row>
    <row r="223" spans="1:11" x14ac:dyDescent="0.2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</row>
    <row r="224" spans="1:11" x14ac:dyDescent="0.2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</row>
    <row r="225" spans="1:11" x14ac:dyDescent="0.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</row>
    <row r="226" spans="1:11" x14ac:dyDescent="0.2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</row>
    <row r="227" spans="1:11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</row>
    <row r="228" spans="1:11" x14ac:dyDescent="0.2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</row>
    <row r="229" spans="1:11" x14ac:dyDescent="0.2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</row>
    <row r="230" spans="1:11" x14ac:dyDescent="0.2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</row>
    <row r="231" spans="1:11" x14ac:dyDescent="0.2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</row>
    <row r="232" spans="1:11" x14ac:dyDescent="0.2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</row>
    <row r="233" spans="1:11" x14ac:dyDescent="0.2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</row>
    <row r="234" spans="1:11" x14ac:dyDescent="0.2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</row>
    <row r="235" spans="1:11" x14ac:dyDescent="0.2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</row>
    <row r="236" spans="1:11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</row>
    <row r="237" spans="1:11" x14ac:dyDescent="0.2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</row>
    <row r="238" spans="1:11" x14ac:dyDescent="0.2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</row>
    <row r="239" spans="1:11" x14ac:dyDescent="0.2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</row>
    <row r="240" spans="1:11" x14ac:dyDescent="0.2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</row>
    <row r="241" spans="1:11" x14ac:dyDescent="0.2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</row>
    <row r="242" spans="1:11" x14ac:dyDescent="0.2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</row>
    <row r="243" spans="1:11" x14ac:dyDescent="0.2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</row>
    <row r="244" spans="1:11" x14ac:dyDescent="0.2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</row>
    <row r="245" spans="1:11" x14ac:dyDescent="0.2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</row>
    <row r="246" spans="1:11" x14ac:dyDescent="0.2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</row>
    <row r="247" spans="1:11" x14ac:dyDescent="0.2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</row>
    <row r="248" spans="1:11" x14ac:dyDescent="0.2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</row>
    <row r="249" spans="1:11" x14ac:dyDescent="0.2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</row>
    <row r="250" spans="1:11" x14ac:dyDescent="0.2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</row>
    <row r="251" spans="1:11" x14ac:dyDescent="0.2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</row>
    <row r="252" spans="1:11" x14ac:dyDescent="0.2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</row>
    <row r="253" spans="1:11" x14ac:dyDescent="0.2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</row>
    <row r="254" spans="1:11" x14ac:dyDescent="0.2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</row>
    <row r="255" spans="1:11" x14ac:dyDescent="0.2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</row>
    <row r="256" spans="1:11" x14ac:dyDescent="0.2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</row>
    <row r="257" spans="1:11" x14ac:dyDescent="0.2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</row>
    <row r="258" spans="1:11" x14ac:dyDescent="0.2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</row>
    <row r="259" spans="1:11" x14ac:dyDescent="0.2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</row>
    <row r="260" spans="1:11" x14ac:dyDescent="0.2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</row>
    <row r="261" spans="1:11" x14ac:dyDescent="0.2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</row>
    <row r="262" spans="1:11" x14ac:dyDescent="0.2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</row>
    <row r="263" spans="1:11" x14ac:dyDescent="0.2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</row>
    <row r="264" spans="1:11" x14ac:dyDescent="0.2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</row>
    <row r="265" spans="1:11" x14ac:dyDescent="0.2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</row>
    <row r="266" spans="1:11" x14ac:dyDescent="0.2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</row>
    <row r="267" spans="1:11" x14ac:dyDescent="0.2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</row>
    <row r="268" spans="1:11" x14ac:dyDescent="0.2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</row>
    <row r="269" spans="1:11" x14ac:dyDescent="0.2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</row>
    <row r="270" spans="1:11" x14ac:dyDescent="0.2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</row>
    <row r="271" spans="1:11" x14ac:dyDescent="0.2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</row>
    <row r="272" spans="1:11" x14ac:dyDescent="0.2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</row>
    <row r="273" spans="1:11" x14ac:dyDescent="0.2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</row>
    <row r="274" spans="1:11" x14ac:dyDescent="0.2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</row>
    <row r="275" spans="1:11" x14ac:dyDescent="0.2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</row>
    <row r="276" spans="1:11" x14ac:dyDescent="0.2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</row>
    <row r="277" spans="1:11" x14ac:dyDescent="0.2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</row>
    <row r="278" spans="1:11" x14ac:dyDescent="0.2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</row>
    <row r="279" spans="1:11" x14ac:dyDescent="0.2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</row>
    <row r="280" spans="1:11" x14ac:dyDescent="0.2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</row>
    <row r="281" spans="1:11" x14ac:dyDescent="0.2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</row>
    <row r="282" spans="1:11" x14ac:dyDescent="0.2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</row>
    <row r="283" spans="1:11" x14ac:dyDescent="0.2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</row>
    <row r="284" spans="1:11" x14ac:dyDescent="0.2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</row>
    <row r="285" spans="1:11" x14ac:dyDescent="0.2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</row>
    <row r="286" spans="1:11" x14ac:dyDescent="0.2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</row>
    <row r="287" spans="1:11" x14ac:dyDescent="0.2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</row>
    <row r="288" spans="1:11" x14ac:dyDescent="0.2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</row>
    <row r="289" spans="1:11" x14ac:dyDescent="0.2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</row>
    <row r="290" spans="1:11" x14ac:dyDescent="0.2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</row>
    <row r="291" spans="1:11" x14ac:dyDescent="0.2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</row>
    <row r="292" spans="1:11" x14ac:dyDescent="0.2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</row>
    <row r="293" spans="1:11" x14ac:dyDescent="0.2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</row>
    <row r="294" spans="1:11" x14ac:dyDescent="0.2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</row>
    <row r="295" spans="1:11" x14ac:dyDescent="0.2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</row>
    <row r="296" spans="1:11" x14ac:dyDescent="0.2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</row>
    <row r="297" spans="1:11" x14ac:dyDescent="0.2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</row>
    <row r="298" spans="1:11" x14ac:dyDescent="0.2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</row>
    <row r="299" spans="1:11" x14ac:dyDescent="0.2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</row>
    <row r="300" spans="1:11" x14ac:dyDescent="0.2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</row>
    <row r="301" spans="1:11" x14ac:dyDescent="0.2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</row>
    <row r="302" spans="1:11" x14ac:dyDescent="0.2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</row>
    <row r="303" spans="1:11" x14ac:dyDescent="0.2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</row>
    <row r="304" spans="1:11" x14ac:dyDescent="0.2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</row>
    <row r="305" spans="1:11" x14ac:dyDescent="0.2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</row>
    <row r="306" spans="1:11" x14ac:dyDescent="0.2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</row>
    <row r="307" spans="1:11" x14ac:dyDescent="0.2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</row>
    <row r="308" spans="1:11" x14ac:dyDescent="0.2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</row>
    <row r="309" spans="1:11" x14ac:dyDescent="0.2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</row>
    <row r="310" spans="1:11" x14ac:dyDescent="0.2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</row>
    <row r="311" spans="1:11" x14ac:dyDescent="0.2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</row>
    <row r="312" spans="1:11" x14ac:dyDescent="0.2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</row>
    <row r="313" spans="1:11" x14ac:dyDescent="0.2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</row>
    <row r="314" spans="1:11" x14ac:dyDescent="0.2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</row>
    <row r="315" spans="1:11" x14ac:dyDescent="0.2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</row>
    <row r="316" spans="1:11" x14ac:dyDescent="0.2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</row>
    <row r="317" spans="1:11" x14ac:dyDescent="0.2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</row>
    <row r="318" spans="1:11" x14ac:dyDescent="0.2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</row>
    <row r="319" spans="1:11" x14ac:dyDescent="0.2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</row>
    <row r="320" spans="1:11" x14ac:dyDescent="0.2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</row>
    <row r="321" spans="1:11" x14ac:dyDescent="0.2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</row>
    <row r="322" spans="1:11" x14ac:dyDescent="0.2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</row>
    <row r="323" spans="1:11" x14ac:dyDescent="0.2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</row>
    <row r="324" spans="1:11" x14ac:dyDescent="0.2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</row>
    <row r="325" spans="1:11" x14ac:dyDescent="0.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</row>
    <row r="326" spans="1:11" x14ac:dyDescent="0.2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</row>
    <row r="327" spans="1:11" x14ac:dyDescent="0.2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</row>
    <row r="328" spans="1:11" x14ac:dyDescent="0.2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</row>
    <row r="329" spans="1:11" x14ac:dyDescent="0.2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</row>
    <row r="330" spans="1:11" x14ac:dyDescent="0.2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</row>
    <row r="331" spans="1:11" x14ac:dyDescent="0.2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</row>
    <row r="332" spans="1:11" x14ac:dyDescent="0.2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</row>
    <row r="333" spans="1:11" x14ac:dyDescent="0.2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</row>
    <row r="334" spans="1:11" x14ac:dyDescent="0.2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</row>
    <row r="335" spans="1:11" x14ac:dyDescent="0.2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</row>
    <row r="336" spans="1:11" x14ac:dyDescent="0.2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</row>
    <row r="337" spans="1:11" x14ac:dyDescent="0.2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</row>
    <row r="338" spans="1:11" x14ac:dyDescent="0.2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</row>
    <row r="339" spans="1:11" x14ac:dyDescent="0.2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</row>
    <row r="340" spans="1:11" x14ac:dyDescent="0.2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</row>
    <row r="341" spans="1:11" x14ac:dyDescent="0.2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</row>
    <row r="342" spans="1:11" x14ac:dyDescent="0.2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</row>
    <row r="343" spans="1:11" x14ac:dyDescent="0.2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</row>
    <row r="344" spans="1:11" x14ac:dyDescent="0.2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</row>
    <row r="345" spans="1:11" x14ac:dyDescent="0.2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</row>
    <row r="346" spans="1:11" x14ac:dyDescent="0.2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</row>
    <row r="347" spans="1:11" x14ac:dyDescent="0.2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</row>
    <row r="348" spans="1:11" x14ac:dyDescent="0.2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</row>
    <row r="349" spans="1:11" x14ac:dyDescent="0.2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</row>
    <row r="350" spans="1:11" x14ac:dyDescent="0.2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</row>
    <row r="351" spans="1:11" x14ac:dyDescent="0.2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</row>
    <row r="352" spans="1:11" x14ac:dyDescent="0.2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</row>
    <row r="353" spans="1:11" x14ac:dyDescent="0.2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</row>
    <row r="354" spans="1:11" x14ac:dyDescent="0.2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</row>
    <row r="355" spans="1:11" x14ac:dyDescent="0.2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</row>
    <row r="356" spans="1:11" x14ac:dyDescent="0.2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</row>
    <row r="357" spans="1:11" x14ac:dyDescent="0.2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</row>
    <row r="358" spans="1:11" x14ac:dyDescent="0.2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</row>
    <row r="359" spans="1:11" x14ac:dyDescent="0.2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</row>
    <row r="360" spans="1:11" x14ac:dyDescent="0.2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</row>
    <row r="361" spans="1:11" x14ac:dyDescent="0.2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</row>
    <row r="362" spans="1:11" x14ac:dyDescent="0.2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</row>
    <row r="363" spans="1:11" x14ac:dyDescent="0.2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</row>
    <row r="364" spans="1:11" x14ac:dyDescent="0.2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</row>
    <row r="365" spans="1:11" x14ac:dyDescent="0.2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</row>
    <row r="366" spans="1:11" x14ac:dyDescent="0.2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</row>
    <row r="367" spans="1:11" x14ac:dyDescent="0.2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</row>
    <row r="368" spans="1:11" x14ac:dyDescent="0.2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</row>
    <row r="369" spans="1:11" x14ac:dyDescent="0.2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</row>
    <row r="370" spans="1:11" x14ac:dyDescent="0.2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</row>
    <row r="371" spans="1:11" x14ac:dyDescent="0.2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</row>
    <row r="372" spans="1:11" x14ac:dyDescent="0.2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</row>
    <row r="373" spans="1:11" x14ac:dyDescent="0.2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</row>
    <row r="374" spans="1:11" x14ac:dyDescent="0.2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</row>
    <row r="375" spans="1:11" x14ac:dyDescent="0.2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</row>
    <row r="376" spans="1:11" x14ac:dyDescent="0.2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</row>
    <row r="377" spans="1:11" x14ac:dyDescent="0.2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</row>
    <row r="378" spans="1:11" x14ac:dyDescent="0.2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</row>
    <row r="379" spans="1:11" x14ac:dyDescent="0.2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</row>
    <row r="380" spans="1:11" x14ac:dyDescent="0.2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</row>
    <row r="381" spans="1:11" x14ac:dyDescent="0.2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</row>
    <row r="382" spans="1:11" x14ac:dyDescent="0.2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</row>
    <row r="383" spans="1:11" x14ac:dyDescent="0.2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</row>
    <row r="384" spans="1:11" x14ac:dyDescent="0.2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</row>
    <row r="385" spans="1:11" x14ac:dyDescent="0.2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</row>
    <row r="386" spans="1:11" x14ac:dyDescent="0.2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</row>
    <row r="387" spans="1:11" x14ac:dyDescent="0.2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</row>
    <row r="388" spans="1:11" x14ac:dyDescent="0.2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</row>
    <row r="389" spans="1:11" x14ac:dyDescent="0.2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</row>
    <row r="390" spans="1:11" x14ac:dyDescent="0.2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</row>
    <row r="391" spans="1:11" x14ac:dyDescent="0.2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</row>
    <row r="392" spans="1:11" x14ac:dyDescent="0.2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</row>
    <row r="393" spans="1:11" x14ac:dyDescent="0.2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</row>
    <row r="394" spans="1:11" x14ac:dyDescent="0.2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</row>
    <row r="395" spans="1:11" x14ac:dyDescent="0.2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</row>
    <row r="396" spans="1:11" x14ac:dyDescent="0.2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</row>
    <row r="397" spans="1:11" x14ac:dyDescent="0.2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</row>
    <row r="398" spans="1:11" x14ac:dyDescent="0.2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</row>
    <row r="399" spans="1:11" x14ac:dyDescent="0.2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</row>
    <row r="400" spans="1:11" x14ac:dyDescent="0.2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</row>
    <row r="401" spans="1:11" x14ac:dyDescent="0.2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</row>
    <row r="402" spans="1:11" x14ac:dyDescent="0.2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</row>
    <row r="403" spans="1:11" x14ac:dyDescent="0.2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</row>
    <row r="404" spans="1:11" x14ac:dyDescent="0.2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</row>
    <row r="405" spans="1:11" x14ac:dyDescent="0.2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</row>
    <row r="406" spans="1:11" x14ac:dyDescent="0.2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</row>
    <row r="407" spans="1:11" x14ac:dyDescent="0.2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</row>
    <row r="408" spans="1:11" x14ac:dyDescent="0.2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</row>
    <row r="409" spans="1:11" x14ac:dyDescent="0.2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</row>
    <row r="410" spans="1:11" x14ac:dyDescent="0.2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</row>
    <row r="411" spans="1:11" x14ac:dyDescent="0.2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</row>
    <row r="412" spans="1:11" x14ac:dyDescent="0.2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</row>
    <row r="413" spans="1:11" x14ac:dyDescent="0.2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</row>
    <row r="414" spans="1:11" x14ac:dyDescent="0.2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</row>
    <row r="415" spans="1:11" x14ac:dyDescent="0.2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</row>
    <row r="416" spans="1:11" x14ac:dyDescent="0.2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</row>
    <row r="417" spans="1:11" x14ac:dyDescent="0.2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</row>
    <row r="418" spans="1:11" x14ac:dyDescent="0.2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</row>
    <row r="419" spans="1:11" x14ac:dyDescent="0.2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</row>
    <row r="420" spans="1:11" x14ac:dyDescent="0.2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</row>
    <row r="421" spans="1:11" x14ac:dyDescent="0.2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</row>
    <row r="422" spans="1:11" x14ac:dyDescent="0.2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</row>
    <row r="423" spans="1:11" x14ac:dyDescent="0.2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</row>
    <row r="424" spans="1:11" x14ac:dyDescent="0.2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</row>
    <row r="425" spans="1:11" x14ac:dyDescent="0.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</row>
    <row r="426" spans="1:11" x14ac:dyDescent="0.2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</row>
    <row r="427" spans="1:11" x14ac:dyDescent="0.2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</row>
    <row r="428" spans="1:11" x14ac:dyDescent="0.2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</row>
    <row r="429" spans="1:11" x14ac:dyDescent="0.2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</row>
    <row r="430" spans="1:11" x14ac:dyDescent="0.2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</row>
    <row r="431" spans="1:11" x14ac:dyDescent="0.2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</row>
    <row r="432" spans="1:11" x14ac:dyDescent="0.2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</row>
    <row r="433" spans="1:11" x14ac:dyDescent="0.2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</row>
    <row r="434" spans="1:11" x14ac:dyDescent="0.2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</row>
    <row r="435" spans="1:11" x14ac:dyDescent="0.2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</row>
    <row r="436" spans="1:11" x14ac:dyDescent="0.2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</row>
    <row r="437" spans="1:11" x14ac:dyDescent="0.2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</row>
    <row r="438" spans="1:11" x14ac:dyDescent="0.2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</row>
    <row r="439" spans="1:11" x14ac:dyDescent="0.2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</row>
    <row r="440" spans="1:11" x14ac:dyDescent="0.2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</row>
    <row r="441" spans="1:11" x14ac:dyDescent="0.2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</row>
    <row r="442" spans="1:11" x14ac:dyDescent="0.2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</row>
    <row r="443" spans="1:11" x14ac:dyDescent="0.2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</row>
    <row r="444" spans="1:11" x14ac:dyDescent="0.2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</row>
    <row r="445" spans="1:11" x14ac:dyDescent="0.2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</row>
    <row r="446" spans="1:11" x14ac:dyDescent="0.2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</row>
    <row r="447" spans="1:11" x14ac:dyDescent="0.2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</row>
    <row r="448" spans="1:11" x14ac:dyDescent="0.2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</row>
    <row r="449" spans="1:11" x14ac:dyDescent="0.2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</row>
    <row r="450" spans="1:11" x14ac:dyDescent="0.2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</row>
    <row r="451" spans="1:11" x14ac:dyDescent="0.2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</row>
    <row r="452" spans="1:11" x14ac:dyDescent="0.2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</row>
    <row r="453" spans="1:11" x14ac:dyDescent="0.2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</row>
    <row r="454" spans="1:11" x14ac:dyDescent="0.2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</row>
    <row r="455" spans="1:11" x14ac:dyDescent="0.2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</row>
    <row r="456" spans="1:11" x14ac:dyDescent="0.2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</row>
    <row r="457" spans="1:11" x14ac:dyDescent="0.2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</row>
    <row r="458" spans="1:11" x14ac:dyDescent="0.2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</row>
    <row r="459" spans="1:11" x14ac:dyDescent="0.2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</row>
    <row r="460" spans="1:11" x14ac:dyDescent="0.2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</row>
    <row r="461" spans="1:11" x14ac:dyDescent="0.2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</row>
    <row r="462" spans="1:11" x14ac:dyDescent="0.2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</row>
    <row r="463" spans="1:11" x14ac:dyDescent="0.2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</row>
    <row r="464" spans="1:11" x14ac:dyDescent="0.2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</row>
    <row r="465" spans="1:11" x14ac:dyDescent="0.2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</row>
    <row r="466" spans="1:11" x14ac:dyDescent="0.2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</row>
    <row r="467" spans="1:11" x14ac:dyDescent="0.2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</row>
    <row r="468" spans="1:11" x14ac:dyDescent="0.2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</row>
    <row r="469" spans="1:11" x14ac:dyDescent="0.2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</row>
    <row r="470" spans="1:11" x14ac:dyDescent="0.2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</row>
    <row r="471" spans="1:11" x14ac:dyDescent="0.2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</row>
    <row r="472" spans="1:11" x14ac:dyDescent="0.2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</row>
    <row r="473" spans="1:11" x14ac:dyDescent="0.2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</row>
    <row r="474" spans="1:11" x14ac:dyDescent="0.2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</row>
    <row r="475" spans="1:11" x14ac:dyDescent="0.2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</row>
    <row r="476" spans="1:11" x14ac:dyDescent="0.2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</row>
    <row r="477" spans="1:11" x14ac:dyDescent="0.2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</row>
    <row r="478" spans="1:11" x14ac:dyDescent="0.2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</row>
    <row r="479" spans="1:11" x14ac:dyDescent="0.2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</row>
    <row r="480" spans="1:11" x14ac:dyDescent="0.2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</row>
    <row r="481" spans="1:11" x14ac:dyDescent="0.2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</row>
    <row r="482" spans="1:11" x14ac:dyDescent="0.2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</row>
    <row r="483" spans="1:11" x14ac:dyDescent="0.2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</row>
    <row r="484" spans="1:11" x14ac:dyDescent="0.2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</row>
    <row r="485" spans="1:11" x14ac:dyDescent="0.2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</row>
    <row r="486" spans="1:11" x14ac:dyDescent="0.2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</row>
    <row r="487" spans="1:11" x14ac:dyDescent="0.2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</row>
    <row r="488" spans="1:11" x14ac:dyDescent="0.2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</row>
    <row r="489" spans="1:11" x14ac:dyDescent="0.2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</row>
    <row r="490" spans="1:11" x14ac:dyDescent="0.2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</row>
    <row r="491" spans="1:11" x14ac:dyDescent="0.2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</row>
    <row r="492" spans="1:11" x14ac:dyDescent="0.2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</row>
    <row r="493" spans="1:11" x14ac:dyDescent="0.2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</row>
    <row r="494" spans="1:11" x14ac:dyDescent="0.2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</row>
    <row r="495" spans="1:11" x14ac:dyDescent="0.2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</row>
    <row r="496" spans="1:11" x14ac:dyDescent="0.2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</row>
    <row r="497" spans="1:11" x14ac:dyDescent="0.2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</row>
    <row r="498" spans="1:11" x14ac:dyDescent="0.2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</row>
    <row r="499" spans="1:11" x14ac:dyDescent="0.2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</row>
    <row r="500" spans="1:11" x14ac:dyDescent="0.2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</row>
    <row r="501" spans="1:11" x14ac:dyDescent="0.2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</row>
    <row r="502" spans="1:11" x14ac:dyDescent="0.2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</row>
    <row r="503" spans="1:11" x14ac:dyDescent="0.2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</row>
    <row r="504" spans="1:11" x14ac:dyDescent="0.2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</row>
    <row r="505" spans="1:11" x14ac:dyDescent="0.2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</row>
    <row r="506" spans="1:11" x14ac:dyDescent="0.2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</row>
    <row r="507" spans="1:11" x14ac:dyDescent="0.2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</row>
    <row r="508" spans="1:11" x14ac:dyDescent="0.2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</row>
    <row r="509" spans="1:11" x14ac:dyDescent="0.2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</row>
    <row r="510" spans="1:11" x14ac:dyDescent="0.2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</row>
    <row r="511" spans="1:11" x14ac:dyDescent="0.2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</row>
    <row r="512" spans="1:11" x14ac:dyDescent="0.2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</row>
    <row r="513" spans="1:11" x14ac:dyDescent="0.2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</row>
    <row r="514" spans="1:11" x14ac:dyDescent="0.2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</row>
    <row r="515" spans="1:11" x14ac:dyDescent="0.2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</row>
    <row r="516" spans="1:11" x14ac:dyDescent="0.2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</row>
    <row r="517" spans="1:11" x14ac:dyDescent="0.2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</row>
    <row r="518" spans="1:11" x14ac:dyDescent="0.2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</row>
    <row r="519" spans="1:11" x14ac:dyDescent="0.2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</row>
    <row r="520" spans="1:11" x14ac:dyDescent="0.2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</row>
    <row r="521" spans="1:11" x14ac:dyDescent="0.2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</row>
    <row r="522" spans="1:11" x14ac:dyDescent="0.2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</row>
    <row r="523" spans="1:11" x14ac:dyDescent="0.2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</row>
    <row r="524" spans="1:11" x14ac:dyDescent="0.2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</row>
    <row r="525" spans="1:11" x14ac:dyDescent="0.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</row>
    <row r="526" spans="1:11" x14ac:dyDescent="0.2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</row>
    <row r="527" spans="1:11" x14ac:dyDescent="0.2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</row>
    <row r="528" spans="1:11" x14ac:dyDescent="0.2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</row>
    <row r="529" spans="1:11" x14ac:dyDescent="0.2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</row>
    <row r="530" spans="1:11" x14ac:dyDescent="0.2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</row>
    <row r="531" spans="1:11" x14ac:dyDescent="0.2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</row>
    <row r="532" spans="1:11" x14ac:dyDescent="0.2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</row>
    <row r="533" spans="1:11" x14ac:dyDescent="0.2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</row>
    <row r="534" spans="1:11" x14ac:dyDescent="0.2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</row>
    <row r="535" spans="1:11" x14ac:dyDescent="0.2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</row>
    <row r="536" spans="1:11" x14ac:dyDescent="0.2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</row>
    <row r="537" spans="1:11" x14ac:dyDescent="0.2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</row>
    <row r="538" spans="1:11" x14ac:dyDescent="0.2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</row>
    <row r="539" spans="1:11" x14ac:dyDescent="0.2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</row>
    <row r="540" spans="1:11" x14ac:dyDescent="0.2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</row>
    <row r="541" spans="1:11" x14ac:dyDescent="0.2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</row>
    <row r="542" spans="1:11" x14ac:dyDescent="0.2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</row>
    <row r="543" spans="1:11" x14ac:dyDescent="0.2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</row>
    <row r="544" spans="1:11" x14ac:dyDescent="0.2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</row>
    <row r="545" spans="1:11" x14ac:dyDescent="0.2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</row>
    <row r="546" spans="1:11" x14ac:dyDescent="0.2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</row>
    <row r="547" spans="1:11" x14ac:dyDescent="0.2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</row>
    <row r="548" spans="1:11" x14ac:dyDescent="0.2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</row>
    <row r="549" spans="1:11" x14ac:dyDescent="0.2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</row>
    <row r="550" spans="1:11" x14ac:dyDescent="0.2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</row>
    <row r="551" spans="1:11" x14ac:dyDescent="0.2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</row>
    <row r="552" spans="1:11" x14ac:dyDescent="0.2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</row>
    <row r="553" spans="1:11" x14ac:dyDescent="0.2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</row>
    <row r="554" spans="1:11" x14ac:dyDescent="0.2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</row>
    <row r="555" spans="1:11" x14ac:dyDescent="0.2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</row>
    <row r="556" spans="1:11" x14ac:dyDescent="0.2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</row>
    <row r="557" spans="1:11" x14ac:dyDescent="0.2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</row>
    <row r="558" spans="1:11" x14ac:dyDescent="0.2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</row>
    <row r="559" spans="1:11" x14ac:dyDescent="0.2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</row>
    <row r="560" spans="1:11" x14ac:dyDescent="0.2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</row>
    <row r="561" spans="1:11" x14ac:dyDescent="0.2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</row>
    <row r="562" spans="1:11" x14ac:dyDescent="0.2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</row>
    <row r="563" spans="1:11" x14ac:dyDescent="0.2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</row>
    <row r="564" spans="1:11" x14ac:dyDescent="0.2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</row>
    <row r="565" spans="1:11" x14ac:dyDescent="0.2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</row>
    <row r="566" spans="1:11" x14ac:dyDescent="0.2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</row>
    <row r="567" spans="1:11" x14ac:dyDescent="0.2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</row>
    <row r="568" spans="1:11" x14ac:dyDescent="0.2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</row>
    <row r="569" spans="1:11" x14ac:dyDescent="0.2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</row>
    <row r="570" spans="1:11" x14ac:dyDescent="0.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</row>
    <row r="571" spans="1:11" x14ac:dyDescent="0.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</row>
    <row r="572" spans="1:11" x14ac:dyDescent="0.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</row>
    <row r="573" spans="1:11" x14ac:dyDescent="0.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</row>
    <row r="574" spans="1:11" x14ac:dyDescent="0.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</row>
    <row r="575" spans="1:11" x14ac:dyDescent="0.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</row>
    <row r="576" spans="1:11" x14ac:dyDescent="0.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</row>
    <row r="577" spans="1:11" x14ac:dyDescent="0.2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</row>
    <row r="578" spans="1:11" x14ac:dyDescent="0.2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</row>
    <row r="579" spans="1:11" x14ac:dyDescent="0.2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</row>
    <row r="580" spans="1:11" x14ac:dyDescent="0.2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</row>
    <row r="581" spans="1:11" x14ac:dyDescent="0.2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</row>
    <row r="582" spans="1:11" x14ac:dyDescent="0.2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</row>
    <row r="583" spans="1:11" x14ac:dyDescent="0.2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</row>
    <row r="584" spans="1:11" x14ac:dyDescent="0.2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</row>
    <row r="585" spans="1:11" x14ac:dyDescent="0.2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</row>
    <row r="586" spans="1:11" x14ac:dyDescent="0.2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</row>
    <row r="587" spans="1:11" x14ac:dyDescent="0.2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</row>
    <row r="588" spans="1:11" x14ac:dyDescent="0.2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</row>
    <row r="589" spans="1:11" x14ac:dyDescent="0.2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</row>
    <row r="590" spans="1:11" x14ac:dyDescent="0.2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</row>
    <row r="591" spans="1:11" x14ac:dyDescent="0.2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</row>
    <row r="592" spans="1:11" x14ac:dyDescent="0.2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</row>
    <row r="593" spans="1:11" x14ac:dyDescent="0.2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</row>
    <row r="594" spans="1:11" x14ac:dyDescent="0.2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</row>
    <row r="595" spans="1:11" x14ac:dyDescent="0.2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</row>
    <row r="596" spans="1:11" x14ac:dyDescent="0.2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</row>
    <row r="597" spans="1:11" x14ac:dyDescent="0.2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</row>
    <row r="598" spans="1:11" x14ac:dyDescent="0.2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</row>
    <row r="599" spans="1:11" x14ac:dyDescent="0.2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</row>
    <row r="600" spans="1:11" x14ac:dyDescent="0.2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</row>
    <row r="601" spans="1:11" x14ac:dyDescent="0.2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</row>
    <row r="602" spans="1:11" x14ac:dyDescent="0.2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</row>
    <row r="603" spans="1:11" x14ac:dyDescent="0.2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</row>
    <row r="604" spans="1:11" x14ac:dyDescent="0.2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</row>
    <row r="605" spans="1:11" x14ac:dyDescent="0.2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</row>
    <row r="606" spans="1:11" x14ac:dyDescent="0.2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</row>
    <row r="607" spans="1:11" x14ac:dyDescent="0.2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</row>
    <row r="608" spans="1:11" x14ac:dyDescent="0.2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</row>
    <row r="609" spans="1:11" x14ac:dyDescent="0.2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</row>
    <row r="610" spans="1:11" x14ac:dyDescent="0.2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</row>
    <row r="611" spans="1:11" x14ac:dyDescent="0.2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</row>
    <row r="612" spans="1:11" x14ac:dyDescent="0.2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</row>
    <row r="613" spans="1:11" x14ac:dyDescent="0.2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</row>
    <row r="614" spans="1:11" x14ac:dyDescent="0.2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</row>
    <row r="615" spans="1:11" x14ac:dyDescent="0.2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</row>
    <row r="616" spans="1:11" x14ac:dyDescent="0.2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</row>
    <row r="617" spans="1:11" x14ac:dyDescent="0.2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</row>
    <row r="618" spans="1:11" x14ac:dyDescent="0.2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</row>
    <row r="619" spans="1:11" x14ac:dyDescent="0.2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</row>
    <row r="620" spans="1:11" x14ac:dyDescent="0.2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</row>
    <row r="621" spans="1:11" x14ac:dyDescent="0.2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</row>
    <row r="622" spans="1:11" x14ac:dyDescent="0.2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</row>
    <row r="623" spans="1:11" x14ac:dyDescent="0.2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</row>
    <row r="624" spans="1:11" x14ac:dyDescent="0.2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</row>
    <row r="625" spans="1:11" x14ac:dyDescent="0.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</row>
    <row r="626" spans="1:11" x14ac:dyDescent="0.2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</row>
    <row r="627" spans="1:11" x14ac:dyDescent="0.2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</row>
    <row r="628" spans="1:11" x14ac:dyDescent="0.2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</row>
    <row r="629" spans="1:11" x14ac:dyDescent="0.2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</row>
    <row r="630" spans="1:11" x14ac:dyDescent="0.2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</row>
    <row r="631" spans="1:11" x14ac:dyDescent="0.2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</row>
    <row r="632" spans="1:11" x14ac:dyDescent="0.2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</row>
    <row r="633" spans="1:11" x14ac:dyDescent="0.2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</row>
    <row r="634" spans="1:11" x14ac:dyDescent="0.2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</row>
    <row r="635" spans="1:11" x14ac:dyDescent="0.2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</row>
    <row r="636" spans="1:11" x14ac:dyDescent="0.2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</row>
    <row r="637" spans="1:11" x14ac:dyDescent="0.2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</row>
    <row r="638" spans="1:11" x14ac:dyDescent="0.2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</row>
    <row r="639" spans="1:11" x14ac:dyDescent="0.2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</row>
    <row r="640" spans="1:11" x14ac:dyDescent="0.2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</row>
    <row r="641" spans="1:11" x14ac:dyDescent="0.2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</row>
    <row r="642" spans="1:11" x14ac:dyDescent="0.2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</row>
    <row r="643" spans="1:11" x14ac:dyDescent="0.2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</row>
    <row r="644" spans="1:11" x14ac:dyDescent="0.2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</row>
    <row r="645" spans="1:11" x14ac:dyDescent="0.2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</row>
    <row r="646" spans="1:11" x14ac:dyDescent="0.2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</row>
    <row r="647" spans="1:11" x14ac:dyDescent="0.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</row>
    <row r="648" spans="1:11" x14ac:dyDescent="0.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</row>
    <row r="649" spans="1:11" x14ac:dyDescent="0.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</row>
    <row r="650" spans="1:11" x14ac:dyDescent="0.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</row>
    <row r="651" spans="1:11" x14ac:dyDescent="0.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</row>
    <row r="652" spans="1:11" x14ac:dyDescent="0.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</row>
    <row r="653" spans="1:11" x14ac:dyDescent="0.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</row>
    <row r="654" spans="1:11" x14ac:dyDescent="0.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</row>
    <row r="655" spans="1:11" x14ac:dyDescent="0.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</row>
    <row r="656" spans="1:11" x14ac:dyDescent="0.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</row>
    <row r="657" spans="1:11" x14ac:dyDescent="0.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</row>
    <row r="658" spans="1:11" x14ac:dyDescent="0.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</row>
    <row r="659" spans="1:11" x14ac:dyDescent="0.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</row>
    <row r="660" spans="1:11" x14ac:dyDescent="0.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</row>
    <row r="661" spans="1:11" x14ac:dyDescent="0.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</row>
    <row r="662" spans="1:11" x14ac:dyDescent="0.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</row>
    <row r="663" spans="1:11" x14ac:dyDescent="0.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</row>
    <row r="664" spans="1:11" x14ac:dyDescent="0.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</row>
    <row r="665" spans="1:11" x14ac:dyDescent="0.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</row>
    <row r="666" spans="1:11" x14ac:dyDescent="0.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</row>
    <row r="667" spans="1:11" x14ac:dyDescent="0.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</row>
    <row r="668" spans="1:11" x14ac:dyDescent="0.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</row>
    <row r="669" spans="1:11" x14ac:dyDescent="0.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</row>
    <row r="670" spans="1:11" x14ac:dyDescent="0.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</row>
    <row r="671" spans="1:11" x14ac:dyDescent="0.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</row>
    <row r="672" spans="1:11" x14ac:dyDescent="0.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</row>
    <row r="673" spans="1:11" x14ac:dyDescent="0.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</row>
    <row r="674" spans="1:11" x14ac:dyDescent="0.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</row>
    <row r="675" spans="1:11" x14ac:dyDescent="0.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</row>
    <row r="676" spans="1:11" x14ac:dyDescent="0.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</row>
    <row r="677" spans="1:11" x14ac:dyDescent="0.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</row>
    <row r="678" spans="1:11" x14ac:dyDescent="0.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</row>
    <row r="679" spans="1:11" x14ac:dyDescent="0.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</row>
    <row r="680" spans="1:11" x14ac:dyDescent="0.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</row>
    <row r="681" spans="1:11" x14ac:dyDescent="0.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</row>
    <row r="682" spans="1:11" x14ac:dyDescent="0.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</row>
    <row r="683" spans="1:11" x14ac:dyDescent="0.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</row>
    <row r="684" spans="1:11" x14ac:dyDescent="0.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</row>
    <row r="685" spans="1:11" x14ac:dyDescent="0.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</row>
    <row r="686" spans="1:11" x14ac:dyDescent="0.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</row>
    <row r="687" spans="1:11" x14ac:dyDescent="0.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</row>
    <row r="688" spans="1:11" x14ac:dyDescent="0.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</row>
    <row r="689" spans="1:11" x14ac:dyDescent="0.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</row>
    <row r="690" spans="1:11" x14ac:dyDescent="0.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</row>
    <row r="691" spans="1:11" x14ac:dyDescent="0.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</row>
    <row r="692" spans="1:11" x14ac:dyDescent="0.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</row>
    <row r="693" spans="1:11" x14ac:dyDescent="0.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</row>
    <row r="694" spans="1:11" x14ac:dyDescent="0.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</row>
    <row r="695" spans="1:11" x14ac:dyDescent="0.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</row>
    <row r="696" spans="1:11" x14ac:dyDescent="0.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</row>
    <row r="697" spans="1:11" x14ac:dyDescent="0.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</row>
    <row r="698" spans="1:11" x14ac:dyDescent="0.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</row>
    <row r="699" spans="1:11" x14ac:dyDescent="0.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</row>
    <row r="700" spans="1:11" x14ac:dyDescent="0.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</row>
    <row r="701" spans="1:11" x14ac:dyDescent="0.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</row>
    <row r="702" spans="1:11" x14ac:dyDescent="0.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</row>
    <row r="703" spans="1:11" x14ac:dyDescent="0.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</row>
    <row r="704" spans="1:11" x14ac:dyDescent="0.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</row>
    <row r="705" spans="1:11" x14ac:dyDescent="0.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</row>
    <row r="706" spans="1:11" x14ac:dyDescent="0.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</row>
    <row r="707" spans="1:11" x14ac:dyDescent="0.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</row>
    <row r="708" spans="1:11" x14ac:dyDescent="0.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</row>
    <row r="709" spans="1:11" x14ac:dyDescent="0.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</row>
    <row r="710" spans="1:11" x14ac:dyDescent="0.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</row>
    <row r="711" spans="1:11" x14ac:dyDescent="0.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</row>
    <row r="712" spans="1:11" x14ac:dyDescent="0.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</row>
    <row r="713" spans="1:11" x14ac:dyDescent="0.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</row>
    <row r="714" spans="1:11" x14ac:dyDescent="0.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</row>
    <row r="715" spans="1:11" x14ac:dyDescent="0.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</row>
    <row r="716" spans="1:11" x14ac:dyDescent="0.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</row>
    <row r="717" spans="1:11" x14ac:dyDescent="0.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</row>
    <row r="718" spans="1:11" x14ac:dyDescent="0.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</row>
    <row r="719" spans="1:11" x14ac:dyDescent="0.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</row>
    <row r="720" spans="1:11" x14ac:dyDescent="0.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</row>
    <row r="721" spans="1:11" x14ac:dyDescent="0.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</row>
    <row r="722" spans="1:11" x14ac:dyDescent="0.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</row>
    <row r="723" spans="1:11" x14ac:dyDescent="0.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</row>
    <row r="724" spans="1:11" x14ac:dyDescent="0.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</row>
    <row r="725" spans="1:11" x14ac:dyDescent="0.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</row>
    <row r="726" spans="1:11" x14ac:dyDescent="0.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</row>
    <row r="727" spans="1:11" x14ac:dyDescent="0.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</row>
    <row r="728" spans="1:11" x14ac:dyDescent="0.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</row>
    <row r="729" spans="1:11" x14ac:dyDescent="0.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</row>
    <row r="730" spans="1:11" x14ac:dyDescent="0.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</row>
    <row r="731" spans="1:11" x14ac:dyDescent="0.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</row>
    <row r="732" spans="1:11" x14ac:dyDescent="0.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</row>
    <row r="733" spans="1:11" x14ac:dyDescent="0.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</row>
    <row r="734" spans="1:11" x14ac:dyDescent="0.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</row>
    <row r="735" spans="1:11" x14ac:dyDescent="0.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</row>
    <row r="736" spans="1:11" x14ac:dyDescent="0.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</row>
    <row r="737" spans="1:11" x14ac:dyDescent="0.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</row>
    <row r="738" spans="1:11" x14ac:dyDescent="0.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</row>
    <row r="739" spans="1:11" x14ac:dyDescent="0.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</row>
    <row r="740" spans="1:11" x14ac:dyDescent="0.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</row>
    <row r="741" spans="1:11" x14ac:dyDescent="0.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</row>
    <row r="742" spans="1:11" x14ac:dyDescent="0.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</row>
    <row r="743" spans="1:11" x14ac:dyDescent="0.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</row>
    <row r="744" spans="1:11" x14ac:dyDescent="0.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</row>
    <row r="745" spans="1:11" x14ac:dyDescent="0.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</row>
    <row r="746" spans="1:11" x14ac:dyDescent="0.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</row>
    <row r="747" spans="1:11" x14ac:dyDescent="0.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</row>
    <row r="748" spans="1:11" x14ac:dyDescent="0.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</row>
    <row r="749" spans="1:11" x14ac:dyDescent="0.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</row>
    <row r="750" spans="1:11" x14ac:dyDescent="0.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</row>
    <row r="751" spans="1:11" x14ac:dyDescent="0.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</row>
    <row r="752" spans="1:11" x14ac:dyDescent="0.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</row>
    <row r="753" spans="1:11" x14ac:dyDescent="0.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</row>
    <row r="754" spans="1:11" x14ac:dyDescent="0.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</row>
    <row r="755" spans="1:11" x14ac:dyDescent="0.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</row>
    <row r="756" spans="1:11" x14ac:dyDescent="0.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</row>
    <row r="757" spans="1:11" x14ac:dyDescent="0.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</row>
    <row r="758" spans="1:11" x14ac:dyDescent="0.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</row>
    <row r="759" spans="1:11" x14ac:dyDescent="0.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</row>
    <row r="760" spans="1:11" x14ac:dyDescent="0.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</row>
    <row r="761" spans="1:11" x14ac:dyDescent="0.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</row>
    <row r="762" spans="1:11" x14ac:dyDescent="0.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</row>
    <row r="763" spans="1:11" x14ac:dyDescent="0.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</row>
    <row r="764" spans="1:11" x14ac:dyDescent="0.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</row>
    <row r="765" spans="1:11" x14ac:dyDescent="0.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</row>
    <row r="766" spans="1:11" x14ac:dyDescent="0.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</row>
    <row r="767" spans="1:11" x14ac:dyDescent="0.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</row>
    <row r="768" spans="1:11" x14ac:dyDescent="0.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</row>
    <row r="769" spans="1:11" x14ac:dyDescent="0.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</row>
    <row r="770" spans="1:11" x14ac:dyDescent="0.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</row>
    <row r="771" spans="1:11" x14ac:dyDescent="0.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</row>
    <row r="772" spans="1:11" x14ac:dyDescent="0.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</row>
    <row r="773" spans="1:11" x14ac:dyDescent="0.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</row>
    <row r="774" spans="1:11" x14ac:dyDescent="0.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</row>
    <row r="775" spans="1:11" x14ac:dyDescent="0.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</row>
    <row r="776" spans="1:11" x14ac:dyDescent="0.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</row>
    <row r="777" spans="1:11" x14ac:dyDescent="0.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</row>
    <row r="778" spans="1:11" x14ac:dyDescent="0.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</row>
    <row r="779" spans="1:11" x14ac:dyDescent="0.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</row>
    <row r="780" spans="1:11" x14ac:dyDescent="0.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</row>
    <row r="781" spans="1:11" x14ac:dyDescent="0.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</row>
    <row r="782" spans="1:11" x14ac:dyDescent="0.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</row>
    <row r="783" spans="1:11" x14ac:dyDescent="0.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</row>
    <row r="784" spans="1:11" x14ac:dyDescent="0.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</row>
    <row r="785" spans="1:11" x14ac:dyDescent="0.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</row>
    <row r="786" spans="1:11" x14ac:dyDescent="0.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</row>
    <row r="787" spans="1:11" x14ac:dyDescent="0.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</row>
    <row r="788" spans="1:11" x14ac:dyDescent="0.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</row>
    <row r="789" spans="1:11" x14ac:dyDescent="0.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</row>
    <row r="790" spans="1:11" x14ac:dyDescent="0.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</row>
    <row r="791" spans="1:11" x14ac:dyDescent="0.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</row>
    <row r="792" spans="1:11" x14ac:dyDescent="0.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</row>
    <row r="793" spans="1:11" x14ac:dyDescent="0.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</row>
    <row r="794" spans="1:11" x14ac:dyDescent="0.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</row>
    <row r="795" spans="1:11" x14ac:dyDescent="0.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</row>
    <row r="796" spans="1:11" x14ac:dyDescent="0.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</row>
    <row r="797" spans="1:11" x14ac:dyDescent="0.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</row>
    <row r="798" spans="1:11" x14ac:dyDescent="0.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</row>
    <row r="799" spans="1:11" x14ac:dyDescent="0.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</row>
    <row r="800" spans="1:11" x14ac:dyDescent="0.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</row>
    <row r="801" spans="1:11" x14ac:dyDescent="0.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</row>
    <row r="802" spans="1:11" x14ac:dyDescent="0.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</row>
    <row r="803" spans="1:11" x14ac:dyDescent="0.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</row>
    <row r="804" spans="1:11" x14ac:dyDescent="0.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</row>
    <row r="805" spans="1:11" x14ac:dyDescent="0.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</row>
    <row r="806" spans="1:11" x14ac:dyDescent="0.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</row>
    <row r="807" spans="1:11" x14ac:dyDescent="0.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</row>
    <row r="808" spans="1:11" x14ac:dyDescent="0.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</row>
    <row r="809" spans="1:11" x14ac:dyDescent="0.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</row>
    <row r="810" spans="1:11" x14ac:dyDescent="0.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</row>
    <row r="811" spans="1:11" x14ac:dyDescent="0.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</row>
    <row r="812" spans="1:11" x14ac:dyDescent="0.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</row>
    <row r="813" spans="1:11" x14ac:dyDescent="0.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</row>
    <row r="814" spans="1:11" x14ac:dyDescent="0.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</row>
    <row r="815" spans="1:11" x14ac:dyDescent="0.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</row>
    <row r="816" spans="1:11" x14ac:dyDescent="0.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</row>
    <row r="817" spans="1:11" x14ac:dyDescent="0.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</row>
    <row r="818" spans="1:11" x14ac:dyDescent="0.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</row>
    <row r="819" spans="1:11" x14ac:dyDescent="0.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</row>
    <row r="820" spans="1:11" x14ac:dyDescent="0.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</row>
    <row r="821" spans="1:11" x14ac:dyDescent="0.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</row>
    <row r="822" spans="1:11" x14ac:dyDescent="0.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</row>
    <row r="823" spans="1:11" x14ac:dyDescent="0.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</row>
    <row r="824" spans="1:11" x14ac:dyDescent="0.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</row>
    <row r="825" spans="1:11" x14ac:dyDescent="0.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</row>
    <row r="826" spans="1:11" x14ac:dyDescent="0.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</row>
    <row r="827" spans="1:11" x14ac:dyDescent="0.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</row>
    <row r="828" spans="1:11" x14ac:dyDescent="0.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</row>
    <row r="829" spans="1:11" x14ac:dyDescent="0.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</row>
    <row r="830" spans="1:11" x14ac:dyDescent="0.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</row>
    <row r="831" spans="1:11" x14ac:dyDescent="0.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</row>
    <row r="832" spans="1:11" x14ac:dyDescent="0.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</row>
    <row r="833" spans="1:11" x14ac:dyDescent="0.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</row>
    <row r="834" spans="1:11" x14ac:dyDescent="0.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</row>
    <row r="835" spans="1:11" x14ac:dyDescent="0.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</row>
    <row r="836" spans="1:11" x14ac:dyDescent="0.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</row>
    <row r="837" spans="1:11" x14ac:dyDescent="0.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</row>
    <row r="838" spans="1:11" x14ac:dyDescent="0.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</row>
    <row r="839" spans="1:11" x14ac:dyDescent="0.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</row>
    <row r="840" spans="1:11" x14ac:dyDescent="0.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</row>
    <row r="841" spans="1:11" x14ac:dyDescent="0.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</row>
    <row r="842" spans="1:11" x14ac:dyDescent="0.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</row>
    <row r="843" spans="1:11" x14ac:dyDescent="0.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</row>
    <row r="844" spans="1:11" x14ac:dyDescent="0.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</row>
    <row r="845" spans="1:11" x14ac:dyDescent="0.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</row>
    <row r="846" spans="1:11" x14ac:dyDescent="0.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</row>
    <row r="847" spans="1:11" x14ac:dyDescent="0.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</row>
    <row r="848" spans="1:11" x14ac:dyDescent="0.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</row>
    <row r="849" spans="1:11" x14ac:dyDescent="0.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</row>
    <row r="850" spans="1:11" x14ac:dyDescent="0.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</row>
    <row r="851" spans="1:11" x14ac:dyDescent="0.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</row>
    <row r="852" spans="1:11" x14ac:dyDescent="0.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</row>
    <row r="853" spans="1:11" x14ac:dyDescent="0.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</row>
    <row r="854" spans="1:11" x14ac:dyDescent="0.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</row>
    <row r="855" spans="1:11" x14ac:dyDescent="0.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</row>
    <row r="856" spans="1:11" x14ac:dyDescent="0.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</row>
    <row r="857" spans="1:11" x14ac:dyDescent="0.2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</row>
    <row r="858" spans="1:11" x14ac:dyDescent="0.2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</row>
    <row r="859" spans="1:11" x14ac:dyDescent="0.2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</row>
    <row r="860" spans="1:11" x14ac:dyDescent="0.2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</row>
    <row r="861" spans="1:11" x14ac:dyDescent="0.2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</row>
    <row r="862" spans="1:11" x14ac:dyDescent="0.2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</row>
    <row r="863" spans="1:11" x14ac:dyDescent="0.2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</row>
    <row r="864" spans="1:11" x14ac:dyDescent="0.2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</row>
    <row r="865" spans="1:11" x14ac:dyDescent="0.2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</row>
    <row r="866" spans="1:11" x14ac:dyDescent="0.2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</row>
    <row r="867" spans="1:11" x14ac:dyDescent="0.2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</row>
    <row r="868" spans="1:11" x14ac:dyDescent="0.2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</row>
    <row r="869" spans="1:11" x14ac:dyDescent="0.2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</row>
    <row r="870" spans="1:11" x14ac:dyDescent="0.2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</row>
    <row r="871" spans="1:11" x14ac:dyDescent="0.2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</row>
    <row r="872" spans="1:11" x14ac:dyDescent="0.2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</row>
    <row r="873" spans="1:11" x14ac:dyDescent="0.2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</row>
    <row r="874" spans="1:11" x14ac:dyDescent="0.2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</row>
    <row r="875" spans="1:11" x14ac:dyDescent="0.2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</row>
    <row r="876" spans="1:11" x14ac:dyDescent="0.2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</row>
    <row r="877" spans="1:11" x14ac:dyDescent="0.2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</row>
    <row r="878" spans="1:11" x14ac:dyDescent="0.2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</row>
    <row r="879" spans="1:11" x14ac:dyDescent="0.2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</row>
    <row r="880" spans="1:11" x14ac:dyDescent="0.2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</row>
    <row r="881" spans="1:11" x14ac:dyDescent="0.2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</row>
    <row r="882" spans="1:11" x14ac:dyDescent="0.2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</row>
    <row r="883" spans="1:11" x14ac:dyDescent="0.2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</row>
    <row r="884" spans="1:11" x14ac:dyDescent="0.2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</row>
    <row r="885" spans="1:11" x14ac:dyDescent="0.2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</row>
    <row r="886" spans="1:11" x14ac:dyDescent="0.2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</row>
    <row r="887" spans="1:11" x14ac:dyDescent="0.2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</row>
    <row r="888" spans="1:11" x14ac:dyDescent="0.2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</row>
    <row r="889" spans="1:11" x14ac:dyDescent="0.2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</row>
    <row r="890" spans="1:11" x14ac:dyDescent="0.2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</row>
    <row r="891" spans="1:11" x14ac:dyDescent="0.2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</row>
    <row r="892" spans="1:11" x14ac:dyDescent="0.2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</row>
    <row r="893" spans="1:11" x14ac:dyDescent="0.2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</row>
    <row r="894" spans="1:11" x14ac:dyDescent="0.2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</row>
    <row r="895" spans="1:11" x14ac:dyDescent="0.2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</row>
    <row r="896" spans="1:11" x14ac:dyDescent="0.2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</row>
    <row r="897" spans="1:11" x14ac:dyDescent="0.2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</row>
    <row r="898" spans="1:11" x14ac:dyDescent="0.2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</row>
    <row r="899" spans="1:11" x14ac:dyDescent="0.2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</row>
    <row r="900" spans="1:11" x14ac:dyDescent="0.2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</row>
    <row r="901" spans="1:11" x14ac:dyDescent="0.2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</row>
    <row r="902" spans="1:11" x14ac:dyDescent="0.2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</row>
    <row r="903" spans="1:11" x14ac:dyDescent="0.2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</row>
    <row r="904" spans="1:11" x14ac:dyDescent="0.2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</row>
    <row r="905" spans="1:11" x14ac:dyDescent="0.2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</row>
    <row r="906" spans="1:11" x14ac:dyDescent="0.2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</row>
    <row r="907" spans="1:11" x14ac:dyDescent="0.2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</row>
    <row r="908" spans="1:11" x14ac:dyDescent="0.2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</row>
    <row r="909" spans="1:11" x14ac:dyDescent="0.2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</row>
    <row r="910" spans="1:11" x14ac:dyDescent="0.2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</row>
    <row r="911" spans="1:11" x14ac:dyDescent="0.2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</row>
    <row r="912" spans="1:11" x14ac:dyDescent="0.2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</row>
    <row r="913" spans="1:11" x14ac:dyDescent="0.2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</row>
    <row r="914" spans="1:11" x14ac:dyDescent="0.2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</row>
    <row r="915" spans="1:11" x14ac:dyDescent="0.2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</row>
    <row r="916" spans="1:11" x14ac:dyDescent="0.2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</row>
    <row r="917" spans="1:11" x14ac:dyDescent="0.2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</row>
    <row r="918" spans="1:11" x14ac:dyDescent="0.2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</row>
    <row r="919" spans="1:11" x14ac:dyDescent="0.2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</row>
    <row r="920" spans="1:11" x14ac:dyDescent="0.2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</row>
    <row r="921" spans="1:11" x14ac:dyDescent="0.2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</row>
    <row r="922" spans="1:11" x14ac:dyDescent="0.2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</row>
    <row r="923" spans="1:11" x14ac:dyDescent="0.2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</row>
    <row r="924" spans="1:11" x14ac:dyDescent="0.2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</row>
    <row r="925" spans="1:11" x14ac:dyDescent="0.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</row>
    <row r="926" spans="1:11" x14ac:dyDescent="0.2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</row>
    <row r="927" spans="1:11" x14ac:dyDescent="0.2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</row>
    <row r="928" spans="1:11" x14ac:dyDescent="0.2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</row>
    <row r="929" spans="1:11" x14ac:dyDescent="0.2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</row>
    <row r="930" spans="1:11" x14ac:dyDescent="0.2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</row>
    <row r="931" spans="1:11" x14ac:dyDescent="0.2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</row>
    <row r="932" spans="1:11" x14ac:dyDescent="0.2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</row>
    <row r="933" spans="1:11" x14ac:dyDescent="0.2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</row>
    <row r="934" spans="1:11" x14ac:dyDescent="0.2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</row>
    <row r="935" spans="1:11" x14ac:dyDescent="0.2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</row>
    <row r="936" spans="1:11" x14ac:dyDescent="0.2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</row>
    <row r="937" spans="1:11" x14ac:dyDescent="0.2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</row>
    <row r="938" spans="1:11" x14ac:dyDescent="0.2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</row>
    <row r="939" spans="1:11" x14ac:dyDescent="0.2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</row>
    <row r="940" spans="1:11" x14ac:dyDescent="0.2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</row>
    <row r="941" spans="1:11" x14ac:dyDescent="0.2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</row>
    <row r="942" spans="1:11" x14ac:dyDescent="0.2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</row>
    <row r="943" spans="1:11" x14ac:dyDescent="0.2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</row>
    <row r="944" spans="1:11" x14ac:dyDescent="0.2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</row>
    <row r="945" spans="1:11" x14ac:dyDescent="0.2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</row>
    <row r="946" spans="1:11" x14ac:dyDescent="0.2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</row>
    <row r="947" spans="1:11" x14ac:dyDescent="0.2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</row>
    <row r="948" spans="1:11" x14ac:dyDescent="0.2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</row>
    <row r="949" spans="1:11" x14ac:dyDescent="0.2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</row>
    <row r="950" spans="1:11" x14ac:dyDescent="0.2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</row>
    <row r="951" spans="1:11" x14ac:dyDescent="0.2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</row>
    <row r="952" spans="1:11" x14ac:dyDescent="0.2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</row>
    <row r="953" spans="1:11" x14ac:dyDescent="0.2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</row>
    <row r="954" spans="1:11" x14ac:dyDescent="0.2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</row>
    <row r="955" spans="1:11" x14ac:dyDescent="0.2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</row>
    <row r="956" spans="1:11" x14ac:dyDescent="0.2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</row>
    <row r="957" spans="1:11" x14ac:dyDescent="0.2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</row>
    <row r="958" spans="1:11" x14ac:dyDescent="0.2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</row>
    <row r="959" spans="1:11" x14ac:dyDescent="0.2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</row>
    <row r="960" spans="1:11" x14ac:dyDescent="0.2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</row>
    <row r="961" spans="1:11" x14ac:dyDescent="0.2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</row>
    <row r="962" spans="1:11" x14ac:dyDescent="0.2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</row>
    <row r="963" spans="1:11" x14ac:dyDescent="0.2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</row>
    <row r="964" spans="1:11" x14ac:dyDescent="0.2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</row>
    <row r="965" spans="1:11" x14ac:dyDescent="0.2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</row>
    <row r="966" spans="1:11" x14ac:dyDescent="0.2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</row>
    <row r="967" spans="1:11" x14ac:dyDescent="0.2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</row>
    <row r="968" spans="1:11" x14ac:dyDescent="0.2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</row>
    <row r="969" spans="1:11" x14ac:dyDescent="0.2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</row>
    <row r="970" spans="1:11" x14ac:dyDescent="0.2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</row>
    <row r="971" spans="1:11" x14ac:dyDescent="0.2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</row>
    <row r="972" spans="1:11" x14ac:dyDescent="0.2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</row>
    <row r="973" spans="1:11" x14ac:dyDescent="0.2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</row>
    <row r="974" spans="1:11" x14ac:dyDescent="0.2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</row>
    <row r="975" spans="1:11" x14ac:dyDescent="0.2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</row>
    <row r="976" spans="1:11" x14ac:dyDescent="0.2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</row>
    <row r="977" spans="1:11" x14ac:dyDescent="0.2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</row>
    <row r="978" spans="1:11" x14ac:dyDescent="0.2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</row>
    <row r="979" spans="1:11" x14ac:dyDescent="0.2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</row>
    <row r="980" spans="1:11" x14ac:dyDescent="0.2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</row>
    <row r="981" spans="1:11" x14ac:dyDescent="0.2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</row>
    <row r="982" spans="1:11" x14ac:dyDescent="0.2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</row>
    <row r="983" spans="1:11" x14ac:dyDescent="0.2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</row>
    <row r="984" spans="1:11" x14ac:dyDescent="0.2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</row>
    <row r="985" spans="1:11" x14ac:dyDescent="0.2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</row>
    <row r="986" spans="1:11" x14ac:dyDescent="0.2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</row>
    <row r="987" spans="1:11" x14ac:dyDescent="0.2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</row>
    <row r="988" spans="1:11" x14ac:dyDescent="0.2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</row>
    <row r="989" spans="1:11" x14ac:dyDescent="0.2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</row>
    <row r="990" spans="1:11" x14ac:dyDescent="0.2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</row>
    <row r="991" spans="1:11" x14ac:dyDescent="0.2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</row>
    <row r="992" spans="1:11" x14ac:dyDescent="0.2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</row>
    <row r="993" spans="1:11" x14ac:dyDescent="0.2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</row>
    <row r="994" spans="1:11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</row>
    <row r="995" spans="1:11" x14ac:dyDescent="0.2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</row>
    <row r="996" spans="1:11" x14ac:dyDescent="0.2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</row>
    <row r="997" spans="1:11" x14ac:dyDescent="0.2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</row>
    <row r="998" spans="1:11" x14ac:dyDescent="0.2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</row>
    <row r="999" spans="1:11" x14ac:dyDescent="0.2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</row>
    <row r="1000" spans="1:11" x14ac:dyDescent="0.2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</row>
    <row r="1001" spans="1:11" x14ac:dyDescent="0.2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</row>
    <row r="1002" spans="1:11" x14ac:dyDescent="0.25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</row>
  </sheetData>
  <mergeCells count="7">
    <mergeCell ref="J110:K110"/>
    <mergeCell ref="J133:K133"/>
    <mergeCell ref="J26:L26"/>
    <mergeCell ref="J35:L35"/>
    <mergeCell ref="J42:K42"/>
    <mergeCell ref="J85:K85"/>
    <mergeCell ref="J99:K9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W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3" x14ac:dyDescent="0.25">
      <c r="A1" s="50" t="s">
        <v>0</v>
      </c>
      <c r="B1" s="50" t="s">
        <v>4354</v>
      </c>
      <c r="C1" s="50" t="s">
        <v>4355</v>
      </c>
      <c r="D1" s="50" t="s">
        <v>6</v>
      </c>
      <c r="E1" s="50" t="s">
        <v>4356</v>
      </c>
      <c r="F1" s="50" t="s">
        <v>4357</v>
      </c>
      <c r="G1" s="50" t="s">
        <v>4358</v>
      </c>
      <c r="H1" s="50" t="s">
        <v>4359</v>
      </c>
      <c r="I1" s="38" t="s">
        <v>4360</v>
      </c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</row>
    <row r="2" spans="1:23" x14ac:dyDescent="0.25">
      <c r="A2" s="44" t="s">
        <v>4345</v>
      </c>
      <c r="B2" s="20">
        <v>741642660</v>
      </c>
      <c r="C2" s="20">
        <v>1001163420</v>
      </c>
      <c r="D2" s="44">
        <f t="shared" ref="D2:D189" si="0">((C2-B2)/B2)*100</f>
        <v>34.992695808517809</v>
      </c>
      <c r="E2" s="44">
        <v>1</v>
      </c>
      <c r="F2" s="44">
        <v>0</v>
      </c>
      <c r="G2" s="44">
        <v>0</v>
      </c>
      <c r="H2" s="44">
        <f t="shared" ref="H2:H189" si="1">(E2/(E2+F2+G2))*100</f>
        <v>100</v>
      </c>
      <c r="I2" s="8">
        <f t="shared" ref="I2:I189" si="2">(F2/(E2+F2+G2))*100</f>
        <v>0</v>
      </c>
      <c r="J2" s="69" t="s">
        <v>4362</v>
      </c>
      <c r="K2" s="67"/>
      <c r="L2" s="67"/>
    </row>
    <row r="3" spans="1:23" x14ac:dyDescent="0.25">
      <c r="A3" s="44" t="s">
        <v>4168</v>
      </c>
      <c r="B3" s="20">
        <v>191940200895.29999</v>
      </c>
      <c r="C3" s="20">
        <v>209962065115.39999</v>
      </c>
      <c r="D3" s="44">
        <f t="shared" si="0"/>
        <v>9.3893119503040516</v>
      </c>
      <c r="E3" s="39">
        <v>4</v>
      </c>
      <c r="F3" s="39">
        <v>0</v>
      </c>
      <c r="G3" s="39">
        <v>0</v>
      </c>
      <c r="H3" s="44">
        <f t="shared" si="1"/>
        <v>100</v>
      </c>
      <c r="I3" s="8">
        <f t="shared" si="2"/>
        <v>0</v>
      </c>
      <c r="J3" s="8"/>
      <c r="K3" s="8"/>
      <c r="L3" s="8"/>
    </row>
    <row r="4" spans="1:23" x14ac:dyDescent="0.25">
      <c r="A4" s="44" t="s">
        <v>4351</v>
      </c>
      <c r="B4" s="20">
        <v>32721897542.399998</v>
      </c>
      <c r="C4" s="20">
        <v>35049338908</v>
      </c>
      <c r="D4" s="44">
        <f t="shared" si="0"/>
        <v>7.1127946127946204</v>
      </c>
      <c r="E4" s="44">
        <v>1</v>
      </c>
      <c r="F4" s="44">
        <v>0</v>
      </c>
      <c r="G4" s="44">
        <v>0</v>
      </c>
      <c r="H4" s="44">
        <f t="shared" si="1"/>
        <v>100</v>
      </c>
      <c r="I4" s="8">
        <f t="shared" si="2"/>
        <v>0</v>
      </c>
      <c r="J4" s="69" t="s">
        <v>4361</v>
      </c>
      <c r="K4" s="67"/>
      <c r="L4" s="67"/>
    </row>
    <row r="5" spans="1:23" x14ac:dyDescent="0.25">
      <c r="A5" s="44" t="s">
        <v>758</v>
      </c>
      <c r="B5" s="20">
        <v>86589943960</v>
      </c>
      <c r="C5" s="20">
        <v>91210565183.800003</v>
      </c>
      <c r="D5" s="44">
        <f t="shared" si="0"/>
        <v>5.3362099713732194</v>
      </c>
      <c r="E5" s="39">
        <v>2</v>
      </c>
      <c r="F5" s="39">
        <v>0</v>
      </c>
      <c r="G5" s="39">
        <v>0</v>
      </c>
      <c r="H5" s="44">
        <f t="shared" si="1"/>
        <v>100</v>
      </c>
      <c r="I5" s="8">
        <f t="shared" si="2"/>
        <v>0</v>
      </c>
      <c r="J5" s="8"/>
      <c r="K5" s="8"/>
      <c r="L5" s="8"/>
    </row>
    <row r="6" spans="1:23" x14ac:dyDescent="0.25">
      <c r="A6" s="44" t="s">
        <v>3867</v>
      </c>
      <c r="B6" s="20">
        <v>8796454306.2000008</v>
      </c>
      <c r="C6" s="20">
        <v>8861260540</v>
      </c>
      <c r="D6" s="44">
        <f t="shared" si="0"/>
        <v>0.73673131859869823</v>
      </c>
      <c r="E6" s="39">
        <v>1</v>
      </c>
      <c r="F6" s="39">
        <v>0</v>
      </c>
      <c r="G6" s="39">
        <v>0</v>
      </c>
      <c r="H6" s="44">
        <f t="shared" si="1"/>
        <v>100</v>
      </c>
      <c r="I6" s="8">
        <f t="shared" si="2"/>
        <v>0</v>
      </c>
      <c r="J6" s="8"/>
      <c r="K6" s="8"/>
      <c r="L6" s="8"/>
    </row>
    <row r="7" spans="1:23" x14ac:dyDescent="0.25">
      <c r="A7" s="44" t="s">
        <v>3663</v>
      </c>
      <c r="B7" s="20">
        <v>83007764659.5</v>
      </c>
      <c r="C7" s="20">
        <v>83341653251.599991</v>
      </c>
      <c r="D7" s="44">
        <f t="shared" si="0"/>
        <v>0.40223778277804551</v>
      </c>
      <c r="E7" s="39">
        <v>2</v>
      </c>
      <c r="F7" s="39">
        <v>0</v>
      </c>
      <c r="G7" s="39">
        <v>0</v>
      </c>
      <c r="H7" s="44">
        <f t="shared" si="1"/>
        <v>100</v>
      </c>
      <c r="I7" s="8">
        <f t="shared" si="2"/>
        <v>0</v>
      </c>
      <c r="J7" s="8"/>
      <c r="K7" s="8"/>
      <c r="L7" s="8"/>
    </row>
    <row r="8" spans="1:23" x14ac:dyDescent="0.25">
      <c r="A8" s="44" t="s">
        <v>3402</v>
      </c>
      <c r="B8" s="20">
        <v>8653443574452.6406</v>
      </c>
      <c r="C8" s="20">
        <v>9516273877837.7793</v>
      </c>
      <c r="D8" s="44">
        <f t="shared" si="0"/>
        <v>9.9709473571013092</v>
      </c>
      <c r="E8" s="39">
        <v>6</v>
      </c>
      <c r="F8" s="39">
        <v>1</v>
      </c>
      <c r="G8" s="39">
        <v>0</v>
      </c>
      <c r="H8" s="44">
        <f t="shared" si="1"/>
        <v>85.714285714285708</v>
      </c>
      <c r="I8" s="8">
        <f t="shared" si="2"/>
        <v>14.285714285714285</v>
      </c>
      <c r="J8" s="8"/>
      <c r="K8" s="8"/>
      <c r="L8" s="8"/>
    </row>
    <row r="9" spans="1:23" x14ac:dyDescent="0.25">
      <c r="A9" s="44" t="s">
        <v>1538</v>
      </c>
      <c r="B9" s="20">
        <v>1453610275.1500001</v>
      </c>
      <c r="C9" s="20">
        <v>1724184952.79</v>
      </c>
      <c r="D9" s="44">
        <f t="shared" si="0"/>
        <v>18.613976680378023</v>
      </c>
      <c r="E9" s="39">
        <v>5</v>
      </c>
      <c r="F9" s="39">
        <v>1</v>
      </c>
      <c r="G9" s="39">
        <v>0</v>
      </c>
      <c r="H9" s="44">
        <f t="shared" si="1"/>
        <v>83.333333333333343</v>
      </c>
      <c r="I9" s="8">
        <f t="shared" si="2"/>
        <v>16.666666666666664</v>
      </c>
      <c r="J9" s="8"/>
      <c r="K9" s="8"/>
      <c r="L9" s="8"/>
    </row>
    <row r="10" spans="1:23" x14ac:dyDescent="0.25">
      <c r="A10" s="44" t="s">
        <v>2757</v>
      </c>
      <c r="B10" s="20">
        <v>813783221194.5</v>
      </c>
      <c r="C10" s="20">
        <v>914352562417.03003</v>
      </c>
      <c r="D10" s="44">
        <f t="shared" si="0"/>
        <v>12.358247086356828</v>
      </c>
      <c r="E10" s="39">
        <v>5</v>
      </c>
      <c r="F10" s="39">
        <v>1</v>
      </c>
      <c r="G10" s="39">
        <v>0</v>
      </c>
      <c r="H10" s="44">
        <f t="shared" si="1"/>
        <v>83.333333333333343</v>
      </c>
      <c r="I10" s="8">
        <f t="shared" si="2"/>
        <v>16.666666666666664</v>
      </c>
      <c r="J10" s="8"/>
      <c r="K10" s="8"/>
      <c r="L10" s="8"/>
    </row>
    <row r="11" spans="1:23" x14ac:dyDescent="0.25">
      <c r="A11" s="44" t="s">
        <v>4145</v>
      </c>
      <c r="B11" s="20">
        <v>14331505315870.52</v>
      </c>
      <c r="C11" s="20">
        <v>15832843208237</v>
      </c>
      <c r="D11" s="44">
        <f t="shared" si="0"/>
        <v>10.47578645282934</v>
      </c>
      <c r="E11" s="39">
        <v>10</v>
      </c>
      <c r="F11" s="39">
        <v>2</v>
      </c>
      <c r="G11" s="39">
        <v>0</v>
      </c>
      <c r="H11" s="44">
        <f t="shared" si="1"/>
        <v>83.333333333333343</v>
      </c>
      <c r="I11" s="8">
        <f t="shared" si="2"/>
        <v>16.666666666666664</v>
      </c>
      <c r="J11" s="8"/>
      <c r="K11" s="8"/>
      <c r="L11" s="8"/>
    </row>
    <row r="12" spans="1:23" x14ac:dyDescent="0.25">
      <c r="A12" s="44" t="s">
        <v>3085</v>
      </c>
      <c r="B12" s="20">
        <v>10046960468438.801</v>
      </c>
      <c r="C12" s="20">
        <v>10819109487621.85</v>
      </c>
      <c r="D12" s="44">
        <f t="shared" si="0"/>
        <v>7.685399197186582</v>
      </c>
      <c r="E12" s="39">
        <v>5</v>
      </c>
      <c r="F12" s="39">
        <v>1</v>
      </c>
      <c r="G12" s="39">
        <v>0</v>
      </c>
      <c r="H12" s="44">
        <f t="shared" si="1"/>
        <v>83.333333333333343</v>
      </c>
      <c r="I12" s="8">
        <f t="shared" si="2"/>
        <v>16.666666666666664</v>
      </c>
      <c r="J12" s="8"/>
      <c r="K12" s="8"/>
      <c r="L12" s="8"/>
    </row>
    <row r="13" spans="1:23" x14ac:dyDescent="0.25">
      <c r="A13" s="44" t="s">
        <v>4016</v>
      </c>
      <c r="B13" s="20">
        <v>3120321442284.4502</v>
      </c>
      <c r="C13" s="20">
        <v>3432827403797.3003</v>
      </c>
      <c r="D13" s="44">
        <f t="shared" si="0"/>
        <v>10.015184886979405</v>
      </c>
      <c r="E13" s="39">
        <v>4</v>
      </c>
      <c r="F13" s="39">
        <v>1</v>
      </c>
      <c r="G13" s="39">
        <v>0</v>
      </c>
      <c r="H13" s="44">
        <f t="shared" si="1"/>
        <v>80</v>
      </c>
      <c r="I13" s="8">
        <f t="shared" si="2"/>
        <v>20</v>
      </c>
      <c r="J13" s="8"/>
      <c r="K13" s="8"/>
      <c r="L13" s="8"/>
    </row>
    <row r="14" spans="1:23" x14ac:dyDescent="0.25">
      <c r="A14" s="44" t="s">
        <v>3793</v>
      </c>
      <c r="B14" s="20">
        <v>1670321484484.3999</v>
      </c>
      <c r="C14" s="20">
        <v>1831221514151.7097</v>
      </c>
      <c r="D14" s="44">
        <f t="shared" si="0"/>
        <v>9.632877931698097</v>
      </c>
      <c r="E14" s="39">
        <v>4</v>
      </c>
      <c r="F14" s="39">
        <v>1</v>
      </c>
      <c r="G14" s="39">
        <v>0</v>
      </c>
      <c r="H14" s="44">
        <f t="shared" si="1"/>
        <v>80</v>
      </c>
      <c r="I14" s="8">
        <f t="shared" si="2"/>
        <v>20</v>
      </c>
      <c r="J14" s="8"/>
      <c r="K14" s="8"/>
      <c r="L14" s="8"/>
    </row>
    <row r="15" spans="1:23" x14ac:dyDescent="0.25">
      <c r="A15" s="44" t="s">
        <v>642</v>
      </c>
      <c r="B15" s="20">
        <v>2123853042308.7</v>
      </c>
      <c r="C15" s="20">
        <v>2265023398554.7002</v>
      </c>
      <c r="D15" s="44">
        <f t="shared" si="0"/>
        <v>6.6468985110449683</v>
      </c>
      <c r="E15" s="39">
        <v>3</v>
      </c>
      <c r="F15" s="39">
        <v>1</v>
      </c>
      <c r="G15" s="39">
        <v>0</v>
      </c>
      <c r="H15" s="44">
        <f t="shared" si="1"/>
        <v>75</v>
      </c>
      <c r="I15" s="8">
        <f t="shared" si="2"/>
        <v>25</v>
      </c>
      <c r="J15" s="8"/>
      <c r="K15" s="8"/>
      <c r="L15" s="8"/>
    </row>
    <row r="16" spans="1:23" x14ac:dyDescent="0.25">
      <c r="A16" s="44" t="s">
        <v>1935</v>
      </c>
      <c r="B16" s="20">
        <v>580698068857.90002</v>
      </c>
      <c r="C16" s="20">
        <v>606081252541.05005</v>
      </c>
      <c r="D16" s="44">
        <f t="shared" si="0"/>
        <v>4.3711500079676391</v>
      </c>
      <c r="E16" s="39">
        <v>6</v>
      </c>
      <c r="F16" s="39">
        <v>2</v>
      </c>
      <c r="G16" s="39">
        <v>0</v>
      </c>
      <c r="H16" s="44">
        <f t="shared" si="1"/>
        <v>75</v>
      </c>
      <c r="I16" s="8">
        <f t="shared" si="2"/>
        <v>25</v>
      </c>
      <c r="J16" s="8"/>
      <c r="K16" s="8"/>
      <c r="L16" s="8"/>
    </row>
    <row r="17" spans="1:12" x14ac:dyDescent="0.25">
      <c r="A17" s="44" t="s">
        <v>788</v>
      </c>
      <c r="B17" s="20">
        <v>23443463687876.68</v>
      </c>
      <c r="C17" s="20">
        <v>24519361294787.777</v>
      </c>
      <c r="D17" s="44">
        <f t="shared" si="0"/>
        <v>4.5893286983334152</v>
      </c>
      <c r="E17" s="39">
        <v>8</v>
      </c>
      <c r="F17" s="39">
        <v>3</v>
      </c>
      <c r="G17" s="39">
        <v>0</v>
      </c>
      <c r="H17" s="44">
        <f t="shared" si="1"/>
        <v>72.727272727272734</v>
      </c>
      <c r="I17" s="8">
        <f t="shared" si="2"/>
        <v>27.27272727272727</v>
      </c>
      <c r="J17" s="8"/>
      <c r="K17" s="8"/>
      <c r="L17" s="8"/>
    </row>
    <row r="18" spans="1:12" x14ac:dyDescent="0.25">
      <c r="A18" s="44" t="s">
        <v>3536</v>
      </c>
      <c r="B18" s="20">
        <v>3627873263751.3003</v>
      </c>
      <c r="C18" s="20">
        <v>3962954087552.0996</v>
      </c>
      <c r="D18" s="44">
        <f t="shared" si="0"/>
        <v>9.2362880244145682</v>
      </c>
      <c r="E18" s="39">
        <v>4</v>
      </c>
      <c r="F18" s="39">
        <v>2</v>
      </c>
      <c r="G18" s="39">
        <v>0</v>
      </c>
      <c r="H18" s="44">
        <f t="shared" si="1"/>
        <v>66.666666666666657</v>
      </c>
      <c r="I18" s="8">
        <f t="shared" si="2"/>
        <v>33.333333333333329</v>
      </c>
      <c r="J18" s="8"/>
      <c r="K18" s="8"/>
      <c r="L18" s="8"/>
    </row>
    <row r="19" spans="1:12" x14ac:dyDescent="0.25">
      <c r="A19" s="51" t="s">
        <v>2567</v>
      </c>
      <c r="B19" s="20">
        <v>252290276876.10001</v>
      </c>
      <c r="C19" s="20">
        <v>272046357166.29999</v>
      </c>
      <c r="D19" s="44">
        <f t="shared" si="0"/>
        <v>7.8306942839109936</v>
      </c>
      <c r="E19" s="39">
        <v>2</v>
      </c>
      <c r="F19" s="39">
        <v>1</v>
      </c>
      <c r="G19" s="39">
        <v>0</v>
      </c>
      <c r="H19" s="44">
        <f t="shared" si="1"/>
        <v>66.666666666666657</v>
      </c>
      <c r="I19" s="8">
        <f t="shared" si="2"/>
        <v>33.333333333333329</v>
      </c>
      <c r="J19" s="8"/>
      <c r="K19" s="8"/>
      <c r="L19" s="8"/>
    </row>
    <row r="20" spans="1:12" x14ac:dyDescent="0.25">
      <c r="A20" s="44" t="s">
        <v>2321</v>
      </c>
      <c r="B20" s="20">
        <v>304237583009.79999</v>
      </c>
      <c r="C20" s="20">
        <v>320547613785.79999</v>
      </c>
      <c r="D20" s="44">
        <f t="shared" si="0"/>
        <v>5.3609519950316677</v>
      </c>
      <c r="E20" s="39">
        <v>4</v>
      </c>
      <c r="F20" s="39">
        <v>2</v>
      </c>
      <c r="G20" s="39">
        <v>0</v>
      </c>
      <c r="H20" s="44">
        <f t="shared" si="1"/>
        <v>66.666666666666657</v>
      </c>
      <c r="I20" s="8">
        <f t="shared" si="2"/>
        <v>33.333333333333329</v>
      </c>
      <c r="J20" s="8"/>
      <c r="K20" s="8"/>
      <c r="L20" s="8"/>
    </row>
    <row r="21" spans="1:12" x14ac:dyDescent="0.25">
      <c r="A21" s="44" t="s">
        <v>342</v>
      </c>
      <c r="B21" s="20">
        <v>1741970633267.95</v>
      </c>
      <c r="C21" s="20">
        <v>1797035802086.3499</v>
      </c>
      <c r="D21" s="44">
        <f t="shared" si="0"/>
        <v>3.1610847948163876</v>
      </c>
      <c r="E21" s="39">
        <v>2</v>
      </c>
      <c r="F21" s="39">
        <v>1</v>
      </c>
      <c r="G21" s="39">
        <v>0</v>
      </c>
      <c r="H21" s="44">
        <f t="shared" si="1"/>
        <v>66.666666666666657</v>
      </c>
      <c r="I21" s="8">
        <f t="shared" si="2"/>
        <v>33.333333333333329</v>
      </c>
      <c r="J21" s="8"/>
      <c r="K21" s="8"/>
      <c r="L21" s="8"/>
    </row>
    <row r="22" spans="1:12" x14ac:dyDescent="0.25">
      <c r="A22" s="44" t="s">
        <v>4066</v>
      </c>
      <c r="B22" s="20">
        <v>107905526807.2</v>
      </c>
      <c r="C22" s="20">
        <v>108921076395.3</v>
      </c>
      <c r="D22" s="44">
        <f t="shared" si="0"/>
        <v>0.9411469626709088</v>
      </c>
      <c r="E22" s="39">
        <v>6</v>
      </c>
      <c r="F22" s="39">
        <v>3</v>
      </c>
      <c r="G22" s="39">
        <v>0</v>
      </c>
      <c r="H22" s="44">
        <f t="shared" si="1"/>
        <v>66.666666666666657</v>
      </c>
      <c r="I22" s="8">
        <f t="shared" si="2"/>
        <v>33.333333333333329</v>
      </c>
      <c r="J22" s="8"/>
      <c r="K22" s="8"/>
      <c r="L22" s="8"/>
    </row>
    <row r="23" spans="1:12" x14ac:dyDescent="0.25">
      <c r="A23" s="44" t="s">
        <v>807</v>
      </c>
      <c r="B23" s="20">
        <v>6018447781654.0801</v>
      </c>
      <c r="C23" s="20">
        <v>6664412172209.0801</v>
      </c>
      <c r="D23" s="44">
        <f t="shared" si="0"/>
        <v>10.733072944889228</v>
      </c>
      <c r="E23" s="39">
        <v>19</v>
      </c>
      <c r="F23" s="39">
        <v>10</v>
      </c>
      <c r="G23" s="39">
        <v>0</v>
      </c>
      <c r="H23" s="44">
        <f t="shared" si="1"/>
        <v>65.517241379310349</v>
      </c>
      <c r="I23" s="8">
        <f t="shared" si="2"/>
        <v>34.482758620689658</v>
      </c>
      <c r="J23" s="8"/>
      <c r="K23" s="8"/>
      <c r="L23" s="8"/>
    </row>
    <row r="24" spans="1:12" x14ac:dyDescent="0.25">
      <c r="A24" s="44" t="s">
        <v>1695</v>
      </c>
      <c r="B24" s="20">
        <v>303636043489.10999</v>
      </c>
      <c r="C24" s="20">
        <v>327622728504.62</v>
      </c>
      <c r="D24" s="44">
        <f t="shared" si="0"/>
        <v>7.8998147716182787</v>
      </c>
      <c r="E24" s="39">
        <v>14</v>
      </c>
      <c r="F24" s="39">
        <v>8</v>
      </c>
      <c r="G24" s="39">
        <v>0</v>
      </c>
      <c r="H24" s="44">
        <f t="shared" si="1"/>
        <v>63.636363636363633</v>
      </c>
      <c r="I24" s="8">
        <f t="shared" si="2"/>
        <v>36.363636363636367</v>
      </c>
      <c r="J24" s="8"/>
      <c r="K24" s="8"/>
      <c r="L24" s="8"/>
    </row>
    <row r="25" spans="1:12" x14ac:dyDescent="0.25">
      <c r="A25" s="44" t="s">
        <v>2228</v>
      </c>
      <c r="B25" s="20">
        <v>5734933834468.79</v>
      </c>
      <c r="C25" s="20">
        <v>5886365849509.5605</v>
      </c>
      <c r="D25" s="44">
        <f t="shared" si="0"/>
        <v>2.6405189564806411</v>
      </c>
      <c r="E25" s="39">
        <v>10</v>
      </c>
      <c r="F25" s="39">
        <v>6</v>
      </c>
      <c r="G25" s="39">
        <v>0</v>
      </c>
      <c r="H25" s="44">
        <f t="shared" si="1"/>
        <v>62.5</v>
      </c>
      <c r="I25" s="8">
        <f t="shared" si="2"/>
        <v>37.5</v>
      </c>
      <c r="J25" s="8"/>
      <c r="K25" s="8"/>
      <c r="L25" s="8"/>
    </row>
    <row r="26" spans="1:12" x14ac:dyDescent="0.25">
      <c r="A26" s="44" t="s">
        <v>1315</v>
      </c>
      <c r="B26" s="20">
        <v>182279085589.45001</v>
      </c>
      <c r="C26" s="20">
        <v>209740443243.15002</v>
      </c>
      <c r="D26" s="44">
        <f t="shared" si="0"/>
        <v>15.065555965949736</v>
      </c>
      <c r="E26" s="39">
        <v>3</v>
      </c>
      <c r="F26" s="39">
        <v>2</v>
      </c>
      <c r="G26" s="39">
        <v>0</v>
      </c>
      <c r="H26" s="44">
        <f t="shared" si="1"/>
        <v>60</v>
      </c>
      <c r="I26" s="8">
        <f t="shared" si="2"/>
        <v>40</v>
      </c>
      <c r="J26" s="8"/>
      <c r="K26" s="8"/>
      <c r="L26" s="8"/>
    </row>
    <row r="27" spans="1:12" x14ac:dyDescent="0.25">
      <c r="A27" s="44" t="s">
        <v>1563</v>
      </c>
      <c r="B27" s="20">
        <v>49765891701.050003</v>
      </c>
      <c r="C27" s="20">
        <v>52004135935.199997</v>
      </c>
      <c r="D27" s="44">
        <f t="shared" si="0"/>
        <v>4.4975467285815149</v>
      </c>
      <c r="E27" s="39">
        <v>3</v>
      </c>
      <c r="F27" s="39">
        <v>2</v>
      </c>
      <c r="G27" s="39">
        <v>0</v>
      </c>
      <c r="H27" s="44">
        <f t="shared" si="1"/>
        <v>60</v>
      </c>
      <c r="I27" s="8">
        <f t="shared" si="2"/>
        <v>40</v>
      </c>
      <c r="J27" s="8"/>
      <c r="K27" s="8"/>
      <c r="L27" s="8"/>
    </row>
    <row r="28" spans="1:12" x14ac:dyDescent="0.25">
      <c r="A28" s="44" t="s">
        <v>183</v>
      </c>
      <c r="B28" s="20">
        <v>1235012218664.97</v>
      </c>
      <c r="C28" s="20">
        <v>1268539629511.3098</v>
      </c>
      <c r="D28" s="44">
        <f t="shared" si="0"/>
        <v>2.7147432502799429</v>
      </c>
      <c r="E28" s="39">
        <v>3</v>
      </c>
      <c r="F28" s="39">
        <v>2</v>
      </c>
      <c r="G28" s="39">
        <v>0</v>
      </c>
      <c r="H28" s="44">
        <f t="shared" si="1"/>
        <v>60</v>
      </c>
      <c r="I28" s="8">
        <f t="shared" si="2"/>
        <v>40</v>
      </c>
      <c r="J28" s="8"/>
      <c r="K28" s="8"/>
      <c r="L28" s="8"/>
    </row>
    <row r="29" spans="1:12" x14ac:dyDescent="0.25">
      <c r="A29" s="44" t="s">
        <v>3974</v>
      </c>
      <c r="B29" s="20">
        <v>327872100347.81</v>
      </c>
      <c r="C29" s="20">
        <v>315709656799.58997</v>
      </c>
      <c r="D29" s="44">
        <f t="shared" si="0"/>
        <v>-3.7095085355899422</v>
      </c>
      <c r="E29" s="39">
        <v>6</v>
      </c>
      <c r="F29" s="39">
        <v>3</v>
      </c>
      <c r="G29" s="39">
        <v>1</v>
      </c>
      <c r="H29" s="44">
        <f t="shared" si="1"/>
        <v>60</v>
      </c>
      <c r="I29" s="8">
        <f t="shared" si="2"/>
        <v>30</v>
      </c>
      <c r="J29" s="8"/>
      <c r="K29" s="8"/>
      <c r="L29" s="8"/>
    </row>
    <row r="30" spans="1:12" x14ac:dyDescent="0.25">
      <c r="A30" s="44" t="s">
        <v>3312</v>
      </c>
      <c r="B30" s="20">
        <v>280993669327.90991</v>
      </c>
      <c r="C30" s="20">
        <v>297674383125.07001</v>
      </c>
      <c r="D30" s="44">
        <f t="shared" si="0"/>
        <v>5.9363308209247512</v>
      </c>
      <c r="E30" s="39">
        <v>7</v>
      </c>
      <c r="F30" s="39">
        <v>5</v>
      </c>
      <c r="G30" s="39">
        <v>0</v>
      </c>
      <c r="H30" s="44">
        <f t="shared" si="1"/>
        <v>58.333333333333336</v>
      </c>
      <c r="I30" s="8">
        <f t="shared" si="2"/>
        <v>41.666666666666671</v>
      </c>
      <c r="J30" s="8"/>
      <c r="K30" s="8"/>
      <c r="L30" s="8"/>
    </row>
    <row r="31" spans="1:12" x14ac:dyDescent="0.25">
      <c r="A31" s="44" t="s">
        <v>2522</v>
      </c>
      <c r="B31" s="20">
        <v>369757629564.39996</v>
      </c>
      <c r="C31" s="20">
        <v>375783216789.13989</v>
      </c>
      <c r="D31" s="44">
        <f t="shared" si="0"/>
        <v>1.6296045687653522</v>
      </c>
      <c r="E31" s="39">
        <v>7</v>
      </c>
      <c r="F31" s="39">
        <v>5</v>
      </c>
      <c r="G31" s="39">
        <v>0</v>
      </c>
      <c r="H31" s="44">
        <f t="shared" si="1"/>
        <v>58.333333333333336</v>
      </c>
      <c r="I31" s="8">
        <f t="shared" si="2"/>
        <v>41.666666666666671</v>
      </c>
      <c r="J31" s="8"/>
      <c r="K31" s="8"/>
      <c r="L31" s="8"/>
    </row>
    <row r="32" spans="1:12" x14ac:dyDescent="0.25">
      <c r="A32" s="44" t="s">
        <v>935</v>
      </c>
      <c r="B32" s="20">
        <v>3778664489797.4004</v>
      </c>
      <c r="C32" s="20">
        <v>3837262550046.0498</v>
      </c>
      <c r="D32" s="44">
        <f t="shared" si="0"/>
        <v>1.5507611328517619</v>
      </c>
      <c r="E32" s="39">
        <v>7</v>
      </c>
      <c r="F32" s="39">
        <v>5</v>
      </c>
      <c r="G32" s="39">
        <v>0</v>
      </c>
      <c r="H32" s="44">
        <f t="shared" si="1"/>
        <v>58.333333333333336</v>
      </c>
      <c r="I32" s="8">
        <f t="shared" si="2"/>
        <v>41.666666666666671</v>
      </c>
      <c r="J32" s="8"/>
      <c r="K32" s="8"/>
      <c r="L32" s="8"/>
    </row>
    <row r="33" spans="1:12" x14ac:dyDescent="0.25">
      <c r="A33" s="44" t="s">
        <v>3262</v>
      </c>
      <c r="B33" s="20">
        <v>1987550133390.8999</v>
      </c>
      <c r="C33" s="20">
        <v>2018797447184.6501</v>
      </c>
      <c r="D33" s="44">
        <f t="shared" si="0"/>
        <v>1.5721522324792951</v>
      </c>
      <c r="E33" s="39">
        <v>4</v>
      </c>
      <c r="F33" s="39">
        <v>3</v>
      </c>
      <c r="G33" s="39">
        <v>0</v>
      </c>
      <c r="H33" s="44">
        <f t="shared" si="1"/>
        <v>57.142857142857139</v>
      </c>
      <c r="I33" s="8">
        <f t="shared" si="2"/>
        <v>42.857142857142854</v>
      </c>
      <c r="J33" s="8"/>
      <c r="K33" s="8"/>
      <c r="L33" s="8"/>
    </row>
    <row r="34" spans="1:12" x14ac:dyDescent="0.25">
      <c r="A34" s="44" t="s">
        <v>1351</v>
      </c>
      <c r="B34" s="20">
        <v>222864484897.45001</v>
      </c>
      <c r="C34" s="20">
        <v>224161801831</v>
      </c>
      <c r="D34" s="44">
        <f t="shared" si="0"/>
        <v>0.58211021560790266</v>
      </c>
      <c r="E34" s="39">
        <v>4</v>
      </c>
      <c r="F34" s="39">
        <v>3</v>
      </c>
      <c r="G34" s="39">
        <v>0</v>
      </c>
      <c r="H34" s="44">
        <f t="shared" si="1"/>
        <v>57.142857142857139</v>
      </c>
      <c r="I34" s="8">
        <f t="shared" si="2"/>
        <v>42.857142857142854</v>
      </c>
      <c r="J34" s="8"/>
      <c r="K34" s="8"/>
      <c r="L34" s="8"/>
    </row>
    <row r="35" spans="1:12" x14ac:dyDescent="0.25">
      <c r="A35" s="44" t="s">
        <v>204</v>
      </c>
      <c r="B35" s="20">
        <v>1544860912331.6101</v>
      </c>
      <c r="C35" s="20">
        <v>1410873153824.7102</v>
      </c>
      <c r="D35" s="44">
        <f t="shared" si="0"/>
        <v>-8.6731276218696216</v>
      </c>
      <c r="E35" s="39">
        <v>8</v>
      </c>
      <c r="F35" s="39">
        <v>5</v>
      </c>
      <c r="G35" s="39">
        <v>1</v>
      </c>
      <c r="H35" s="44">
        <f t="shared" si="1"/>
        <v>57.142857142857139</v>
      </c>
      <c r="I35" s="8">
        <f t="shared" si="2"/>
        <v>35.714285714285715</v>
      </c>
      <c r="J35" s="8"/>
      <c r="K35" s="8"/>
      <c r="L35" s="8"/>
    </row>
    <row r="36" spans="1:12" x14ac:dyDescent="0.25">
      <c r="A36" s="44" t="s">
        <v>1968</v>
      </c>
      <c r="B36" s="20">
        <v>34513710557206.855</v>
      </c>
      <c r="C36" s="20">
        <v>36071995728568.898</v>
      </c>
      <c r="D36" s="44">
        <f t="shared" si="0"/>
        <v>4.5149743281852244</v>
      </c>
      <c r="E36" s="39">
        <v>40</v>
      </c>
      <c r="F36" s="39">
        <v>28</v>
      </c>
      <c r="G36" s="39">
        <v>3</v>
      </c>
      <c r="H36" s="44">
        <f t="shared" si="1"/>
        <v>56.338028169014088</v>
      </c>
      <c r="I36" s="8">
        <f t="shared" si="2"/>
        <v>39.436619718309856</v>
      </c>
      <c r="J36" s="8"/>
      <c r="K36" s="8"/>
      <c r="L36" s="8"/>
    </row>
    <row r="37" spans="1:12" x14ac:dyDescent="0.25">
      <c r="A37" s="44" t="s">
        <v>3847</v>
      </c>
      <c r="B37" s="20">
        <v>1418619859897.53</v>
      </c>
      <c r="C37" s="20">
        <v>1564721109088.26</v>
      </c>
      <c r="D37" s="44">
        <f t="shared" si="0"/>
        <v>10.298830103878794</v>
      </c>
      <c r="E37" s="39">
        <v>5</v>
      </c>
      <c r="F37" s="39">
        <v>4</v>
      </c>
      <c r="G37" s="39">
        <v>0</v>
      </c>
      <c r="H37" s="44">
        <f t="shared" si="1"/>
        <v>55.555555555555557</v>
      </c>
      <c r="I37" s="8">
        <f t="shared" si="2"/>
        <v>44.444444444444443</v>
      </c>
      <c r="J37" s="8"/>
      <c r="K37" s="8"/>
      <c r="L37" s="8"/>
    </row>
    <row r="38" spans="1:12" x14ac:dyDescent="0.25">
      <c r="A38" s="44" t="s">
        <v>1645</v>
      </c>
      <c r="B38" s="20">
        <v>938268725622.57996</v>
      </c>
      <c r="C38" s="20">
        <v>1033371951859.05</v>
      </c>
      <c r="D38" s="44">
        <f t="shared" si="0"/>
        <v>10.136032848517377</v>
      </c>
      <c r="E38" s="39">
        <v>21</v>
      </c>
      <c r="F38" s="39">
        <v>15</v>
      </c>
      <c r="G38" s="39">
        <v>3</v>
      </c>
      <c r="H38" s="44">
        <f t="shared" si="1"/>
        <v>53.846153846153847</v>
      </c>
      <c r="I38" s="8">
        <f t="shared" si="2"/>
        <v>38.461538461538467</v>
      </c>
      <c r="J38" s="8"/>
      <c r="K38" s="8"/>
      <c r="L38" s="8"/>
    </row>
    <row r="39" spans="1:12" x14ac:dyDescent="0.25">
      <c r="A39" s="44" t="s">
        <v>15</v>
      </c>
      <c r="B39" s="20">
        <v>16062655856777.146</v>
      </c>
      <c r="C39" s="20">
        <v>16990447745352.695</v>
      </c>
      <c r="D39" s="44">
        <f t="shared" si="0"/>
        <v>5.776080225139701</v>
      </c>
      <c r="E39" s="39">
        <v>85</v>
      </c>
      <c r="F39" s="39">
        <v>77</v>
      </c>
      <c r="G39" s="39">
        <v>2</v>
      </c>
      <c r="H39" s="44">
        <f t="shared" si="1"/>
        <v>51.829268292682926</v>
      </c>
      <c r="I39" s="8">
        <f t="shared" si="2"/>
        <v>46.951219512195117</v>
      </c>
      <c r="J39" s="8"/>
      <c r="K39" s="8"/>
      <c r="L39" s="8"/>
    </row>
    <row r="40" spans="1:12" x14ac:dyDescent="0.25">
      <c r="A40" s="44" t="s">
        <v>2422</v>
      </c>
      <c r="B40" s="20">
        <v>530664844381.3999</v>
      </c>
      <c r="C40" s="20">
        <v>536112379666.74005</v>
      </c>
      <c r="D40" s="44">
        <f t="shared" si="0"/>
        <v>1.0265491190942528</v>
      </c>
      <c r="E40" s="39">
        <v>18</v>
      </c>
      <c r="F40" s="39">
        <v>16</v>
      </c>
      <c r="G40" s="39">
        <v>1</v>
      </c>
      <c r="H40" s="44">
        <f t="shared" si="1"/>
        <v>51.428571428571423</v>
      </c>
      <c r="I40" s="8">
        <f t="shared" si="2"/>
        <v>45.714285714285715</v>
      </c>
      <c r="J40" s="8"/>
      <c r="K40" s="8"/>
      <c r="L40" s="8"/>
    </row>
    <row r="41" spans="1:12" x14ac:dyDescent="0.25">
      <c r="A41" s="51" t="s">
        <v>2577</v>
      </c>
      <c r="B41" s="20">
        <v>787774808926.50012</v>
      </c>
      <c r="C41" s="20">
        <v>951156963163.84998</v>
      </c>
      <c r="D41" s="44">
        <f t="shared" si="0"/>
        <v>20.739702816848197</v>
      </c>
      <c r="E41" s="39">
        <v>2</v>
      </c>
      <c r="F41" s="39">
        <v>2</v>
      </c>
      <c r="G41" s="39">
        <v>0</v>
      </c>
      <c r="H41" s="44">
        <f t="shared" si="1"/>
        <v>50</v>
      </c>
      <c r="I41" s="8">
        <f t="shared" si="2"/>
        <v>50</v>
      </c>
      <c r="J41" s="8"/>
      <c r="K41" s="8"/>
      <c r="L41" s="8"/>
    </row>
    <row r="42" spans="1:12" x14ac:dyDescent="0.25">
      <c r="A42" s="44" t="s">
        <v>1598</v>
      </c>
      <c r="B42" s="20">
        <v>2510098281780.25</v>
      </c>
      <c r="C42" s="20">
        <v>2700841163025.75</v>
      </c>
      <c r="D42" s="44">
        <f t="shared" si="0"/>
        <v>7.5990204299976032</v>
      </c>
      <c r="E42" s="39">
        <v>2</v>
      </c>
      <c r="F42" s="39">
        <v>1</v>
      </c>
      <c r="G42" s="39">
        <v>1</v>
      </c>
      <c r="H42" s="44">
        <f t="shared" si="1"/>
        <v>50</v>
      </c>
      <c r="I42" s="8">
        <f t="shared" si="2"/>
        <v>25</v>
      </c>
      <c r="J42" s="8"/>
      <c r="K42" s="8"/>
      <c r="L42" s="8"/>
    </row>
    <row r="43" spans="1:12" x14ac:dyDescent="0.25">
      <c r="A43" s="44" t="s">
        <v>2825</v>
      </c>
      <c r="B43" s="20">
        <v>2782667437.4500003</v>
      </c>
      <c r="C43" s="20">
        <v>2961927244.8499999</v>
      </c>
      <c r="D43" s="44">
        <f t="shared" si="0"/>
        <v>6.4420133353869602</v>
      </c>
      <c r="E43" s="39">
        <v>1</v>
      </c>
      <c r="F43" s="39">
        <v>1</v>
      </c>
      <c r="G43" s="39">
        <v>0</v>
      </c>
      <c r="H43" s="44">
        <f t="shared" si="1"/>
        <v>50</v>
      </c>
      <c r="I43" s="8">
        <f t="shared" si="2"/>
        <v>50</v>
      </c>
      <c r="J43" s="8"/>
      <c r="K43" s="8"/>
      <c r="L43" s="8"/>
    </row>
    <row r="44" spans="1:12" x14ac:dyDescent="0.25">
      <c r="A44" s="44" t="s">
        <v>3883</v>
      </c>
      <c r="B44" s="20">
        <v>616128590433.44995</v>
      </c>
      <c r="C44" s="20">
        <v>654996964520.25</v>
      </c>
      <c r="D44" s="44">
        <f t="shared" si="0"/>
        <v>6.3084840876246187</v>
      </c>
      <c r="E44" s="39">
        <v>2</v>
      </c>
      <c r="F44" s="39">
        <v>2</v>
      </c>
      <c r="G44" s="39">
        <v>0</v>
      </c>
      <c r="H44" s="44">
        <f t="shared" si="1"/>
        <v>50</v>
      </c>
      <c r="I44" s="8">
        <f t="shared" si="2"/>
        <v>50</v>
      </c>
      <c r="J44" s="8"/>
      <c r="K44" s="8"/>
      <c r="L44" s="8"/>
    </row>
    <row r="45" spans="1:12" x14ac:dyDescent="0.25">
      <c r="A45" s="44" t="s">
        <v>3068</v>
      </c>
      <c r="B45" s="20">
        <v>5511030417.6800003</v>
      </c>
      <c r="C45" s="20">
        <v>5809467133.7600002</v>
      </c>
      <c r="D45" s="44">
        <f t="shared" si="0"/>
        <v>5.4152616382334173</v>
      </c>
      <c r="E45" s="39">
        <v>2</v>
      </c>
      <c r="F45" s="39">
        <v>2</v>
      </c>
      <c r="G45" s="39">
        <v>0</v>
      </c>
      <c r="H45" s="44">
        <f t="shared" si="1"/>
        <v>50</v>
      </c>
      <c r="I45" s="8">
        <f t="shared" si="2"/>
        <v>50</v>
      </c>
      <c r="J45" s="8"/>
      <c r="K45" s="8"/>
      <c r="L45" s="8"/>
    </row>
    <row r="46" spans="1:12" x14ac:dyDescent="0.25">
      <c r="A46" s="44" t="s">
        <v>108</v>
      </c>
      <c r="B46" s="52">
        <v>4304766351830.5503</v>
      </c>
      <c r="C46" s="52">
        <v>4529177745503.6494</v>
      </c>
      <c r="D46" s="44">
        <f t="shared" si="0"/>
        <v>5.2130911490160408</v>
      </c>
      <c r="E46" s="39">
        <v>8</v>
      </c>
      <c r="F46" s="39">
        <v>8</v>
      </c>
      <c r="G46" s="39">
        <v>0</v>
      </c>
      <c r="H46" s="44">
        <f t="shared" si="1"/>
        <v>50</v>
      </c>
      <c r="I46" s="8">
        <f t="shared" si="2"/>
        <v>50</v>
      </c>
      <c r="J46" s="8"/>
      <c r="K46" s="8"/>
      <c r="L46" s="8"/>
    </row>
    <row r="47" spans="1:12" x14ac:dyDescent="0.25">
      <c r="A47" s="44" t="s">
        <v>4068</v>
      </c>
      <c r="B47" s="20">
        <v>55821533983.400002</v>
      </c>
      <c r="C47" s="20">
        <v>58600305607.099998</v>
      </c>
      <c r="D47" s="44">
        <f t="shared" si="0"/>
        <v>4.9779564003496173</v>
      </c>
      <c r="E47" s="39">
        <v>1</v>
      </c>
      <c r="F47" s="39">
        <v>1</v>
      </c>
      <c r="G47" s="39">
        <v>0</v>
      </c>
      <c r="H47" s="44">
        <f t="shared" si="1"/>
        <v>50</v>
      </c>
      <c r="I47" s="8">
        <f t="shared" si="2"/>
        <v>50</v>
      </c>
      <c r="J47" s="8"/>
      <c r="K47" s="8"/>
      <c r="L47" s="8"/>
    </row>
    <row r="48" spans="1:12" x14ac:dyDescent="0.25">
      <c r="A48" s="44" t="s">
        <v>350</v>
      </c>
      <c r="B48" s="20">
        <v>1338135343468</v>
      </c>
      <c r="C48" s="20">
        <v>1396673091239.5</v>
      </c>
      <c r="D48" s="44">
        <f t="shared" si="0"/>
        <v>4.3745760140965793</v>
      </c>
      <c r="E48" s="39">
        <v>3</v>
      </c>
      <c r="F48" s="39">
        <v>3</v>
      </c>
      <c r="G48" s="39">
        <v>0</v>
      </c>
      <c r="H48" s="44">
        <f t="shared" si="1"/>
        <v>50</v>
      </c>
      <c r="I48" s="8">
        <f t="shared" si="2"/>
        <v>50</v>
      </c>
      <c r="J48" s="8"/>
      <c r="K48" s="8"/>
      <c r="L48" s="8"/>
    </row>
    <row r="49" spans="1:12" x14ac:dyDescent="0.25">
      <c r="A49" s="44" t="s">
        <v>4200</v>
      </c>
      <c r="B49" s="20">
        <v>386585368644.60004</v>
      </c>
      <c r="C49" s="20">
        <v>402622900074.59998</v>
      </c>
      <c r="D49" s="44">
        <f t="shared" si="0"/>
        <v>4.1485096774947374</v>
      </c>
      <c r="E49" s="39">
        <v>4</v>
      </c>
      <c r="F49" s="39">
        <v>4</v>
      </c>
      <c r="G49" s="39">
        <v>0</v>
      </c>
      <c r="H49" s="44">
        <f t="shared" si="1"/>
        <v>50</v>
      </c>
      <c r="I49" s="8">
        <f t="shared" si="2"/>
        <v>50</v>
      </c>
      <c r="J49" s="69" t="s">
        <v>4363</v>
      </c>
      <c r="K49" s="67"/>
      <c r="L49" s="8"/>
    </row>
    <row r="50" spans="1:12" x14ac:dyDescent="0.25">
      <c r="A50" s="44" t="s">
        <v>3874</v>
      </c>
      <c r="B50" s="20">
        <v>308462098060.04999</v>
      </c>
      <c r="C50" s="20">
        <v>320286082887.70001</v>
      </c>
      <c r="D50" s="44">
        <f t="shared" si="0"/>
        <v>3.8332050848426071</v>
      </c>
      <c r="E50" s="39">
        <v>1</v>
      </c>
      <c r="F50" s="39">
        <v>1</v>
      </c>
      <c r="G50" s="39">
        <v>0</v>
      </c>
      <c r="H50" s="44">
        <f t="shared" si="1"/>
        <v>50</v>
      </c>
      <c r="I50" s="8">
        <f t="shared" si="2"/>
        <v>50</v>
      </c>
      <c r="J50" s="8"/>
      <c r="K50" s="8"/>
      <c r="L50" s="8"/>
    </row>
    <row r="51" spans="1:12" x14ac:dyDescent="0.25">
      <c r="A51" s="44" t="s">
        <v>3690</v>
      </c>
      <c r="B51" s="20">
        <v>206409839302.5</v>
      </c>
      <c r="C51" s="20">
        <v>213993453502.89999</v>
      </c>
      <c r="D51" s="44">
        <f t="shared" si="0"/>
        <v>3.6740565401467964</v>
      </c>
      <c r="E51" s="39">
        <v>1</v>
      </c>
      <c r="F51" s="39">
        <v>1</v>
      </c>
      <c r="G51" s="39">
        <v>0</v>
      </c>
      <c r="H51" s="44">
        <f t="shared" si="1"/>
        <v>50</v>
      </c>
      <c r="I51" s="8">
        <f t="shared" si="2"/>
        <v>50</v>
      </c>
      <c r="J51" s="8"/>
      <c r="K51" s="8"/>
      <c r="L51" s="8"/>
    </row>
    <row r="52" spans="1:12" x14ac:dyDescent="0.25">
      <c r="A52" s="44" t="s">
        <v>3190</v>
      </c>
      <c r="B52" s="20">
        <v>113472379332.98</v>
      </c>
      <c r="C52" s="20">
        <v>116993793097.94</v>
      </c>
      <c r="D52" s="44">
        <f t="shared" si="0"/>
        <v>3.1033223993889862</v>
      </c>
      <c r="E52" s="39">
        <v>5</v>
      </c>
      <c r="F52" s="39">
        <v>5</v>
      </c>
      <c r="G52" s="39">
        <v>0</v>
      </c>
      <c r="H52" s="44">
        <f t="shared" si="1"/>
        <v>50</v>
      </c>
      <c r="I52" s="8">
        <f t="shared" si="2"/>
        <v>50</v>
      </c>
      <c r="J52" s="8"/>
      <c r="K52" s="8"/>
      <c r="L52" s="8"/>
    </row>
    <row r="53" spans="1:12" x14ac:dyDescent="0.25">
      <c r="A53" s="44" t="s">
        <v>2749</v>
      </c>
      <c r="B53" s="20">
        <v>39143667221.200005</v>
      </c>
      <c r="C53" s="20">
        <v>40178616257</v>
      </c>
      <c r="D53" s="44">
        <f t="shared" si="0"/>
        <v>2.6439756652117468</v>
      </c>
      <c r="E53" s="39">
        <v>1</v>
      </c>
      <c r="F53" s="39">
        <v>1</v>
      </c>
      <c r="G53" s="39">
        <v>0</v>
      </c>
      <c r="H53" s="44">
        <f t="shared" si="1"/>
        <v>50</v>
      </c>
      <c r="I53" s="8">
        <f t="shared" si="2"/>
        <v>50</v>
      </c>
      <c r="J53" s="8"/>
      <c r="K53" s="8"/>
      <c r="L53" s="8"/>
    </row>
    <row r="54" spans="1:12" x14ac:dyDescent="0.25">
      <c r="A54" s="44" t="s">
        <v>767</v>
      </c>
      <c r="B54" s="20">
        <v>998464265249.19995</v>
      </c>
      <c r="C54" s="20">
        <v>1019992255279.75</v>
      </c>
      <c r="D54" s="44">
        <f t="shared" si="0"/>
        <v>2.1561102164409482</v>
      </c>
      <c r="E54" s="39">
        <v>2</v>
      </c>
      <c r="F54" s="39">
        <v>1</v>
      </c>
      <c r="G54" s="39">
        <v>1</v>
      </c>
      <c r="H54" s="44">
        <f t="shared" si="1"/>
        <v>50</v>
      </c>
      <c r="I54" s="8">
        <f t="shared" si="2"/>
        <v>25</v>
      </c>
      <c r="J54" s="8"/>
      <c r="K54" s="8"/>
      <c r="L54" s="8"/>
    </row>
    <row r="55" spans="1:12" x14ac:dyDescent="0.25">
      <c r="A55" s="44" t="s">
        <v>4194</v>
      </c>
      <c r="B55" s="20">
        <v>11112270730</v>
      </c>
      <c r="C55" s="20">
        <v>11317280095</v>
      </c>
      <c r="D55" s="44">
        <f t="shared" si="0"/>
        <v>1.8448917415819654</v>
      </c>
      <c r="E55" s="39">
        <v>2</v>
      </c>
      <c r="F55" s="39">
        <v>2</v>
      </c>
      <c r="G55" s="39">
        <v>0</v>
      </c>
      <c r="H55" s="44">
        <f t="shared" si="1"/>
        <v>50</v>
      </c>
      <c r="I55" s="8">
        <f t="shared" si="2"/>
        <v>50</v>
      </c>
      <c r="J55" s="8"/>
      <c r="K55" s="8"/>
      <c r="L55" s="8"/>
    </row>
    <row r="56" spans="1:12" x14ac:dyDescent="0.25">
      <c r="A56" s="44" t="s">
        <v>166</v>
      </c>
      <c r="B56" s="20">
        <v>752425169562.15002</v>
      </c>
      <c r="C56" s="20">
        <v>758015586331.75</v>
      </c>
      <c r="D56" s="44">
        <f t="shared" si="0"/>
        <v>0.74298641190500592</v>
      </c>
      <c r="E56" s="39">
        <v>2</v>
      </c>
      <c r="F56" s="39">
        <v>2</v>
      </c>
      <c r="G56" s="39">
        <v>0</v>
      </c>
      <c r="H56" s="44">
        <f t="shared" si="1"/>
        <v>50</v>
      </c>
      <c r="I56" s="8">
        <f t="shared" si="2"/>
        <v>50</v>
      </c>
      <c r="J56" s="8"/>
      <c r="K56" s="8"/>
      <c r="L56" s="8"/>
    </row>
    <row r="57" spans="1:12" x14ac:dyDescent="0.25">
      <c r="A57" s="44" t="s">
        <v>3707</v>
      </c>
      <c r="B57" s="20">
        <v>216682241084.42001</v>
      </c>
      <c r="C57" s="20">
        <v>217982380644.5</v>
      </c>
      <c r="D57" s="44">
        <f t="shared" si="0"/>
        <v>0.60002128165798718</v>
      </c>
      <c r="E57" s="39">
        <v>5</v>
      </c>
      <c r="F57" s="39">
        <v>5</v>
      </c>
      <c r="G57" s="39">
        <v>0</v>
      </c>
      <c r="H57" s="44">
        <f t="shared" si="1"/>
        <v>50</v>
      </c>
      <c r="I57" s="8">
        <f t="shared" si="2"/>
        <v>50</v>
      </c>
      <c r="J57" s="8"/>
      <c r="K57" s="8"/>
      <c r="L57" s="8"/>
    </row>
    <row r="58" spans="1:12" x14ac:dyDescent="0.25">
      <c r="A58" s="44" t="s">
        <v>659</v>
      </c>
      <c r="B58" s="20">
        <v>79672722450.850006</v>
      </c>
      <c r="C58" s="20">
        <v>79566403755.700012</v>
      </c>
      <c r="D58" s="44">
        <f t="shared" si="0"/>
        <v>-0.13344428542100059</v>
      </c>
      <c r="E58" s="39">
        <v>1</v>
      </c>
      <c r="F58" s="39">
        <v>1</v>
      </c>
      <c r="G58" s="39">
        <v>0</v>
      </c>
      <c r="H58" s="44">
        <f t="shared" si="1"/>
        <v>50</v>
      </c>
      <c r="I58" s="8">
        <f t="shared" si="2"/>
        <v>50</v>
      </c>
      <c r="J58" s="8"/>
      <c r="K58" s="8"/>
      <c r="L58" s="8"/>
    </row>
    <row r="59" spans="1:12" x14ac:dyDescent="0.25">
      <c r="A59" s="44" t="s">
        <v>4053</v>
      </c>
      <c r="B59" s="20">
        <v>29596429779.799999</v>
      </c>
      <c r="C59" s="20">
        <v>29502837051.900002</v>
      </c>
      <c r="D59" s="44">
        <f t="shared" si="0"/>
        <v>-0.31622979054006078</v>
      </c>
      <c r="E59" s="39">
        <v>2</v>
      </c>
      <c r="F59" s="39">
        <v>2</v>
      </c>
      <c r="G59" s="39">
        <v>0</v>
      </c>
      <c r="H59" s="44">
        <f t="shared" si="1"/>
        <v>50</v>
      </c>
      <c r="I59" s="8">
        <f t="shared" si="2"/>
        <v>50</v>
      </c>
      <c r="J59" s="8"/>
      <c r="K59" s="8"/>
      <c r="L59" s="8"/>
    </row>
    <row r="60" spans="1:12" x14ac:dyDescent="0.25">
      <c r="A60" s="44" t="s">
        <v>2816</v>
      </c>
      <c r="B60" s="20">
        <v>404998011060</v>
      </c>
      <c r="C60" s="20">
        <v>401439669532.40002</v>
      </c>
      <c r="D60" s="44">
        <f t="shared" si="0"/>
        <v>-0.87860716112820891</v>
      </c>
      <c r="E60" s="39">
        <v>1</v>
      </c>
      <c r="F60" s="39">
        <v>1</v>
      </c>
      <c r="G60" s="39">
        <v>0</v>
      </c>
      <c r="H60" s="44">
        <f t="shared" si="1"/>
        <v>50</v>
      </c>
      <c r="I60" s="8">
        <f t="shared" si="2"/>
        <v>50</v>
      </c>
      <c r="J60" s="8"/>
      <c r="K60" s="8"/>
      <c r="L60" s="8"/>
    </row>
    <row r="61" spans="1:12" x14ac:dyDescent="0.25">
      <c r="A61" s="44" t="s">
        <v>815</v>
      </c>
      <c r="B61" s="20">
        <v>38530371988.5</v>
      </c>
      <c r="C61" s="20">
        <v>37726732753.800003</v>
      </c>
      <c r="D61" s="44">
        <f t="shared" si="0"/>
        <v>-2.0857292396238889</v>
      </c>
      <c r="E61" s="39">
        <v>2</v>
      </c>
      <c r="F61" s="39">
        <v>2</v>
      </c>
      <c r="G61" s="39">
        <v>0</v>
      </c>
      <c r="H61" s="44">
        <f t="shared" si="1"/>
        <v>50</v>
      </c>
      <c r="I61" s="8">
        <f t="shared" si="2"/>
        <v>50</v>
      </c>
      <c r="J61" s="8"/>
      <c r="K61" s="8"/>
      <c r="L61" s="8"/>
    </row>
    <row r="62" spans="1:12" x14ac:dyDescent="0.25">
      <c r="A62" s="44" t="s">
        <v>876</v>
      </c>
      <c r="B62" s="20">
        <v>1066584177.9</v>
      </c>
      <c r="C62" s="20">
        <v>1044106823.75</v>
      </c>
      <c r="D62" s="44">
        <f t="shared" si="0"/>
        <v>-2.1074149247418701</v>
      </c>
      <c r="E62" s="39">
        <v>2</v>
      </c>
      <c r="F62" s="39">
        <v>2</v>
      </c>
      <c r="G62" s="39">
        <v>0</v>
      </c>
      <c r="H62" s="44">
        <f t="shared" si="1"/>
        <v>50</v>
      </c>
      <c r="I62" s="8">
        <f t="shared" si="2"/>
        <v>50</v>
      </c>
      <c r="J62" s="8"/>
      <c r="K62" s="8"/>
      <c r="L62" s="8"/>
    </row>
    <row r="63" spans="1:12" x14ac:dyDescent="0.25">
      <c r="A63" s="44" t="s">
        <v>2721</v>
      </c>
      <c r="B63" s="20">
        <v>7967153733949.5498</v>
      </c>
      <c r="C63" s="20">
        <v>7792425197715.1113</v>
      </c>
      <c r="D63" s="44">
        <f t="shared" si="0"/>
        <v>-2.1931111419362619</v>
      </c>
      <c r="E63" s="39">
        <v>4</v>
      </c>
      <c r="F63" s="39">
        <v>4</v>
      </c>
      <c r="G63" s="39">
        <v>0</v>
      </c>
      <c r="H63" s="44">
        <f t="shared" si="1"/>
        <v>50</v>
      </c>
      <c r="I63" s="8">
        <f t="shared" si="2"/>
        <v>50</v>
      </c>
      <c r="J63" s="8"/>
      <c r="K63" s="8"/>
      <c r="L63" s="8"/>
    </row>
    <row r="64" spans="1:12" x14ac:dyDescent="0.25">
      <c r="A64" s="44" t="s">
        <v>3814</v>
      </c>
      <c r="B64" s="20">
        <v>4528832587.1700001</v>
      </c>
      <c r="C64" s="20">
        <v>4379901383.6399994</v>
      </c>
      <c r="D64" s="44">
        <f t="shared" si="0"/>
        <v>-3.2885120097377145</v>
      </c>
      <c r="E64" s="39">
        <v>2</v>
      </c>
      <c r="F64" s="39">
        <v>2</v>
      </c>
      <c r="G64" s="39">
        <v>0</v>
      </c>
      <c r="H64" s="44">
        <f t="shared" si="1"/>
        <v>50</v>
      </c>
      <c r="I64" s="8">
        <f t="shared" si="2"/>
        <v>50</v>
      </c>
      <c r="J64" s="8"/>
      <c r="K64" s="8"/>
      <c r="L64" s="8"/>
    </row>
    <row r="65" spans="1:12" x14ac:dyDescent="0.25">
      <c r="A65" s="44" t="s">
        <v>4082</v>
      </c>
      <c r="B65" s="20">
        <v>1341655196718</v>
      </c>
      <c r="C65" s="20">
        <v>1294542878352</v>
      </c>
      <c r="D65" s="44">
        <f t="shared" si="0"/>
        <v>-3.5115071652722452</v>
      </c>
      <c r="E65" s="39">
        <v>1</v>
      </c>
      <c r="F65" s="39">
        <v>1</v>
      </c>
      <c r="G65" s="39">
        <v>0</v>
      </c>
      <c r="H65" s="44">
        <f t="shared" si="1"/>
        <v>50</v>
      </c>
      <c r="I65" s="8">
        <f t="shared" si="2"/>
        <v>50</v>
      </c>
      <c r="J65" s="8"/>
      <c r="K65" s="8"/>
      <c r="L65" s="8"/>
    </row>
    <row r="66" spans="1:12" x14ac:dyDescent="0.25">
      <c r="A66" s="44" t="s">
        <v>4235</v>
      </c>
      <c r="B66" s="20">
        <v>492550970</v>
      </c>
      <c r="C66" s="20">
        <v>473965040</v>
      </c>
      <c r="D66" s="44">
        <f t="shared" si="0"/>
        <v>-3.7734023749866945</v>
      </c>
      <c r="E66" s="44">
        <v>1</v>
      </c>
      <c r="F66" s="44">
        <v>1</v>
      </c>
      <c r="G66" s="44">
        <v>0</v>
      </c>
      <c r="H66" s="44">
        <f t="shared" si="1"/>
        <v>50</v>
      </c>
      <c r="I66" s="8">
        <f t="shared" si="2"/>
        <v>50</v>
      </c>
      <c r="J66" s="8"/>
      <c r="K66" s="8"/>
      <c r="L66" s="8"/>
    </row>
    <row r="67" spans="1:12" x14ac:dyDescent="0.25">
      <c r="A67" s="44" t="s">
        <v>1333</v>
      </c>
      <c r="B67" s="20">
        <v>187578046816.89999</v>
      </c>
      <c r="C67" s="20">
        <v>171363231329.47998</v>
      </c>
      <c r="D67" s="44">
        <f t="shared" si="0"/>
        <v>-8.6443034046770588</v>
      </c>
      <c r="E67" s="39">
        <v>2</v>
      </c>
      <c r="F67" s="39">
        <v>2</v>
      </c>
      <c r="G67" s="39">
        <v>0</v>
      </c>
      <c r="H67" s="44">
        <f t="shared" si="1"/>
        <v>50</v>
      </c>
      <c r="I67" s="8">
        <f t="shared" si="2"/>
        <v>50</v>
      </c>
      <c r="J67" s="8"/>
      <c r="K67" s="8"/>
      <c r="L67" s="8"/>
    </row>
    <row r="68" spans="1:12" x14ac:dyDescent="0.25">
      <c r="A68" s="44" t="s">
        <v>56</v>
      </c>
      <c r="B68" s="20">
        <v>23407959980.299999</v>
      </c>
      <c r="C68" s="20">
        <v>21097177005.950001</v>
      </c>
      <c r="D68" s="44">
        <f t="shared" si="0"/>
        <v>-9.8717828306898152</v>
      </c>
      <c r="E68" s="39">
        <v>5</v>
      </c>
      <c r="F68" s="39">
        <v>5</v>
      </c>
      <c r="G68" s="39">
        <v>0</v>
      </c>
      <c r="H68" s="44">
        <f t="shared" si="1"/>
        <v>50</v>
      </c>
      <c r="I68" s="8">
        <f t="shared" si="2"/>
        <v>50</v>
      </c>
      <c r="J68" s="8"/>
      <c r="K68" s="8"/>
      <c r="L68" s="8"/>
    </row>
    <row r="69" spans="1:12" x14ac:dyDescent="0.25">
      <c r="A69" s="44" t="s">
        <v>668</v>
      </c>
      <c r="B69" s="20">
        <v>82806532343.950012</v>
      </c>
      <c r="C69" s="20">
        <v>72211394856.950012</v>
      </c>
      <c r="D69" s="44">
        <f t="shared" si="0"/>
        <v>-12.795050326454227</v>
      </c>
      <c r="E69" s="39">
        <v>1</v>
      </c>
      <c r="F69" s="39">
        <v>1</v>
      </c>
      <c r="G69" s="39">
        <v>0</v>
      </c>
      <c r="H69" s="44">
        <f t="shared" si="1"/>
        <v>50</v>
      </c>
      <c r="I69" s="8">
        <f t="shared" si="2"/>
        <v>50</v>
      </c>
      <c r="J69" s="8"/>
      <c r="K69" s="8"/>
      <c r="L69" s="8"/>
    </row>
    <row r="70" spans="1:12" x14ac:dyDescent="0.25">
      <c r="A70" s="44" t="s">
        <v>858</v>
      </c>
      <c r="B70" s="20">
        <v>6858931032298.6611</v>
      </c>
      <c r="C70" s="20">
        <v>7337220560584.791</v>
      </c>
      <c r="D70" s="44">
        <f t="shared" si="0"/>
        <v>6.9732371711257581</v>
      </c>
      <c r="E70" s="39">
        <v>76</v>
      </c>
      <c r="F70" s="39">
        <v>73</v>
      </c>
      <c r="G70" s="39">
        <v>7</v>
      </c>
      <c r="H70" s="44">
        <f t="shared" si="1"/>
        <v>48.717948717948715</v>
      </c>
      <c r="I70" s="8">
        <f t="shared" si="2"/>
        <v>46.794871794871796</v>
      </c>
      <c r="J70" s="8"/>
      <c r="K70" s="8"/>
      <c r="L70" s="8"/>
    </row>
    <row r="71" spans="1:12" x14ac:dyDescent="0.25">
      <c r="A71" s="44" t="s">
        <v>3744</v>
      </c>
      <c r="B71" s="20">
        <v>1537290928049.5703</v>
      </c>
      <c r="C71" s="20">
        <v>1587023742313.2302</v>
      </c>
      <c r="D71" s="44">
        <f t="shared" si="0"/>
        <v>3.235094500086471</v>
      </c>
      <c r="E71" s="39">
        <v>27</v>
      </c>
      <c r="F71" s="39">
        <v>27</v>
      </c>
      <c r="G71" s="39">
        <v>2</v>
      </c>
      <c r="H71" s="44">
        <f t="shared" si="1"/>
        <v>48.214285714285715</v>
      </c>
      <c r="I71" s="8">
        <f t="shared" si="2"/>
        <v>48.214285714285715</v>
      </c>
      <c r="J71" s="69" t="s">
        <v>4367</v>
      </c>
      <c r="K71" s="67"/>
      <c r="L71" s="8"/>
    </row>
    <row r="72" spans="1:12" x14ac:dyDescent="0.25">
      <c r="A72" s="44" t="s">
        <v>1999</v>
      </c>
      <c r="B72" s="20">
        <v>1428589558338.8699</v>
      </c>
      <c r="C72" s="20">
        <v>1454694174534.47</v>
      </c>
      <c r="D72" s="44">
        <f t="shared" si="0"/>
        <v>1.827299943725889</v>
      </c>
      <c r="E72" s="39">
        <v>27</v>
      </c>
      <c r="F72" s="39">
        <v>25</v>
      </c>
      <c r="G72" s="39">
        <v>5</v>
      </c>
      <c r="H72" s="44">
        <f t="shared" si="1"/>
        <v>47.368421052631575</v>
      </c>
      <c r="I72" s="8">
        <f t="shared" si="2"/>
        <v>43.859649122807014</v>
      </c>
      <c r="J72" s="8"/>
      <c r="K72" s="8"/>
      <c r="L72" s="8"/>
    </row>
    <row r="73" spans="1:12" x14ac:dyDescent="0.25">
      <c r="A73" s="44" t="s">
        <v>1064</v>
      </c>
      <c r="B73" s="20">
        <v>1650720665550.3098</v>
      </c>
      <c r="C73" s="20">
        <v>1838869824985.7698</v>
      </c>
      <c r="D73" s="44">
        <f t="shared" si="0"/>
        <v>11.398001088981074</v>
      </c>
      <c r="E73" s="39">
        <v>24</v>
      </c>
      <c r="F73" s="39">
        <v>26</v>
      </c>
      <c r="G73" s="39">
        <v>1</v>
      </c>
      <c r="H73" s="44">
        <f t="shared" si="1"/>
        <v>47.058823529411761</v>
      </c>
      <c r="I73" s="8">
        <f t="shared" si="2"/>
        <v>50.980392156862742</v>
      </c>
      <c r="J73" s="8"/>
      <c r="K73" s="8"/>
      <c r="L73" s="8"/>
    </row>
    <row r="74" spans="1:12" x14ac:dyDescent="0.25">
      <c r="A74" s="44" t="s">
        <v>3683</v>
      </c>
      <c r="B74" s="20">
        <v>7139487369208.3701</v>
      </c>
      <c r="C74" s="20">
        <v>7112093022674.0498</v>
      </c>
      <c r="D74" s="44">
        <f t="shared" si="0"/>
        <v>-0.38370186986349147</v>
      </c>
      <c r="E74" s="39">
        <v>17</v>
      </c>
      <c r="F74" s="39">
        <v>20</v>
      </c>
      <c r="G74" s="39">
        <v>0</v>
      </c>
      <c r="H74" s="44">
        <f t="shared" si="1"/>
        <v>45.945945945945951</v>
      </c>
      <c r="I74" s="8">
        <f t="shared" si="2"/>
        <v>54.054054054054056</v>
      </c>
      <c r="J74" s="8"/>
      <c r="K74" s="8"/>
      <c r="L74" s="8"/>
    </row>
    <row r="75" spans="1:12" x14ac:dyDescent="0.25">
      <c r="A75" s="44" t="s">
        <v>1760</v>
      </c>
      <c r="B75" s="20">
        <v>315604863235.04999</v>
      </c>
      <c r="C75" s="20">
        <v>322861513054.79999</v>
      </c>
      <c r="D75" s="44">
        <f t="shared" si="0"/>
        <v>2.2992832700253847</v>
      </c>
      <c r="E75" s="39">
        <v>4</v>
      </c>
      <c r="F75" s="39">
        <v>5</v>
      </c>
      <c r="G75" s="39">
        <v>0</v>
      </c>
      <c r="H75" s="44">
        <f t="shared" si="1"/>
        <v>44.444444444444443</v>
      </c>
      <c r="I75" s="8">
        <f t="shared" si="2"/>
        <v>55.555555555555557</v>
      </c>
      <c r="J75" s="8"/>
      <c r="K75" s="8"/>
      <c r="L75" s="8"/>
    </row>
    <row r="76" spans="1:12" x14ac:dyDescent="0.25">
      <c r="A76" s="44" t="s">
        <v>1685</v>
      </c>
      <c r="B76" s="20">
        <v>400182880171.04993</v>
      </c>
      <c r="C76" s="20">
        <v>374894779216.36005</v>
      </c>
      <c r="D76" s="44">
        <f t="shared" si="0"/>
        <v>-6.3191361269330173</v>
      </c>
      <c r="E76" s="39">
        <v>24</v>
      </c>
      <c r="F76" s="39">
        <v>26</v>
      </c>
      <c r="G76" s="39">
        <v>4</v>
      </c>
      <c r="H76" s="44">
        <f t="shared" si="1"/>
        <v>44.444444444444443</v>
      </c>
      <c r="I76" s="8">
        <f t="shared" si="2"/>
        <v>48.148148148148145</v>
      </c>
      <c r="J76" s="8"/>
      <c r="K76" s="8"/>
      <c r="L76" s="8"/>
    </row>
    <row r="77" spans="1:12" x14ac:dyDescent="0.25">
      <c r="A77" s="44" t="s">
        <v>1171</v>
      </c>
      <c r="B77" s="20">
        <v>847697971519.00049</v>
      </c>
      <c r="C77" s="20">
        <v>964087045311.67969</v>
      </c>
      <c r="D77" s="44">
        <f t="shared" si="0"/>
        <v>13.73001678700731</v>
      </c>
      <c r="E77" s="39">
        <v>55</v>
      </c>
      <c r="F77" s="39">
        <v>43</v>
      </c>
      <c r="G77" s="39">
        <v>27</v>
      </c>
      <c r="H77" s="44">
        <f t="shared" si="1"/>
        <v>44</v>
      </c>
      <c r="I77" s="8">
        <f t="shared" si="2"/>
        <v>34.4</v>
      </c>
      <c r="J77" s="8"/>
      <c r="K77" s="8"/>
      <c r="L77" s="8"/>
    </row>
    <row r="78" spans="1:12" x14ac:dyDescent="0.25">
      <c r="A78" s="44" t="s">
        <v>2444</v>
      </c>
      <c r="B78" s="20">
        <v>1403524986023.0203</v>
      </c>
      <c r="C78" s="20">
        <v>1563391671722.4802</v>
      </c>
      <c r="D78" s="44">
        <f t="shared" si="0"/>
        <v>11.39036976836819</v>
      </c>
      <c r="E78" s="39">
        <v>7</v>
      </c>
      <c r="F78" s="39">
        <v>9</v>
      </c>
      <c r="G78" s="39">
        <v>0</v>
      </c>
      <c r="H78" s="44">
        <f t="shared" si="1"/>
        <v>43.75</v>
      </c>
      <c r="I78" s="8">
        <f t="shared" si="2"/>
        <v>56.25</v>
      </c>
      <c r="J78" s="8"/>
      <c r="K78" s="8"/>
      <c r="L78" s="8"/>
    </row>
    <row r="79" spans="1:12" x14ac:dyDescent="0.25">
      <c r="A79" s="44" t="s">
        <v>1271</v>
      </c>
      <c r="B79" s="20">
        <v>977591064206.15002</v>
      </c>
      <c r="C79" s="20">
        <v>952952666702.38</v>
      </c>
      <c r="D79" s="44">
        <f t="shared" si="0"/>
        <v>-2.5203173807421773</v>
      </c>
      <c r="E79" s="39">
        <v>7</v>
      </c>
      <c r="F79" s="39">
        <v>9</v>
      </c>
      <c r="G79" s="39">
        <v>0</v>
      </c>
      <c r="H79" s="44">
        <f t="shared" si="1"/>
        <v>43.75</v>
      </c>
      <c r="I79" s="8">
        <f t="shared" si="2"/>
        <v>56.25</v>
      </c>
      <c r="J79" s="8"/>
      <c r="K79" s="8"/>
      <c r="L79" s="8"/>
    </row>
    <row r="80" spans="1:12" x14ac:dyDescent="0.25">
      <c r="A80" s="44" t="s">
        <v>3906</v>
      </c>
      <c r="B80" s="20">
        <v>736605263938.2699</v>
      </c>
      <c r="C80" s="20">
        <v>729443987123.2699</v>
      </c>
      <c r="D80" s="44">
        <f t="shared" si="0"/>
        <v>-0.97220005959666078</v>
      </c>
      <c r="E80" s="39">
        <v>19</v>
      </c>
      <c r="F80" s="39">
        <v>25</v>
      </c>
      <c r="G80" s="39">
        <v>0</v>
      </c>
      <c r="H80" s="44">
        <f t="shared" si="1"/>
        <v>43.18181818181818</v>
      </c>
      <c r="I80" s="8">
        <f t="shared" si="2"/>
        <v>56.81818181818182</v>
      </c>
      <c r="J80" s="8"/>
      <c r="K80" s="8"/>
      <c r="L80" s="8"/>
    </row>
    <row r="81" spans="1:13" x14ac:dyDescent="0.25">
      <c r="A81" s="44" t="s">
        <v>3287</v>
      </c>
      <c r="B81" s="20">
        <v>333096646548.95001</v>
      </c>
      <c r="C81" s="20">
        <v>357465380189.59998</v>
      </c>
      <c r="D81" s="44">
        <f t="shared" si="0"/>
        <v>7.315814762208622</v>
      </c>
      <c r="E81" s="39">
        <v>3</v>
      </c>
      <c r="F81" s="39">
        <v>4</v>
      </c>
      <c r="G81" s="39">
        <v>0</v>
      </c>
      <c r="H81" s="44">
        <f t="shared" si="1"/>
        <v>42.857142857142854</v>
      </c>
      <c r="I81" s="8">
        <f t="shared" si="2"/>
        <v>57.142857142857139</v>
      </c>
      <c r="J81" s="8"/>
      <c r="K81" s="8"/>
      <c r="L81" s="8"/>
    </row>
    <row r="82" spans="1:13" x14ac:dyDescent="0.25">
      <c r="A82" s="44" t="s">
        <v>1970</v>
      </c>
      <c r="B82" s="20">
        <v>891788676076.09998</v>
      </c>
      <c r="C82" s="20">
        <v>932587046259.16003</v>
      </c>
      <c r="D82" s="44">
        <f t="shared" si="0"/>
        <v>4.5748921552328126</v>
      </c>
      <c r="E82" s="39">
        <v>3</v>
      </c>
      <c r="F82" s="39">
        <v>4</v>
      </c>
      <c r="G82" s="39">
        <v>0</v>
      </c>
      <c r="H82" s="44">
        <f t="shared" si="1"/>
        <v>42.857142857142854</v>
      </c>
      <c r="I82" s="8">
        <f t="shared" si="2"/>
        <v>57.142857142857139</v>
      </c>
      <c r="J82" s="8"/>
      <c r="K82" s="8"/>
      <c r="L82" s="8"/>
    </row>
    <row r="83" spans="1:13" x14ac:dyDescent="0.25">
      <c r="A83" s="44" t="s">
        <v>295</v>
      </c>
      <c r="B83" s="20">
        <v>99836405405.5</v>
      </c>
      <c r="C83" s="20">
        <v>103987847971.75</v>
      </c>
      <c r="D83" s="44">
        <f t="shared" si="0"/>
        <v>4.1582452306734359</v>
      </c>
      <c r="E83" s="39">
        <v>3</v>
      </c>
      <c r="F83" s="39">
        <v>3</v>
      </c>
      <c r="G83" s="39">
        <v>1</v>
      </c>
      <c r="H83" s="44">
        <f t="shared" si="1"/>
        <v>42.857142857142854</v>
      </c>
      <c r="I83" s="8">
        <f t="shared" si="2"/>
        <v>42.857142857142854</v>
      </c>
      <c r="J83" s="8"/>
      <c r="K83" s="8"/>
      <c r="L83" s="8"/>
    </row>
    <row r="84" spans="1:13" x14ac:dyDescent="0.25">
      <c r="A84" s="44" t="s">
        <v>4111</v>
      </c>
      <c r="B84" s="20">
        <v>54362865625.220001</v>
      </c>
      <c r="C84" s="20">
        <v>54932170723.649994</v>
      </c>
      <c r="D84" s="44">
        <f t="shared" si="0"/>
        <v>1.0472315833289716</v>
      </c>
      <c r="E84" s="39">
        <v>3</v>
      </c>
      <c r="F84" s="39">
        <v>4</v>
      </c>
      <c r="G84" s="39">
        <v>0</v>
      </c>
      <c r="H84" s="44">
        <f t="shared" si="1"/>
        <v>42.857142857142854</v>
      </c>
      <c r="I84" s="8">
        <f t="shared" si="2"/>
        <v>57.142857142857139</v>
      </c>
      <c r="J84" s="8"/>
      <c r="K84" s="8"/>
      <c r="L84" s="8"/>
    </row>
    <row r="85" spans="1:13" x14ac:dyDescent="0.25">
      <c r="A85" s="44" t="s">
        <v>9</v>
      </c>
      <c r="B85" s="20">
        <v>5033906933536.8506</v>
      </c>
      <c r="C85" s="20">
        <v>5075872177579.6797</v>
      </c>
      <c r="D85" s="44">
        <f t="shared" si="0"/>
        <v>0.8336515672001924</v>
      </c>
      <c r="E85" s="39">
        <v>3</v>
      </c>
      <c r="F85" s="39">
        <v>4</v>
      </c>
      <c r="G85" s="39">
        <v>0</v>
      </c>
      <c r="H85" s="44">
        <f t="shared" si="1"/>
        <v>42.857142857142854</v>
      </c>
      <c r="I85" s="8">
        <f t="shared" si="2"/>
        <v>57.142857142857139</v>
      </c>
      <c r="J85" s="8"/>
      <c r="K85" s="8"/>
      <c r="L85" s="8"/>
    </row>
    <row r="86" spans="1:13" x14ac:dyDescent="0.25">
      <c r="A86" s="44" t="s">
        <v>893</v>
      </c>
      <c r="B86" s="20">
        <v>1644589279058.22</v>
      </c>
      <c r="C86" s="20">
        <v>1649942523863.0701</v>
      </c>
      <c r="D86" s="44">
        <f t="shared" si="0"/>
        <v>0.32550648803424359</v>
      </c>
      <c r="E86" s="39">
        <v>6</v>
      </c>
      <c r="F86" s="39">
        <v>8</v>
      </c>
      <c r="G86" s="39">
        <v>0</v>
      </c>
      <c r="H86" s="44">
        <f t="shared" si="1"/>
        <v>42.857142857142854</v>
      </c>
      <c r="I86" s="8">
        <f t="shared" si="2"/>
        <v>57.142857142857139</v>
      </c>
      <c r="J86" s="8"/>
      <c r="K86" s="8"/>
      <c r="L86" s="8"/>
    </row>
    <row r="87" spans="1:13" x14ac:dyDescent="0.25">
      <c r="A87" s="44" t="s">
        <v>2265</v>
      </c>
      <c r="B87" s="20">
        <v>147097589833.51001</v>
      </c>
      <c r="C87" s="20">
        <v>144373515020.69</v>
      </c>
      <c r="D87" s="44">
        <f t="shared" si="0"/>
        <v>-1.8518826963128403</v>
      </c>
      <c r="E87" s="39">
        <v>3</v>
      </c>
      <c r="F87" s="39">
        <v>4</v>
      </c>
      <c r="G87" s="39">
        <v>0</v>
      </c>
      <c r="H87" s="44">
        <f t="shared" si="1"/>
        <v>42.857142857142854</v>
      </c>
      <c r="I87" s="8">
        <f t="shared" si="2"/>
        <v>57.142857142857139</v>
      </c>
      <c r="J87" s="8"/>
      <c r="K87" s="8"/>
      <c r="L87" s="8"/>
    </row>
    <row r="88" spans="1:13" x14ac:dyDescent="0.25">
      <c r="A88" s="44" t="s">
        <v>1907</v>
      </c>
      <c r="B88" s="20">
        <v>1118687210072.74</v>
      </c>
      <c r="C88" s="20">
        <v>1070197329518.9099</v>
      </c>
      <c r="D88" s="44">
        <f t="shared" si="0"/>
        <v>-4.3345342752847902</v>
      </c>
      <c r="E88" s="39">
        <v>6</v>
      </c>
      <c r="F88" s="39">
        <v>8</v>
      </c>
      <c r="G88" s="39">
        <v>0</v>
      </c>
      <c r="H88" s="44">
        <f t="shared" si="1"/>
        <v>42.857142857142854</v>
      </c>
      <c r="I88" s="8">
        <f t="shared" si="2"/>
        <v>57.142857142857139</v>
      </c>
      <c r="J88" s="8"/>
      <c r="K88" s="8"/>
      <c r="L88" s="8"/>
    </row>
    <row r="89" spans="1:13" x14ac:dyDescent="0.25">
      <c r="A89" s="44" t="s">
        <v>1001</v>
      </c>
      <c r="B89" s="20">
        <v>1308375859231.7</v>
      </c>
      <c r="C89" s="20">
        <v>1361112870142.2002</v>
      </c>
      <c r="D89" s="44">
        <f t="shared" si="0"/>
        <v>4.0307233229959083</v>
      </c>
      <c r="E89" s="39">
        <v>5</v>
      </c>
      <c r="F89" s="39">
        <v>7</v>
      </c>
      <c r="G89" s="39">
        <v>0</v>
      </c>
      <c r="H89" s="44">
        <f t="shared" si="1"/>
        <v>41.666666666666671</v>
      </c>
      <c r="I89" s="8">
        <f t="shared" si="2"/>
        <v>58.333333333333336</v>
      </c>
      <c r="J89" s="8"/>
      <c r="K89" s="8"/>
      <c r="L89" s="8"/>
    </row>
    <row r="90" spans="1:13" x14ac:dyDescent="0.25">
      <c r="A90" s="44" t="s">
        <v>1478</v>
      </c>
      <c r="B90" s="20">
        <v>684209732753.94995</v>
      </c>
      <c r="C90" s="20">
        <v>682580951574.60986</v>
      </c>
      <c r="D90" s="44">
        <f t="shared" si="0"/>
        <v>-0.23805291000235118</v>
      </c>
      <c r="E90" s="39">
        <v>19</v>
      </c>
      <c r="F90" s="39">
        <v>27</v>
      </c>
      <c r="G90" s="39">
        <v>0</v>
      </c>
      <c r="H90" s="44">
        <f t="shared" si="1"/>
        <v>41.304347826086953</v>
      </c>
      <c r="I90" s="8">
        <f t="shared" si="2"/>
        <v>58.695652173913047</v>
      </c>
      <c r="J90" s="8"/>
      <c r="K90" s="8"/>
      <c r="L90" s="8"/>
    </row>
    <row r="91" spans="1:13" x14ac:dyDescent="0.25">
      <c r="A91" s="44" t="s">
        <v>3618</v>
      </c>
      <c r="B91" s="20">
        <v>209187454727.25</v>
      </c>
      <c r="C91" s="20">
        <v>207735971605.79999</v>
      </c>
      <c r="D91" s="44">
        <f t="shared" si="0"/>
        <v>-0.69386719358602789</v>
      </c>
      <c r="E91" s="39">
        <v>2</v>
      </c>
      <c r="F91" s="39">
        <v>3</v>
      </c>
      <c r="G91" s="39">
        <v>0</v>
      </c>
      <c r="H91" s="44">
        <f t="shared" si="1"/>
        <v>40</v>
      </c>
      <c r="I91" s="8">
        <f t="shared" si="2"/>
        <v>60</v>
      </c>
      <c r="J91" s="8"/>
      <c r="K91" s="8"/>
      <c r="L91" s="8"/>
    </row>
    <row r="92" spans="1:13" x14ac:dyDescent="0.25">
      <c r="A92" s="44" t="s">
        <v>959</v>
      </c>
      <c r="B92" s="20">
        <v>289903486849.06995</v>
      </c>
      <c r="C92" s="20">
        <v>273827709722.59003</v>
      </c>
      <c r="D92" s="44">
        <f t="shared" si="0"/>
        <v>-5.5452168931135759</v>
      </c>
      <c r="E92" s="39">
        <v>4</v>
      </c>
      <c r="F92" s="39">
        <v>5</v>
      </c>
      <c r="G92" s="39">
        <v>1</v>
      </c>
      <c r="H92" s="44">
        <f t="shared" si="1"/>
        <v>40</v>
      </c>
      <c r="I92" s="8">
        <f t="shared" si="2"/>
        <v>50</v>
      </c>
      <c r="J92" s="8"/>
      <c r="K92" s="8"/>
      <c r="L92" s="8"/>
      <c r="M92" s="8"/>
    </row>
    <row r="93" spans="1:13" x14ac:dyDescent="0.25">
      <c r="A93" s="44" t="s">
        <v>2501</v>
      </c>
      <c r="B93" s="20">
        <v>287007727008.04999</v>
      </c>
      <c r="C93" s="20">
        <v>265186785823.02002</v>
      </c>
      <c r="D93" s="44">
        <f t="shared" si="0"/>
        <v>-7.6029106994802049</v>
      </c>
      <c r="E93" s="39">
        <v>2</v>
      </c>
      <c r="F93" s="39">
        <v>2</v>
      </c>
      <c r="G93" s="39">
        <v>1</v>
      </c>
      <c r="H93" s="44">
        <f t="shared" si="1"/>
        <v>40</v>
      </c>
      <c r="I93" s="8">
        <f t="shared" si="2"/>
        <v>40</v>
      </c>
      <c r="J93" s="8"/>
      <c r="K93" s="8"/>
      <c r="L93" s="8"/>
    </row>
    <row r="94" spans="1:13" x14ac:dyDescent="0.25">
      <c r="A94" s="44" t="s">
        <v>13</v>
      </c>
      <c r="B94" s="20">
        <v>10123969166826.922</v>
      </c>
      <c r="C94" s="20">
        <v>9933325017414.4648</v>
      </c>
      <c r="D94" s="44">
        <f t="shared" si="0"/>
        <v>-1.8830968987651429</v>
      </c>
      <c r="E94" s="39">
        <v>109</v>
      </c>
      <c r="F94" s="39">
        <v>142</v>
      </c>
      <c r="G94" s="39">
        <v>26</v>
      </c>
      <c r="H94" s="44">
        <f t="shared" si="1"/>
        <v>39.35018050541516</v>
      </c>
      <c r="I94" s="8">
        <f t="shared" si="2"/>
        <v>51.263537906137181</v>
      </c>
      <c r="J94" s="8"/>
      <c r="K94" s="8"/>
      <c r="L94" s="8"/>
    </row>
    <row r="95" spans="1:13" x14ac:dyDescent="0.25">
      <c r="A95" s="44" t="s">
        <v>2575</v>
      </c>
      <c r="B95" s="20">
        <v>1169948770918.4202</v>
      </c>
      <c r="C95" s="20">
        <v>1212947110655.8799</v>
      </c>
      <c r="D95" s="44">
        <f t="shared" si="0"/>
        <v>3.6752326944799165</v>
      </c>
      <c r="E95" s="39">
        <v>9</v>
      </c>
      <c r="F95" s="39">
        <v>14</v>
      </c>
      <c r="G95" s="39">
        <v>0</v>
      </c>
      <c r="H95" s="44">
        <f t="shared" si="1"/>
        <v>39.130434782608695</v>
      </c>
      <c r="I95" s="8">
        <f t="shared" si="2"/>
        <v>60.869565217391312</v>
      </c>
      <c r="J95" s="8"/>
      <c r="K95" s="8"/>
      <c r="L95" s="8"/>
    </row>
    <row r="96" spans="1:13" x14ac:dyDescent="0.25">
      <c r="A96" s="44" t="s">
        <v>711</v>
      </c>
      <c r="B96" s="20">
        <v>432721143483.63989</v>
      </c>
      <c r="C96" s="20">
        <v>417374096312.96991</v>
      </c>
      <c r="D96" s="44">
        <f t="shared" si="0"/>
        <v>-3.5466367663752068</v>
      </c>
      <c r="E96" s="39">
        <v>9</v>
      </c>
      <c r="F96" s="39">
        <v>13</v>
      </c>
      <c r="G96" s="39">
        <v>1</v>
      </c>
      <c r="H96" s="44">
        <f t="shared" si="1"/>
        <v>39.130434782608695</v>
      </c>
      <c r="I96" s="8">
        <f t="shared" si="2"/>
        <v>56.521739130434781</v>
      </c>
      <c r="J96" s="8"/>
      <c r="K96" s="8"/>
      <c r="L96" s="8"/>
    </row>
    <row r="97" spans="1:12" x14ac:dyDescent="0.25">
      <c r="A97" s="44" t="s">
        <v>4036</v>
      </c>
      <c r="B97" s="20">
        <v>182556086123.68997</v>
      </c>
      <c r="C97" s="20">
        <v>170715599167.76001</v>
      </c>
      <c r="D97" s="44">
        <f t="shared" si="0"/>
        <v>-6.4859447895412803</v>
      </c>
      <c r="E97" s="39">
        <v>10</v>
      </c>
      <c r="F97" s="39">
        <v>13</v>
      </c>
      <c r="G97" s="39">
        <v>3</v>
      </c>
      <c r="H97" s="44">
        <f t="shared" si="1"/>
        <v>38.461538461538467</v>
      </c>
      <c r="I97" s="8">
        <f t="shared" si="2"/>
        <v>50</v>
      </c>
      <c r="J97" s="8"/>
      <c r="K97" s="8"/>
      <c r="L97" s="8"/>
    </row>
    <row r="98" spans="1:12" x14ac:dyDescent="0.25">
      <c r="A98" s="44" t="s">
        <v>1337</v>
      </c>
      <c r="B98" s="20">
        <v>1622044532187.1897</v>
      </c>
      <c r="C98" s="20">
        <v>1621324242870.29</v>
      </c>
      <c r="D98" s="44">
        <f t="shared" si="0"/>
        <v>-4.4406260284876958E-2</v>
      </c>
      <c r="E98" s="39">
        <v>23</v>
      </c>
      <c r="F98" s="39">
        <v>34</v>
      </c>
      <c r="G98" s="39">
        <v>3</v>
      </c>
      <c r="H98" s="44">
        <f t="shared" si="1"/>
        <v>38.333333333333336</v>
      </c>
      <c r="I98" s="8">
        <f t="shared" si="2"/>
        <v>56.666666666666664</v>
      </c>
      <c r="J98" s="8"/>
      <c r="K98" s="8"/>
      <c r="L98" s="8"/>
    </row>
    <row r="99" spans="1:12" x14ac:dyDescent="0.25">
      <c r="A99" s="44" t="s">
        <v>2951</v>
      </c>
      <c r="B99" s="20">
        <v>487056500245.96014</v>
      </c>
      <c r="C99" s="20">
        <v>504977668353.18988</v>
      </c>
      <c r="D99" s="44">
        <f t="shared" si="0"/>
        <v>3.6794844331570715</v>
      </c>
      <c r="E99" s="39">
        <v>79</v>
      </c>
      <c r="F99" s="39">
        <v>99</v>
      </c>
      <c r="G99" s="39">
        <v>30</v>
      </c>
      <c r="H99" s="44">
        <f t="shared" si="1"/>
        <v>37.980769230769226</v>
      </c>
      <c r="I99" s="8">
        <f t="shared" si="2"/>
        <v>47.596153846153847</v>
      </c>
      <c r="J99" s="8"/>
      <c r="K99" s="8"/>
      <c r="L99" s="8"/>
    </row>
    <row r="100" spans="1:12" x14ac:dyDescent="0.25">
      <c r="A100" s="44" t="s">
        <v>985</v>
      </c>
      <c r="B100" s="20">
        <v>3392514743231.04</v>
      </c>
      <c r="C100" s="20">
        <v>3452871589243.2397</v>
      </c>
      <c r="D100" s="44">
        <f t="shared" si="0"/>
        <v>1.7791181639704736</v>
      </c>
      <c r="E100" s="39">
        <v>9</v>
      </c>
      <c r="F100" s="39">
        <v>15</v>
      </c>
      <c r="G100" s="39">
        <v>0</v>
      </c>
      <c r="H100" s="44">
        <f t="shared" si="1"/>
        <v>37.5</v>
      </c>
      <c r="I100" s="8">
        <f t="shared" si="2"/>
        <v>62.5</v>
      </c>
      <c r="J100" s="8"/>
      <c r="K100" s="8"/>
      <c r="L100" s="8"/>
    </row>
    <row r="101" spans="1:12" x14ac:dyDescent="0.25">
      <c r="A101" s="44" t="s">
        <v>3110</v>
      </c>
      <c r="B101" s="20">
        <v>1651800309325.29</v>
      </c>
      <c r="C101" s="20">
        <v>1639276134460.46</v>
      </c>
      <c r="D101" s="44">
        <f t="shared" si="0"/>
        <v>-0.75821361662935038</v>
      </c>
      <c r="E101" s="39">
        <v>15</v>
      </c>
      <c r="F101" s="39">
        <v>24</v>
      </c>
      <c r="G101" s="39">
        <v>1</v>
      </c>
      <c r="H101" s="44">
        <f t="shared" si="1"/>
        <v>37.5</v>
      </c>
      <c r="I101" s="8">
        <f t="shared" si="2"/>
        <v>60</v>
      </c>
      <c r="J101" s="8"/>
      <c r="K101" s="8"/>
      <c r="L101" s="8"/>
    </row>
    <row r="102" spans="1:12" x14ac:dyDescent="0.25">
      <c r="A102" s="44" t="s">
        <v>262</v>
      </c>
      <c r="B102" s="20">
        <v>23205730877.5</v>
      </c>
      <c r="C102" s="20">
        <v>21344174784.959999</v>
      </c>
      <c r="D102" s="44">
        <f t="shared" si="0"/>
        <v>-8.0219670837643964</v>
      </c>
      <c r="E102" s="39">
        <v>3</v>
      </c>
      <c r="F102" s="39">
        <v>5</v>
      </c>
      <c r="G102" s="39">
        <v>0</v>
      </c>
      <c r="H102" s="44">
        <f t="shared" si="1"/>
        <v>37.5</v>
      </c>
      <c r="I102" s="8">
        <f t="shared" si="2"/>
        <v>62.5</v>
      </c>
      <c r="J102" s="8"/>
      <c r="K102" s="8"/>
      <c r="L102" s="8"/>
    </row>
    <row r="103" spans="1:12" x14ac:dyDescent="0.25">
      <c r="A103" s="44" t="s">
        <v>1793</v>
      </c>
      <c r="B103" s="20">
        <v>1488896995178.2493</v>
      </c>
      <c r="C103" s="20">
        <v>1497498451041.8003</v>
      </c>
      <c r="D103" s="44">
        <f t="shared" si="0"/>
        <v>0.57770657684222593</v>
      </c>
      <c r="E103" s="39">
        <v>84</v>
      </c>
      <c r="F103" s="39">
        <v>130</v>
      </c>
      <c r="G103" s="39">
        <v>11</v>
      </c>
      <c r="H103" s="44">
        <f t="shared" si="1"/>
        <v>37.333333333333336</v>
      </c>
      <c r="I103" s="8">
        <f t="shared" si="2"/>
        <v>57.777777777777771</v>
      </c>
      <c r="J103" s="8"/>
      <c r="K103" s="8"/>
      <c r="L103" s="8"/>
    </row>
    <row r="104" spans="1:12" x14ac:dyDescent="0.25">
      <c r="A104" s="44" t="s">
        <v>1136</v>
      </c>
      <c r="B104" s="20">
        <v>8715647336861.9805</v>
      </c>
      <c r="C104" s="20">
        <v>8632377870996.1201</v>
      </c>
      <c r="D104" s="44">
        <f t="shared" si="0"/>
        <v>-0.95540196439202252</v>
      </c>
      <c r="E104" s="39">
        <v>16</v>
      </c>
      <c r="F104" s="39">
        <v>26</v>
      </c>
      <c r="G104" s="39">
        <v>1</v>
      </c>
      <c r="H104" s="44">
        <f t="shared" si="1"/>
        <v>37.209302325581397</v>
      </c>
      <c r="I104" s="8">
        <f t="shared" si="2"/>
        <v>60.465116279069761</v>
      </c>
      <c r="J104" s="8"/>
      <c r="K104" s="8"/>
      <c r="L104" s="8"/>
    </row>
    <row r="105" spans="1:12" x14ac:dyDescent="0.25">
      <c r="A105" s="44" t="s">
        <v>3475</v>
      </c>
      <c r="B105" s="20">
        <v>13106724836878.559</v>
      </c>
      <c r="C105" s="20">
        <v>13468351075977.678</v>
      </c>
      <c r="D105" s="44">
        <f t="shared" si="0"/>
        <v>2.7590892736346064</v>
      </c>
      <c r="E105" s="39">
        <v>12</v>
      </c>
      <c r="F105" s="39">
        <v>22</v>
      </c>
      <c r="G105" s="39">
        <v>0</v>
      </c>
      <c r="H105" s="44">
        <f t="shared" si="1"/>
        <v>35.294117647058826</v>
      </c>
      <c r="I105" s="8">
        <f t="shared" si="2"/>
        <v>64.705882352941174</v>
      </c>
      <c r="J105" s="8"/>
      <c r="K105" s="8"/>
      <c r="L105" s="8"/>
    </row>
    <row r="106" spans="1:12" x14ac:dyDescent="0.25">
      <c r="A106" s="44" t="s">
        <v>3831</v>
      </c>
      <c r="B106" s="20">
        <v>3936270340.9900002</v>
      </c>
      <c r="C106" s="20">
        <v>3735300225.3899999</v>
      </c>
      <c r="D106" s="44">
        <f t="shared" si="0"/>
        <v>-5.1055973850986804</v>
      </c>
      <c r="E106" s="39">
        <v>6</v>
      </c>
      <c r="F106" s="39">
        <v>9</v>
      </c>
      <c r="G106" s="39">
        <v>2</v>
      </c>
      <c r="H106" s="44">
        <f t="shared" si="1"/>
        <v>35.294117647058826</v>
      </c>
      <c r="I106" s="8">
        <f t="shared" si="2"/>
        <v>52.941176470588239</v>
      </c>
      <c r="J106" s="8"/>
      <c r="K106" s="8"/>
      <c r="L106" s="8"/>
    </row>
    <row r="107" spans="1:12" x14ac:dyDescent="0.25">
      <c r="A107" s="44" t="s">
        <v>356</v>
      </c>
      <c r="B107" s="20">
        <v>4102782645672.54</v>
      </c>
      <c r="C107" s="20">
        <v>4139931327244.791</v>
      </c>
      <c r="D107" s="44">
        <f t="shared" si="0"/>
        <v>0.90545088006146279</v>
      </c>
      <c r="E107" s="39">
        <v>27</v>
      </c>
      <c r="F107" s="39">
        <v>47</v>
      </c>
      <c r="G107" s="39">
        <v>3</v>
      </c>
      <c r="H107" s="44">
        <f t="shared" si="1"/>
        <v>35.064935064935064</v>
      </c>
      <c r="I107" s="8">
        <f t="shared" si="2"/>
        <v>61.038961038961034</v>
      </c>
      <c r="J107" s="8"/>
      <c r="K107" s="8"/>
      <c r="L107" s="8"/>
    </row>
    <row r="108" spans="1:12" x14ac:dyDescent="0.25">
      <c r="A108" s="44" t="s">
        <v>1868</v>
      </c>
      <c r="B108" s="20">
        <v>5144309045874.6182</v>
      </c>
      <c r="C108" s="20">
        <v>5306302785108.1797</v>
      </c>
      <c r="D108" s="44">
        <f t="shared" si="0"/>
        <v>3.1489892576238079</v>
      </c>
      <c r="E108" s="39">
        <v>33</v>
      </c>
      <c r="F108" s="39">
        <v>58</v>
      </c>
      <c r="G108" s="39">
        <v>4</v>
      </c>
      <c r="H108" s="44">
        <f t="shared" si="1"/>
        <v>34.736842105263158</v>
      </c>
      <c r="I108" s="8">
        <f t="shared" si="2"/>
        <v>61.05263157894737</v>
      </c>
      <c r="J108" s="8"/>
      <c r="K108" s="8"/>
      <c r="L108" s="8"/>
    </row>
    <row r="109" spans="1:12" x14ac:dyDescent="0.25">
      <c r="A109" s="44" t="s">
        <v>2286</v>
      </c>
      <c r="B109" s="20">
        <v>1059152568462.0801</v>
      </c>
      <c r="C109" s="20">
        <v>972713609088.25</v>
      </c>
      <c r="D109" s="44">
        <f t="shared" si="0"/>
        <v>-8.1611433468307535</v>
      </c>
      <c r="E109" s="39">
        <v>11</v>
      </c>
      <c r="F109" s="39">
        <v>21</v>
      </c>
      <c r="G109" s="39">
        <v>0</v>
      </c>
      <c r="H109" s="44">
        <f t="shared" si="1"/>
        <v>34.375</v>
      </c>
      <c r="I109" s="8">
        <f t="shared" si="2"/>
        <v>65.625</v>
      </c>
      <c r="J109" s="8"/>
      <c r="K109" s="8"/>
      <c r="L109" s="8"/>
    </row>
    <row r="110" spans="1:12" x14ac:dyDescent="0.25">
      <c r="A110" s="44" t="s">
        <v>206</v>
      </c>
      <c r="B110" s="20">
        <v>1221739005390.8401</v>
      </c>
      <c r="C110" s="20">
        <v>1174260121630.1104</v>
      </c>
      <c r="D110" s="44">
        <f t="shared" si="0"/>
        <v>-3.8861723781619806</v>
      </c>
      <c r="E110" s="39">
        <v>12</v>
      </c>
      <c r="F110" s="39">
        <v>23</v>
      </c>
      <c r="G110" s="39">
        <v>0</v>
      </c>
      <c r="H110" s="44">
        <f t="shared" si="1"/>
        <v>34.285714285714285</v>
      </c>
      <c r="I110" s="8">
        <f t="shared" si="2"/>
        <v>65.714285714285708</v>
      </c>
      <c r="J110" s="8"/>
      <c r="K110" s="8"/>
      <c r="L110" s="8"/>
    </row>
    <row r="111" spans="1:12" x14ac:dyDescent="0.25">
      <c r="A111" s="44" t="s">
        <v>376</v>
      </c>
      <c r="B111" s="20">
        <v>6118704009614.2588</v>
      </c>
      <c r="C111" s="20">
        <v>6168637443630.9805</v>
      </c>
      <c r="D111" s="44">
        <f t="shared" si="0"/>
        <v>0.81607859994962606</v>
      </c>
      <c r="E111" s="39">
        <v>37</v>
      </c>
      <c r="F111" s="39">
        <v>72</v>
      </c>
      <c r="G111" s="39">
        <v>1</v>
      </c>
      <c r="H111" s="44">
        <f t="shared" si="1"/>
        <v>33.636363636363633</v>
      </c>
      <c r="I111" s="8">
        <f t="shared" si="2"/>
        <v>65.454545454545453</v>
      </c>
      <c r="J111" s="69" t="s">
        <v>4365</v>
      </c>
      <c r="K111" s="67"/>
      <c r="L111" s="8"/>
    </row>
    <row r="112" spans="1:12" x14ac:dyDescent="0.25">
      <c r="A112" s="44" t="s">
        <v>2247</v>
      </c>
      <c r="B112" s="20">
        <v>233987009840.48001</v>
      </c>
      <c r="C112" s="20">
        <v>293828763215.85999</v>
      </c>
      <c r="D112" s="44">
        <f t="shared" si="0"/>
        <v>25.574818626118144</v>
      </c>
      <c r="E112" s="39">
        <v>1</v>
      </c>
      <c r="F112" s="39">
        <v>2</v>
      </c>
      <c r="G112" s="39">
        <v>0</v>
      </c>
      <c r="H112" s="44">
        <f t="shared" si="1"/>
        <v>33.333333333333329</v>
      </c>
      <c r="I112" s="8">
        <f t="shared" si="2"/>
        <v>66.666666666666657</v>
      </c>
      <c r="J112" s="8"/>
      <c r="K112" s="8"/>
      <c r="L112" s="8"/>
    </row>
    <row r="113" spans="1:12" x14ac:dyDescent="0.25">
      <c r="A113" s="44" t="s">
        <v>3611</v>
      </c>
      <c r="B113" s="20">
        <v>232356956783.07999</v>
      </c>
      <c r="C113" s="20">
        <v>251678434238.61002</v>
      </c>
      <c r="D113" s="44">
        <f t="shared" si="0"/>
        <v>8.3154288655828186</v>
      </c>
      <c r="E113" s="39">
        <v>4</v>
      </c>
      <c r="F113" s="39">
        <v>7</v>
      </c>
      <c r="G113" s="39">
        <v>1</v>
      </c>
      <c r="H113" s="44">
        <f t="shared" si="1"/>
        <v>33.333333333333329</v>
      </c>
      <c r="I113" s="8">
        <f t="shared" si="2"/>
        <v>58.333333333333336</v>
      </c>
      <c r="J113" s="8"/>
      <c r="K113" s="8"/>
      <c r="L113" s="8"/>
    </row>
    <row r="114" spans="1:12" x14ac:dyDescent="0.25">
      <c r="A114" s="44" t="s">
        <v>2261</v>
      </c>
      <c r="B114" s="20">
        <v>145009281865.35001</v>
      </c>
      <c r="C114" s="20">
        <v>153605916121.20001</v>
      </c>
      <c r="D114" s="44">
        <f t="shared" si="0"/>
        <v>5.9283337902690301</v>
      </c>
      <c r="E114" s="39">
        <v>5</v>
      </c>
      <c r="F114" s="39">
        <v>10</v>
      </c>
      <c r="G114" s="39">
        <v>0</v>
      </c>
      <c r="H114" s="44">
        <f t="shared" si="1"/>
        <v>33.333333333333329</v>
      </c>
      <c r="I114" s="8">
        <f t="shared" si="2"/>
        <v>66.666666666666657</v>
      </c>
      <c r="J114" s="8"/>
      <c r="K114" s="8"/>
      <c r="L114" s="8"/>
    </row>
    <row r="115" spans="1:12" x14ac:dyDescent="0.25">
      <c r="A115" s="44" t="s">
        <v>2892</v>
      </c>
      <c r="B115" s="20">
        <v>3598728162380.4502</v>
      </c>
      <c r="C115" s="20">
        <v>3755648077150.8999</v>
      </c>
      <c r="D115" s="44">
        <f t="shared" si="0"/>
        <v>4.3604270089311754</v>
      </c>
      <c r="E115" s="39">
        <v>1</v>
      </c>
      <c r="F115" s="39">
        <v>2</v>
      </c>
      <c r="G115" s="39">
        <v>0</v>
      </c>
      <c r="H115" s="44">
        <f t="shared" si="1"/>
        <v>33.333333333333329</v>
      </c>
      <c r="I115" s="8">
        <f t="shared" si="2"/>
        <v>66.666666666666657</v>
      </c>
      <c r="J115" s="8"/>
      <c r="K115" s="8"/>
      <c r="L115" s="8"/>
    </row>
    <row r="116" spans="1:12" x14ac:dyDescent="0.25">
      <c r="A116" s="44" t="s">
        <v>3232</v>
      </c>
      <c r="B116" s="20">
        <v>1114091138945.1199</v>
      </c>
      <c r="C116" s="20">
        <v>1142446312115.75</v>
      </c>
      <c r="D116" s="44">
        <f t="shared" si="0"/>
        <v>2.5451394575742068</v>
      </c>
      <c r="E116" s="39">
        <v>11</v>
      </c>
      <c r="F116" s="39">
        <v>20</v>
      </c>
      <c r="G116" s="39">
        <v>2</v>
      </c>
      <c r="H116" s="44">
        <f t="shared" si="1"/>
        <v>33.333333333333329</v>
      </c>
      <c r="I116" s="8">
        <f t="shared" si="2"/>
        <v>60.606060606060609</v>
      </c>
      <c r="J116" s="8"/>
      <c r="K116" s="8"/>
      <c r="L116" s="8"/>
    </row>
    <row r="117" spans="1:12" x14ac:dyDescent="0.25">
      <c r="A117" s="44" t="s">
        <v>1672</v>
      </c>
      <c r="B117" s="20">
        <v>482634291954.45001</v>
      </c>
      <c r="C117" s="20">
        <v>471145611050.30005</v>
      </c>
      <c r="D117" s="44">
        <f t="shared" si="0"/>
        <v>-2.3804112338611532</v>
      </c>
      <c r="E117" s="39">
        <v>1</v>
      </c>
      <c r="F117" s="39">
        <v>2</v>
      </c>
      <c r="G117" s="39">
        <v>0</v>
      </c>
      <c r="H117" s="44">
        <f t="shared" si="1"/>
        <v>33.333333333333329</v>
      </c>
      <c r="I117" s="8">
        <f t="shared" si="2"/>
        <v>66.666666666666657</v>
      </c>
      <c r="J117" s="8"/>
      <c r="K117" s="8"/>
      <c r="L117" s="8"/>
    </row>
    <row r="118" spans="1:12" x14ac:dyDescent="0.25">
      <c r="A118" s="44" t="s">
        <v>1453</v>
      </c>
      <c r="B118" s="20">
        <v>469450618051.21997</v>
      </c>
      <c r="C118" s="20">
        <v>457022801890.97998</v>
      </c>
      <c r="D118" s="44">
        <f t="shared" si="0"/>
        <v>-2.6473106397921575</v>
      </c>
      <c r="E118" s="39">
        <v>3</v>
      </c>
      <c r="F118" s="39">
        <v>6</v>
      </c>
      <c r="G118" s="39">
        <v>0</v>
      </c>
      <c r="H118" s="44">
        <f t="shared" si="1"/>
        <v>33.333333333333329</v>
      </c>
      <c r="I118" s="8">
        <f t="shared" si="2"/>
        <v>66.666666666666657</v>
      </c>
      <c r="J118" s="8"/>
      <c r="K118" s="8"/>
      <c r="L118" s="8"/>
    </row>
    <row r="119" spans="1:12" x14ac:dyDescent="0.25">
      <c r="A119" s="44" t="s">
        <v>52</v>
      </c>
      <c r="B119" s="20">
        <v>842731493711.29004</v>
      </c>
      <c r="C119" s="20">
        <v>788269239178.9801</v>
      </c>
      <c r="D119" s="44">
        <f t="shared" si="0"/>
        <v>-6.4625868308854333</v>
      </c>
      <c r="E119" s="39">
        <v>1</v>
      </c>
      <c r="F119" s="39">
        <v>2</v>
      </c>
      <c r="G119" s="39">
        <v>0</v>
      </c>
      <c r="H119" s="44">
        <f t="shared" si="1"/>
        <v>33.333333333333329</v>
      </c>
      <c r="I119" s="8">
        <f t="shared" si="2"/>
        <v>66.666666666666657</v>
      </c>
      <c r="J119" s="8"/>
      <c r="K119" s="8"/>
      <c r="L119" s="8"/>
    </row>
    <row r="120" spans="1:12" x14ac:dyDescent="0.25">
      <c r="A120" s="44" t="s">
        <v>2671</v>
      </c>
      <c r="B120" s="20">
        <v>512234776515.70996</v>
      </c>
      <c r="C120" s="20">
        <v>464326627197.56</v>
      </c>
      <c r="D120" s="44">
        <f t="shared" si="0"/>
        <v>-9.3527717200358111</v>
      </c>
      <c r="E120" s="39">
        <v>4</v>
      </c>
      <c r="F120" s="39">
        <v>8</v>
      </c>
      <c r="G120" s="39">
        <v>0</v>
      </c>
      <c r="H120" s="44">
        <f t="shared" si="1"/>
        <v>33.333333333333329</v>
      </c>
      <c r="I120" s="8">
        <f t="shared" si="2"/>
        <v>66.666666666666657</v>
      </c>
      <c r="J120" s="8"/>
      <c r="K120" s="8"/>
      <c r="L120" s="8"/>
    </row>
    <row r="121" spans="1:12" x14ac:dyDescent="0.25">
      <c r="A121" s="44" t="s">
        <v>831</v>
      </c>
      <c r="B121" s="20">
        <v>234302329100.09998</v>
      </c>
      <c r="C121" s="20">
        <v>193258566743.80002</v>
      </c>
      <c r="D121" s="44">
        <f t="shared" si="0"/>
        <v>-17.517436772369859</v>
      </c>
      <c r="E121" s="39">
        <v>2</v>
      </c>
      <c r="F121" s="39">
        <v>4</v>
      </c>
      <c r="G121" s="39">
        <v>0</v>
      </c>
      <c r="H121" s="44">
        <f t="shared" si="1"/>
        <v>33.333333333333329</v>
      </c>
      <c r="I121" s="8">
        <f t="shared" si="2"/>
        <v>66.666666666666657</v>
      </c>
      <c r="J121" s="8"/>
      <c r="K121" s="8"/>
      <c r="L121" s="8"/>
    </row>
    <row r="122" spans="1:12" x14ac:dyDescent="0.25">
      <c r="A122" s="44" t="s">
        <v>2681</v>
      </c>
      <c r="B122" s="20">
        <v>532565132541.71014</v>
      </c>
      <c r="C122" s="20">
        <v>533642523058.55994</v>
      </c>
      <c r="D122" s="44">
        <f t="shared" si="0"/>
        <v>0.20230211311579094</v>
      </c>
      <c r="E122" s="39">
        <v>35</v>
      </c>
      <c r="F122" s="39">
        <v>40</v>
      </c>
      <c r="G122" s="39">
        <v>33</v>
      </c>
      <c r="H122" s="44">
        <f t="shared" si="1"/>
        <v>32.407407407407405</v>
      </c>
      <c r="I122" s="8">
        <f t="shared" si="2"/>
        <v>37.037037037037038</v>
      </c>
      <c r="J122" s="8"/>
      <c r="K122" s="8"/>
      <c r="L122" s="8"/>
    </row>
    <row r="123" spans="1:12" x14ac:dyDescent="0.25">
      <c r="A123" s="44" t="s">
        <v>1807</v>
      </c>
      <c r="B123" s="20">
        <v>1916219231216.1499</v>
      </c>
      <c r="C123" s="20">
        <v>2171278401938.3201</v>
      </c>
      <c r="D123" s="44">
        <f t="shared" si="0"/>
        <v>13.310542268187863</v>
      </c>
      <c r="E123" s="39">
        <v>6</v>
      </c>
      <c r="F123" s="39">
        <v>13</v>
      </c>
      <c r="G123" s="39">
        <v>1</v>
      </c>
      <c r="H123" s="44">
        <f t="shared" si="1"/>
        <v>30</v>
      </c>
      <c r="I123" s="8">
        <f t="shared" si="2"/>
        <v>65</v>
      </c>
      <c r="J123" s="8"/>
      <c r="K123" s="8"/>
      <c r="L123" s="8"/>
    </row>
    <row r="124" spans="1:12" x14ac:dyDescent="0.25">
      <c r="A124" s="44" t="s">
        <v>3369</v>
      </c>
      <c r="B124" s="20">
        <v>62341520138.519997</v>
      </c>
      <c r="C124" s="20">
        <v>60771296260.410004</v>
      </c>
      <c r="D124" s="44">
        <f t="shared" si="0"/>
        <v>-2.5187449305391136</v>
      </c>
      <c r="E124" s="39">
        <v>6</v>
      </c>
      <c r="F124" s="39">
        <v>11</v>
      </c>
      <c r="G124" s="39">
        <v>3</v>
      </c>
      <c r="H124" s="44">
        <f t="shared" si="1"/>
        <v>30</v>
      </c>
      <c r="I124" s="8">
        <f t="shared" si="2"/>
        <v>55.000000000000007</v>
      </c>
      <c r="J124" s="8"/>
      <c r="K124" s="8"/>
      <c r="L124" s="8"/>
    </row>
    <row r="125" spans="1:12" x14ac:dyDescent="0.25">
      <c r="A125" s="44" t="s">
        <v>3976</v>
      </c>
      <c r="B125" s="20">
        <v>1664759903561.0901</v>
      </c>
      <c r="C125" s="20">
        <v>1624055098220.8103</v>
      </c>
      <c r="D125" s="44">
        <f t="shared" si="0"/>
        <v>-2.4450856398696343</v>
      </c>
      <c r="E125" s="39">
        <v>5</v>
      </c>
      <c r="F125" s="39">
        <v>12</v>
      </c>
      <c r="G125" s="39">
        <v>0</v>
      </c>
      <c r="H125" s="44">
        <f t="shared" si="1"/>
        <v>29.411764705882355</v>
      </c>
      <c r="I125" s="8">
        <f t="shared" si="2"/>
        <v>70.588235294117652</v>
      </c>
      <c r="J125" s="8"/>
      <c r="K125" s="8"/>
      <c r="L125" s="8"/>
    </row>
    <row r="126" spans="1:12" x14ac:dyDescent="0.25">
      <c r="A126" s="44" t="s">
        <v>1046</v>
      </c>
      <c r="B126" s="20">
        <v>1398167004823.4497</v>
      </c>
      <c r="C126" s="20">
        <v>1292335738447.3401</v>
      </c>
      <c r="D126" s="44">
        <f t="shared" si="0"/>
        <v>-7.5692865023283264</v>
      </c>
      <c r="E126" s="39">
        <v>7</v>
      </c>
      <c r="F126" s="39">
        <v>17</v>
      </c>
      <c r="G126" s="39">
        <v>0</v>
      </c>
      <c r="H126" s="44">
        <f t="shared" si="1"/>
        <v>29.166666666666668</v>
      </c>
      <c r="I126" s="8">
        <f t="shared" si="2"/>
        <v>70.833333333333343</v>
      </c>
      <c r="J126" s="8"/>
      <c r="K126" s="8"/>
      <c r="L126" s="8"/>
    </row>
    <row r="127" spans="1:12" x14ac:dyDescent="0.25">
      <c r="A127" s="44" t="s">
        <v>2755</v>
      </c>
      <c r="B127" s="20">
        <v>4254879662369.0703</v>
      </c>
      <c r="C127" s="20">
        <v>4294648673360.8599</v>
      </c>
      <c r="D127" s="44">
        <f t="shared" si="0"/>
        <v>0.93466829023424369</v>
      </c>
      <c r="E127" s="39">
        <v>12</v>
      </c>
      <c r="F127" s="39">
        <v>28</v>
      </c>
      <c r="G127" s="39">
        <v>2</v>
      </c>
      <c r="H127" s="44">
        <f t="shared" si="1"/>
        <v>28.571428571428569</v>
      </c>
      <c r="I127" s="8">
        <f t="shared" si="2"/>
        <v>66.666666666666657</v>
      </c>
      <c r="J127" s="8"/>
      <c r="K127" s="8"/>
      <c r="L127" s="8"/>
    </row>
    <row r="128" spans="1:12" x14ac:dyDescent="0.25">
      <c r="A128" s="44" t="s">
        <v>3652</v>
      </c>
      <c r="B128" s="20">
        <v>175892673010.84</v>
      </c>
      <c r="C128" s="20">
        <v>172056861600.47998</v>
      </c>
      <c r="D128" s="44">
        <f t="shared" si="0"/>
        <v>-2.1807681608907159</v>
      </c>
      <c r="E128" s="39">
        <v>2</v>
      </c>
      <c r="F128" s="39">
        <v>5</v>
      </c>
      <c r="G128" s="39">
        <v>0</v>
      </c>
      <c r="H128" s="44">
        <f t="shared" si="1"/>
        <v>28.571428571428569</v>
      </c>
      <c r="I128" s="8">
        <f t="shared" si="2"/>
        <v>71.428571428571431</v>
      </c>
      <c r="J128" s="8"/>
      <c r="K128" s="8"/>
      <c r="L128" s="8"/>
    </row>
    <row r="129" spans="1:12" x14ac:dyDescent="0.25">
      <c r="A129" s="44" t="s">
        <v>3183</v>
      </c>
      <c r="B129" s="20">
        <v>3914048500525.8501</v>
      </c>
      <c r="C129" s="20">
        <v>3827053971556.3999</v>
      </c>
      <c r="D129" s="44">
        <f t="shared" si="0"/>
        <v>-2.2226226618745919</v>
      </c>
      <c r="E129" s="39">
        <v>2</v>
      </c>
      <c r="F129" s="39">
        <v>5</v>
      </c>
      <c r="G129" s="39">
        <v>0</v>
      </c>
      <c r="H129" s="44">
        <f t="shared" si="1"/>
        <v>28.571428571428569</v>
      </c>
      <c r="I129" s="8">
        <f t="shared" si="2"/>
        <v>71.428571428571431</v>
      </c>
      <c r="J129" s="8"/>
      <c r="K129" s="8"/>
      <c r="L129" s="8"/>
    </row>
    <row r="130" spans="1:12" x14ac:dyDescent="0.25">
      <c r="A130" s="44" t="s">
        <v>2346</v>
      </c>
      <c r="B130" s="20">
        <v>46460855514.080009</v>
      </c>
      <c r="C130" s="20">
        <v>56444459874.929993</v>
      </c>
      <c r="D130" s="44">
        <f t="shared" si="0"/>
        <v>21.488206040081291</v>
      </c>
      <c r="E130" s="39">
        <v>7</v>
      </c>
      <c r="F130" s="39">
        <v>16</v>
      </c>
      <c r="G130" s="39">
        <v>2</v>
      </c>
      <c r="H130" s="44">
        <f t="shared" si="1"/>
        <v>28.000000000000004</v>
      </c>
      <c r="I130" s="8">
        <f t="shared" si="2"/>
        <v>64</v>
      </c>
      <c r="J130" s="69" t="s">
        <v>4364</v>
      </c>
      <c r="K130" s="67"/>
      <c r="L130" s="8"/>
    </row>
    <row r="131" spans="1:12" x14ac:dyDescent="0.25">
      <c r="A131" s="44" t="s">
        <v>2929</v>
      </c>
      <c r="B131" s="20">
        <v>390173778332.6601</v>
      </c>
      <c r="C131" s="20">
        <v>373683671133.97986</v>
      </c>
      <c r="D131" s="44">
        <f t="shared" si="0"/>
        <v>-4.22634941516261</v>
      </c>
      <c r="E131" s="39">
        <v>17</v>
      </c>
      <c r="F131" s="39">
        <v>44</v>
      </c>
      <c r="G131" s="39">
        <v>0</v>
      </c>
      <c r="H131" s="44">
        <f t="shared" si="1"/>
        <v>27.868852459016392</v>
      </c>
      <c r="I131" s="8">
        <f t="shared" si="2"/>
        <v>72.131147540983605</v>
      </c>
      <c r="J131" s="8"/>
      <c r="K131" s="8"/>
      <c r="L131" s="8"/>
    </row>
    <row r="132" spans="1:12" x14ac:dyDescent="0.25">
      <c r="A132" s="44" t="s">
        <v>3023</v>
      </c>
      <c r="B132" s="20">
        <v>42971067235.980003</v>
      </c>
      <c r="C132" s="20">
        <v>38588768292.380005</v>
      </c>
      <c r="D132" s="44">
        <f t="shared" si="0"/>
        <v>-10.198254838620032</v>
      </c>
      <c r="E132" s="39">
        <v>3</v>
      </c>
      <c r="F132" s="39">
        <v>8</v>
      </c>
      <c r="G132" s="39">
        <v>0</v>
      </c>
      <c r="H132" s="44">
        <f t="shared" si="1"/>
        <v>27.27272727272727</v>
      </c>
      <c r="I132" s="8">
        <f t="shared" si="2"/>
        <v>72.727272727272734</v>
      </c>
      <c r="J132" s="8"/>
      <c r="K132" s="8"/>
      <c r="L132" s="8"/>
    </row>
    <row r="133" spans="1:12" x14ac:dyDescent="0.25">
      <c r="A133" s="44" t="s">
        <v>2905</v>
      </c>
      <c r="B133" s="20">
        <v>88591119365.220001</v>
      </c>
      <c r="C133" s="20">
        <v>77937307347.800003</v>
      </c>
      <c r="D133" s="44">
        <f t="shared" si="0"/>
        <v>-12.025823913003384</v>
      </c>
      <c r="E133" s="39">
        <v>3</v>
      </c>
      <c r="F133" s="39">
        <v>8</v>
      </c>
      <c r="G133" s="39">
        <v>0</v>
      </c>
      <c r="H133" s="44">
        <f t="shared" si="1"/>
        <v>27.27272727272727</v>
      </c>
      <c r="I133" s="8">
        <f t="shared" si="2"/>
        <v>72.727272727272734</v>
      </c>
      <c r="J133" s="8"/>
      <c r="K133" s="8"/>
      <c r="L133" s="8"/>
    </row>
    <row r="134" spans="1:12" x14ac:dyDescent="0.25">
      <c r="A134" s="44" t="s">
        <v>3503</v>
      </c>
      <c r="B134" s="20">
        <v>1768537993047.8301</v>
      </c>
      <c r="C134" s="20">
        <v>1716151993106.54</v>
      </c>
      <c r="D134" s="44">
        <f t="shared" si="0"/>
        <v>-2.9621076927507808</v>
      </c>
      <c r="E134" s="39">
        <v>7</v>
      </c>
      <c r="F134" s="39">
        <v>19</v>
      </c>
      <c r="G134" s="39">
        <v>0</v>
      </c>
      <c r="H134" s="44">
        <f t="shared" si="1"/>
        <v>26.923076923076923</v>
      </c>
      <c r="I134" s="8">
        <f t="shared" si="2"/>
        <v>73.076923076923066</v>
      </c>
      <c r="J134" s="8"/>
      <c r="K134" s="8"/>
      <c r="L134" s="8"/>
    </row>
    <row r="135" spans="1:12" x14ac:dyDescent="0.25">
      <c r="A135" s="44" t="s">
        <v>2297</v>
      </c>
      <c r="B135" s="20">
        <v>1920848764159.9497</v>
      </c>
      <c r="C135" s="20">
        <v>1830247021083.1191</v>
      </c>
      <c r="D135" s="44">
        <f t="shared" si="0"/>
        <v>-4.7167556742268406</v>
      </c>
      <c r="E135" s="39">
        <v>30</v>
      </c>
      <c r="F135" s="39">
        <v>74</v>
      </c>
      <c r="G135" s="39">
        <v>9</v>
      </c>
      <c r="H135" s="44">
        <f t="shared" si="1"/>
        <v>26.548672566371685</v>
      </c>
      <c r="I135" s="8">
        <f t="shared" si="2"/>
        <v>65.486725663716811</v>
      </c>
      <c r="J135" s="69" t="s">
        <v>4366</v>
      </c>
      <c r="K135" s="67"/>
      <c r="L135" s="8"/>
    </row>
    <row r="136" spans="1:12" x14ac:dyDescent="0.25">
      <c r="A136" s="44" t="s">
        <v>4033</v>
      </c>
      <c r="B136" s="20">
        <v>3851566287078.5</v>
      </c>
      <c r="C136" s="20">
        <v>3997113676606</v>
      </c>
      <c r="D136" s="44">
        <f t="shared" si="0"/>
        <v>3.7789143085968013</v>
      </c>
      <c r="E136" s="39">
        <v>1</v>
      </c>
      <c r="F136" s="39">
        <v>3</v>
      </c>
      <c r="G136" s="39">
        <v>0</v>
      </c>
      <c r="H136" s="44">
        <f t="shared" si="1"/>
        <v>25</v>
      </c>
      <c r="I136" s="8">
        <f t="shared" si="2"/>
        <v>75</v>
      </c>
      <c r="J136" s="8"/>
      <c r="K136" s="8"/>
      <c r="L136" s="8"/>
    </row>
    <row r="137" spans="1:12" x14ac:dyDescent="0.25">
      <c r="A137" s="44" t="s">
        <v>3140</v>
      </c>
      <c r="B137" s="20">
        <v>2561992845854.5405</v>
      </c>
      <c r="C137" s="20">
        <v>2625825815031.0703</v>
      </c>
      <c r="D137" s="44">
        <f t="shared" si="0"/>
        <v>2.4915358089237212</v>
      </c>
      <c r="E137" s="39">
        <v>3</v>
      </c>
      <c r="F137" s="39">
        <v>9</v>
      </c>
      <c r="G137" s="39">
        <v>0</v>
      </c>
      <c r="H137" s="44">
        <f t="shared" si="1"/>
        <v>25</v>
      </c>
      <c r="I137" s="8">
        <f t="shared" si="2"/>
        <v>75</v>
      </c>
      <c r="J137" s="8"/>
      <c r="K137" s="8"/>
      <c r="L137" s="8"/>
    </row>
    <row r="138" spans="1:12" x14ac:dyDescent="0.25">
      <c r="A138" s="44" t="s">
        <v>3672</v>
      </c>
      <c r="B138" s="20">
        <v>11094277738.360001</v>
      </c>
      <c r="C138" s="20">
        <v>11175608377.889999</v>
      </c>
      <c r="D138" s="44">
        <f t="shared" si="0"/>
        <v>0.73308638424281414</v>
      </c>
      <c r="E138" s="39">
        <v>1</v>
      </c>
      <c r="F138" s="39">
        <v>3</v>
      </c>
      <c r="G138" s="39">
        <v>0</v>
      </c>
      <c r="H138" s="44">
        <f t="shared" si="1"/>
        <v>25</v>
      </c>
      <c r="I138" s="8">
        <f t="shared" si="2"/>
        <v>75</v>
      </c>
      <c r="J138" s="8"/>
      <c r="K138" s="8"/>
      <c r="L138" s="8"/>
    </row>
    <row r="139" spans="1:12" x14ac:dyDescent="0.25">
      <c r="A139" s="44" t="s">
        <v>1616</v>
      </c>
      <c r="B139" s="20">
        <v>698633477194.75</v>
      </c>
      <c r="C139" s="20">
        <v>683806308754.5</v>
      </c>
      <c r="D139" s="44">
        <f t="shared" si="0"/>
        <v>-2.1223100415665881</v>
      </c>
      <c r="E139" s="39">
        <v>1</v>
      </c>
      <c r="F139" s="39">
        <v>3</v>
      </c>
      <c r="G139" s="39">
        <v>0</v>
      </c>
      <c r="H139" s="44">
        <f t="shared" si="1"/>
        <v>25</v>
      </c>
      <c r="I139" s="8">
        <f t="shared" si="2"/>
        <v>75</v>
      </c>
      <c r="J139" s="8"/>
      <c r="K139" s="8"/>
      <c r="L139" s="8"/>
    </row>
    <row r="140" spans="1:12" x14ac:dyDescent="0.25">
      <c r="A140" s="44" t="s">
        <v>3519</v>
      </c>
      <c r="B140" s="20">
        <v>16030271399.559999</v>
      </c>
      <c r="C140" s="20">
        <v>15235831885.360001</v>
      </c>
      <c r="D140" s="44">
        <f t="shared" si="0"/>
        <v>-4.9558706424758636</v>
      </c>
      <c r="E140" s="39">
        <v>1</v>
      </c>
      <c r="F140" s="39">
        <v>3</v>
      </c>
      <c r="G140" s="39">
        <v>0</v>
      </c>
      <c r="H140" s="44">
        <f t="shared" si="1"/>
        <v>25</v>
      </c>
      <c r="I140" s="8">
        <f t="shared" si="2"/>
        <v>75</v>
      </c>
      <c r="J140" s="8"/>
      <c r="K140" s="8"/>
      <c r="L140" s="8"/>
    </row>
    <row r="141" spans="1:12" x14ac:dyDescent="0.25">
      <c r="A141" s="44" t="s">
        <v>677</v>
      </c>
      <c r="B141" s="20">
        <v>332871385201.43994</v>
      </c>
      <c r="C141" s="20">
        <v>316356945552.53998</v>
      </c>
      <c r="D141" s="44">
        <f t="shared" si="0"/>
        <v>-4.9612073560802203</v>
      </c>
      <c r="E141" s="39">
        <v>2</v>
      </c>
      <c r="F141" s="39">
        <v>6</v>
      </c>
      <c r="G141" s="39">
        <v>0</v>
      </c>
      <c r="H141" s="44">
        <f t="shared" si="1"/>
        <v>25</v>
      </c>
      <c r="I141" s="8">
        <f t="shared" si="2"/>
        <v>75</v>
      </c>
      <c r="J141" s="8"/>
      <c r="K141" s="8"/>
      <c r="L141" s="8"/>
    </row>
    <row r="142" spans="1:12" x14ac:dyDescent="0.25">
      <c r="A142" s="44" t="s">
        <v>2787</v>
      </c>
      <c r="B142" s="20">
        <v>985820778241.96008</v>
      </c>
      <c r="C142" s="20">
        <v>934852081410.24011</v>
      </c>
      <c r="D142" s="44">
        <f t="shared" si="0"/>
        <v>-5.1701787948326441</v>
      </c>
      <c r="E142" s="39">
        <v>2</v>
      </c>
      <c r="F142" s="39">
        <v>6</v>
      </c>
      <c r="G142" s="39">
        <v>0</v>
      </c>
      <c r="H142" s="44">
        <f t="shared" si="1"/>
        <v>25</v>
      </c>
      <c r="I142" s="8">
        <f t="shared" si="2"/>
        <v>75</v>
      </c>
      <c r="J142" s="8"/>
      <c r="K142" s="8"/>
      <c r="L142" s="8"/>
    </row>
    <row r="143" spans="1:12" x14ac:dyDescent="0.25">
      <c r="A143" s="44" t="s">
        <v>2627</v>
      </c>
      <c r="B143" s="20">
        <v>613389395574.93982</v>
      </c>
      <c r="C143" s="20">
        <v>580414655903.72998</v>
      </c>
      <c r="D143" s="44">
        <f t="shared" si="0"/>
        <v>-5.375824869013603</v>
      </c>
      <c r="E143" s="39">
        <v>3</v>
      </c>
      <c r="F143" s="39">
        <v>9</v>
      </c>
      <c r="G143" s="39">
        <v>0</v>
      </c>
      <c r="H143" s="44">
        <f t="shared" si="1"/>
        <v>25</v>
      </c>
      <c r="I143" s="8">
        <f t="shared" si="2"/>
        <v>75</v>
      </c>
      <c r="J143" s="8"/>
      <c r="K143" s="8"/>
      <c r="L143" s="8"/>
    </row>
    <row r="144" spans="1:12" x14ac:dyDescent="0.25">
      <c r="A144" s="44" t="s">
        <v>1633</v>
      </c>
      <c r="B144" s="20">
        <v>1269670505278.2302</v>
      </c>
      <c r="C144" s="20">
        <v>1183259416745.5798</v>
      </c>
      <c r="D144" s="44">
        <f t="shared" si="0"/>
        <v>-6.8057884445945005</v>
      </c>
      <c r="E144" s="39">
        <v>18</v>
      </c>
      <c r="F144" s="39">
        <v>53</v>
      </c>
      <c r="G144" s="39">
        <v>1</v>
      </c>
      <c r="H144" s="44">
        <f t="shared" si="1"/>
        <v>25</v>
      </c>
      <c r="I144" s="8">
        <f t="shared" si="2"/>
        <v>73.611111111111114</v>
      </c>
      <c r="J144" s="8"/>
      <c r="K144" s="8"/>
      <c r="L144" s="8"/>
    </row>
    <row r="145" spans="1:12" x14ac:dyDescent="0.25">
      <c r="A145" s="44" t="s">
        <v>3501</v>
      </c>
      <c r="B145" s="20">
        <v>44462888868.650002</v>
      </c>
      <c r="C145" s="20">
        <v>41207674489.800003</v>
      </c>
      <c r="D145" s="44">
        <f t="shared" si="0"/>
        <v>-7.321194060211397</v>
      </c>
      <c r="E145" s="39">
        <v>1</v>
      </c>
      <c r="F145" s="39">
        <v>3</v>
      </c>
      <c r="G145" s="39">
        <v>0</v>
      </c>
      <c r="H145" s="44">
        <f t="shared" si="1"/>
        <v>25</v>
      </c>
      <c r="I145" s="8">
        <f t="shared" si="2"/>
        <v>75</v>
      </c>
      <c r="J145" s="8"/>
      <c r="K145" s="8"/>
      <c r="L145" s="8"/>
    </row>
    <row r="146" spans="1:12" x14ac:dyDescent="0.25">
      <c r="A146" s="44" t="s">
        <v>4094</v>
      </c>
      <c r="B146" s="20">
        <v>51963746955.820007</v>
      </c>
      <c r="C146" s="20">
        <v>47836585472.560005</v>
      </c>
      <c r="D146" s="44">
        <f t="shared" si="0"/>
        <v>-7.9423862308638906</v>
      </c>
      <c r="E146" s="39">
        <v>5</v>
      </c>
      <c r="F146" s="39">
        <v>13</v>
      </c>
      <c r="G146" s="39">
        <v>2</v>
      </c>
      <c r="H146" s="44">
        <f t="shared" si="1"/>
        <v>25</v>
      </c>
      <c r="I146" s="8">
        <f t="shared" si="2"/>
        <v>65</v>
      </c>
      <c r="J146" s="8"/>
      <c r="K146" s="8"/>
      <c r="L146" s="8"/>
    </row>
    <row r="147" spans="1:12" x14ac:dyDescent="0.25">
      <c r="A147" s="44" t="s">
        <v>2594</v>
      </c>
      <c r="B147" s="20">
        <v>5936603621</v>
      </c>
      <c r="C147" s="20">
        <v>5448521167.7999992</v>
      </c>
      <c r="D147" s="44">
        <f t="shared" si="0"/>
        <v>-8.2215772579706936</v>
      </c>
      <c r="E147" s="39">
        <v>2</v>
      </c>
      <c r="F147" s="39">
        <v>5</v>
      </c>
      <c r="G147" s="39">
        <v>1</v>
      </c>
      <c r="H147" s="44">
        <f t="shared" si="1"/>
        <v>25</v>
      </c>
      <c r="I147" s="8">
        <f t="shared" si="2"/>
        <v>62.5</v>
      </c>
      <c r="J147" s="8"/>
      <c r="K147" s="8"/>
      <c r="L147" s="8"/>
    </row>
    <row r="148" spans="1:12" x14ac:dyDescent="0.25">
      <c r="A148" s="44" t="s">
        <v>3900</v>
      </c>
      <c r="B148" s="20">
        <v>268910444386.85999</v>
      </c>
      <c r="C148" s="20">
        <v>237505202181.89996</v>
      </c>
      <c r="D148" s="44">
        <f t="shared" si="0"/>
        <v>-11.678699306963253</v>
      </c>
      <c r="E148" s="39">
        <v>1</v>
      </c>
      <c r="F148" s="39">
        <v>3</v>
      </c>
      <c r="G148" s="39">
        <v>0</v>
      </c>
      <c r="H148" s="44">
        <f t="shared" si="1"/>
        <v>25</v>
      </c>
      <c r="I148" s="8">
        <f t="shared" si="2"/>
        <v>75</v>
      </c>
      <c r="J148" s="8"/>
      <c r="K148" s="8"/>
      <c r="L148" s="8"/>
    </row>
    <row r="149" spans="1:12" x14ac:dyDescent="0.25">
      <c r="A149" s="44" t="s">
        <v>3872</v>
      </c>
      <c r="B149" s="20">
        <v>709910738006.33997</v>
      </c>
      <c r="C149" s="20">
        <v>679071187171.91003</v>
      </c>
      <c r="D149" s="44">
        <f t="shared" si="0"/>
        <v>-4.3441448598224355</v>
      </c>
      <c r="E149" s="39">
        <v>5</v>
      </c>
      <c r="F149" s="39">
        <v>16</v>
      </c>
      <c r="G149" s="39">
        <v>0</v>
      </c>
      <c r="H149" s="44">
        <f t="shared" si="1"/>
        <v>23.809523809523807</v>
      </c>
      <c r="I149" s="8">
        <f t="shared" si="2"/>
        <v>76.19047619047619</v>
      </c>
      <c r="J149" s="8"/>
      <c r="K149" s="8"/>
      <c r="L149" s="8"/>
    </row>
    <row r="150" spans="1:12" x14ac:dyDescent="0.25">
      <c r="A150" s="44" t="s">
        <v>3561</v>
      </c>
      <c r="B150" s="20">
        <v>424900057034.25995</v>
      </c>
      <c r="C150" s="20">
        <v>401326486681.93005</v>
      </c>
      <c r="D150" s="44">
        <f t="shared" si="0"/>
        <v>-5.5480271094501505</v>
      </c>
      <c r="E150" s="39">
        <v>12</v>
      </c>
      <c r="F150" s="39">
        <v>37</v>
      </c>
      <c r="G150" s="39">
        <v>2</v>
      </c>
      <c r="H150" s="44">
        <f t="shared" si="1"/>
        <v>23.52941176470588</v>
      </c>
      <c r="I150" s="8">
        <f t="shared" si="2"/>
        <v>72.549019607843135</v>
      </c>
      <c r="J150" s="8"/>
      <c r="K150" s="8"/>
      <c r="L150" s="8"/>
    </row>
    <row r="151" spans="1:12" x14ac:dyDescent="0.25">
      <c r="A151" s="44" t="s">
        <v>110</v>
      </c>
      <c r="B151" s="20">
        <v>506047747953.57996</v>
      </c>
      <c r="C151" s="20">
        <v>480788037620.82007</v>
      </c>
      <c r="D151" s="44">
        <f t="shared" si="0"/>
        <v>-4.99156659325297</v>
      </c>
      <c r="E151" s="39">
        <v>5</v>
      </c>
      <c r="F151" s="39">
        <v>17</v>
      </c>
      <c r="G151" s="39">
        <v>0</v>
      </c>
      <c r="H151" s="44">
        <f t="shared" si="1"/>
        <v>22.727272727272727</v>
      </c>
      <c r="I151" s="8">
        <f t="shared" si="2"/>
        <v>77.272727272727266</v>
      </c>
      <c r="J151" s="8"/>
      <c r="K151" s="8"/>
      <c r="L151" s="8"/>
    </row>
    <row r="152" spans="1:12" x14ac:dyDescent="0.25">
      <c r="A152" s="44" t="s">
        <v>1606</v>
      </c>
      <c r="B152" s="20">
        <v>306225154200.94</v>
      </c>
      <c r="C152" s="20">
        <v>308733679876</v>
      </c>
      <c r="D152" s="44">
        <f t="shared" si="0"/>
        <v>0.81917688362528951</v>
      </c>
      <c r="E152" s="39">
        <v>2</v>
      </c>
      <c r="F152" s="39">
        <v>6</v>
      </c>
      <c r="G152" s="39">
        <v>1</v>
      </c>
      <c r="H152" s="44">
        <f t="shared" si="1"/>
        <v>22.222222222222221</v>
      </c>
      <c r="I152" s="8">
        <f t="shared" si="2"/>
        <v>66.666666666666657</v>
      </c>
      <c r="J152" s="8"/>
      <c r="K152" s="8"/>
      <c r="L152" s="8"/>
    </row>
    <row r="153" spans="1:12" x14ac:dyDescent="0.25">
      <c r="A153" s="44" t="s">
        <v>3431</v>
      </c>
      <c r="B153" s="20">
        <v>4802479743800.71</v>
      </c>
      <c r="C153" s="20">
        <v>4702311727751.8691</v>
      </c>
      <c r="D153" s="44">
        <f t="shared" si="0"/>
        <v>-2.0857561383396335</v>
      </c>
      <c r="E153" s="39">
        <v>4</v>
      </c>
      <c r="F153" s="39">
        <v>11</v>
      </c>
      <c r="G153" s="39">
        <v>3</v>
      </c>
      <c r="H153" s="44">
        <f t="shared" si="1"/>
        <v>22.222222222222221</v>
      </c>
      <c r="I153" s="8">
        <f t="shared" si="2"/>
        <v>61.111111111111114</v>
      </c>
      <c r="J153" s="8"/>
      <c r="K153" s="8"/>
      <c r="L153" s="8"/>
    </row>
    <row r="154" spans="1:12" x14ac:dyDescent="0.25">
      <c r="A154" s="44" t="s">
        <v>1501</v>
      </c>
      <c r="B154" s="20">
        <v>743917551344.08008</v>
      </c>
      <c r="C154" s="20">
        <v>686568345854.25</v>
      </c>
      <c r="D154" s="44">
        <f t="shared" si="0"/>
        <v>-7.7090808499159431</v>
      </c>
      <c r="E154" s="39">
        <v>2</v>
      </c>
      <c r="F154" s="39">
        <v>7</v>
      </c>
      <c r="G154" s="39">
        <v>0</v>
      </c>
      <c r="H154" s="44">
        <f t="shared" si="1"/>
        <v>22.222222222222221</v>
      </c>
      <c r="I154" s="8">
        <f t="shared" si="2"/>
        <v>77.777777777777786</v>
      </c>
      <c r="J154" s="8"/>
      <c r="K154" s="8"/>
      <c r="L154" s="8"/>
    </row>
    <row r="155" spans="1:12" x14ac:dyDescent="0.25">
      <c r="A155" s="44" t="s">
        <v>1376</v>
      </c>
      <c r="B155" s="20">
        <v>1194215354500.0002</v>
      </c>
      <c r="C155" s="20">
        <v>1148263176239.75</v>
      </c>
      <c r="D155" s="44">
        <f t="shared" si="0"/>
        <v>-3.847897122331819</v>
      </c>
      <c r="E155" s="39">
        <v>4</v>
      </c>
      <c r="F155" s="39">
        <v>14</v>
      </c>
      <c r="G155" s="39">
        <v>1</v>
      </c>
      <c r="H155" s="44">
        <f t="shared" si="1"/>
        <v>21.052631578947366</v>
      </c>
      <c r="I155" s="8">
        <f t="shared" si="2"/>
        <v>73.68421052631578</v>
      </c>
      <c r="J155" s="8"/>
      <c r="K155" s="8"/>
      <c r="L155" s="8"/>
    </row>
    <row r="156" spans="1:12" x14ac:dyDescent="0.25">
      <c r="A156" s="44" t="s">
        <v>680</v>
      </c>
      <c r="B156" s="20">
        <v>26959414025617.98</v>
      </c>
      <c r="C156" s="20">
        <v>26363558041436.879</v>
      </c>
      <c r="D156" s="44">
        <f t="shared" si="0"/>
        <v>-2.2101963477948514</v>
      </c>
      <c r="E156" s="39">
        <v>4</v>
      </c>
      <c r="F156" s="39">
        <v>16</v>
      </c>
      <c r="G156" s="39">
        <v>0</v>
      </c>
      <c r="H156" s="44">
        <f t="shared" si="1"/>
        <v>20</v>
      </c>
      <c r="I156" s="8">
        <f t="shared" si="2"/>
        <v>80</v>
      </c>
      <c r="J156" s="8"/>
      <c r="K156" s="8"/>
      <c r="L156" s="8"/>
    </row>
    <row r="157" spans="1:12" x14ac:dyDescent="0.25">
      <c r="A157" s="44" t="s">
        <v>2998</v>
      </c>
      <c r="B157" s="20">
        <v>15552751531.59</v>
      </c>
      <c r="C157" s="20">
        <v>14631929137.49</v>
      </c>
      <c r="D157" s="44">
        <f t="shared" si="0"/>
        <v>-5.920639780232265</v>
      </c>
      <c r="E157" s="39">
        <v>1</v>
      </c>
      <c r="F157" s="39">
        <v>4</v>
      </c>
      <c r="G157" s="39">
        <v>0</v>
      </c>
      <c r="H157" s="44">
        <f t="shared" si="1"/>
        <v>20</v>
      </c>
      <c r="I157" s="8">
        <f t="shared" si="2"/>
        <v>80</v>
      </c>
      <c r="J157" s="8"/>
      <c r="K157" s="8"/>
      <c r="L157" s="8"/>
    </row>
    <row r="158" spans="1:12" x14ac:dyDescent="0.25">
      <c r="A158" s="44" t="s">
        <v>3209</v>
      </c>
      <c r="B158" s="20">
        <v>463761535002.2901</v>
      </c>
      <c r="C158" s="20">
        <v>417474228595.68988</v>
      </c>
      <c r="D158" s="44">
        <f t="shared" si="0"/>
        <v>-9.9808420735824175</v>
      </c>
      <c r="E158" s="39">
        <v>9</v>
      </c>
      <c r="F158" s="39">
        <v>33</v>
      </c>
      <c r="G158" s="39">
        <v>3</v>
      </c>
      <c r="H158" s="44">
        <f t="shared" si="1"/>
        <v>20</v>
      </c>
      <c r="I158" s="8">
        <f t="shared" si="2"/>
        <v>73.333333333333329</v>
      </c>
      <c r="J158" s="8"/>
      <c r="K158" s="8"/>
      <c r="L158" s="8"/>
    </row>
    <row r="159" spans="1:12" x14ac:dyDescent="0.25">
      <c r="A159" s="44" t="s">
        <v>2753</v>
      </c>
      <c r="B159" s="20">
        <v>1876138936656.0698</v>
      </c>
      <c r="C159" s="20">
        <v>1836131364647.4502</v>
      </c>
      <c r="D159" s="44">
        <f t="shared" si="0"/>
        <v>-2.1324418584866103</v>
      </c>
      <c r="E159" s="39">
        <v>12</v>
      </c>
      <c r="F159" s="39">
        <v>49</v>
      </c>
      <c r="G159" s="39">
        <v>1</v>
      </c>
      <c r="H159" s="44">
        <f t="shared" si="1"/>
        <v>19.35483870967742</v>
      </c>
      <c r="I159" s="8">
        <f t="shared" si="2"/>
        <v>79.032258064516128</v>
      </c>
      <c r="J159" s="8"/>
      <c r="K159" s="8"/>
      <c r="L159" s="8"/>
    </row>
    <row r="160" spans="1:12" x14ac:dyDescent="0.25">
      <c r="A160" s="44" t="s">
        <v>2867</v>
      </c>
      <c r="B160" s="20">
        <v>5149824611.4200001</v>
      </c>
      <c r="C160" s="20">
        <v>5022370207.3000002</v>
      </c>
      <c r="D160" s="44">
        <f t="shared" si="0"/>
        <v>-2.474927084649897</v>
      </c>
      <c r="E160" s="39">
        <v>1</v>
      </c>
      <c r="F160" s="39">
        <v>5</v>
      </c>
      <c r="G160" s="39">
        <v>0</v>
      </c>
      <c r="H160" s="44">
        <f t="shared" si="1"/>
        <v>16.666666666666664</v>
      </c>
      <c r="I160" s="8">
        <f t="shared" si="2"/>
        <v>83.333333333333343</v>
      </c>
      <c r="J160" s="8"/>
      <c r="K160" s="8"/>
      <c r="L160" s="8"/>
    </row>
    <row r="161" spans="1:12" x14ac:dyDescent="0.25">
      <c r="A161" s="44" t="s">
        <v>850</v>
      </c>
      <c r="B161" s="20">
        <v>509640179365.20001</v>
      </c>
      <c r="C161" s="20">
        <v>468329092051.41003</v>
      </c>
      <c r="D161" s="44">
        <f t="shared" si="0"/>
        <v>-8.1059321824363284</v>
      </c>
      <c r="E161" s="39">
        <v>1</v>
      </c>
      <c r="F161" s="39">
        <v>5</v>
      </c>
      <c r="G161" s="39">
        <v>0</v>
      </c>
      <c r="H161" s="44">
        <f t="shared" si="1"/>
        <v>16.666666666666664</v>
      </c>
      <c r="I161" s="8">
        <f t="shared" si="2"/>
        <v>83.333333333333343</v>
      </c>
      <c r="J161" s="8"/>
      <c r="K161" s="8"/>
      <c r="L161" s="8"/>
    </row>
    <row r="162" spans="1:12" x14ac:dyDescent="0.25">
      <c r="A162" s="44" t="s">
        <v>3951</v>
      </c>
      <c r="B162" s="20">
        <v>1421605167004.0901</v>
      </c>
      <c r="C162" s="20">
        <v>1275777767742.8403</v>
      </c>
      <c r="D162" s="44">
        <f t="shared" si="0"/>
        <v>-10.257939591523039</v>
      </c>
      <c r="E162" s="39">
        <v>3</v>
      </c>
      <c r="F162" s="39">
        <v>17</v>
      </c>
      <c r="G162" s="39">
        <v>0</v>
      </c>
      <c r="H162" s="44">
        <f t="shared" si="1"/>
        <v>15</v>
      </c>
      <c r="I162" s="8">
        <f t="shared" si="2"/>
        <v>85</v>
      </c>
      <c r="J162" s="8"/>
      <c r="K162" s="8"/>
      <c r="L162" s="8"/>
    </row>
    <row r="163" spans="1:12" x14ac:dyDescent="0.25">
      <c r="A163" s="44" t="s">
        <v>67</v>
      </c>
      <c r="B163" s="20">
        <v>791819959395.65015</v>
      </c>
      <c r="C163" s="20">
        <v>789353424900.75</v>
      </c>
      <c r="D163" s="44">
        <f t="shared" si="0"/>
        <v>-0.31150193495787959</v>
      </c>
      <c r="E163" s="39">
        <v>1</v>
      </c>
      <c r="F163" s="39">
        <v>6</v>
      </c>
      <c r="G163" s="39">
        <v>0</v>
      </c>
      <c r="H163" s="44">
        <f t="shared" si="1"/>
        <v>14.285714285714285</v>
      </c>
      <c r="I163" s="8">
        <f t="shared" si="2"/>
        <v>85.714285714285708</v>
      </c>
      <c r="J163" s="8"/>
      <c r="K163" s="8"/>
      <c r="L163" s="8"/>
    </row>
    <row r="164" spans="1:12" x14ac:dyDescent="0.25">
      <c r="A164" s="44" t="s">
        <v>3772</v>
      </c>
      <c r="B164" s="20">
        <v>769453320261.01001</v>
      </c>
      <c r="C164" s="20">
        <v>712174936948.66992</v>
      </c>
      <c r="D164" s="44">
        <f t="shared" si="0"/>
        <v>-7.4440361493157772</v>
      </c>
      <c r="E164" s="39">
        <v>1</v>
      </c>
      <c r="F164" s="39">
        <v>6</v>
      </c>
      <c r="G164" s="39">
        <v>0</v>
      </c>
      <c r="H164" s="44">
        <f t="shared" si="1"/>
        <v>14.285714285714285</v>
      </c>
      <c r="I164" s="8">
        <f t="shared" si="2"/>
        <v>85.714285714285708</v>
      </c>
      <c r="J164" s="8"/>
      <c r="K164" s="8"/>
      <c r="L164" s="8"/>
    </row>
    <row r="165" spans="1:12" x14ac:dyDescent="0.25">
      <c r="A165" s="44" t="s">
        <v>3361</v>
      </c>
      <c r="B165" s="20">
        <v>180049433723.35001</v>
      </c>
      <c r="C165" s="20">
        <v>186231515842.10001</v>
      </c>
      <c r="D165" s="44">
        <f t="shared" si="0"/>
        <v>3.4335471047628552</v>
      </c>
      <c r="E165" s="39">
        <v>1</v>
      </c>
      <c r="F165" s="39">
        <v>7</v>
      </c>
      <c r="G165" s="39">
        <v>1</v>
      </c>
      <c r="H165" s="44">
        <f t="shared" si="1"/>
        <v>11.111111111111111</v>
      </c>
      <c r="I165" s="8">
        <f t="shared" si="2"/>
        <v>77.777777777777786</v>
      </c>
      <c r="J165" s="8"/>
      <c r="K165" s="8"/>
      <c r="L165" s="8"/>
    </row>
    <row r="166" spans="1:12" x14ac:dyDescent="0.25">
      <c r="A166" s="44" t="s">
        <v>2834</v>
      </c>
      <c r="B166" s="20">
        <v>27531594852.75</v>
      </c>
      <c r="C166" s="20">
        <v>25793679468.450001</v>
      </c>
      <c r="D166" s="44">
        <f t="shared" si="0"/>
        <v>-6.3124399207349482</v>
      </c>
      <c r="E166" s="39">
        <v>1</v>
      </c>
      <c r="F166" s="39">
        <v>8</v>
      </c>
      <c r="G166" s="39">
        <v>0</v>
      </c>
      <c r="H166" s="44">
        <f t="shared" si="1"/>
        <v>11.111111111111111</v>
      </c>
      <c r="I166" s="8">
        <f t="shared" si="2"/>
        <v>88.888888888888886</v>
      </c>
      <c r="J166" s="8"/>
      <c r="K166" s="8"/>
      <c r="L166" s="8"/>
    </row>
    <row r="167" spans="1:12" x14ac:dyDescent="0.25">
      <c r="A167" s="44" t="s">
        <v>11</v>
      </c>
      <c r="B167" s="20">
        <v>6423467050642.71</v>
      </c>
      <c r="C167" s="20">
        <v>5638507128467.5107</v>
      </c>
      <c r="D167" s="44">
        <f t="shared" si="0"/>
        <v>-12.220190684976874</v>
      </c>
      <c r="E167" s="39">
        <v>1</v>
      </c>
      <c r="F167" s="39">
        <v>7</v>
      </c>
      <c r="G167" s="39">
        <v>1</v>
      </c>
      <c r="H167" s="44">
        <f t="shared" si="1"/>
        <v>11.111111111111111</v>
      </c>
      <c r="I167" s="8">
        <f t="shared" si="2"/>
        <v>77.777777777777786</v>
      </c>
      <c r="J167" s="8"/>
      <c r="K167" s="8"/>
      <c r="L167" s="8"/>
    </row>
    <row r="168" spans="1:12" x14ac:dyDescent="0.25">
      <c r="A168" s="44" t="s">
        <v>3131</v>
      </c>
      <c r="B168" s="20">
        <v>996272312569.02991</v>
      </c>
      <c r="C168" s="20">
        <v>995295382312.19995</v>
      </c>
      <c r="D168" s="44">
        <f t="shared" si="0"/>
        <v>-9.8058557334671115E-2</v>
      </c>
      <c r="E168" s="39">
        <v>0</v>
      </c>
      <c r="F168" s="39">
        <v>2</v>
      </c>
      <c r="G168" s="39">
        <v>0</v>
      </c>
      <c r="H168" s="44">
        <f t="shared" si="1"/>
        <v>0</v>
      </c>
      <c r="I168" s="8">
        <f t="shared" si="2"/>
        <v>100</v>
      </c>
      <c r="J168" s="8"/>
      <c r="K168" s="8"/>
      <c r="L168" s="8"/>
    </row>
    <row r="169" spans="1:12" x14ac:dyDescent="0.25">
      <c r="A169" s="44" t="s">
        <v>4191</v>
      </c>
      <c r="B169" s="20">
        <v>10036034009.25</v>
      </c>
      <c r="C169" s="20">
        <v>9935723824.25</v>
      </c>
      <c r="D169" s="44">
        <f t="shared" si="0"/>
        <v>-0.99950024987506247</v>
      </c>
      <c r="E169" s="39">
        <v>0</v>
      </c>
      <c r="F169" s="39">
        <v>1</v>
      </c>
      <c r="G169" s="39">
        <v>0</v>
      </c>
      <c r="H169" s="44">
        <f t="shared" si="1"/>
        <v>0</v>
      </c>
      <c r="I169" s="8">
        <f t="shared" si="2"/>
        <v>100</v>
      </c>
      <c r="J169" s="8"/>
      <c r="K169" s="8"/>
      <c r="L169" s="8"/>
    </row>
    <row r="170" spans="1:12" x14ac:dyDescent="0.25">
      <c r="A170" s="44" t="s">
        <v>4230</v>
      </c>
      <c r="B170" s="20">
        <v>12545018128</v>
      </c>
      <c r="C170" s="20">
        <v>12178415402.300001</v>
      </c>
      <c r="D170" s="44">
        <f t="shared" si="0"/>
        <v>-2.9222972972972885</v>
      </c>
      <c r="E170" s="39">
        <v>0</v>
      </c>
      <c r="F170" s="39">
        <v>1</v>
      </c>
      <c r="G170" s="39">
        <v>0</v>
      </c>
      <c r="H170" s="44">
        <f t="shared" si="1"/>
        <v>0</v>
      </c>
      <c r="I170" s="8">
        <f t="shared" si="2"/>
        <v>100</v>
      </c>
      <c r="J170" s="8"/>
      <c r="K170" s="8"/>
      <c r="L170" s="8"/>
    </row>
    <row r="171" spans="1:12" x14ac:dyDescent="0.25">
      <c r="A171" s="44" t="s">
        <v>4177</v>
      </c>
      <c r="B171" s="20">
        <v>98580327855.350006</v>
      </c>
      <c r="C171" s="20">
        <v>95425819087.75</v>
      </c>
      <c r="D171" s="44">
        <f t="shared" si="0"/>
        <v>-3.1999373873342312</v>
      </c>
      <c r="E171" s="39">
        <v>0</v>
      </c>
      <c r="F171" s="39">
        <v>2</v>
      </c>
      <c r="G171" s="39">
        <v>0</v>
      </c>
      <c r="H171" s="44">
        <f t="shared" si="1"/>
        <v>0</v>
      </c>
      <c r="I171" s="8">
        <f t="shared" si="2"/>
        <v>100</v>
      </c>
      <c r="J171" s="8"/>
      <c r="K171" s="8"/>
      <c r="L171" s="8"/>
    </row>
    <row r="172" spans="1:12" x14ac:dyDescent="0.25">
      <c r="A172" s="44" t="s">
        <v>4261</v>
      </c>
      <c r="B172" s="20">
        <v>37056962980</v>
      </c>
      <c r="C172" s="20">
        <v>35850107834.300003</v>
      </c>
      <c r="D172" s="44">
        <f t="shared" si="0"/>
        <v>-3.2567567567567486</v>
      </c>
      <c r="E172" s="44">
        <v>0</v>
      </c>
      <c r="F172" s="44">
        <v>1</v>
      </c>
      <c r="G172" s="44">
        <v>0</v>
      </c>
      <c r="H172" s="44">
        <f t="shared" si="1"/>
        <v>0</v>
      </c>
      <c r="I172" s="8">
        <f t="shared" si="2"/>
        <v>100</v>
      </c>
      <c r="J172" s="8"/>
      <c r="K172" s="8"/>
      <c r="L172" s="8"/>
    </row>
    <row r="173" spans="1:12" x14ac:dyDescent="0.25">
      <c r="A173" s="44" t="s">
        <v>96</v>
      </c>
      <c r="B173" s="20">
        <v>29020009631.799999</v>
      </c>
      <c r="C173" s="20">
        <v>27760773819.779999</v>
      </c>
      <c r="D173" s="44">
        <f t="shared" si="0"/>
        <v>-4.3391984633944967</v>
      </c>
      <c r="E173" s="39">
        <v>0</v>
      </c>
      <c r="F173" s="39">
        <v>3</v>
      </c>
      <c r="G173" s="39">
        <v>0</v>
      </c>
      <c r="H173" s="44">
        <f t="shared" si="1"/>
        <v>0</v>
      </c>
      <c r="I173" s="8">
        <f t="shared" si="2"/>
        <v>100</v>
      </c>
      <c r="J173" s="8"/>
      <c r="K173" s="8"/>
      <c r="L173" s="8"/>
    </row>
    <row r="174" spans="1:12" x14ac:dyDescent="0.25">
      <c r="A174" s="44" t="s">
        <v>833</v>
      </c>
      <c r="B174" s="20">
        <v>430893929985.94</v>
      </c>
      <c r="C174" s="20">
        <v>412014824954.27997</v>
      </c>
      <c r="D174" s="44">
        <f t="shared" si="0"/>
        <v>-4.3813810587389934</v>
      </c>
      <c r="E174" s="39">
        <v>0</v>
      </c>
      <c r="F174" s="39">
        <v>4</v>
      </c>
      <c r="G174" s="39">
        <v>0</v>
      </c>
      <c r="H174" s="44">
        <f t="shared" si="1"/>
        <v>0</v>
      </c>
      <c r="I174" s="8">
        <f t="shared" si="2"/>
        <v>100</v>
      </c>
      <c r="J174" s="8"/>
      <c r="K174" s="8"/>
      <c r="L174" s="8"/>
    </row>
    <row r="175" spans="1:12" x14ac:dyDescent="0.25">
      <c r="A175" s="44" t="s">
        <v>3118</v>
      </c>
      <c r="B175" s="20">
        <v>10497196649893.551</v>
      </c>
      <c r="C175" s="20">
        <v>9971263213957.8516</v>
      </c>
      <c r="D175" s="44">
        <f t="shared" si="0"/>
        <v>-5.0102275252796433</v>
      </c>
      <c r="E175" s="39">
        <v>0</v>
      </c>
      <c r="F175" s="39">
        <v>3</v>
      </c>
      <c r="G175" s="39">
        <v>0</v>
      </c>
      <c r="H175" s="44">
        <f t="shared" si="1"/>
        <v>0</v>
      </c>
      <c r="I175" s="8">
        <f t="shared" si="2"/>
        <v>100</v>
      </c>
      <c r="J175" s="8"/>
      <c r="K175" s="8"/>
      <c r="L175" s="8"/>
    </row>
    <row r="176" spans="1:12" x14ac:dyDescent="0.25">
      <c r="A176" s="44" t="s">
        <v>1584</v>
      </c>
      <c r="B176" s="20">
        <v>691414998828.80005</v>
      </c>
      <c r="C176" s="20">
        <v>653129094021.5</v>
      </c>
      <c r="D176" s="44">
        <f t="shared" si="0"/>
        <v>-5.5373263339894585</v>
      </c>
      <c r="E176" s="39">
        <v>0</v>
      </c>
      <c r="F176" s="39">
        <v>3</v>
      </c>
      <c r="G176" s="39">
        <v>1</v>
      </c>
      <c r="H176" s="44">
        <f t="shared" si="1"/>
        <v>0</v>
      </c>
      <c r="I176" s="8">
        <f t="shared" si="2"/>
        <v>75</v>
      </c>
      <c r="J176" s="8"/>
      <c r="K176" s="8"/>
      <c r="L176" s="8"/>
    </row>
    <row r="177" spans="1:12" x14ac:dyDescent="0.25">
      <c r="A177" s="44" t="s">
        <v>3918</v>
      </c>
      <c r="B177" s="20">
        <v>82417535014.810013</v>
      </c>
      <c r="C177" s="20">
        <v>77464292779.279999</v>
      </c>
      <c r="D177" s="44">
        <f t="shared" si="0"/>
        <v>-6.0099373690804283</v>
      </c>
      <c r="E177" s="39">
        <v>0</v>
      </c>
      <c r="F177" s="39">
        <v>8</v>
      </c>
      <c r="G177" s="39">
        <v>0</v>
      </c>
      <c r="H177" s="44">
        <f t="shared" si="1"/>
        <v>0</v>
      </c>
      <c r="I177" s="8">
        <f t="shared" si="2"/>
        <v>100</v>
      </c>
      <c r="J177" s="8"/>
      <c r="K177" s="8"/>
      <c r="L177" s="8"/>
    </row>
    <row r="178" spans="1:12" x14ac:dyDescent="0.25">
      <c r="A178" s="44" t="s">
        <v>41</v>
      </c>
      <c r="B178" s="20">
        <v>490903969420.40002</v>
      </c>
      <c r="C178" s="20">
        <v>458585215074.30005</v>
      </c>
      <c r="D178" s="44">
        <f t="shared" si="0"/>
        <v>-6.5835186430164843</v>
      </c>
      <c r="E178" s="39">
        <v>0</v>
      </c>
      <c r="F178" s="39">
        <v>3</v>
      </c>
      <c r="G178" s="39">
        <v>0</v>
      </c>
      <c r="H178" s="44">
        <f t="shared" si="1"/>
        <v>0</v>
      </c>
      <c r="I178" s="8">
        <f t="shared" si="2"/>
        <v>100</v>
      </c>
      <c r="J178" s="8"/>
      <c r="K178" s="8"/>
      <c r="L178" s="8"/>
    </row>
    <row r="179" spans="1:12" x14ac:dyDescent="0.25">
      <c r="A179" s="44" t="s">
        <v>2778</v>
      </c>
      <c r="B179" s="20">
        <v>5071593221.9899998</v>
      </c>
      <c r="C179" s="20">
        <v>4709395206.0299997</v>
      </c>
      <c r="D179" s="44">
        <f t="shared" si="0"/>
        <v>-7.1417008444119707</v>
      </c>
      <c r="E179" s="39">
        <v>0</v>
      </c>
      <c r="F179" s="39">
        <v>2</v>
      </c>
      <c r="G179" s="39">
        <v>0</v>
      </c>
      <c r="H179" s="44">
        <f t="shared" si="1"/>
        <v>0</v>
      </c>
      <c r="I179" s="8">
        <f t="shared" si="2"/>
        <v>100</v>
      </c>
      <c r="J179" s="8"/>
      <c r="K179" s="8"/>
      <c r="L179" s="8"/>
    </row>
    <row r="180" spans="1:12" x14ac:dyDescent="0.25">
      <c r="A180" s="44" t="s">
        <v>3639</v>
      </c>
      <c r="B180" s="20">
        <v>3625627470.5700002</v>
      </c>
      <c r="C180" s="20">
        <v>3354988027.0600004</v>
      </c>
      <c r="D180" s="44">
        <f t="shared" si="0"/>
        <v>-7.4646235915531438</v>
      </c>
      <c r="E180" s="39">
        <v>0</v>
      </c>
      <c r="F180" s="39">
        <v>3</v>
      </c>
      <c r="G180" s="39">
        <v>0</v>
      </c>
      <c r="H180" s="44">
        <f t="shared" si="1"/>
        <v>0</v>
      </c>
      <c r="I180" s="8">
        <f t="shared" si="2"/>
        <v>100</v>
      </c>
      <c r="J180" s="8"/>
      <c r="K180" s="8"/>
      <c r="L180" s="8"/>
    </row>
    <row r="181" spans="1:12" x14ac:dyDescent="0.25">
      <c r="A181" s="44" t="s">
        <v>4077</v>
      </c>
      <c r="B181" s="20">
        <v>4794835207.5</v>
      </c>
      <c r="C181" s="20">
        <v>4420177515</v>
      </c>
      <c r="D181" s="44">
        <f t="shared" si="0"/>
        <v>-7.8137762047372714</v>
      </c>
      <c r="E181" s="39">
        <v>0</v>
      </c>
      <c r="F181" s="39">
        <v>1</v>
      </c>
      <c r="G181" s="39">
        <v>0</v>
      </c>
      <c r="H181" s="44">
        <f t="shared" si="1"/>
        <v>0</v>
      </c>
      <c r="I181" s="8">
        <f t="shared" si="2"/>
        <v>100</v>
      </c>
      <c r="J181" s="8"/>
      <c r="K181" s="8"/>
      <c r="L181" s="8"/>
    </row>
    <row r="182" spans="1:12" x14ac:dyDescent="0.25">
      <c r="A182" s="44" t="s">
        <v>4128</v>
      </c>
      <c r="B182" s="20">
        <v>28633000000</v>
      </c>
      <c r="C182" s="20">
        <v>26268687500</v>
      </c>
      <c r="D182" s="44">
        <f t="shared" si="0"/>
        <v>-8.257299270072993</v>
      </c>
      <c r="E182" s="39">
        <v>0</v>
      </c>
      <c r="F182" s="39">
        <v>1</v>
      </c>
      <c r="G182" s="39">
        <v>0</v>
      </c>
      <c r="H182" s="44">
        <f t="shared" si="1"/>
        <v>0</v>
      </c>
      <c r="I182" s="8">
        <f t="shared" si="2"/>
        <v>100</v>
      </c>
      <c r="J182" s="8"/>
      <c r="K182" s="8"/>
      <c r="L182" s="8"/>
    </row>
    <row r="183" spans="1:12" x14ac:dyDescent="0.25">
      <c r="A183" s="44" t="s">
        <v>324</v>
      </c>
      <c r="B183" s="20">
        <v>481809715038.95001</v>
      </c>
      <c r="C183" s="20">
        <v>438115643763.15002</v>
      </c>
      <c r="D183" s="44">
        <f t="shared" si="0"/>
        <v>-9.0687401918136317</v>
      </c>
      <c r="E183" s="39">
        <v>0</v>
      </c>
      <c r="F183" s="39">
        <v>6</v>
      </c>
      <c r="G183" s="39">
        <v>0</v>
      </c>
      <c r="H183" s="44">
        <f t="shared" si="1"/>
        <v>0</v>
      </c>
      <c r="I183" s="8">
        <f t="shared" si="2"/>
        <v>100</v>
      </c>
      <c r="J183" s="8"/>
      <c r="K183" s="8"/>
      <c r="L183" s="8"/>
    </row>
    <row r="184" spans="1:12" x14ac:dyDescent="0.25">
      <c r="A184" s="44" t="s">
        <v>4245</v>
      </c>
      <c r="B184" s="20">
        <v>1520234540</v>
      </c>
      <c r="C184" s="20">
        <v>1366613000</v>
      </c>
      <c r="D184" s="44">
        <f t="shared" si="0"/>
        <v>-10.105121016392642</v>
      </c>
      <c r="E184" s="44">
        <v>0</v>
      </c>
      <c r="F184" s="44">
        <v>2</v>
      </c>
      <c r="G184" s="44">
        <v>0</v>
      </c>
      <c r="H184" s="44">
        <f t="shared" si="1"/>
        <v>0</v>
      </c>
      <c r="I184" s="8">
        <f t="shared" si="2"/>
        <v>100</v>
      </c>
      <c r="J184" s="8"/>
      <c r="K184" s="8"/>
      <c r="L184" s="8"/>
    </row>
    <row r="185" spans="1:12" x14ac:dyDescent="0.25">
      <c r="A185" s="44" t="s">
        <v>3454</v>
      </c>
      <c r="B185" s="20">
        <v>42940616877.239998</v>
      </c>
      <c r="C185" s="20">
        <v>38448572026.770004</v>
      </c>
      <c r="D185" s="44">
        <f t="shared" si="0"/>
        <v>-10.461062688763867</v>
      </c>
      <c r="E185" s="39">
        <v>0</v>
      </c>
      <c r="F185" s="39">
        <v>5</v>
      </c>
      <c r="G185" s="39">
        <v>0</v>
      </c>
      <c r="H185" s="44">
        <f t="shared" si="1"/>
        <v>0</v>
      </c>
      <c r="I185" s="8">
        <f t="shared" si="2"/>
        <v>100</v>
      </c>
      <c r="J185" s="8"/>
      <c r="K185" s="8"/>
      <c r="L185" s="8"/>
    </row>
    <row r="186" spans="1:12" x14ac:dyDescent="0.25">
      <c r="A186" s="44" t="s">
        <v>4133</v>
      </c>
      <c r="B186" s="20">
        <v>5396991339.6000004</v>
      </c>
      <c r="C186" s="20">
        <v>4775964921</v>
      </c>
      <c r="D186" s="44">
        <f t="shared" si="0"/>
        <v>-11.506900410294673</v>
      </c>
      <c r="E186" s="39">
        <v>0</v>
      </c>
      <c r="F186" s="39">
        <v>1</v>
      </c>
      <c r="G186" s="39">
        <v>0</v>
      </c>
      <c r="H186" s="44">
        <f t="shared" si="1"/>
        <v>0</v>
      </c>
      <c r="I186" s="8">
        <f t="shared" si="2"/>
        <v>100</v>
      </c>
      <c r="J186" s="8"/>
      <c r="K186" s="8"/>
      <c r="L186" s="8"/>
    </row>
    <row r="187" spans="1:12" x14ac:dyDescent="0.25">
      <c r="A187" s="44" t="s">
        <v>4210</v>
      </c>
      <c r="B187" s="20">
        <v>32427924247.899998</v>
      </c>
      <c r="C187" s="20">
        <v>28585509196</v>
      </c>
      <c r="D187" s="44">
        <f t="shared" si="0"/>
        <v>-11.849093461937604</v>
      </c>
      <c r="E187" s="39">
        <v>0</v>
      </c>
      <c r="F187" s="39">
        <v>1</v>
      </c>
      <c r="G187" s="39">
        <v>0</v>
      </c>
      <c r="H187" s="44">
        <f t="shared" si="1"/>
        <v>0</v>
      </c>
      <c r="I187" s="8">
        <f t="shared" si="2"/>
        <v>100</v>
      </c>
      <c r="J187" s="8"/>
      <c r="K187" s="8"/>
      <c r="L187" s="8"/>
    </row>
    <row r="188" spans="1:12" x14ac:dyDescent="0.25">
      <c r="A188" s="44" t="s">
        <v>4057</v>
      </c>
      <c r="B188" s="20">
        <v>11831624692.1</v>
      </c>
      <c r="C188" s="20">
        <v>10420348261.9</v>
      </c>
      <c r="D188" s="44">
        <f t="shared" si="0"/>
        <v>-11.928002002483334</v>
      </c>
      <c r="E188" s="39">
        <v>0</v>
      </c>
      <c r="F188" s="39">
        <v>3</v>
      </c>
      <c r="G188" s="39">
        <v>0</v>
      </c>
      <c r="H188" s="44">
        <f t="shared" si="1"/>
        <v>0</v>
      </c>
      <c r="I188" s="8">
        <f t="shared" si="2"/>
        <v>100</v>
      </c>
      <c r="J188" s="8"/>
      <c r="K188" s="8"/>
      <c r="L188" s="8"/>
    </row>
    <row r="189" spans="1:12" x14ac:dyDescent="0.25">
      <c r="A189" s="44" t="s">
        <v>4051</v>
      </c>
      <c r="B189" s="20">
        <v>68583808598.800003</v>
      </c>
      <c r="C189" s="20">
        <v>57729948981.099998</v>
      </c>
      <c r="D189" s="44">
        <f t="shared" si="0"/>
        <v>-15.825688073394501</v>
      </c>
      <c r="E189" s="39">
        <v>0</v>
      </c>
      <c r="F189" s="39">
        <v>1</v>
      </c>
      <c r="G189" s="39">
        <v>0</v>
      </c>
      <c r="H189" s="44">
        <f t="shared" si="1"/>
        <v>0</v>
      </c>
      <c r="I189" s="8">
        <f t="shared" si="2"/>
        <v>100</v>
      </c>
      <c r="J189" s="8"/>
      <c r="K189" s="8"/>
      <c r="L189" s="8"/>
    </row>
    <row r="190" spans="1:12" x14ac:dyDescent="0.25">
      <c r="A190" s="44"/>
      <c r="B190" s="44"/>
      <c r="C190" s="44"/>
      <c r="D190" s="44"/>
      <c r="E190" s="44"/>
      <c r="F190" s="44"/>
      <c r="G190" s="44"/>
      <c r="H190" s="44"/>
      <c r="I190" s="8"/>
      <c r="J190" s="8"/>
      <c r="K190" s="8"/>
    </row>
    <row r="191" spans="1:12" x14ac:dyDescent="0.25">
      <c r="A191" s="44"/>
      <c r="B191" s="20"/>
      <c r="C191" s="44"/>
      <c r="D191" s="44"/>
      <c r="E191" s="44"/>
      <c r="F191" s="44"/>
      <c r="G191" s="44"/>
      <c r="H191" s="44"/>
      <c r="I191" s="8"/>
      <c r="J191" s="8"/>
      <c r="K191" s="8"/>
    </row>
    <row r="192" spans="1:12" x14ac:dyDescent="0.25">
      <c r="A192" s="44"/>
      <c r="B192" s="44"/>
      <c r="C192" s="44"/>
      <c r="D192" s="44"/>
      <c r="E192" s="44"/>
      <c r="F192" s="44"/>
      <c r="G192" s="44"/>
      <c r="H192" s="44"/>
      <c r="I192" s="8"/>
      <c r="J192" s="8"/>
      <c r="K192" s="8"/>
    </row>
    <row r="193" spans="1:11" x14ac:dyDescent="0.25">
      <c r="A193" s="44"/>
      <c r="B193" s="44"/>
      <c r="C193" s="44"/>
      <c r="D193" s="44"/>
      <c r="E193" s="44"/>
      <c r="F193" s="44"/>
      <c r="G193" s="44"/>
      <c r="H193" s="44"/>
      <c r="I193" s="8"/>
      <c r="J193" s="8"/>
      <c r="K193" s="8"/>
    </row>
    <row r="194" spans="1:11" x14ac:dyDescent="0.25">
      <c r="A194" s="44"/>
      <c r="B194" s="44"/>
      <c r="C194" s="44"/>
      <c r="D194" s="44"/>
      <c r="E194" s="44"/>
      <c r="F194" s="44"/>
      <c r="G194" s="44"/>
      <c r="H194" s="44"/>
      <c r="I194" s="8"/>
      <c r="J194" s="8"/>
      <c r="K194" s="8"/>
    </row>
    <row r="195" spans="1:11" x14ac:dyDescent="0.25">
      <c r="A195" s="44"/>
      <c r="B195" s="44"/>
      <c r="C195" s="44"/>
      <c r="D195" s="44"/>
      <c r="E195" s="44"/>
      <c r="F195" s="44"/>
      <c r="G195" s="44"/>
      <c r="H195" s="44"/>
      <c r="I195" s="8"/>
      <c r="J195" s="8"/>
      <c r="K195" s="8"/>
    </row>
    <row r="196" spans="1:11" x14ac:dyDescent="0.25">
      <c r="A196" s="44"/>
      <c r="B196" s="44"/>
      <c r="C196" s="44"/>
      <c r="D196" s="44"/>
      <c r="E196" s="44"/>
      <c r="F196" s="44"/>
      <c r="G196" s="44"/>
      <c r="H196" s="44"/>
      <c r="I196" s="8"/>
      <c r="J196" s="8"/>
      <c r="K196" s="8"/>
    </row>
    <row r="197" spans="1:11" x14ac:dyDescent="0.25">
      <c r="A197" s="44"/>
      <c r="B197" s="44"/>
      <c r="C197" s="44"/>
      <c r="D197" s="44"/>
      <c r="E197" s="44"/>
      <c r="F197" s="44"/>
      <c r="G197" s="44"/>
      <c r="H197" s="44"/>
      <c r="I197" s="8"/>
      <c r="J197" s="8"/>
      <c r="K197" s="8"/>
    </row>
    <row r="198" spans="1:11" x14ac:dyDescent="0.25">
      <c r="A198" s="44"/>
      <c r="B198" s="44"/>
      <c r="C198" s="44"/>
      <c r="D198" s="44"/>
      <c r="E198" s="44"/>
      <c r="F198" s="44"/>
      <c r="G198" s="44"/>
      <c r="H198" s="44"/>
      <c r="I198" s="8"/>
      <c r="J198" s="8"/>
      <c r="K198" s="8"/>
    </row>
    <row r="199" spans="1:11" x14ac:dyDescent="0.25">
      <c r="A199" s="44"/>
      <c r="B199" s="44"/>
      <c r="C199" s="44"/>
      <c r="D199" s="44"/>
      <c r="E199" s="44"/>
      <c r="F199" s="44"/>
      <c r="G199" s="44"/>
      <c r="H199" s="44"/>
      <c r="I199" s="8"/>
      <c r="J199" s="8"/>
      <c r="K199" s="8"/>
    </row>
    <row r="200" spans="1:11" x14ac:dyDescent="0.25">
      <c r="A200" s="44"/>
      <c r="B200" s="44"/>
      <c r="C200" s="44"/>
      <c r="D200" s="44"/>
      <c r="E200" s="44"/>
      <c r="F200" s="44"/>
      <c r="G200" s="44"/>
      <c r="H200" s="44"/>
      <c r="I200" s="8"/>
      <c r="J200" s="8"/>
      <c r="K200" s="8"/>
    </row>
    <row r="201" spans="1:11" x14ac:dyDescent="0.25">
      <c r="A201" s="44"/>
      <c r="B201" s="44"/>
      <c r="C201" s="44"/>
      <c r="D201" s="44"/>
      <c r="E201" s="44"/>
      <c r="F201" s="44"/>
      <c r="G201" s="44"/>
      <c r="H201" s="44"/>
      <c r="I201" s="8"/>
      <c r="J201" s="8"/>
      <c r="K201" s="8"/>
    </row>
    <row r="202" spans="1:11" x14ac:dyDescent="0.25">
      <c r="A202" s="44"/>
      <c r="B202" s="44"/>
      <c r="C202" s="44"/>
      <c r="D202" s="44"/>
      <c r="E202" s="44"/>
      <c r="F202" s="44"/>
      <c r="G202" s="44"/>
      <c r="H202" s="44"/>
      <c r="I202" s="8"/>
      <c r="J202" s="8"/>
      <c r="K202" s="8"/>
    </row>
    <row r="203" spans="1:11" x14ac:dyDescent="0.25">
      <c r="A203" s="44"/>
      <c r="B203" s="44"/>
      <c r="C203" s="44"/>
      <c r="D203" s="44"/>
      <c r="E203" s="44"/>
      <c r="F203" s="44"/>
      <c r="G203" s="44"/>
      <c r="H203" s="44"/>
      <c r="I203" s="8"/>
      <c r="J203" s="8"/>
      <c r="K203" s="8"/>
    </row>
    <row r="204" spans="1:11" x14ac:dyDescent="0.25">
      <c r="A204" s="44"/>
      <c r="B204" s="44"/>
      <c r="C204" s="44"/>
      <c r="D204" s="44"/>
      <c r="E204" s="44"/>
      <c r="F204" s="44"/>
      <c r="G204" s="44"/>
      <c r="H204" s="44"/>
      <c r="I204" s="8"/>
      <c r="J204" s="8"/>
      <c r="K204" s="8"/>
    </row>
    <row r="205" spans="1:11" x14ac:dyDescent="0.25">
      <c r="A205" s="44"/>
      <c r="B205" s="44"/>
      <c r="C205" s="44"/>
      <c r="D205" s="44"/>
      <c r="E205" s="44"/>
      <c r="F205" s="44"/>
      <c r="G205" s="44"/>
      <c r="H205" s="44"/>
      <c r="I205" s="8"/>
      <c r="J205" s="8"/>
      <c r="K205" s="8"/>
    </row>
    <row r="206" spans="1:11" x14ac:dyDescent="0.25">
      <c r="A206" s="44"/>
      <c r="B206" s="44"/>
      <c r="C206" s="44"/>
      <c r="D206" s="44"/>
      <c r="E206" s="44"/>
      <c r="F206" s="44"/>
      <c r="G206" s="44"/>
      <c r="H206" s="44"/>
      <c r="I206" s="8"/>
      <c r="J206" s="8"/>
      <c r="K206" s="8"/>
    </row>
    <row r="207" spans="1:11" x14ac:dyDescent="0.25">
      <c r="A207" s="44"/>
      <c r="B207" s="44"/>
      <c r="C207" s="44"/>
      <c r="D207" s="44"/>
      <c r="E207" s="44"/>
      <c r="F207" s="44"/>
      <c r="G207" s="44"/>
      <c r="H207" s="44"/>
      <c r="I207" s="8"/>
      <c r="J207" s="8"/>
      <c r="K207" s="8"/>
    </row>
    <row r="208" spans="1:11" x14ac:dyDescent="0.25">
      <c r="A208" s="44"/>
      <c r="B208" s="44"/>
      <c r="C208" s="44"/>
      <c r="D208" s="44"/>
      <c r="E208" s="44"/>
      <c r="F208" s="44"/>
      <c r="G208" s="44"/>
      <c r="H208" s="44"/>
      <c r="I208" s="8"/>
      <c r="J208" s="8"/>
      <c r="K208" s="8"/>
    </row>
    <row r="209" spans="1:11" x14ac:dyDescent="0.25">
      <c r="A209" s="44"/>
      <c r="B209" s="44"/>
      <c r="C209" s="44"/>
      <c r="D209" s="44"/>
      <c r="E209" s="44"/>
      <c r="F209" s="44"/>
      <c r="G209" s="44"/>
      <c r="H209" s="44"/>
      <c r="I209" s="8"/>
      <c r="J209" s="8"/>
      <c r="K209" s="8"/>
    </row>
    <row r="210" spans="1:11" x14ac:dyDescent="0.25">
      <c r="A210" s="44"/>
      <c r="B210" s="44"/>
      <c r="C210" s="44"/>
      <c r="D210" s="44"/>
      <c r="E210" s="44"/>
      <c r="F210" s="44"/>
      <c r="G210" s="44"/>
      <c r="H210" s="44"/>
      <c r="I210" s="8"/>
      <c r="J210" s="8"/>
      <c r="K210" s="8"/>
    </row>
    <row r="211" spans="1:11" x14ac:dyDescent="0.25">
      <c r="A211" s="44"/>
      <c r="B211" s="44"/>
      <c r="C211" s="44"/>
      <c r="D211" s="44"/>
      <c r="E211" s="44"/>
      <c r="F211" s="44"/>
      <c r="G211" s="44"/>
      <c r="H211" s="44"/>
      <c r="I211" s="8"/>
      <c r="J211" s="8"/>
      <c r="K211" s="8"/>
    </row>
    <row r="212" spans="1:11" x14ac:dyDescent="0.25">
      <c r="A212" s="44"/>
      <c r="B212" s="44"/>
      <c r="C212" s="44"/>
      <c r="D212" s="44"/>
      <c r="E212" s="44"/>
      <c r="F212" s="44"/>
      <c r="G212" s="44"/>
      <c r="H212" s="44"/>
      <c r="I212" s="8"/>
      <c r="J212" s="8"/>
      <c r="K212" s="8"/>
    </row>
    <row r="213" spans="1:11" x14ac:dyDescent="0.25">
      <c r="A213" s="44"/>
      <c r="B213" s="44"/>
      <c r="C213" s="44"/>
      <c r="D213" s="44"/>
      <c r="E213" s="44"/>
      <c r="F213" s="44"/>
      <c r="G213" s="44"/>
      <c r="H213" s="44"/>
      <c r="I213" s="8"/>
      <c r="J213" s="8"/>
      <c r="K213" s="8"/>
    </row>
    <row r="214" spans="1:11" x14ac:dyDescent="0.25">
      <c r="A214" s="44"/>
      <c r="B214" s="44"/>
      <c r="C214" s="44"/>
      <c r="D214" s="44"/>
      <c r="E214" s="44"/>
      <c r="F214" s="44"/>
      <c r="G214" s="44"/>
      <c r="H214" s="44"/>
      <c r="I214" s="8"/>
      <c r="J214" s="8"/>
      <c r="K214" s="8"/>
    </row>
    <row r="215" spans="1:11" x14ac:dyDescent="0.25">
      <c r="A215" s="44"/>
      <c r="B215" s="44"/>
      <c r="C215" s="44"/>
      <c r="D215" s="44"/>
      <c r="E215" s="44"/>
      <c r="F215" s="44"/>
      <c r="G215" s="44"/>
      <c r="H215" s="44"/>
      <c r="I215" s="8"/>
      <c r="J215" s="8"/>
      <c r="K215" s="8"/>
    </row>
    <row r="216" spans="1:11" x14ac:dyDescent="0.25">
      <c r="A216" s="44"/>
      <c r="B216" s="44"/>
      <c r="C216" s="44"/>
      <c r="D216" s="44"/>
      <c r="E216" s="44"/>
      <c r="F216" s="44"/>
      <c r="G216" s="44"/>
      <c r="H216" s="44"/>
      <c r="I216" s="8"/>
      <c r="J216" s="8"/>
      <c r="K216" s="8"/>
    </row>
    <row r="217" spans="1:11" x14ac:dyDescent="0.25">
      <c r="A217" s="44"/>
      <c r="B217" s="44"/>
      <c r="C217" s="44"/>
      <c r="D217" s="44"/>
      <c r="E217" s="44"/>
      <c r="F217" s="44"/>
      <c r="G217" s="44"/>
      <c r="H217" s="44"/>
      <c r="I217" s="8"/>
      <c r="J217" s="8"/>
      <c r="K217" s="8"/>
    </row>
    <row r="218" spans="1:11" x14ac:dyDescent="0.25">
      <c r="A218" s="44"/>
      <c r="B218" s="44"/>
      <c r="C218" s="44"/>
      <c r="D218" s="44"/>
      <c r="E218" s="44"/>
      <c r="F218" s="44"/>
      <c r="G218" s="44"/>
      <c r="H218" s="44"/>
      <c r="I218" s="8"/>
      <c r="J218" s="8"/>
      <c r="K218" s="8"/>
    </row>
    <row r="219" spans="1:11" x14ac:dyDescent="0.25">
      <c r="A219" s="44"/>
      <c r="B219" s="44"/>
      <c r="C219" s="44"/>
      <c r="D219" s="44"/>
      <c r="E219" s="44"/>
      <c r="F219" s="44"/>
      <c r="G219" s="44"/>
      <c r="H219" s="44"/>
      <c r="I219" s="8"/>
      <c r="J219" s="8"/>
      <c r="K219" s="8"/>
    </row>
    <row r="220" spans="1:11" x14ac:dyDescent="0.25">
      <c r="A220" s="44"/>
      <c r="B220" s="44"/>
      <c r="C220" s="44"/>
      <c r="D220" s="44"/>
      <c r="E220" s="44"/>
      <c r="F220" s="44"/>
      <c r="G220" s="44"/>
      <c r="H220" s="44"/>
      <c r="I220" s="8"/>
      <c r="J220" s="8"/>
      <c r="K220" s="8"/>
    </row>
    <row r="221" spans="1:11" x14ac:dyDescent="0.25">
      <c r="A221" s="44"/>
      <c r="B221" s="44"/>
      <c r="C221" s="44"/>
      <c r="D221" s="44"/>
      <c r="E221" s="44"/>
      <c r="F221" s="44"/>
      <c r="G221" s="44"/>
      <c r="H221" s="44"/>
      <c r="I221" s="8"/>
      <c r="J221" s="8"/>
      <c r="K221" s="8"/>
    </row>
    <row r="222" spans="1:11" x14ac:dyDescent="0.25">
      <c r="A222" s="44"/>
      <c r="B222" s="44"/>
      <c r="C222" s="44"/>
      <c r="D222" s="44"/>
      <c r="E222" s="44"/>
      <c r="F222" s="44"/>
      <c r="G222" s="44"/>
      <c r="H222" s="44"/>
      <c r="I222" s="8"/>
      <c r="J222" s="8"/>
      <c r="K222" s="8"/>
    </row>
    <row r="223" spans="1:11" x14ac:dyDescent="0.25">
      <c r="A223" s="44"/>
      <c r="B223" s="44"/>
      <c r="C223" s="44"/>
      <c r="D223" s="44"/>
      <c r="E223" s="44"/>
      <c r="F223" s="44"/>
      <c r="G223" s="44"/>
      <c r="H223" s="44"/>
      <c r="I223" s="8"/>
      <c r="J223" s="8"/>
      <c r="K223" s="8"/>
    </row>
    <row r="224" spans="1:11" x14ac:dyDescent="0.25">
      <c r="A224" s="44"/>
      <c r="B224" s="44"/>
      <c r="C224" s="44"/>
      <c r="D224" s="44"/>
      <c r="E224" s="44"/>
      <c r="F224" s="44"/>
      <c r="G224" s="44"/>
      <c r="H224" s="44"/>
      <c r="I224" s="8"/>
      <c r="J224" s="8"/>
      <c r="K224" s="8"/>
    </row>
    <row r="225" spans="1:11" x14ac:dyDescent="0.25">
      <c r="A225" s="44"/>
      <c r="B225" s="44"/>
      <c r="C225" s="44"/>
      <c r="D225" s="44"/>
      <c r="E225" s="44"/>
      <c r="F225" s="44"/>
      <c r="G225" s="44"/>
      <c r="H225" s="44"/>
      <c r="I225" s="8"/>
      <c r="J225" s="8"/>
      <c r="K225" s="8"/>
    </row>
    <row r="226" spans="1:11" x14ac:dyDescent="0.25">
      <c r="A226" s="44"/>
      <c r="B226" s="44"/>
      <c r="C226" s="44"/>
      <c r="D226" s="44"/>
      <c r="E226" s="44"/>
      <c r="F226" s="44"/>
      <c r="G226" s="44"/>
      <c r="H226" s="44"/>
      <c r="I226" s="8"/>
      <c r="J226" s="8"/>
      <c r="K226" s="8"/>
    </row>
    <row r="227" spans="1:11" x14ac:dyDescent="0.25">
      <c r="A227" s="44"/>
      <c r="B227" s="44"/>
      <c r="C227" s="44"/>
      <c r="D227" s="44"/>
      <c r="E227" s="44"/>
      <c r="F227" s="44"/>
      <c r="G227" s="44"/>
      <c r="H227" s="44"/>
      <c r="I227" s="8"/>
      <c r="J227" s="8"/>
      <c r="K227" s="8"/>
    </row>
    <row r="228" spans="1:11" x14ac:dyDescent="0.25">
      <c r="A228" s="44"/>
      <c r="B228" s="44"/>
      <c r="C228" s="44"/>
      <c r="D228" s="44"/>
      <c r="E228" s="44"/>
      <c r="F228" s="44"/>
      <c r="G228" s="44"/>
      <c r="H228" s="44"/>
      <c r="I228" s="8"/>
      <c r="J228" s="8"/>
      <c r="K228" s="8"/>
    </row>
    <row r="229" spans="1:11" x14ac:dyDescent="0.25">
      <c r="A229" s="44"/>
      <c r="B229" s="44"/>
      <c r="C229" s="44"/>
      <c r="D229" s="44"/>
      <c r="E229" s="44"/>
      <c r="F229" s="44"/>
      <c r="G229" s="44"/>
      <c r="H229" s="44"/>
      <c r="I229" s="8"/>
      <c r="J229" s="8"/>
      <c r="K229" s="8"/>
    </row>
    <row r="230" spans="1:11" x14ac:dyDescent="0.25">
      <c r="A230" s="44"/>
      <c r="B230" s="44"/>
      <c r="C230" s="44"/>
      <c r="D230" s="44"/>
      <c r="E230" s="44"/>
      <c r="F230" s="44"/>
      <c r="G230" s="44"/>
      <c r="H230" s="44"/>
      <c r="I230" s="8"/>
      <c r="J230" s="8"/>
      <c r="K230" s="8"/>
    </row>
    <row r="231" spans="1:11" x14ac:dyDescent="0.25">
      <c r="A231" s="44"/>
      <c r="B231" s="44"/>
      <c r="C231" s="44"/>
      <c r="D231" s="44"/>
      <c r="E231" s="44"/>
      <c r="F231" s="44"/>
      <c r="G231" s="44"/>
      <c r="H231" s="44"/>
      <c r="I231" s="8"/>
      <c r="J231" s="8"/>
      <c r="K231" s="8"/>
    </row>
    <row r="232" spans="1:11" x14ac:dyDescent="0.25">
      <c r="A232" s="44"/>
      <c r="B232" s="44"/>
      <c r="C232" s="44"/>
      <c r="D232" s="44"/>
      <c r="E232" s="44"/>
      <c r="F232" s="44"/>
      <c r="G232" s="44"/>
      <c r="H232" s="44"/>
      <c r="I232" s="8"/>
      <c r="J232" s="8"/>
      <c r="K232" s="8"/>
    </row>
    <row r="233" spans="1:11" x14ac:dyDescent="0.25">
      <c r="A233" s="44"/>
      <c r="B233" s="44"/>
      <c r="C233" s="44"/>
      <c r="D233" s="44"/>
      <c r="E233" s="44"/>
      <c r="F233" s="44"/>
      <c r="G233" s="44"/>
      <c r="H233" s="44"/>
      <c r="I233" s="8"/>
      <c r="J233" s="8"/>
      <c r="K233" s="8"/>
    </row>
    <row r="234" spans="1:11" x14ac:dyDescent="0.25">
      <c r="A234" s="44"/>
      <c r="B234" s="44"/>
      <c r="C234" s="44"/>
      <c r="D234" s="44"/>
      <c r="E234" s="44"/>
      <c r="F234" s="44"/>
      <c r="G234" s="44"/>
      <c r="H234" s="44"/>
      <c r="I234" s="8"/>
      <c r="J234" s="8"/>
      <c r="K234" s="8"/>
    </row>
    <row r="235" spans="1:11" x14ac:dyDescent="0.25">
      <c r="A235" s="44"/>
      <c r="B235" s="44"/>
      <c r="C235" s="44"/>
      <c r="D235" s="44"/>
      <c r="E235" s="44"/>
      <c r="F235" s="44"/>
      <c r="G235" s="44"/>
      <c r="H235" s="44"/>
      <c r="I235" s="8"/>
      <c r="J235" s="8"/>
      <c r="K235" s="8"/>
    </row>
    <row r="236" spans="1:11" x14ac:dyDescent="0.25">
      <c r="A236" s="44"/>
      <c r="B236" s="44"/>
      <c r="C236" s="44"/>
      <c r="D236" s="44"/>
      <c r="E236" s="44"/>
      <c r="F236" s="44"/>
      <c r="G236" s="44"/>
      <c r="H236" s="44"/>
      <c r="I236" s="8"/>
      <c r="J236" s="8"/>
      <c r="K236" s="8"/>
    </row>
    <row r="237" spans="1:11" x14ac:dyDescent="0.25">
      <c r="A237" s="44"/>
      <c r="B237" s="44"/>
      <c r="C237" s="44"/>
      <c r="D237" s="44"/>
      <c r="E237" s="44"/>
      <c r="F237" s="44"/>
      <c r="G237" s="44"/>
      <c r="H237" s="44"/>
      <c r="I237" s="8"/>
      <c r="J237" s="8"/>
      <c r="K237" s="8"/>
    </row>
    <row r="238" spans="1:11" x14ac:dyDescent="0.25">
      <c r="A238" s="44"/>
      <c r="B238" s="44"/>
      <c r="C238" s="44"/>
      <c r="D238" s="44"/>
      <c r="E238" s="44"/>
      <c r="F238" s="44"/>
      <c r="G238" s="44"/>
      <c r="H238" s="44"/>
      <c r="I238" s="8"/>
      <c r="J238" s="8"/>
      <c r="K238" s="8"/>
    </row>
    <row r="239" spans="1:11" x14ac:dyDescent="0.25">
      <c r="A239" s="44"/>
      <c r="B239" s="44"/>
      <c r="C239" s="44"/>
      <c r="D239" s="44"/>
      <c r="E239" s="44"/>
      <c r="F239" s="44"/>
      <c r="G239" s="44"/>
      <c r="H239" s="44"/>
      <c r="I239" s="8"/>
      <c r="J239" s="8"/>
      <c r="K239" s="8"/>
    </row>
    <row r="240" spans="1:11" x14ac:dyDescent="0.25">
      <c r="A240" s="44"/>
      <c r="B240" s="44"/>
      <c r="C240" s="44"/>
      <c r="D240" s="44"/>
      <c r="E240" s="44"/>
      <c r="F240" s="44"/>
      <c r="G240" s="44"/>
      <c r="H240" s="44"/>
      <c r="I240" s="8"/>
      <c r="J240" s="8"/>
      <c r="K240" s="8"/>
    </row>
    <row r="241" spans="1:11" x14ac:dyDescent="0.25">
      <c r="A241" s="44"/>
      <c r="B241" s="44"/>
      <c r="C241" s="44"/>
      <c r="D241" s="44"/>
      <c r="E241" s="44"/>
      <c r="F241" s="44"/>
      <c r="G241" s="44"/>
      <c r="H241" s="44"/>
      <c r="I241" s="8"/>
      <c r="J241" s="8"/>
      <c r="K241" s="8"/>
    </row>
    <row r="242" spans="1:11" x14ac:dyDescent="0.25">
      <c r="A242" s="44"/>
      <c r="B242" s="44"/>
      <c r="C242" s="44"/>
      <c r="D242" s="44"/>
      <c r="E242" s="44"/>
      <c r="F242" s="44"/>
      <c r="G242" s="44"/>
      <c r="H242" s="44"/>
      <c r="I242" s="8"/>
      <c r="J242" s="8"/>
      <c r="K242" s="8"/>
    </row>
    <row r="243" spans="1:11" x14ac:dyDescent="0.25">
      <c r="A243" s="44"/>
      <c r="B243" s="44"/>
      <c r="C243" s="44"/>
      <c r="D243" s="44"/>
      <c r="E243" s="44"/>
      <c r="F243" s="44"/>
      <c r="G243" s="44"/>
      <c r="H243" s="44"/>
      <c r="I243" s="8"/>
      <c r="J243" s="8"/>
      <c r="K243" s="8"/>
    </row>
    <row r="244" spans="1:11" x14ac:dyDescent="0.25">
      <c r="A244" s="44"/>
      <c r="B244" s="44"/>
      <c r="C244" s="44"/>
      <c r="D244" s="44"/>
      <c r="E244" s="44"/>
      <c r="F244" s="44"/>
      <c r="G244" s="44"/>
      <c r="H244" s="44"/>
      <c r="I244" s="8"/>
      <c r="J244" s="8"/>
      <c r="K244" s="8"/>
    </row>
    <row r="245" spans="1:11" x14ac:dyDescent="0.25">
      <c r="A245" s="44"/>
      <c r="B245" s="44"/>
      <c r="C245" s="44"/>
      <c r="D245" s="44"/>
      <c r="E245" s="44"/>
      <c r="F245" s="44"/>
      <c r="G245" s="44"/>
      <c r="H245" s="44"/>
      <c r="I245" s="8"/>
      <c r="J245" s="8"/>
      <c r="K245" s="8"/>
    </row>
    <row r="246" spans="1:11" x14ac:dyDescent="0.25">
      <c r="A246" s="44"/>
      <c r="B246" s="44"/>
      <c r="C246" s="44"/>
      <c r="D246" s="44"/>
      <c r="E246" s="44"/>
      <c r="F246" s="44"/>
      <c r="G246" s="44"/>
      <c r="H246" s="44"/>
      <c r="I246" s="8"/>
      <c r="J246" s="8"/>
      <c r="K246" s="8"/>
    </row>
    <row r="247" spans="1:11" x14ac:dyDescent="0.25">
      <c r="A247" s="44"/>
      <c r="B247" s="44"/>
      <c r="C247" s="44"/>
      <c r="D247" s="44"/>
      <c r="E247" s="44"/>
      <c r="F247" s="44"/>
      <c r="G247" s="44"/>
      <c r="H247" s="44"/>
      <c r="I247" s="8"/>
      <c r="J247" s="8"/>
      <c r="K247" s="8"/>
    </row>
    <row r="248" spans="1:11" x14ac:dyDescent="0.25">
      <c r="A248" s="44"/>
      <c r="B248" s="44"/>
      <c r="C248" s="44"/>
      <c r="D248" s="44"/>
      <c r="E248" s="44"/>
      <c r="F248" s="44"/>
      <c r="G248" s="44"/>
      <c r="H248" s="44"/>
      <c r="I248" s="8"/>
      <c r="J248" s="8"/>
      <c r="K248" s="8"/>
    </row>
    <row r="249" spans="1:11" x14ac:dyDescent="0.25">
      <c r="A249" s="44"/>
      <c r="B249" s="44"/>
      <c r="C249" s="44"/>
      <c r="D249" s="44"/>
      <c r="E249" s="44"/>
      <c r="F249" s="44"/>
      <c r="G249" s="44"/>
      <c r="H249" s="44"/>
      <c r="I249" s="8"/>
      <c r="J249" s="8"/>
      <c r="K249" s="8"/>
    </row>
    <row r="250" spans="1:11" x14ac:dyDescent="0.25">
      <c r="A250" s="44"/>
      <c r="B250" s="44"/>
      <c r="C250" s="44"/>
      <c r="D250" s="44"/>
      <c r="E250" s="44"/>
      <c r="F250" s="44"/>
      <c r="G250" s="44"/>
      <c r="H250" s="44"/>
      <c r="I250" s="8"/>
      <c r="J250" s="8"/>
      <c r="K250" s="8"/>
    </row>
    <row r="251" spans="1:11" x14ac:dyDescent="0.25">
      <c r="A251" s="44"/>
      <c r="B251" s="44"/>
      <c r="C251" s="44"/>
      <c r="D251" s="44"/>
      <c r="E251" s="44"/>
      <c r="F251" s="44"/>
      <c r="G251" s="44"/>
      <c r="H251" s="44"/>
      <c r="I251" s="8"/>
      <c r="J251" s="8"/>
      <c r="K251" s="8"/>
    </row>
    <row r="252" spans="1:11" x14ac:dyDescent="0.25">
      <c r="A252" s="44"/>
      <c r="B252" s="44"/>
      <c r="C252" s="44"/>
      <c r="D252" s="44"/>
      <c r="E252" s="44"/>
      <c r="F252" s="44"/>
      <c r="G252" s="44"/>
      <c r="H252" s="44"/>
      <c r="I252" s="8"/>
      <c r="J252" s="8"/>
      <c r="K252" s="8"/>
    </row>
    <row r="253" spans="1:11" x14ac:dyDescent="0.25">
      <c r="A253" s="44"/>
      <c r="B253" s="44"/>
      <c r="C253" s="44"/>
      <c r="D253" s="44"/>
      <c r="E253" s="44"/>
      <c r="F253" s="44"/>
      <c r="G253" s="44"/>
      <c r="H253" s="44"/>
      <c r="I253" s="8"/>
      <c r="J253" s="8"/>
      <c r="K253" s="8"/>
    </row>
    <row r="254" spans="1:11" x14ac:dyDescent="0.25">
      <c r="A254" s="44"/>
      <c r="B254" s="44"/>
      <c r="C254" s="44"/>
      <c r="D254" s="44"/>
      <c r="E254" s="44"/>
      <c r="F254" s="44"/>
      <c r="G254" s="44"/>
      <c r="H254" s="44"/>
      <c r="I254" s="8"/>
      <c r="J254" s="8"/>
      <c r="K254" s="8"/>
    </row>
    <row r="255" spans="1:11" x14ac:dyDescent="0.25">
      <c r="A255" s="44"/>
      <c r="B255" s="44"/>
      <c r="C255" s="44"/>
      <c r="D255" s="44"/>
      <c r="E255" s="44"/>
      <c r="F255" s="44"/>
      <c r="G255" s="44"/>
      <c r="H255" s="44"/>
      <c r="I255" s="8"/>
      <c r="J255" s="8"/>
      <c r="K255" s="8"/>
    </row>
    <row r="256" spans="1:11" x14ac:dyDescent="0.25">
      <c r="A256" s="44"/>
      <c r="B256" s="44"/>
      <c r="C256" s="44"/>
      <c r="D256" s="44"/>
      <c r="E256" s="44"/>
      <c r="F256" s="44"/>
      <c r="G256" s="44"/>
      <c r="H256" s="44"/>
      <c r="I256" s="8"/>
      <c r="J256" s="8"/>
      <c r="K256" s="8"/>
    </row>
    <row r="257" spans="1:11" x14ac:dyDescent="0.25">
      <c r="A257" s="44"/>
      <c r="B257" s="44"/>
      <c r="C257" s="44"/>
      <c r="D257" s="44"/>
      <c r="E257" s="44"/>
      <c r="F257" s="44"/>
      <c r="G257" s="44"/>
      <c r="H257" s="44"/>
      <c r="I257" s="8"/>
      <c r="J257" s="8"/>
      <c r="K257" s="8"/>
    </row>
    <row r="258" spans="1:11" x14ac:dyDescent="0.25">
      <c r="A258" s="44"/>
      <c r="B258" s="44"/>
      <c r="C258" s="44"/>
      <c r="D258" s="44"/>
      <c r="E258" s="44"/>
      <c r="F258" s="44"/>
      <c r="G258" s="44"/>
      <c r="H258" s="44"/>
      <c r="I258" s="8"/>
      <c r="J258" s="8"/>
      <c r="K258" s="8"/>
    </row>
    <row r="259" spans="1:11" x14ac:dyDescent="0.25">
      <c r="A259" s="44"/>
      <c r="B259" s="44"/>
      <c r="C259" s="44"/>
      <c r="D259" s="44"/>
      <c r="E259" s="44"/>
      <c r="F259" s="44"/>
      <c r="G259" s="44"/>
      <c r="H259" s="44"/>
      <c r="I259" s="8"/>
      <c r="J259" s="8"/>
      <c r="K259" s="8"/>
    </row>
    <row r="260" spans="1:11" x14ac:dyDescent="0.25">
      <c r="A260" s="44"/>
      <c r="B260" s="44"/>
      <c r="C260" s="44"/>
      <c r="D260" s="44"/>
      <c r="E260" s="44"/>
      <c r="F260" s="44"/>
      <c r="G260" s="44"/>
      <c r="H260" s="44"/>
      <c r="I260" s="8"/>
      <c r="J260" s="8"/>
      <c r="K260" s="8"/>
    </row>
    <row r="261" spans="1:11" x14ac:dyDescent="0.25">
      <c r="A261" s="44"/>
      <c r="B261" s="44"/>
      <c r="C261" s="44"/>
      <c r="D261" s="44"/>
      <c r="E261" s="44"/>
      <c r="F261" s="44"/>
      <c r="G261" s="44"/>
      <c r="H261" s="44"/>
      <c r="I261" s="8"/>
      <c r="J261" s="8"/>
      <c r="K261" s="8"/>
    </row>
    <row r="262" spans="1:11" x14ac:dyDescent="0.25">
      <c r="A262" s="44"/>
      <c r="B262" s="44"/>
      <c r="C262" s="44"/>
      <c r="D262" s="44"/>
      <c r="E262" s="44"/>
      <c r="F262" s="44"/>
      <c r="G262" s="44"/>
      <c r="H262" s="44"/>
      <c r="I262" s="8"/>
      <c r="J262" s="8"/>
      <c r="K262" s="8"/>
    </row>
    <row r="263" spans="1:11" x14ac:dyDescent="0.25">
      <c r="A263" s="44"/>
      <c r="B263" s="44"/>
      <c r="C263" s="44"/>
      <c r="D263" s="44"/>
      <c r="E263" s="44"/>
      <c r="F263" s="44"/>
      <c r="G263" s="44"/>
      <c r="H263" s="44"/>
      <c r="I263" s="8"/>
      <c r="J263" s="8"/>
      <c r="K263" s="8"/>
    </row>
    <row r="264" spans="1:11" x14ac:dyDescent="0.25">
      <c r="A264" s="44"/>
      <c r="B264" s="44"/>
      <c r="C264" s="44"/>
      <c r="D264" s="44"/>
      <c r="E264" s="44"/>
      <c r="F264" s="44"/>
      <c r="G264" s="44"/>
      <c r="H264" s="44"/>
      <c r="I264" s="8"/>
      <c r="J264" s="8"/>
      <c r="K264" s="8"/>
    </row>
    <row r="265" spans="1:11" x14ac:dyDescent="0.25">
      <c r="A265" s="44"/>
      <c r="B265" s="44"/>
      <c r="C265" s="44"/>
      <c r="D265" s="44"/>
      <c r="E265" s="44"/>
      <c r="F265" s="44"/>
      <c r="G265" s="44"/>
      <c r="H265" s="44"/>
      <c r="I265" s="8"/>
      <c r="J265" s="8"/>
      <c r="K265" s="8"/>
    </row>
    <row r="266" spans="1:11" x14ac:dyDescent="0.25">
      <c r="A266" s="44"/>
      <c r="B266" s="44"/>
      <c r="C266" s="44"/>
      <c r="D266" s="44"/>
      <c r="E266" s="44"/>
      <c r="F266" s="44"/>
      <c r="G266" s="44"/>
      <c r="H266" s="44"/>
      <c r="I266" s="8"/>
      <c r="J266" s="8"/>
      <c r="K266" s="8"/>
    </row>
    <row r="267" spans="1:11" x14ac:dyDescent="0.25">
      <c r="A267" s="44"/>
      <c r="B267" s="44"/>
      <c r="C267" s="44"/>
      <c r="D267" s="44"/>
      <c r="E267" s="44"/>
      <c r="F267" s="44"/>
      <c r="G267" s="44"/>
      <c r="H267" s="44"/>
      <c r="I267" s="8"/>
      <c r="J267" s="8"/>
      <c r="K267" s="8"/>
    </row>
    <row r="268" spans="1:11" x14ac:dyDescent="0.25">
      <c r="A268" s="44"/>
      <c r="B268" s="44"/>
      <c r="C268" s="44"/>
      <c r="D268" s="44"/>
      <c r="E268" s="44"/>
      <c r="F268" s="44"/>
      <c r="G268" s="44"/>
      <c r="H268" s="44"/>
      <c r="I268" s="8"/>
      <c r="J268" s="8"/>
      <c r="K268" s="8"/>
    </row>
    <row r="269" spans="1:11" x14ac:dyDescent="0.25">
      <c r="A269" s="44"/>
      <c r="B269" s="44"/>
      <c r="C269" s="44"/>
      <c r="D269" s="44"/>
      <c r="E269" s="44"/>
      <c r="F269" s="44"/>
      <c r="G269" s="44"/>
      <c r="H269" s="44"/>
      <c r="I269" s="8"/>
      <c r="J269" s="8"/>
      <c r="K269" s="8"/>
    </row>
    <row r="270" spans="1:11" x14ac:dyDescent="0.25">
      <c r="A270" s="44"/>
      <c r="B270" s="44"/>
      <c r="C270" s="44"/>
      <c r="D270" s="44"/>
      <c r="E270" s="44"/>
      <c r="F270" s="44"/>
      <c r="G270" s="44"/>
      <c r="H270" s="44"/>
      <c r="I270" s="8"/>
      <c r="J270" s="8"/>
      <c r="K270" s="8"/>
    </row>
    <row r="271" spans="1:11" x14ac:dyDescent="0.25">
      <c r="A271" s="44"/>
      <c r="B271" s="44"/>
      <c r="C271" s="44"/>
      <c r="D271" s="44"/>
      <c r="E271" s="44"/>
      <c r="F271" s="44"/>
      <c r="G271" s="44"/>
      <c r="H271" s="44"/>
      <c r="I271" s="8"/>
      <c r="J271" s="8"/>
      <c r="K271" s="8"/>
    </row>
    <row r="272" spans="1:11" x14ac:dyDescent="0.25">
      <c r="A272" s="44"/>
      <c r="B272" s="44"/>
      <c r="C272" s="44"/>
      <c r="D272" s="44"/>
      <c r="E272" s="44"/>
      <c r="F272" s="44"/>
      <c r="G272" s="44"/>
      <c r="H272" s="44"/>
      <c r="I272" s="8"/>
      <c r="J272" s="8"/>
      <c r="K272" s="8"/>
    </row>
    <row r="273" spans="1:11" x14ac:dyDescent="0.25">
      <c r="A273" s="44"/>
      <c r="B273" s="44"/>
      <c r="C273" s="44"/>
      <c r="D273" s="44"/>
      <c r="E273" s="44"/>
      <c r="F273" s="44"/>
      <c r="G273" s="44"/>
      <c r="H273" s="44"/>
      <c r="I273" s="8"/>
      <c r="J273" s="8"/>
      <c r="K273" s="8"/>
    </row>
    <row r="274" spans="1:11" x14ac:dyDescent="0.25">
      <c r="A274" s="44"/>
      <c r="B274" s="44"/>
      <c r="C274" s="44"/>
      <c r="D274" s="44"/>
      <c r="E274" s="44"/>
      <c r="F274" s="44"/>
      <c r="G274" s="44"/>
      <c r="H274" s="44"/>
      <c r="I274" s="8"/>
      <c r="J274" s="8"/>
      <c r="K274" s="8"/>
    </row>
    <row r="275" spans="1:11" x14ac:dyDescent="0.25">
      <c r="A275" s="44"/>
      <c r="B275" s="44"/>
      <c r="C275" s="44"/>
      <c r="D275" s="44"/>
      <c r="E275" s="44"/>
      <c r="F275" s="44"/>
      <c r="G275" s="44"/>
      <c r="H275" s="44"/>
      <c r="I275" s="8"/>
      <c r="J275" s="8"/>
      <c r="K275" s="8"/>
    </row>
    <row r="276" spans="1:11" x14ac:dyDescent="0.25">
      <c r="A276" s="44"/>
      <c r="B276" s="44"/>
      <c r="C276" s="44"/>
      <c r="D276" s="44"/>
      <c r="E276" s="44"/>
      <c r="F276" s="44"/>
      <c r="G276" s="44"/>
      <c r="H276" s="44"/>
      <c r="I276" s="8"/>
      <c r="J276" s="8"/>
      <c r="K276" s="8"/>
    </row>
    <row r="277" spans="1:11" x14ac:dyDescent="0.25">
      <c r="A277" s="44"/>
      <c r="B277" s="44"/>
      <c r="C277" s="44"/>
      <c r="D277" s="44"/>
      <c r="E277" s="44"/>
      <c r="F277" s="44"/>
      <c r="G277" s="44"/>
      <c r="H277" s="44"/>
      <c r="I277" s="8"/>
      <c r="J277" s="8"/>
      <c r="K277" s="8"/>
    </row>
    <row r="278" spans="1:11" x14ac:dyDescent="0.25">
      <c r="A278" s="44"/>
      <c r="B278" s="44"/>
      <c r="C278" s="44"/>
      <c r="D278" s="44"/>
      <c r="E278" s="44"/>
      <c r="F278" s="44"/>
      <c r="G278" s="44"/>
      <c r="H278" s="44"/>
      <c r="I278" s="8"/>
      <c r="J278" s="8"/>
      <c r="K278" s="8"/>
    </row>
    <row r="279" spans="1:11" x14ac:dyDescent="0.25">
      <c r="A279" s="44"/>
      <c r="B279" s="44"/>
      <c r="C279" s="44"/>
      <c r="D279" s="44"/>
      <c r="E279" s="44"/>
      <c r="F279" s="44"/>
      <c r="G279" s="44"/>
      <c r="H279" s="44"/>
      <c r="I279" s="8"/>
      <c r="J279" s="8"/>
      <c r="K279" s="8"/>
    </row>
    <row r="280" spans="1:11" x14ac:dyDescent="0.25">
      <c r="A280" s="44"/>
      <c r="B280" s="44"/>
      <c r="C280" s="44"/>
      <c r="D280" s="44"/>
      <c r="E280" s="44"/>
      <c r="F280" s="44"/>
      <c r="G280" s="44"/>
      <c r="H280" s="44"/>
      <c r="I280" s="8"/>
      <c r="J280" s="8"/>
      <c r="K280" s="8"/>
    </row>
    <row r="281" spans="1:11" x14ac:dyDescent="0.25">
      <c r="A281" s="44"/>
      <c r="B281" s="44"/>
      <c r="C281" s="44"/>
      <c r="D281" s="44"/>
      <c r="E281" s="44"/>
      <c r="F281" s="44"/>
      <c r="G281" s="44"/>
      <c r="H281" s="44"/>
      <c r="I281" s="8"/>
      <c r="J281" s="8"/>
      <c r="K281" s="8"/>
    </row>
    <row r="282" spans="1:11" x14ac:dyDescent="0.25">
      <c r="A282" s="44"/>
      <c r="B282" s="44"/>
      <c r="C282" s="44"/>
      <c r="D282" s="44"/>
      <c r="E282" s="44"/>
      <c r="F282" s="44"/>
      <c r="G282" s="44"/>
      <c r="H282" s="44"/>
      <c r="I282" s="8"/>
      <c r="J282" s="8"/>
      <c r="K282" s="8"/>
    </row>
    <row r="283" spans="1:11" x14ac:dyDescent="0.25">
      <c r="A283" s="44"/>
      <c r="B283" s="44"/>
      <c r="C283" s="44"/>
      <c r="D283" s="44"/>
      <c r="E283" s="44"/>
      <c r="F283" s="44"/>
      <c r="G283" s="44"/>
      <c r="H283" s="44"/>
      <c r="I283" s="8"/>
      <c r="J283" s="8"/>
      <c r="K283" s="8"/>
    </row>
    <row r="284" spans="1:11" x14ac:dyDescent="0.25">
      <c r="A284" s="44"/>
      <c r="B284" s="44"/>
      <c r="C284" s="44"/>
      <c r="D284" s="44"/>
      <c r="E284" s="44"/>
      <c r="F284" s="44"/>
      <c r="G284" s="44"/>
      <c r="H284" s="44"/>
      <c r="I284" s="8"/>
      <c r="J284" s="8"/>
      <c r="K284" s="8"/>
    </row>
    <row r="285" spans="1:11" x14ac:dyDescent="0.25">
      <c r="A285" s="44"/>
      <c r="B285" s="44"/>
      <c r="C285" s="44"/>
      <c r="D285" s="44"/>
      <c r="E285" s="44"/>
      <c r="F285" s="44"/>
      <c r="G285" s="44"/>
      <c r="H285" s="44"/>
      <c r="I285" s="8"/>
      <c r="J285" s="8"/>
      <c r="K285" s="8"/>
    </row>
    <row r="286" spans="1:11" x14ac:dyDescent="0.25">
      <c r="A286" s="44"/>
      <c r="B286" s="44"/>
      <c r="C286" s="44"/>
      <c r="D286" s="44"/>
      <c r="E286" s="44"/>
      <c r="F286" s="44"/>
      <c r="G286" s="44"/>
      <c r="H286" s="44"/>
      <c r="I286" s="8"/>
      <c r="J286" s="8"/>
      <c r="K286" s="8"/>
    </row>
    <row r="287" spans="1:11" x14ac:dyDescent="0.25">
      <c r="A287" s="44"/>
      <c r="B287" s="44"/>
      <c r="C287" s="44"/>
      <c r="D287" s="44"/>
      <c r="E287" s="44"/>
      <c r="F287" s="44"/>
      <c r="G287" s="44"/>
      <c r="H287" s="44"/>
      <c r="I287" s="8"/>
      <c r="J287" s="8"/>
      <c r="K287" s="8"/>
    </row>
    <row r="288" spans="1:11" x14ac:dyDescent="0.25">
      <c r="A288" s="44"/>
      <c r="B288" s="44"/>
      <c r="C288" s="44"/>
      <c r="D288" s="44"/>
      <c r="E288" s="44"/>
      <c r="F288" s="44"/>
      <c r="G288" s="44"/>
      <c r="H288" s="44"/>
      <c r="I288" s="8"/>
      <c r="J288" s="8"/>
      <c r="K288" s="8"/>
    </row>
    <row r="289" spans="1:11" x14ac:dyDescent="0.25">
      <c r="A289" s="44"/>
      <c r="B289" s="44"/>
      <c r="C289" s="44"/>
      <c r="D289" s="44"/>
      <c r="E289" s="44"/>
      <c r="F289" s="44"/>
      <c r="G289" s="44"/>
      <c r="H289" s="44"/>
      <c r="I289" s="8"/>
      <c r="J289" s="8"/>
      <c r="K289" s="8"/>
    </row>
    <row r="290" spans="1:11" x14ac:dyDescent="0.25">
      <c r="A290" s="44"/>
      <c r="B290" s="44"/>
      <c r="C290" s="44"/>
      <c r="D290" s="44"/>
      <c r="E290" s="44"/>
      <c r="F290" s="44"/>
      <c r="G290" s="44"/>
      <c r="H290" s="44"/>
      <c r="I290" s="8"/>
      <c r="J290" s="8"/>
      <c r="K290" s="8"/>
    </row>
    <row r="291" spans="1:11" x14ac:dyDescent="0.25">
      <c r="A291" s="44"/>
      <c r="B291" s="44"/>
      <c r="C291" s="44"/>
      <c r="D291" s="44"/>
      <c r="E291" s="44"/>
      <c r="F291" s="44"/>
      <c r="G291" s="44"/>
      <c r="H291" s="44"/>
      <c r="I291" s="8"/>
      <c r="J291" s="8"/>
      <c r="K291" s="8"/>
    </row>
    <row r="292" spans="1:11" x14ac:dyDescent="0.25">
      <c r="A292" s="44"/>
      <c r="B292" s="44"/>
      <c r="C292" s="44"/>
      <c r="D292" s="44"/>
      <c r="E292" s="44"/>
      <c r="F292" s="44"/>
      <c r="G292" s="44"/>
      <c r="H292" s="44"/>
      <c r="I292" s="8"/>
      <c r="J292" s="8"/>
      <c r="K292" s="8"/>
    </row>
    <row r="293" spans="1:11" x14ac:dyDescent="0.25">
      <c r="A293" s="44"/>
      <c r="B293" s="44"/>
      <c r="C293" s="44"/>
      <c r="D293" s="44"/>
      <c r="E293" s="44"/>
      <c r="F293" s="44"/>
      <c r="G293" s="44"/>
      <c r="H293" s="44"/>
      <c r="I293" s="8"/>
      <c r="J293" s="8"/>
      <c r="K293" s="8"/>
    </row>
    <row r="294" spans="1:11" x14ac:dyDescent="0.25">
      <c r="A294" s="44"/>
      <c r="B294" s="44"/>
      <c r="C294" s="44"/>
      <c r="D294" s="44"/>
      <c r="E294" s="44"/>
      <c r="F294" s="44"/>
      <c r="G294" s="44"/>
      <c r="H294" s="44"/>
      <c r="I294" s="8"/>
      <c r="J294" s="8"/>
      <c r="K294" s="8"/>
    </row>
    <row r="295" spans="1:11" x14ac:dyDescent="0.25">
      <c r="A295" s="44"/>
      <c r="B295" s="44"/>
      <c r="C295" s="44"/>
      <c r="D295" s="44"/>
      <c r="E295" s="44"/>
      <c r="F295" s="44"/>
      <c r="G295" s="44"/>
      <c r="H295" s="44"/>
      <c r="I295" s="8"/>
      <c r="J295" s="8"/>
      <c r="K295" s="8"/>
    </row>
    <row r="296" spans="1:11" x14ac:dyDescent="0.25">
      <c r="A296" s="44"/>
      <c r="B296" s="44"/>
      <c r="C296" s="44"/>
      <c r="D296" s="44"/>
      <c r="E296" s="44"/>
      <c r="F296" s="44"/>
      <c r="G296" s="44"/>
      <c r="H296" s="44"/>
      <c r="I296" s="8"/>
      <c r="J296" s="8"/>
      <c r="K296" s="8"/>
    </row>
    <row r="297" spans="1:11" x14ac:dyDescent="0.25">
      <c r="A297" s="44"/>
      <c r="B297" s="44"/>
      <c r="C297" s="44"/>
      <c r="D297" s="44"/>
      <c r="E297" s="44"/>
      <c r="F297" s="44"/>
      <c r="G297" s="44"/>
      <c r="H297" s="44"/>
      <c r="I297" s="8"/>
      <c r="J297" s="8"/>
      <c r="K297" s="8"/>
    </row>
    <row r="298" spans="1:11" x14ac:dyDescent="0.25">
      <c r="A298" s="44"/>
      <c r="B298" s="44"/>
      <c r="C298" s="44"/>
      <c r="D298" s="44"/>
      <c r="E298" s="44"/>
      <c r="F298" s="44"/>
      <c r="G298" s="44"/>
      <c r="H298" s="44"/>
      <c r="I298" s="8"/>
      <c r="J298" s="8"/>
      <c r="K298" s="8"/>
    </row>
    <row r="299" spans="1:11" x14ac:dyDescent="0.25">
      <c r="A299" s="44"/>
      <c r="B299" s="44"/>
      <c r="C299" s="44"/>
      <c r="D299" s="44"/>
      <c r="E299" s="44"/>
      <c r="F299" s="44"/>
      <c r="G299" s="44"/>
      <c r="H299" s="44"/>
      <c r="I299" s="8"/>
      <c r="J299" s="8"/>
      <c r="K299" s="8"/>
    </row>
    <row r="300" spans="1:11" x14ac:dyDescent="0.25">
      <c r="A300" s="44"/>
      <c r="B300" s="44"/>
      <c r="C300" s="44"/>
      <c r="D300" s="44"/>
      <c r="E300" s="44"/>
      <c r="F300" s="44"/>
      <c r="G300" s="44"/>
      <c r="H300" s="44"/>
      <c r="I300" s="8"/>
      <c r="J300" s="8"/>
      <c r="K300" s="8"/>
    </row>
    <row r="301" spans="1:11" x14ac:dyDescent="0.25">
      <c r="A301" s="44"/>
      <c r="B301" s="44"/>
      <c r="C301" s="44"/>
      <c r="D301" s="44"/>
      <c r="E301" s="44"/>
      <c r="F301" s="44"/>
      <c r="G301" s="44"/>
      <c r="H301" s="44"/>
      <c r="I301" s="8"/>
      <c r="J301" s="8"/>
      <c r="K301" s="8"/>
    </row>
    <row r="302" spans="1:11" x14ac:dyDescent="0.25">
      <c r="A302" s="44"/>
      <c r="B302" s="44"/>
      <c r="C302" s="44"/>
      <c r="D302" s="44"/>
      <c r="E302" s="44"/>
      <c r="F302" s="44"/>
      <c r="G302" s="44"/>
      <c r="H302" s="44"/>
      <c r="I302" s="8"/>
      <c r="J302" s="8"/>
      <c r="K302" s="8"/>
    </row>
    <row r="303" spans="1:11" x14ac:dyDescent="0.25">
      <c r="A303" s="44"/>
      <c r="B303" s="44"/>
      <c r="C303" s="44"/>
      <c r="D303" s="44"/>
      <c r="E303" s="44"/>
      <c r="F303" s="44"/>
      <c r="G303" s="44"/>
      <c r="H303" s="44"/>
      <c r="I303" s="8"/>
      <c r="J303" s="8"/>
      <c r="K303" s="8"/>
    </row>
    <row r="304" spans="1:11" x14ac:dyDescent="0.25">
      <c r="A304" s="44"/>
      <c r="B304" s="44"/>
      <c r="C304" s="44"/>
      <c r="D304" s="44"/>
      <c r="E304" s="44"/>
      <c r="F304" s="44"/>
      <c r="G304" s="44"/>
      <c r="H304" s="44"/>
      <c r="I304" s="8"/>
      <c r="J304" s="8"/>
      <c r="K304" s="8"/>
    </row>
    <row r="305" spans="1:11" x14ac:dyDescent="0.25">
      <c r="A305" s="44"/>
      <c r="B305" s="44"/>
      <c r="C305" s="44"/>
      <c r="D305" s="44"/>
      <c r="E305" s="44"/>
      <c r="F305" s="44"/>
      <c r="G305" s="44"/>
      <c r="H305" s="44"/>
      <c r="I305" s="8"/>
      <c r="J305" s="8"/>
      <c r="K305" s="8"/>
    </row>
    <row r="306" spans="1:11" x14ac:dyDescent="0.25">
      <c r="A306" s="44"/>
      <c r="B306" s="44"/>
      <c r="C306" s="44"/>
      <c r="D306" s="44"/>
      <c r="E306" s="44"/>
      <c r="F306" s="44"/>
      <c r="G306" s="44"/>
      <c r="H306" s="44"/>
      <c r="I306" s="8"/>
      <c r="J306" s="8"/>
      <c r="K306" s="8"/>
    </row>
    <row r="307" spans="1:11" x14ac:dyDescent="0.25">
      <c r="A307" s="44"/>
      <c r="B307" s="44"/>
      <c r="C307" s="44"/>
      <c r="D307" s="44"/>
      <c r="E307" s="44"/>
      <c r="F307" s="44"/>
      <c r="G307" s="44"/>
      <c r="H307" s="44"/>
      <c r="I307" s="8"/>
      <c r="J307" s="8"/>
      <c r="K307" s="8"/>
    </row>
    <row r="308" spans="1:11" x14ac:dyDescent="0.25">
      <c r="A308" s="44"/>
      <c r="B308" s="44"/>
      <c r="C308" s="44"/>
      <c r="D308" s="44"/>
      <c r="E308" s="44"/>
      <c r="F308" s="44"/>
      <c r="G308" s="44"/>
      <c r="H308" s="44"/>
      <c r="I308" s="8"/>
      <c r="J308" s="8"/>
      <c r="K308" s="8"/>
    </row>
    <row r="309" spans="1:11" x14ac:dyDescent="0.25">
      <c r="A309" s="44"/>
      <c r="B309" s="44"/>
      <c r="C309" s="44"/>
      <c r="D309" s="44"/>
      <c r="E309" s="44"/>
      <c r="F309" s="44"/>
      <c r="G309" s="44"/>
      <c r="H309" s="44"/>
      <c r="I309" s="8"/>
      <c r="J309" s="8"/>
      <c r="K309" s="8"/>
    </row>
    <row r="310" spans="1:11" x14ac:dyDescent="0.25">
      <c r="A310" s="44"/>
      <c r="B310" s="44"/>
      <c r="C310" s="44"/>
      <c r="D310" s="44"/>
      <c r="E310" s="44"/>
      <c r="F310" s="44"/>
      <c r="G310" s="44"/>
      <c r="H310" s="44"/>
      <c r="I310" s="8"/>
      <c r="J310" s="8"/>
      <c r="K310" s="8"/>
    </row>
    <row r="311" spans="1:11" x14ac:dyDescent="0.25">
      <c r="A311" s="44"/>
      <c r="B311" s="44"/>
      <c r="C311" s="44"/>
      <c r="D311" s="44"/>
      <c r="E311" s="44"/>
      <c r="F311" s="44"/>
      <c r="G311" s="44"/>
      <c r="H311" s="44"/>
      <c r="I311" s="8"/>
      <c r="J311" s="8"/>
      <c r="K311" s="8"/>
    </row>
    <row r="312" spans="1:11" x14ac:dyDescent="0.25">
      <c r="A312" s="44"/>
      <c r="B312" s="44"/>
      <c r="C312" s="44"/>
      <c r="D312" s="44"/>
      <c r="E312" s="44"/>
      <c r="F312" s="44"/>
      <c r="G312" s="44"/>
      <c r="H312" s="44"/>
      <c r="I312" s="8"/>
      <c r="J312" s="8"/>
      <c r="K312" s="8"/>
    </row>
    <row r="313" spans="1:11" x14ac:dyDescent="0.25">
      <c r="A313" s="44"/>
      <c r="B313" s="44"/>
      <c r="C313" s="44"/>
      <c r="D313" s="44"/>
      <c r="E313" s="44"/>
      <c r="F313" s="44"/>
      <c r="G313" s="44"/>
      <c r="H313" s="44"/>
      <c r="I313" s="8"/>
      <c r="J313" s="8"/>
      <c r="K313" s="8"/>
    </row>
    <row r="314" spans="1:11" x14ac:dyDescent="0.25">
      <c r="A314" s="44"/>
      <c r="B314" s="44"/>
      <c r="C314" s="44"/>
      <c r="D314" s="44"/>
      <c r="E314" s="44"/>
      <c r="F314" s="44"/>
      <c r="G314" s="44"/>
      <c r="H314" s="44"/>
      <c r="I314" s="8"/>
      <c r="J314" s="8"/>
      <c r="K314" s="8"/>
    </row>
    <row r="315" spans="1:11" x14ac:dyDescent="0.25">
      <c r="A315" s="44"/>
      <c r="B315" s="44"/>
      <c r="C315" s="44"/>
      <c r="D315" s="44"/>
      <c r="E315" s="44"/>
      <c r="F315" s="44"/>
      <c r="G315" s="44"/>
      <c r="H315" s="44"/>
      <c r="I315" s="8"/>
      <c r="J315" s="8"/>
      <c r="K315" s="8"/>
    </row>
    <row r="316" spans="1:11" x14ac:dyDescent="0.25">
      <c r="A316" s="44"/>
      <c r="B316" s="44"/>
      <c r="C316" s="44"/>
      <c r="D316" s="44"/>
      <c r="E316" s="44"/>
      <c r="F316" s="44"/>
      <c r="G316" s="44"/>
      <c r="H316" s="44"/>
      <c r="I316" s="8"/>
      <c r="J316" s="8"/>
      <c r="K316" s="8"/>
    </row>
    <row r="317" spans="1:11" x14ac:dyDescent="0.25">
      <c r="A317" s="44"/>
      <c r="B317" s="44"/>
      <c r="C317" s="44"/>
      <c r="D317" s="44"/>
      <c r="E317" s="44"/>
      <c r="F317" s="44"/>
      <c r="G317" s="44"/>
      <c r="H317" s="44"/>
      <c r="I317" s="8"/>
      <c r="J317" s="8"/>
      <c r="K317" s="8"/>
    </row>
    <row r="318" spans="1:11" x14ac:dyDescent="0.25">
      <c r="A318" s="44"/>
      <c r="B318" s="44"/>
      <c r="C318" s="44"/>
      <c r="D318" s="44"/>
      <c r="E318" s="44"/>
      <c r="F318" s="44"/>
      <c r="G318" s="44"/>
      <c r="H318" s="44"/>
      <c r="I318" s="8"/>
      <c r="J318" s="8"/>
      <c r="K318" s="8"/>
    </row>
    <row r="319" spans="1:11" x14ac:dyDescent="0.25">
      <c r="A319" s="44"/>
      <c r="B319" s="44"/>
      <c r="C319" s="44"/>
      <c r="D319" s="44"/>
      <c r="E319" s="44"/>
      <c r="F319" s="44"/>
      <c r="G319" s="44"/>
      <c r="H319" s="44"/>
      <c r="I319" s="8"/>
      <c r="J319" s="8"/>
      <c r="K319" s="8"/>
    </row>
    <row r="320" spans="1:11" x14ac:dyDescent="0.25">
      <c r="A320" s="44"/>
      <c r="B320" s="44"/>
      <c r="C320" s="44"/>
      <c r="D320" s="44"/>
      <c r="E320" s="44"/>
      <c r="F320" s="44"/>
      <c r="G320" s="44"/>
      <c r="H320" s="44"/>
      <c r="I320" s="8"/>
      <c r="J320" s="8"/>
      <c r="K320" s="8"/>
    </row>
    <row r="321" spans="1:11" x14ac:dyDescent="0.25">
      <c r="A321" s="44"/>
      <c r="B321" s="44"/>
      <c r="C321" s="44"/>
      <c r="D321" s="44"/>
      <c r="E321" s="44"/>
      <c r="F321" s="44"/>
      <c r="G321" s="44"/>
      <c r="H321" s="44"/>
      <c r="I321" s="8"/>
      <c r="J321" s="8"/>
      <c r="K321" s="8"/>
    </row>
    <row r="322" spans="1:11" x14ac:dyDescent="0.25">
      <c r="A322" s="44"/>
      <c r="B322" s="44"/>
      <c r="C322" s="44"/>
      <c r="D322" s="44"/>
      <c r="E322" s="44"/>
      <c r="F322" s="44"/>
      <c r="G322" s="44"/>
      <c r="H322" s="44"/>
      <c r="I322" s="8"/>
      <c r="J322" s="8"/>
      <c r="K322" s="8"/>
    </row>
    <row r="323" spans="1:11" x14ac:dyDescent="0.25">
      <c r="A323" s="44"/>
      <c r="B323" s="44"/>
      <c r="C323" s="44"/>
      <c r="D323" s="44"/>
      <c r="E323" s="44"/>
      <c r="F323" s="44"/>
      <c r="G323" s="44"/>
      <c r="H323" s="44"/>
      <c r="I323" s="8"/>
      <c r="J323" s="8"/>
      <c r="K323" s="8"/>
    </row>
    <row r="324" spans="1:11" x14ac:dyDescent="0.25">
      <c r="A324" s="44"/>
      <c r="B324" s="44"/>
      <c r="C324" s="44"/>
      <c r="D324" s="44"/>
      <c r="E324" s="44"/>
      <c r="F324" s="44"/>
      <c r="G324" s="44"/>
      <c r="H324" s="44"/>
      <c r="I324" s="8"/>
      <c r="J324" s="8"/>
      <c r="K324" s="8"/>
    </row>
    <row r="325" spans="1:11" x14ac:dyDescent="0.25">
      <c r="A325" s="44"/>
      <c r="B325" s="44"/>
      <c r="C325" s="44"/>
      <c r="D325" s="44"/>
      <c r="E325" s="44"/>
      <c r="F325" s="44"/>
      <c r="G325" s="44"/>
      <c r="H325" s="44"/>
      <c r="I325" s="8"/>
      <c r="J325" s="8"/>
      <c r="K325" s="8"/>
    </row>
    <row r="326" spans="1:11" x14ac:dyDescent="0.25">
      <c r="A326" s="44"/>
      <c r="B326" s="44"/>
      <c r="C326" s="44"/>
      <c r="D326" s="44"/>
      <c r="E326" s="44"/>
      <c r="F326" s="44"/>
      <c r="G326" s="44"/>
      <c r="H326" s="44"/>
      <c r="I326" s="8"/>
      <c r="J326" s="8"/>
      <c r="K326" s="8"/>
    </row>
    <row r="327" spans="1:11" x14ac:dyDescent="0.25">
      <c r="A327" s="44"/>
      <c r="B327" s="44"/>
      <c r="C327" s="44"/>
      <c r="D327" s="44"/>
      <c r="E327" s="44"/>
      <c r="F327" s="44"/>
      <c r="G327" s="44"/>
      <c r="H327" s="44"/>
      <c r="I327" s="8"/>
      <c r="J327" s="8"/>
      <c r="K327" s="8"/>
    </row>
    <row r="328" spans="1:11" x14ac:dyDescent="0.25">
      <c r="A328" s="44"/>
      <c r="B328" s="44"/>
      <c r="C328" s="44"/>
      <c r="D328" s="44"/>
      <c r="E328" s="44"/>
      <c r="F328" s="44"/>
      <c r="G328" s="44"/>
      <c r="H328" s="44"/>
      <c r="I328" s="8"/>
      <c r="J328" s="8"/>
      <c r="K328" s="8"/>
    </row>
    <row r="329" spans="1:11" x14ac:dyDescent="0.25">
      <c r="A329" s="44"/>
      <c r="B329" s="44"/>
      <c r="C329" s="44"/>
      <c r="D329" s="44"/>
      <c r="E329" s="44"/>
      <c r="F329" s="44"/>
      <c r="G329" s="44"/>
      <c r="H329" s="44"/>
      <c r="I329" s="8"/>
      <c r="J329" s="8"/>
      <c r="K329" s="8"/>
    </row>
    <row r="330" spans="1:11" x14ac:dyDescent="0.25">
      <c r="A330" s="44"/>
      <c r="B330" s="44"/>
      <c r="C330" s="44"/>
      <c r="D330" s="44"/>
      <c r="E330" s="44"/>
      <c r="F330" s="44"/>
      <c r="G330" s="44"/>
      <c r="H330" s="44"/>
      <c r="I330" s="8"/>
      <c r="J330" s="8"/>
      <c r="K330" s="8"/>
    </row>
    <row r="331" spans="1:11" x14ac:dyDescent="0.25">
      <c r="A331" s="44"/>
      <c r="B331" s="44"/>
      <c r="C331" s="44"/>
      <c r="D331" s="44"/>
      <c r="E331" s="44"/>
      <c r="F331" s="44"/>
      <c r="G331" s="44"/>
      <c r="H331" s="44"/>
      <c r="I331" s="8"/>
      <c r="J331" s="8"/>
      <c r="K331" s="8"/>
    </row>
    <row r="332" spans="1:11" x14ac:dyDescent="0.25">
      <c r="A332" s="44"/>
      <c r="B332" s="44"/>
      <c r="C332" s="44"/>
      <c r="D332" s="44"/>
      <c r="E332" s="44"/>
      <c r="F332" s="44"/>
      <c r="G332" s="44"/>
      <c r="H332" s="44"/>
      <c r="I332" s="8"/>
      <c r="J332" s="8"/>
      <c r="K332" s="8"/>
    </row>
    <row r="333" spans="1:11" x14ac:dyDescent="0.25">
      <c r="A333" s="44"/>
      <c r="B333" s="44"/>
      <c r="C333" s="44"/>
      <c r="D333" s="44"/>
      <c r="E333" s="44"/>
      <c r="F333" s="44"/>
      <c r="G333" s="44"/>
      <c r="H333" s="44"/>
      <c r="I333" s="8"/>
      <c r="J333" s="8"/>
      <c r="K333" s="8"/>
    </row>
    <row r="334" spans="1:11" x14ac:dyDescent="0.25">
      <c r="A334" s="44"/>
      <c r="B334" s="44"/>
      <c r="C334" s="44"/>
      <c r="D334" s="44"/>
      <c r="E334" s="44"/>
      <c r="F334" s="44"/>
      <c r="G334" s="44"/>
      <c r="H334" s="44"/>
      <c r="I334" s="8"/>
      <c r="J334" s="8"/>
      <c r="K334" s="8"/>
    </row>
    <row r="335" spans="1:11" x14ac:dyDescent="0.25">
      <c r="A335" s="44"/>
      <c r="B335" s="44"/>
      <c r="C335" s="44"/>
      <c r="D335" s="44"/>
      <c r="E335" s="44"/>
      <c r="F335" s="44"/>
      <c r="G335" s="44"/>
      <c r="H335" s="44"/>
      <c r="I335" s="8"/>
      <c r="J335" s="8"/>
      <c r="K335" s="8"/>
    </row>
    <row r="336" spans="1:11" x14ac:dyDescent="0.25">
      <c r="A336" s="44"/>
      <c r="B336" s="44"/>
      <c r="C336" s="44"/>
      <c r="D336" s="44"/>
      <c r="E336" s="44"/>
      <c r="F336" s="44"/>
      <c r="G336" s="44"/>
      <c r="H336" s="44"/>
      <c r="I336" s="8"/>
      <c r="J336" s="8"/>
      <c r="K336" s="8"/>
    </row>
    <row r="337" spans="1:11" x14ac:dyDescent="0.25">
      <c r="A337" s="44"/>
      <c r="B337" s="44"/>
      <c r="C337" s="44"/>
      <c r="D337" s="44"/>
      <c r="E337" s="44"/>
      <c r="F337" s="44"/>
      <c r="G337" s="44"/>
      <c r="H337" s="44"/>
      <c r="I337" s="8"/>
      <c r="J337" s="8"/>
      <c r="K337" s="8"/>
    </row>
    <row r="338" spans="1:11" x14ac:dyDescent="0.25">
      <c r="A338" s="44"/>
      <c r="B338" s="44"/>
      <c r="C338" s="44"/>
      <c r="D338" s="44"/>
      <c r="E338" s="44"/>
      <c r="F338" s="44"/>
      <c r="G338" s="44"/>
      <c r="H338" s="44"/>
      <c r="I338" s="8"/>
      <c r="J338" s="8"/>
      <c r="K338" s="8"/>
    </row>
    <row r="339" spans="1:11" x14ac:dyDescent="0.25">
      <c r="A339" s="44"/>
      <c r="B339" s="44"/>
      <c r="C339" s="44"/>
      <c r="D339" s="44"/>
      <c r="E339" s="44"/>
      <c r="F339" s="44"/>
      <c r="G339" s="44"/>
      <c r="H339" s="44"/>
      <c r="I339" s="8"/>
      <c r="J339" s="8"/>
      <c r="K339" s="8"/>
    </row>
    <row r="340" spans="1:11" x14ac:dyDescent="0.25">
      <c r="A340" s="44"/>
      <c r="B340" s="44"/>
      <c r="C340" s="44"/>
      <c r="D340" s="44"/>
      <c r="E340" s="44"/>
      <c r="F340" s="44"/>
      <c r="G340" s="44"/>
      <c r="H340" s="44"/>
      <c r="I340" s="8"/>
      <c r="J340" s="8"/>
      <c r="K340" s="8"/>
    </row>
    <row r="341" spans="1:11" x14ac:dyDescent="0.25">
      <c r="A341" s="44"/>
      <c r="B341" s="44"/>
      <c r="C341" s="44"/>
      <c r="D341" s="44"/>
      <c r="E341" s="44"/>
      <c r="F341" s="44"/>
      <c r="G341" s="44"/>
      <c r="H341" s="44"/>
      <c r="I341" s="8"/>
      <c r="J341" s="8"/>
      <c r="K341" s="8"/>
    </row>
    <row r="342" spans="1:11" x14ac:dyDescent="0.25">
      <c r="A342" s="44"/>
      <c r="B342" s="44"/>
      <c r="C342" s="44"/>
      <c r="D342" s="44"/>
      <c r="E342" s="44"/>
      <c r="F342" s="44"/>
      <c r="G342" s="44"/>
      <c r="H342" s="44"/>
      <c r="I342" s="8"/>
      <c r="J342" s="8"/>
      <c r="K342" s="8"/>
    </row>
    <row r="343" spans="1:11" x14ac:dyDescent="0.25">
      <c r="A343" s="44"/>
      <c r="B343" s="44"/>
      <c r="C343" s="44"/>
      <c r="D343" s="44"/>
      <c r="E343" s="44"/>
      <c r="F343" s="44"/>
      <c r="G343" s="44"/>
      <c r="H343" s="44"/>
      <c r="I343" s="8"/>
      <c r="J343" s="8"/>
      <c r="K343" s="8"/>
    </row>
    <row r="344" spans="1:11" x14ac:dyDescent="0.25">
      <c r="A344" s="44"/>
      <c r="B344" s="44"/>
      <c r="C344" s="44"/>
      <c r="D344" s="44"/>
      <c r="E344" s="44"/>
      <c r="F344" s="44"/>
      <c r="G344" s="44"/>
      <c r="H344" s="44"/>
      <c r="I344" s="8"/>
      <c r="J344" s="8"/>
      <c r="K344" s="8"/>
    </row>
    <row r="345" spans="1:11" x14ac:dyDescent="0.25">
      <c r="A345" s="44"/>
      <c r="B345" s="44"/>
      <c r="C345" s="44"/>
      <c r="D345" s="44"/>
      <c r="E345" s="44"/>
      <c r="F345" s="44"/>
      <c r="G345" s="44"/>
      <c r="H345" s="44"/>
      <c r="I345" s="8"/>
      <c r="J345" s="8"/>
      <c r="K345" s="8"/>
    </row>
    <row r="346" spans="1:11" x14ac:dyDescent="0.25">
      <c r="A346" s="44"/>
      <c r="B346" s="44"/>
      <c r="C346" s="44"/>
      <c r="D346" s="44"/>
      <c r="E346" s="44"/>
      <c r="F346" s="44"/>
      <c r="G346" s="44"/>
      <c r="H346" s="44"/>
      <c r="I346" s="8"/>
      <c r="J346" s="8"/>
      <c r="K346" s="8"/>
    </row>
    <row r="347" spans="1:11" x14ac:dyDescent="0.25">
      <c r="A347" s="44"/>
      <c r="B347" s="44"/>
      <c r="C347" s="44"/>
      <c r="D347" s="44"/>
      <c r="E347" s="44"/>
      <c r="F347" s="44"/>
      <c r="G347" s="44"/>
      <c r="H347" s="44"/>
      <c r="I347" s="8"/>
      <c r="J347" s="8"/>
      <c r="K347" s="8"/>
    </row>
    <row r="348" spans="1:11" x14ac:dyDescent="0.25">
      <c r="A348" s="44"/>
      <c r="B348" s="44"/>
      <c r="C348" s="44"/>
      <c r="D348" s="44"/>
      <c r="E348" s="44"/>
      <c r="F348" s="44"/>
      <c r="G348" s="44"/>
      <c r="H348" s="44"/>
      <c r="I348" s="8"/>
      <c r="J348" s="8"/>
      <c r="K348" s="8"/>
    </row>
    <row r="349" spans="1:11" x14ac:dyDescent="0.25">
      <c r="A349" s="44"/>
      <c r="B349" s="44"/>
      <c r="C349" s="44"/>
      <c r="D349" s="44"/>
      <c r="E349" s="44"/>
      <c r="F349" s="44"/>
      <c r="G349" s="44"/>
      <c r="H349" s="44"/>
      <c r="I349" s="8"/>
      <c r="J349" s="8"/>
      <c r="K349" s="8"/>
    </row>
    <row r="350" spans="1:11" x14ac:dyDescent="0.25">
      <c r="A350" s="44"/>
      <c r="B350" s="44"/>
      <c r="C350" s="44"/>
      <c r="D350" s="44"/>
      <c r="E350" s="44"/>
      <c r="F350" s="44"/>
      <c r="G350" s="44"/>
      <c r="H350" s="44"/>
      <c r="I350" s="8"/>
      <c r="J350" s="8"/>
      <c r="K350" s="8"/>
    </row>
    <row r="351" spans="1:11" x14ac:dyDescent="0.25">
      <c r="A351" s="44"/>
      <c r="B351" s="44"/>
      <c r="C351" s="44"/>
      <c r="D351" s="44"/>
      <c r="E351" s="44"/>
      <c r="F351" s="44"/>
      <c r="G351" s="44"/>
      <c r="H351" s="44"/>
      <c r="I351" s="8"/>
      <c r="J351" s="8"/>
      <c r="K351" s="8"/>
    </row>
    <row r="352" spans="1:11" x14ac:dyDescent="0.25">
      <c r="A352" s="44"/>
      <c r="B352" s="44"/>
      <c r="C352" s="44"/>
      <c r="D352" s="44"/>
      <c r="E352" s="44"/>
      <c r="F352" s="44"/>
      <c r="G352" s="44"/>
      <c r="H352" s="44"/>
      <c r="I352" s="8"/>
      <c r="J352" s="8"/>
      <c r="K352" s="8"/>
    </row>
    <row r="353" spans="1:11" x14ac:dyDescent="0.25">
      <c r="A353" s="44"/>
      <c r="B353" s="44"/>
      <c r="C353" s="44"/>
      <c r="D353" s="44"/>
      <c r="E353" s="44"/>
      <c r="F353" s="44"/>
      <c r="G353" s="44"/>
      <c r="H353" s="44"/>
      <c r="I353" s="8"/>
      <c r="J353" s="8"/>
      <c r="K353" s="8"/>
    </row>
    <row r="354" spans="1:11" x14ac:dyDescent="0.25">
      <c r="A354" s="44"/>
      <c r="B354" s="44"/>
      <c r="C354" s="44"/>
      <c r="D354" s="44"/>
      <c r="E354" s="44"/>
      <c r="F354" s="44"/>
      <c r="G354" s="44"/>
      <c r="H354" s="44"/>
      <c r="I354" s="8"/>
      <c r="J354" s="8"/>
      <c r="K354" s="8"/>
    </row>
    <row r="355" spans="1:11" x14ac:dyDescent="0.25">
      <c r="A355" s="44"/>
      <c r="B355" s="44"/>
      <c r="C355" s="44"/>
      <c r="D355" s="44"/>
      <c r="E355" s="44"/>
      <c r="F355" s="44"/>
      <c r="G355" s="44"/>
      <c r="H355" s="44"/>
      <c r="I355" s="8"/>
      <c r="J355" s="8"/>
      <c r="K355" s="8"/>
    </row>
    <row r="356" spans="1:11" x14ac:dyDescent="0.25">
      <c r="A356" s="44"/>
      <c r="B356" s="44"/>
      <c r="C356" s="44"/>
      <c r="D356" s="44"/>
      <c r="E356" s="44"/>
      <c r="F356" s="44"/>
      <c r="G356" s="44"/>
      <c r="H356" s="44"/>
      <c r="I356" s="8"/>
      <c r="J356" s="8"/>
      <c r="K356" s="8"/>
    </row>
    <row r="357" spans="1:11" x14ac:dyDescent="0.25">
      <c r="A357" s="44"/>
      <c r="B357" s="44"/>
      <c r="C357" s="44"/>
      <c r="D357" s="44"/>
      <c r="E357" s="44"/>
      <c r="F357" s="44"/>
      <c r="G357" s="44"/>
      <c r="H357" s="44"/>
      <c r="I357" s="8"/>
      <c r="J357" s="8"/>
      <c r="K357" s="8"/>
    </row>
    <row r="358" spans="1:11" x14ac:dyDescent="0.25">
      <c r="A358" s="44"/>
      <c r="B358" s="44"/>
      <c r="C358" s="44"/>
      <c r="D358" s="44"/>
      <c r="E358" s="44"/>
      <c r="F358" s="44"/>
      <c r="G358" s="44"/>
      <c r="H358" s="44"/>
      <c r="I358" s="8"/>
      <c r="J358" s="8"/>
      <c r="K358" s="8"/>
    </row>
    <row r="359" spans="1:11" x14ac:dyDescent="0.25">
      <c r="A359" s="44"/>
      <c r="B359" s="44"/>
      <c r="C359" s="44"/>
      <c r="D359" s="44"/>
      <c r="E359" s="44"/>
      <c r="F359" s="44"/>
      <c r="G359" s="44"/>
      <c r="H359" s="44"/>
      <c r="I359" s="8"/>
      <c r="J359" s="8"/>
      <c r="K359" s="8"/>
    </row>
    <row r="360" spans="1:11" x14ac:dyDescent="0.25">
      <c r="A360" s="44"/>
      <c r="B360" s="44"/>
      <c r="C360" s="44"/>
      <c r="D360" s="44"/>
      <c r="E360" s="44"/>
      <c r="F360" s="44"/>
      <c r="G360" s="44"/>
      <c r="H360" s="44"/>
      <c r="I360" s="8"/>
      <c r="J360" s="8"/>
      <c r="K360" s="8"/>
    </row>
    <row r="361" spans="1:11" x14ac:dyDescent="0.25">
      <c r="A361" s="44"/>
      <c r="B361" s="44"/>
      <c r="C361" s="44"/>
      <c r="D361" s="44"/>
      <c r="E361" s="44"/>
      <c r="F361" s="44"/>
      <c r="G361" s="44"/>
      <c r="H361" s="44"/>
      <c r="I361" s="8"/>
      <c r="J361" s="8"/>
      <c r="K361" s="8"/>
    </row>
    <row r="362" spans="1:11" x14ac:dyDescent="0.25">
      <c r="A362" s="44"/>
      <c r="B362" s="44"/>
      <c r="C362" s="44"/>
      <c r="D362" s="44"/>
      <c r="E362" s="44"/>
      <c r="F362" s="44"/>
      <c r="G362" s="44"/>
      <c r="H362" s="44"/>
      <c r="I362" s="8"/>
      <c r="J362" s="8"/>
      <c r="K362" s="8"/>
    </row>
    <row r="363" spans="1:11" x14ac:dyDescent="0.25">
      <c r="A363" s="44"/>
      <c r="B363" s="44"/>
      <c r="C363" s="44"/>
      <c r="D363" s="44"/>
      <c r="E363" s="44"/>
      <c r="F363" s="44"/>
      <c r="G363" s="44"/>
      <c r="H363" s="44"/>
      <c r="I363" s="8"/>
      <c r="J363" s="8"/>
      <c r="K363" s="8"/>
    </row>
    <row r="364" spans="1:11" x14ac:dyDescent="0.25">
      <c r="A364" s="44"/>
      <c r="B364" s="44"/>
      <c r="C364" s="44"/>
      <c r="D364" s="44"/>
      <c r="E364" s="44"/>
      <c r="F364" s="44"/>
      <c r="G364" s="44"/>
      <c r="H364" s="44"/>
      <c r="I364" s="8"/>
      <c r="J364" s="8"/>
      <c r="K364" s="8"/>
    </row>
    <row r="365" spans="1:11" x14ac:dyDescent="0.25">
      <c r="A365" s="44"/>
      <c r="B365" s="44"/>
      <c r="C365" s="44"/>
      <c r="D365" s="44"/>
      <c r="E365" s="44"/>
      <c r="F365" s="44"/>
      <c r="G365" s="44"/>
      <c r="H365" s="44"/>
      <c r="I365" s="8"/>
      <c r="J365" s="8"/>
      <c r="K365" s="8"/>
    </row>
    <row r="366" spans="1:11" x14ac:dyDescent="0.25">
      <c r="A366" s="44"/>
      <c r="B366" s="44"/>
      <c r="C366" s="44"/>
      <c r="D366" s="44"/>
      <c r="E366" s="44"/>
      <c r="F366" s="44"/>
      <c r="G366" s="44"/>
      <c r="H366" s="44"/>
      <c r="I366" s="8"/>
      <c r="J366" s="8"/>
      <c r="K366" s="8"/>
    </row>
    <row r="367" spans="1:11" x14ac:dyDescent="0.25">
      <c r="A367" s="44"/>
      <c r="B367" s="44"/>
      <c r="C367" s="44"/>
      <c r="D367" s="44"/>
      <c r="E367" s="44"/>
      <c r="F367" s="44"/>
      <c r="G367" s="44"/>
      <c r="H367" s="44"/>
      <c r="I367" s="8"/>
      <c r="J367" s="8"/>
      <c r="K367" s="8"/>
    </row>
    <row r="368" spans="1:11" x14ac:dyDescent="0.25">
      <c r="A368" s="44"/>
      <c r="B368" s="44"/>
      <c r="C368" s="44"/>
      <c r="D368" s="44"/>
      <c r="E368" s="44"/>
      <c r="F368" s="44"/>
      <c r="G368" s="44"/>
      <c r="H368" s="44"/>
      <c r="I368" s="8"/>
      <c r="J368" s="8"/>
      <c r="K368" s="8"/>
    </row>
    <row r="369" spans="1:11" x14ac:dyDescent="0.25">
      <c r="A369" s="44"/>
      <c r="B369" s="44"/>
      <c r="C369" s="44"/>
      <c r="D369" s="44"/>
      <c r="E369" s="44"/>
      <c r="F369" s="44"/>
      <c r="G369" s="44"/>
      <c r="H369" s="44"/>
      <c r="I369" s="8"/>
      <c r="J369" s="8"/>
      <c r="K369" s="8"/>
    </row>
    <row r="370" spans="1:11" x14ac:dyDescent="0.25">
      <c r="A370" s="44"/>
      <c r="B370" s="44"/>
      <c r="C370" s="44"/>
      <c r="D370" s="44"/>
      <c r="E370" s="44"/>
      <c r="F370" s="44"/>
      <c r="G370" s="44"/>
      <c r="H370" s="44"/>
      <c r="I370" s="8"/>
      <c r="J370" s="8"/>
      <c r="K370" s="8"/>
    </row>
    <row r="371" spans="1:11" x14ac:dyDescent="0.25">
      <c r="A371" s="44"/>
      <c r="B371" s="44"/>
      <c r="C371" s="44"/>
      <c r="D371" s="44"/>
      <c r="E371" s="44"/>
      <c r="F371" s="44"/>
      <c r="G371" s="44"/>
      <c r="H371" s="44"/>
      <c r="I371" s="8"/>
      <c r="J371" s="8"/>
      <c r="K371" s="8"/>
    </row>
    <row r="372" spans="1:11" x14ac:dyDescent="0.25">
      <c r="A372" s="44"/>
      <c r="B372" s="44"/>
      <c r="C372" s="44"/>
      <c r="D372" s="44"/>
      <c r="E372" s="44"/>
      <c r="F372" s="44"/>
      <c r="G372" s="44"/>
      <c r="H372" s="44"/>
      <c r="I372" s="8"/>
      <c r="J372" s="8"/>
      <c r="K372" s="8"/>
    </row>
    <row r="373" spans="1:11" x14ac:dyDescent="0.25">
      <c r="A373" s="44"/>
      <c r="B373" s="44"/>
      <c r="C373" s="44"/>
      <c r="D373" s="44"/>
      <c r="E373" s="44"/>
      <c r="F373" s="44"/>
      <c r="G373" s="44"/>
      <c r="H373" s="44"/>
      <c r="I373" s="8"/>
      <c r="J373" s="8"/>
      <c r="K373" s="8"/>
    </row>
    <row r="374" spans="1:11" x14ac:dyDescent="0.25">
      <c r="A374" s="44"/>
      <c r="B374" s="44"/>
      <c r="C374" s="44"/>
      <c r="D374" s="44"/>
      <c r="E374" s="44"/>
      <c r="F374" s="44"/>
      <c r="G374" s="44"/>
      <c r="H374" s="44"/>
      <c r="I374" s="8"/>
      <c r="J374" s="8"/>
      <c r="K374" s="8"/>
    </row>
    <row r="375" spans="1:11" x14ac:dyDescent="0.25">
      <c r="A375" s="44"/>
      <c r="B375" s="44"/>
      <c r="C375" s="44"/>
      <c r="D375" s="44"/>
      <c r="E375" s="44"/>
      <c r="F375" s="44"/>
      <c r="G375" s="44"/>
      <c r="H375" s="44"/>
      <c r="I375" s="8"/>
      <c r="J375" s="8"/>
      <c r="K375" s="8"/>
    </row>
    <row r="376" spans="1:11" x14ac:dyDescent="0.25">
      <c r="A376" s="44"/>
      <c r="B376" s="44"/>
      <c r="C376" s="44"/>
      <c r="D376" s="44"/>
      <c r="E376" s="44"/>
      <c r="F376" s="44"/>
      <c r="G376" s="44"/>
      <c r="H376" s="44"/>
      <c r="I376" s="8"/>
      <c r="J376" s="8"/>
      <c r="K376" s="8"/>
    </row>
    <row r="377" spans="1:11" x14ac:dyDescent="0.25">
      <c r="A377" s="44"/>
      <c r="B377" s="44"/>
      <c r="C377" s="44"/>
      <c r="D377" s="44"/>
      <c r="E377" s="44"/>
      <c r="F377" s="44"/>
      <c r="G377" s="44"/>
      <c r="H377" s="44"/>
      <c r="I377" s="8"/>
      <c r="J377" s="8"/>
      <c r="K377" s="8"/>
    </row>
    <row r="378" spans="1:11" x14ac:dyDescent="0.25">
      <c r="A378" s="44"/>
      <c r="B378" s="44"/>
      <c r="C378" s="44"/>
      <c r="D378" s="44"/>
      <c r="E378" s="44"/>
      <c r="F378" s="44"/>
      <c r="G378" s="44"/>
      <c r="H378" s="44"/>
      <c r="I378" s="8"/>
      <c r="J378" s="8"/>
      <c r="K378" s="8"/>
    </row>
    <row r="379" spans="1:11" x14ac:dyDescent="0.25">
      <c r="A379" s="44"/>
      <c r="B379" s="44"/>
      <c r="C379" s="44"/>
      <c r="D379" s="44"/>
      <c r="E379" s="44"/>
      <c r="F379" s="44"/>
      <c r="G379" s="44"/>
      <c r="H379" s="44"/>
      <c r="I379" s="8"/>
      <c r="J379" s="8"/>
      <c r="K379" s="8"/>
    </row>
    <row r="380" spans="1:11" x14ac:dyDescent="0.25">
      <c r="A380" s="44"/>
      <c r="B380" s="44"/>
      <c r="C380" s="44"/>
      <c r="D380" s="44"/>
      <c r="E380" s="44"/>
      <c r="F380" s="44"/>
      <c r="G380" s="44"/>
      <c r="H380" s="44"/>
      <c r="I380" s="8"/>
      <c r="J380" s="8"/>
      <c r="K380" s="8"/>
    </row>
    <row r="381" spans="1:11" x14ac:dyDescent="0.25">
      <c r="A381" s="44"/>
      <c r="B381" s="44"/>
      <c r="C381" s="44"/>
      <c r="D381" s="44"/>
      <c r="E381" s="44"/>
      <c r="F381" s="44"/>
      <c r="G381" s="44"/>
      <c r="H381" s="44"/>
      <c r="I381" s="8"/>
      <c r="J381" s="8"/>
      <c r="K381" s="8"/>
    </row>
    <row r="382" spans="1:11" x14ac:dyDescent="0.25">
      <c r="A382" s="44"/>
      <c r="B382" s="44"/>
      <c r="C382" s="44"/>
      <c r="D382" s="44"/>
      <c r="E382" s="44"/>
      <c r="F382" s="44"/>
      <c r="G382" s="44"/>
      <c r="H382" s="44"/>
      <c r="I382" s="8"/>
      <c r="J382" s="8"/>
      <c r="K382" s="8"/>
    </row>
    <row r="383" spans="1:11" x14ac:dyDescent="0.25">
      <c r="A383" s="44"/>
      <c r="B383" s="44"/>
      <c r="C383" s="44"/>
      <c r="D383" s="44"/>
      <c r="E383" s="44"/>
      <c r="F383" s="44"/>
      <c r="G383" s="44"/>
      <c r="H383" s="44"/>
      <c r="I383" s="8"/>
      <c r="J383" s="8"/>
      <c r="K383" s="8"/>
    </row>
    <row r="384" spans="1:11" x14ac:dyDescent="0.25">
      <c r="A384" s="44"/>
      <c r="B384" s="44"/>
      <c r="C384" s="44"/>
      <c r="D384" s="44"/>
      <c r="E384" s="44"/>
      <c r="F384" s="44"/>
      <c r="G384" s="44"/>
      <c r="H384" s="44"/>
      <c r="I384" s="8"/>
      <c r="J384" s="8"/>
      <c r="K384" s="8"/>
    </row>
    <row r="385" spans="1:11" x14ac:dyDescent="0.25">
      <c r="A385" s="44"/>
      <c r="B385" s="44"/>
      <c r="C385" s="44"/>
      <c r="D385" s="44"/>
      <c r="E385" s="44"/>
      <c r="F385" s="44"/>
      <c r="G385" s="44"/>
      <c r="H385" s="44"/>
      <c r="I385" s="8"/>
      <c r="J385" s="8"/>
      <c r="K385" s="8"/>
    </row>
    <row r="386" spans="1:11" x14ac:dyDescent="0.25">
      <c r="A386" s="44"/>
      <c r="B386" s="44"/>
      <c r="C386" s="44"/>
      <c r="D386" s="44"/>
      <c r="E386" s="44"/>
      <c r="F386" s="44"/>
      <c r="G386" s="44"/>
      <c r="H386" s="44"/>
      <c r="I386" s="8"/>
      <c r="J386" s="8"/>
      <c r="K386" s="8"/>
    </row>
    <row r="387" spans="1:11" x14ac:dyDescent="0.25">
      <c r="A387" s="44"/>
      <c r="B387" s="44"/>
      <c r="C387" s="44"/>
      <c r="D387" s="44"/>
      <c r="E387" s="44"/>
      <c r="F387" s="44"/>
      <c r="G387" s="44"/>
      <c r="H387" s="44"/>
      <c r="I387" s="8"/>
      <c r="J387" s="8"/>
      <c r="K387" s="8"/>
    </row>
    <row r="388" spans="1:11" x14ac:dyDescent="0.25">
      <c r="A388" s="44"/>
      <c r="B388" s="44"/>
      <c r="C388" s="44"/>
      <c r="D388" s="44"/>
      <c r="E388" s="44"/>
      <c r="F388" s="44"/>
      <c r="G388" s="44"/>
      <c r="H388" s="44"/>
      <c r="I388" s="8"/>
      <c r="J388" s="8"/>
      <c r="K388" s="8"/>
    </row>
    <row r="389" spans="1:11" x14ac:dyDescent="0.25">
      <c r="A389" s="44"/>
      <c r="B389" s="44"/>
      <c r="C389" s="44"/>
      <c r="D389" s="44"/>
      <c r="E389" s="44"/>
      <c r="F389" s="44"/>
      <c r="G389" s="44"/>
      <c r="H389" s="44"/>
      <c r="I389" s="8"/>
      <c r="J389" s="8"/>
      <c r="K389" s="8"/>
    </row>
    <row r="390" spans="1:11" x14ac:dyDescent="0.25">
      <c r="A390" s="44"/>
      <c r="B390" s="44"/>
      <c r="C390" s="44"/>
      <c r="D390" s="44"/>
      <c r="E390" s="44"/>
      <c r="F390" s="44"/>
      <c r="G390" s="44"/>
      <c r="H390" s="44"/>
      <c r="I390" s="8"/>
      <c r="J390" s="8"/>
      <c r="K390" s="8"/>
    </row>
    <row r="391" spans="1:11" x14ac:dyDescent="0.25">
      <c r="A391" s="44"/>
      <c r="B391" s="44"/>
      <c r="C391" s="44"/>
      <c r="D391" s="44"/>
      <c r="E391" s="44"/>
      <c r="F391" s="44"/>
      <c r="G391" s="44"/>
      <c r="H391" s="44"/>
      <c r="I391" s="8"/>
      <c r="J391" s="8"/>
      <c r="K391" s="8"/>
    </row>
    <row r="392" spans="1:11" x14ac:dyDescent="0.25">
      <c r="A392" s="44"/>
      <c r="B392" s="44"/>
      <c r="C392" s="44"/>
      <c r="D392" s="44"/>
      <c r="E392" s="44"/>
      <c r="F392" s="44"/>
      <c r="G392" s="44"/>
      <c r="H392" s="44"/>
      <c r="I392" s="8"/>
      <c r="J392" s="8"/>
      <c r="K392" s="8"/>
    </row>
    <row r="393" spans="1:11" x14ac:dyDescent="0.25">
      <c r="A393" s="44"/>
      <c r="B393" s="44"/>
      <c r="C393" s="44"/>
      <c r="D393" s="44"/>
      <c r="E393" s="44"/>
      <c r="F393" s="44"/>
      <c r="G393" s="44"/>
      <c r="H393" s="44"/>
      <c r="I393" s="8"/>
      <c r="J393" s="8"/>
      <c r="K393" s="8"/>
    </row>
    <row r="394" spans="1:11" x14ac:dyDescent="0.25">
      <c r="A394" s="44"/>
      <c r="B394" s="44"/>
      <c r="C394" s="44"/>
      <c r="D394" s="44"/>
      <c r="E394" s="44"/>
      <c r="F394" s="44"/>
      <c r="G394" s="44"/>
      <c r="H394" s="44"/>
      <c r="I394" s="8"/>
      <c r="J394" s="8"/>
      <c r="K394" s="8"/>
    </row>
    <row r="395" spans="1:11" x14ac:dyDescent="0.25">
      <c r="A395" s="44"/>
      <c r="B395" s="44"/>
      <c r="C395" s="44"/>
      <c r="D395" s="44"/>
      <c r="E395" s="44"/>
      <c r="F395" s="44"/>
      <c r="G395" s="44"/>
      <c r="H395" s="44"/>
      <c r="I395" s="8"/>
      <c r="J395" s="8"/>
      <c r="K395" s="8"/>
    </row>
    <row r="396" spans="1:11" x14ac:dyDescent="0.25">
      <c r="A396" s="44"/>
      <c r="B396" s="44"/>
      <c r="C396" s="44"/>
      <c r="D396" s="44"/>
      <c r="E396" s="44"/>
      <c r="F396" s="44"/>
      <c r="G396" s="44"/>
      <c r="H396" s="44"/>
      <c r="I396" s="8"/>
      <c r="J396" s="8"/>
      <c r="K396" s="8"/>
    </row>
    <row r="397" spans="1:11" x14ac:dyDescent="0.25">
      <c r="A397" s="44"/>
      <c r="B397" s="44"/>
      <c r="C397" s="44"/>
      <c r="D397" s="44"/>
      <c r="E397" s="44"/>
      <c r="F397" s="44"/>
      <c r="G397" s="44"/>
      <c r="H397" s="44"/>
      <c r="I397" s="8"/>
      <c r="J397" s="8"/>
      <c r="K397" s="8"/>
    </row>
    <row r="398" spans="1:11" x14ac:dyDescent="0.25">
      <c r="A398" s="44"/>
      <c r="B398" s="44"/>
      <c r="C398" s="44"/>
      <c r="D398" s="44"/>
      <c r="E398" s="44"/>
      <c r="F398" s="44"/>
      <c r="G398" s="44"/>
      <c r="H398" s="44"/>
      <c r="I398" s="8"/>
      <c r="J398" s="8"/>
      <c r="K398" s="8"/>
    </row>
    <row r="399" spans="1:11" x14ac:dyDescent="0.25">
      <c r="A399" s="44"/>
      <c r="B399" s="44"/>
      <c r="C399" s="44"/>
      <c r="D399" s="44"/>
      <c r="E399" s="44"/>
      <c r="F399" s="44"/>
      <c r="G399" s="44"/>
      <c r="H399" s="44"/>
      <c r="I399" s="8"/>
      <c r="J399" s="8"/>
      <c r="K399" s="8"/>
    </row>
    <row r="400" spans="1:11" x14ac:dyDescent="0.25">
      <c r="A400" s="44"/>
      <c r="B400" s="44"/>
      <c r="C400" s="44"/>
      <c r="D400" s="44"/>
      <c r="E400" s="44"/>
      <c r="F400" s="44"/>
      <c r="G400" s="44"/>
      <c r="H400" s="44"/>
      <c r="I400" s="8"/>
      <c r="J400" s="8"/>
      <c r="K400" s="8"/>
    </row>
    <row r="401" spans="1:11" x14ac:dyDescent="0.25">
      <c r="A401" s="44"/>
      <c r="B401" s="44"/>
      <c r="C401" s="44"/>
      <c r="D401" s="44"/>
      <c r="E401" s="44"/>
      <c r="F401" s="44"/>
      <c r="G401" s="44"/>
      <c r="H401" s="44"/>
      <c r="I401" s="8"/>
      <c r="J401" s="8"/>
      <c r="K401" s="8"/>
    </row>
    <row r="402" spans="1:11" x14ac:dyDescent="0.25">
      <c r="A402" s="44"/>
      <c r="B402" s="44"/>
      <c r="C402" s="44"/>
      <c r="D402" s="44"/>
      <c r="E402" s="44"/>
      <c r="F402" s="44"/>
      <c r="G402" s="44"/>
      <c r="H402" s="44"/>
      <c r="I402" s="8"/>
      <c r="J402" s="8"/>
      <c r="K402" s="8"/>
    </row>
    <row r="403" spans="1:11" x14ac:dyDescent="0.25">
      <c r="A403" s="44"/>
      <c r="B403" s="44"/>
      <c r="C403" s="44"/>
      <c r="D403" s="44"/>
      <c r="E403" s="44"/>
      <c r="F403" s="44"/>
      <c r="G403" s="44"/>
      <c r="H403" s="44"/>
      <c r="I403" s="8"/>
      <c r="J403" s="8"/>
      <c r="K403" s="8"/>
    </row>
    <row r="404" spans="1:11" x14ac:dyDescent="0.25">
      <c r="A404" s="44"/>
      <c r="B404" s="44"/>
      <c r="C404" s="44"/>
      <c r="D404" s="44"/>
      <c r="E404" s="44"/>
      <c r="F404" s="44"/>
      <c r="G404" s="44"/>
      <c r="H404" s="44"/>
      <c r="I404" s="8"/>
      <c r="J404" s="8"/>
      <c r="K404" s="8"/>
    </row>
    <row r="405" spans="1:11" x14ac:dyDescent="0.25">
      <c r="A405" s="44"/>
      <c r="B405" s="44"/>
      <c r="C405" s="44"/>
      <c r="D405" s="44"/>
      <c r="E405" s="44"/>
      <c r="F405" s="44"/>
      <c r="G405" s="44"/>
      <c r="H405" s="44"/>
      <c r="I405" s="8"/>
      <c r="J405" s="8"/>
      <c r="K405" s="8"/>
    </row>
    <row r="406" spans="1:11" x14ac:dyDescent="0.25">
      <c r="A406" s="44"/>
      <c r="B406" s="44"/>
      <c r="C406" s="44"/>
      <c r="D406" s="44"/>
      <c r="E406" s="44"/>
      <c r="F406" s="44"/>
      <c r="G406" s="44"/>
      <c r="H406" s="44"/>
      <c r="I406" s="8"/>
      <c r="J406" s="8"/>
      <c r="K406" s="8"/>
    </row>
    <row r="407" spans="1:11" x14ac:dyDescent="0.25">
      <c r="A407" s="44"/>
      <c r="B407" s="44"/>
      <c r="C407" s="44"/>
      <c r="D407" s="44"/>
      <c r="E407" s="44"/>
      <c r="F407" s="44"/>
      <c r="G407" s="44"/>
      <c r="H407" s="44"/>
      <c r="I407" s="8"/>
      <c r="J407" s="8"/>
      <c r="K407" s="8"/>
    </row>
    <row r="408" spans="1:11" x14ac:dyDescent="0.25">
      <c r="A408" s="44"/>
      <c r="B408" s="44"/>
      <c r="C408" s="44"/>
      <c r="D408" s="44"/>
      <c r="E408" s="44"/>
      <c r="F408" s="44"/>
      <c r="G408" s="44"/>
      <c r="H408" s="44"/>
      <c r="I408" s="8"/>
      <c r="J408" s="8"/>
      <c r="K408" s="8"/>
    </row>
    <row r="409" spans="1:11" x14ac:dyDescent="0.25">
      <c r="A409" s="44"/>
      <c r="B409" s="44"/>
      <c r="C409" s="44"/>
      <c r="D409" s="44"/>
      <c r="E409" s="44"/>
      <c r="F409" s="44"/>
      <c r="G409" s="44"/>
      <c r="H409" s="44"/>
      <c r="I409" s="8"/>
      <c r="J409" s="8"/>
      <c r="K409" s="8"/>
    </row>
    <row r="410" spans="1:11" x14ac:dyDescent="0.25">
      <c r="A410" s="44"/>
      <c r="B410" s="44"/>
      <c r="C410" s="44"/>
      <c r="D410" s="44"/>
      <c r="E410" s="44"/>
      <c r="F410" s="44"/>
      <c r="G410" s="44"/>
      <c r="H410" s="44"/>
      <c r="I410" s="8"/>
      <c r="J410" s="8"/>
      <c r="K410" s="8"/>
    </row>
    <row r="411" spans="1:11" x14ac:dyDescent="0.25">
      <c r="A411" s="44"/>
      <c r="B411" s="44"/>
      <c r="C411" s="44"/>
      <c r="D411" s="44"/>
      <c r="E411" s="44"/>
      <c r="F411" s="44"/>
      <c r="G411" s="44"/>
      <c r="H411" s="44"/>
      <c r="I411" s="8"/>
      <c r="J411" s="8"/>
      <c r="K411" s="8"/>
    </row>
    <row r="412" spans="1:11" x14ac:dyDescent="0.25">
      <c r="A412" s="44"/>
      <c r="B412" s="44"/>
      <c r="C412" s="44"/>
      <c r="D412" s="44"/>
      <c r="E412" s="44"/>
      <c r="F412" s="44"/>
      <c r="G412" s="44"/>
      <c r="H412" s="44"/>
      <c r="I412" s="8"/>
      <c r="J412" s="8"/>
      <c r="K412" s="8"/>
    </row>
    <row r="413" spans="1:11" x14ac:dyDescent="0.25">
      <c r="A413" s="44"/>
      <c r="B413" s="44"/>
      <c r="C413" s="44"/>
      <c r="D413" s="44"/>
      <c r="E413" s="44"/>
      <c r="F413" s="44"/>
      <c r="G413" s="44"/>
      <c r="H413" s="44"/>
      <c r="I413" s="8"/>
      <c r="J413" s="8"/>
      <c r="K413" s="8"/>
    </row>
    <row r="414" spans="1:11" x14ac:dyDescent="0.25">
      <c r="A414" s="44"/>
      <c r="B414" s="44"/>
      <c r="C414" s="44"/>
      <c r="D414" s="44"/>
      <c r="E414" s="44"/>
      <c r="F414" s="44"/>
      <c r="G414" s="44"/>
      <c r="H414" s="44"/>
      <c r="I414" s="8"/>
      <c r="J414" s="8"/>
      <c r="K414" s="8"/>
    </row>
    <row r="415" spans="1:11" x14ac:dyDescent="0.25">
      <c r="A415" s="44"/>
      <c r="B415" s="44"/>
      <c r="C415" s="44"/>
      <c r="D415" s="44"/>
      <c r="E415" s="44"/>
      <c r="F415" s="44"/>
      <c r="G415" s="44"/>
      <c r="H415" s="44"/>
      <c r="I415" s="8"/>
      <c r="J415" s="8"/>
      <c r="K415" s="8"/>
    </row>
    <row r="416" spans="1:11" x14ac:dyDescent="0.25">
      <c r="A416" s="44"/>
      <c r="B416" s="44"/>
      <c r="C416" s="44"/>
      <c r="D416" s="44"/>
      <c r="E416" s="44"/>
      <c r="F416" s="44"/>
      <c r="G416" s="44"/>
      <c r="H416" s="44"/>
      <c r="I416" s="8"/>
      <c r="J416" s="8"/>
      <c r="K416" s="8"/>
    </row>
    <row r="417" spans="1:11" x14ac:dyDescent="0.25">
      <c r="A417" s="44"/>
      <c r="B417" s="44"/>
      <c r="C417" s="44"/>
      <c r="D417" s="44"/>
      <c r="E417" s="44"/>
      <c r="F417" s="44"/>
      <c r="G417" s="44"/>
      <c r="H417" s="44"/>
      <c r="I417" s="8"/>
      <c r="J417" s="8"/>
      <c r="K417" s="8"/>
    </row>
    <row r="418" spans="1:11" x14ac:dyDescent="0.25">
      <c r="A418" s="44"/>
      <c r="B418" s="44"/>
      <c r="C418" s="44"/>
      <c r="D418" s="44"/>
      <c r="E418" s="44"/>
      <c r="F418" s="44"/>
      <c r="G418" s="44"/>
      <c r="H418" s="44"/>
      <c r="I418" s="8"/>
      <c r="J418" s="8"/>
      <c r="K418" s="8"/>
    </row>
    <row r="419" spans="1:11" x14ac:dyDescent="0.25">
      <c r="A419" s="44"/>
      <c r="B419" s="44"/>
      <c r="C419" s="44"/>
      <c r="D419" s="44"/>
      <c r="E419" s="44"/>
      <c r="F419" s="44"/>
      <c r="G419" s="44"/>
      <c r="H419" s="44"/>
      <c r="I419" s="8"/>
      <c r="J419" s="8"/>
      <c r="K419" s="8"/>
    </row>
    <row r="420" spans="1:11" x14ac:dyDescent="0.25">
      <c r="A420" s="44"/>
      <c r="B420" s="44"/>
      <c r="C420" s="44"/>
      <c r="D420" s="44"/>
      <c r="E420" s="44"/>
      <c r="F420" s="44"/>
      <c r="G420" s="44"/>
      <c r="H420" s="44"/>
      <c r="I420" s="8"/>
      <c r="J420" s="8"/>
      <c r="K420" s="8"/>
    </row>
    <row r="421" spans="1:11" x14ac:dyDescent="0.25">
      <c r="A421" s="44"/>
      <c r="B421" s="44"/>
      <c r="C421" s="44"/>
      <c r="D421" s="44"/>
      <c r="E421" s="44"/>
      <c r="F421" s="44"/>
      <c r="G421" s="44"/>
      <c r="H421" s="44"/>
      <c r="I421" s="8"/>
      <c r="J421" s="8"/>
      <c r="K421" s="8"/>
    </row>
    <row r="422" spans="1:11" x14ac:dyDescent="0.25">
      <c r="A422" s="44"/>
      <c r="B422" s="44"/>
      <c r="C422" s="44"/>
      <c r="D422" s="44"/>
      <c r="E422" s="44"/>
      <c r="F422" s="44"/>
      <c r="G422" s="44"/>
      <c r="H422" s="44"/>
      <c r="I422" s="8"/>
      <c r="J422" s="8"/>
      <c r="K422" s="8"/>
    </row>
    <row r="423" spans="1:11" x14ac:dyDescent="0.25">
      <c r="A423" s="44"/>
      <c r="B423" s="44"/>
      <c r="C423" s="44"/>
      <c r="D423" s="44"/>
      <c r="E423" s="44"/>
      <c r="F423" s="44"/>
      <c r="G423" s="44"/>
      <c r="H423" s="44"/>
      <c r="I423" s="8"/>
      <c r="J423" s="8"/>
      <c r="K423" s="8"/>
    </row>
    <row r="424" spans="1:11" x14ac:dyDescent="0.25">
      <c r="A424" s="44"/>
      <c r="B424" s="44"/>
      <c r="C424" s="44"/>
      <c r="D424" s="44"/>
      <c r="E424" s="44"/>
      <c r="F424" s="44"/>
      <c r="G424" s="44"/>
      <c r="H424" s="44"/>
      <c r="I424" s="8"/>
      <c r="J424" s="8"/>
      <c r="K424" s="8"/>
    </row>
    <row r="425" spans="1:11" x14ac:dyDescent="0.25">
      <c r="A425" s="44"/>
      <c r="B425" s="44"/>
      <c r="C425" s="44"/>
      <c r="D425" s="44"/>
      <c r="E425" s="44"/>
      <c r="F425" s="44"/>
      <c r="G425" s="44"/>
      <c r="H425" s="44"/>
      <c r="I425" s="8"/>
      <c r="J425" s="8"/>
      <c r="K425" s="8"/>
    </row>
    <row r="426" spans="1:11" x14ac:dyDescent="0.25">
      <c r="A426" s="44"/>
      <c r="B426" s="44"/>
      <c r="C426" s="44"/>
      <c r="D426" s="44"/>
      <c r="E426" s="44"/>
      <c r="F426" s="44"/>
      <c r="G426" s="44"/>
      <c r="H426" s="44"/>
      <c r="I426" s="8"/>
      <c r="J426" s="8"/>
      <c r="K426" s="8"/>
    </row>
    <row r="427" spans="1:11" x14ac:dyDescent="0.25">
      <c r="A427" s="44"/>
      <c r="B427" s="44"/>
      <c r="C427" s="44"/>
      <c r="D427" s="44"/>
      <c r="E427" s="44"/>
      <c r="F427" s="44"/>
      <c r="G427" s="44"/>
      <c r="H427" s="44"/>
      <c r="I427" s="8"/>
      <c r="J427" s="8"/>
      <c r="K427" s="8"/>
    </row>
    <row r="428" spans="1:11" x14ac:dyDescent="0.25">
      <c r="A428" s="44"/>
      <c r="B428" s="44"/>
      <c r="C428" s="44"/>
      <c r="D428" s="44"/>
      <c r="E428" s="44"/>
      <c r="F428" s="44"/>
      <c r="G428" s="44"/>
      <c r="H428" s="44"/>
      <c r="I428" s="8"/>
      <c r="J428" s="8"/>
      <c r="K428" s="8"/>
    </row>
    <row r="429" spans="1:11" x14ac:dyDescent="0.25">
      <c r="A429" s="44"/>
      <c r="B429" s="44"/>
      <c r="C429" s="44"/>
      <c r="D429" s="44"/>
      <c r="E429" s="44"/>
      <c r="F429" s="44"/>
      <c r="G429" s="44"/>
      <c r="H429" s="44"/>
      <c r="I429" s="8"/>
      <c r="J429" s="8"/>
      <c r="K429" s="8"/>
    </row>
    <row r="430" spans="1:11" x14ac:dyDescent="0.25">
      <c r="A430" s="44"/>
      <c r="B430" s="44"/>
      <c r="C430" s="44"/>
      <c r="D430" s="44"/>
      <c r="E430" s="44"/>
      <c r="F430" s="44"/>
      <c r="G430" s="44"/>
      <c r="H430" s="44"/>
      <c r="I430" s="8"/>
      <c r="J430" s="8"/>
      <c r="K430" s="8"/>
    </row>
    <row r="431" spans="1:11" x14ac:dyDescent="0.25">
      <c r="A431" s="44"/>
      <c r="B431" s="44"/>
      <c r="C431" s="44"/>
      <c r="D431" s="44"/>
      <c r="E431" s="44"/>
      <c r="F431" s="44"/>
      <c r="G431" s="44"/>
      <c r="H431" s="44"/>
      <c r="I431" s="8"/>
      <c r="J431" s="8"/>
      <c r="K431" s="8"/>
    </row>
    <row r="432" spans="1:11" x14ac:dyDescent="0.25">
      <c r="A432" s="44"/>
      <c r="B432" s="44"/>
      <c r="C432" s="44"/>
      <c r="D432" s="44"/>
      <c r="E432" s="44"/>
      <c r="F432" s="44"/>
      <c r="G432" s="44"/>
      <c r="H432" s="44"/>
      <c r="I432" s="8"/>
      <c r="J432" s="8"/>
      <c r="K432" s="8"/>
    </row>
    <row r="433" spans="1:11" x14ac:dyDescent="0.25">
      <c r="A433" s="44"/>
      <c r="B433" s="44"/>
      <c r="C433" s="44"/>
      <c r="D433" s="44"/>
      <c r="E433" s="44"/>
      <c r="F433" s="44"/>
      <c r="G433" s="44"/>
      <c r="H433" s="44"/>
      <c r="I433" s="8"/>
      <c r="J433" s="8"/>
      <c r="K433" s="8"/>
    </row>
    <row r="434" spans="1:11" x14ac:dyDescent="0.25">
      <c r="A434" s="44"/>
      <c r="B434" s="44"/>
      <c r="C434" s="44"/>
      <c r="D434" s="44"/>
      <c r="E434" s="44"/>
      <c r="F434" s="44"/>
      <c r="G434" s="44"/>
      <c r="H434" s="44"/>
      <c r="I434" s="8"/>
      <c r="J434" s="8"/>
      <c r="K434" s="8"/>
    </row>
    <row r="435" spans="1:11" x14ac:dyDescent="0.25">
      <c r="A435" s="44"/>
      <c r="B435" s="44"/>
      <c r="C435" s="44"/>
      <c r="D435" s="44"/>
      <c r="E435" s="44"/>
      <c r="F435" s="44"/>
      <c r="G435" s="44"/>
      <c r="H435" s="44"/>
      <c r="I435" s="8"/>
      <c r="J435" s="8"/>
      <c r="K435" s="8"/>
    </row>
    <row r="436" spans="1:11" x14ac:dyDescent="0.25">
      <c r="A436" s="44"/>
      <c r="B436" s="44"/>
      <c r="C436" s="44"/>
      <c r="D436" s="44"/>
      <c r="E436" s="44"/>
      <c r="F436" s="44"/>
      <c r="G436" s="44"/>
      <c r="H436" s="44"/>
      <c r="I436" s="8"/>
      <c r="J436" s="8"/>
      <c r="K436" s="8"/>
    </row>
    <row r="437" spans="1:11" x14ac:dyDescent="0.25">
      <c r="A437" s="44"/>
      <c r="B437" s="44"/>
      <c r="C437" s="44"/>
      <c r="D437" s="44"/>
      <c r="E437" s="44"/>
      <c r="F437" s="44"/>
      <c r="G437" s="44"/>
      <c r="H437" s="44"/>
      <c r="I437" s="8"/>
      <c r="J437" s="8"/>
      <c r="K437" s="8"/>
    </row>
    <row r="438" spans="1:11" x14ac:dyDescent="0.25">
      <c r="A438" s="44"/>
      <c r="B438" s="44"/>
      <c r="C438" s="44"/>
      <c r="D438" s="44"/>
      <c r="E438" s="44"/>
      <c r="F438" s="44"/>
      <c r="G438" s="44"/>
      <c r="H438" s="44"/>
      <c r="I438" s="8"/>
      <c r="J438" s="8"/>
      <c r="K438" s="8"/>
    </row>
    <row r="439" spans="1:11" x14ac:dyDescent="0.25">
      <c r="A439" s="44"/>
      <c r="B439" s="44"/>
      <c r="C439" s="44"/>
      <c r="D439" s="44"/>
      <c r="E439" s="44"/>
      <c r="F439" s="44"/>
      <c r="G439" s="44"/>
      <c r="H439" s="44"/>
      <c r="I439" s="8"/>
      <c r="J439" s="8"/>
      <c r="K439" s="8"/>
    </row>
    <row r="440" spans="1:11" x14ac:dyDescent="0.25">
      <c r="A440" s="44"/>
      <c r="B440" s="44"/>
      <c r="C440" s="44"/>
      <c r="D440" s="44"/>
      <c r="E440" s="44"/>
      <c r="F440" s="44"/>
      <c r="G440" s="44"/>
      <c r="H440" s="44"/>
      <c r="I440" s="8"/>
      <c r="J440" s="8"/>
      <c r="K440" s="8"/>
    </row>
    <row r="441" spans="1:11" x14ac:dyDescent="0.25">
      <c r="A441" s="44"/>
      <c r="B441" s="44"/>
      <c r="C441" s="44"/>
      <c r="D441" s="44"/>
      <c r="E441" s="44"/>
      <c r="F441" s="44"/>
      <c r="G441" s="44"/>
      <c r="H441" s="44"/>
      <c r="I441" s="8"/>
      <c r="J441" s="8"/>
      <c r="K441" s="8"/>
    </row>
    <row r="442" spans="1:11" x14ac:dyDescent="0.25">
      <c r="A442" s="44"/>
      <c r="B442" s="44"/>
      <c r="C442" s="44"/>
      <c r="D442" s="44"/>
      <c r="E442" s="44"/>
      <c r="F442" s="44"/>
      <c r="G442" s="44"/>
      <c r="H442" s="44"/>
      <c r="I442" s="8"/>
      <c r="J442" s="8"/>
      <c r="K442" s="8"/>
    </row>
    <row r="443" spans="1:11" x14ac:dyDescent="0.25">
      <c r="A443" s="44"/>
      <c r="B443" s="44"/>
      <c r="C443" s="44"/>
      <c r="D443" s="44"/>
      <c r="E443" s="44"/>
      <c r="F443" s="44"/>
      <c r="G443" s="44"/>
      <c r="H443" s="44"/>
      <c r="I443" s="8"/>
      <c r="J443" s="8"/>
      <c r="K443" s="8"/>
    </row>
    <row r="444" spans="1:11" x14ac:dyDescent="0.25">
      <c r="A444" s="44"/>
      <c r="B444" s="44"/>
      <c r="C444" s="44"/>
      <c r="D444" s="44"/>
      <c r="E444" s="44"/>
      <c r="F444" s="44"/>
      <c r="G444" s="44"/>
      <c r="H444" s="44"/>
      <c r="I444" s="8"/>
      <c r="J444" s="8"/>
      <c r="K444" s="8"/>
    </row>
    <row r="445" spans="1:11" x14ac:dyDescent="0.25">
      <c r="A445" s="44"/>
      <c r="B445" s="44"/>
      <c r="C445" s="44"/>
      <c r="D445" s="44"/>
      <c r="E445" s="44"/>
      <c r="F445" s="44"/>
      <c r="G445" s="44"/>
      <c r="H445" s="44"/>
      <c r="I445" s="8"/>
      <c r="J445" s="8"/>
      <c r="K445" s="8"/>
    </row>
    <row r="446" spans="1:11" x14ac:dyDescent="0.25">
      <c r="A446" s="44"/>
      <c r="B446" s="44"/>
      <c r="C446" s="44"/>
      <c r="D446" s="44"/>
      <c r="E446" s="44"/>
      <c r="F446" s="44"/>
      <c r="G446" s="44"/>
      <c r="H446" s="44"/>
      <c r="I446" s="8"/>
      <c r="J446" s="8"/>
      <c r="K446" s="8"/>
    </row>
    <row r="447" spans="1:11" x14ac:dyDescent="0.25">
      <c r="A447" s="44"/>
      <c r="B447" s="44"/>
      <c r="C447" s="44"/>
      <c r="D447" s="44"/>
      <c r="E447" s="44"/>
      <c r="F447" s="44"/>
      <c r="G447" s="44"/>
      <c r="H447" s="44"/>
      <c r="I447" s="8"/>
      <c r="J447" s="8"/>
      <c r="K447" s="8"/>
    </row>
    <row r="448" spans="1:11" x14ac:dyDescent="0.25">
      <c r="A448" s="44"/>
      <c r="B448" s="44"/>
      <c r="C448" s="44"/>
      <c r="D448" s="44"/>
      <c r="E448" s="44"/>
      <c r="F448" s="44"/>
      <c r="G448" s="44"/>
      <c r="H448" s="44"/>
      <c r="I448" s="8"/>
      <c r="J448" s="8"/>
      <c r="K448" s="8"/>
    </row>
    <row r="449" spans="1:11" x14ac:dyDescent="0.25">
      <c r="A449" s="44"/>
      <c r="B449" s="44"/>
      <c r="C449" s="44"/>
      <c r="D449" s="44"/>
      <c r="E449" s="44"/>
      <c r="F449" s="44"/>
      <c r="G449" s="44"/>
      <c r="H449" s="44"/>
      <c r="I449" s="8"/>
      <c r="J449" s="8"/>
      <c r="K449" s="8"/>
    </row>
    <row r="450" spans="1:11" x14ac:dyDescent="0.25">
      <c r="A450" s="44"/>
      <c r="B450" s="44"/>
      <c r="C450" s="44"/>
      <c r="D450" s="44"/>
      <c r="E450" s="44"/>
      <c r="F450" s="44"/>
      <c r="G450" s="44"/>
      <c r="H450" s="44"/>
      <c r="I450" s="8"/>
      <c r="J450" s="8"/>
      <c r="K450" s="8"/>
    </row>
    <row r="451" spans="1:11" x14ac:dyDescent="0.25">
      <c r="A451" s="44"/>
      <c r="B451" s="44"/>
      <c r="C451" s="44"/>
      <c r="D451" s="44"/>
      <c r="E451" s="44"/>
      <c r="F451" s="44"/>
      <c r="G451" s="44"/>
      <c r="H451" s="44"/>
      <c r="I451" s="8"/>
      <c r="J451" s="8"/>
      <c r="K451" s="8"/>
    </row>
    <row r="452" spans="1:11" x14ac:dyDescent="0.25">
      <c r="A452" s="44"/>
      <c r="B452" s="44"/>
      <c r="C452" s="44"/>
      <c r="D452" s="44"/>
      <c r="E452" s="44"/>
      <c r="F452" s="44"/>
      <c r="G452" s="44"/>
      <c r="H452" s="44"/>
      <c r="I452" s="8"/>
      <c r="J452" s="8"/>
      <c r="K452" s="8"/>
    </row>
    <row r="453" spans="1:11" x14ac:dyDescent="0.25">
      <c r="A453" s="44"/>
      <c r="B453" s="44"/>
      <c r="C453" s="44"/>
      <c r="D453" s="44"/>
      <c r="E453" s="44"/>
      <c r="F453" s="44"/>
      <c r="G453" s="44"/>
      <c r="H453" s="44"/>
      <c r="I453" s="8"/>
      <c r="J453" s="8"/>
      <c r="K453" s="8"/>
    </row>
    <row r="454" spans="1:11" x14ac:dyDescent="0.25">
      <c r="A454" s="44"/>
      <c r="B454" s="44"/>
      <c r="C454" s="44"/>
      <c r="D454" s="44"/>
      <c r="E454" s="44"/>
      <c r="F454" s="44"/>
      <c r="G454" s="44"/>
      <c r="H454" s="44"/>
      <c r="I454" s="8"/>
      <c r="J454" s="8"/>
      <c r="K454" s="8"/>
    </row>
    <row r="455" spans="1:11" x14ac:dyDescent="0.25">
      <c r="A455" s="44"/>
      <c r="B455" s="44"/>
      <c r="C455" s="44"/>
      <c r="D455" s="44"/>
      <c r="E455" s="44"/>
      <c r="F455" s="44"/>
      <c r="G455" s="44"/>
      <c r="H455" s="44"/>
      <c r="I455" s="8"/>
      <c r="J455" s="8"/>
      <c r="K455" s="8"/>
    </row>
    <row r="456" spans="1:11" x14ac:dyDescent="0.25">
      <c r="A456" s="44"/>
      <c r="B456" s="44"/>
      <c r="C456" s="44"/>
      <c r="D456" s="44"/>
      <c r="E456" s="44"/>
      <c r="F456" s="44"/>
      <c r="G456" s="44"/>
      <c r="H456" s="44"/>
      <c r="I456" s="8"/>
      <c r="J456" s="8"/>
      <c r="K456" s="8"/>
    </row>
    <row r="457" spans="1:11" x14ac:dyDescent="0.25">
      <c r="A457" s="44"/>
      <c r="B457" s="44"/>
      <c r="C457" s="44"/>
      <c r="D457" s="44"/>
      <c r="E457" s="44"/>
      <c r="F457" s="44"/>
      <c r="G457" s="44"/>
      <c r="H457" s="44"/>
      <c r="I457" s="8"/>
      <c r="J457" s="8"/>
      <c r="K457" s="8"/>
    </row>
    <row r="458" spans="1:11" x14ac:dyDescent="0.25">
      <c r="A458" s="44"/>
      <c r="B458" s="44"/>
      <c r="C458" s="44"/>
      <c r="D458" s="44"/>
      <c r="E458" s="44"/>
      <c r="F458" s="44"/>
      <c r="G458" s="44"/>
      <c r="H458" s="44"/>
      <c r="I458" s="8"/>
      <c r="J458" s="8"/>
      <c r="K458" s="8"/>
    </row>
    <row r="459" spans="1:11" x14ac:dyDescent="0.25">
      <c r="A459" s="44"/>
      <c r="B459" s="44"/>
      <c r="C459" s="44"/>
      <c r="D459" s="44"/>
      <c r="E459" s="44"/>
      <c r="F459" s="44"/>
      <c r="G459" s="44"/>
      <c r="H459" s="44"/>
      <c r="I459" s="8"/>
      <c r="J459" s="8"/>
      <c r="K459" s="8"/>
    </row>
    <row r="460" spans="1:11" x14ac:dyDescent="0.25">
      <c r="A460" s="44"/>
      <c r="B460" s="44"/>
      <c r="C460" s="44"/>
      <c r="D460" s="44"/>
      <c r="E460" s="44"/>
      <c r="F460" s="44"/>
      <c r="G460" s="44"/>
      <c r="H460" s="44"/>
      <c r="I460" s="8"/>
      <c r="J460" s="8"/>
      <c r="K460" s="8"/>
    </row>
    <row r="461" spans="1:11" x14ac:dyDescent="0.25">
      <c r="A461" s="44"/>
      <c r="B461" s="44"/>
      <c r="C461" s="44"/>
      <c r="D461" s="44"/>
      <c r="E461" s="44"/>
      <c r="F461" s="44"/>
      <c r="G461" s="44"/>
      <c r="H461" s="44"/>
      <c r="I461" s="8"/>
      <c r="J461" s="8"/>
      <c r="K461" s="8"/>
    </row>
    <row r="462" spans="1:11" x14ac:dyDescent="0.25">
      <c r="A462" s="44"/>
      <c r="B462" s="44"/>
      <c r="C462" s="44"/>
      <c r="D462" s="44"/>
      <c r="E462" s="44"/>
      <c r="F462" s="44"/>
      <c r="G462" s="44"/>
      <c r="H462" s="44"/>
      <c r="I462" s="8"/>
      <c r="J462" s="8"/>
      <c r="K462" s="8"/>
    </row>
    <row r="463" spans="1:11" x14ac:dyDescent="0.25">
      <c r="A463" s="44"/>
      <c r="B463" s="44"/>
      <c r="C463" s="44"/>
      <c r="D463" s="44"/>
      <c r="E463" s="44"/>
      <c r="F463" s="44"/>
      <c r="G463" s="44"/>
      <c r="H463" s="44"/>
      <c r="I463" s="8"/>
      <c r="J463" s="8"/>
      <c r="K463" s="8"/>
    </row>
    <row r="464" spans="1:11" x14ac:dyDescent="0.25">
      <c r="A464" s="44"/>
      <c r="B464" s="44"/>
      <c r="C464" s="44"/>
      <c r="D464" s="44"/>
      <c r="E464" s="44"/>
      <c r="F464" s="44"/>
      <c r="G464" s="44"/>
      <c r="H464" s="44"/>
      <c r="I464" s="8"/>
      <c r="J464" s="8"/>
      <c r="K464" s="8"/>
    </row>
    <row r="465" spans="1:11" x14ac:dyDescent="0.25">
      <c r="A465" s="44"/>
      <c r="B465" s="44"/>
      <c r="C465" s="44"/>
      <c r="D465" s="44"/>
      <c r="E465" s="44"/>
      <c r="F465" s="44"/>
      <c r="G465" s="44"/>
      <c r="H465" s="44"/>
      <c r="I465" s="8"/>
      <c r="J465" s="8"/>
      <c r="K465" s="8"/>
    </row>
    <row r="466" spans="1:11" x14ac:dyDescent="0.25">
      <c r="A466" s="44"/>
      <c r="B466" s="44"/>
      <c r="C466" s="44"/>
      <c r="D466" s="44"/>
      <c r="E466" s="44"/>
      <c r="F466" s="44"/>
      <c r="G466" s="44"/>
      <c r="H466" s="44"/>
      <c r="I466" s="8"/>
      <c r="J466" s="8"/>
      <c r="K466" s="8"/>
    </row>
    <row r="467" spans="1:11" x14ac:dyDescent="0.25">
      <c r="A467" s="44"/>
      <c r="B467" s="44"/>
      <c r="C467" s="44"/>
      <c r="D467" s="44"/>
      <c r="E467" s="44"/>
      <c r="F467" s="44"/>
      <c r="G467" s="44"/>
      <c r="H467" s="44"/>
      <c r="I467" s="8"/>
      <c r="J467" s="8"/>
      <c r="K467" s="8"/>
    </row>
    <row r="468" spans="1:11" x14ac:dyDescent="0.25">
      <c r="A468" s="44"/>
      <c r="B468" s="44"/>
      <c r="C468" s="44"/>
      <c r="D468" s="44"/>
      <c r="E468" s="44"/>
      <c r="F468" s="44"/>
      <c r="G468" s="44"/>
      <c r="H468" s="44"/>
      <c r="I468" s="8"/>
      <c r="J468" s="8"/>
      <c r="K468" s="8"/>
    </row>
    <row r="469" spans="1:11" x14ac:dyDescent="0.25">
      <c r="A469" s="44"/>
      <c r="B469" s="44"/>
      <c r="C469" s="44"/>
      <c r="D469" s="44"/>
      <c r="E469" s="44"/>
      <c r="F469" s="44"/>
      <c r="G469" s="44"/>
      <c r="H469" s="44"/>
      <c r="I469" s="8"/>
      <c r="J469" s="8"/>
      <c r="K469" s="8"/>
    </row>
    <row r="470" spans="1:11" x14ac:dyDescent="0.25">
      <c r="A470" s="44"/>
      <c r="B470" s="44"/>
      <c r="C470" s="44"/>
      <c r="D470" s="44"/>
      <c r="E470" s="44"/>
      <c r="F470" s="44"/>
      <c r="G470" s="44"/>
      <c r="H470" s="44"/>
      <c r="I470" s="8"/>
      <c r="J470" s="8"/>
      <c r="K470" s="8"/>
    </row>
    <row r="471" spans="1:11" x14ac:dyDescent="0.25">
      <c r="A471" s="44"/>
      <c r="B471" s="44"/>
      <c r="C471" s="44"/>
      <c r="D471" s="44"/>
      <c r="E471" s="44"/>
      <c r="F471" s="44"/>
      <c r="G471" s="44"/>
      <c r="H471" s="44"/>
      <c r="I471" s="8"/>
      <c r="J471" s="8"/>
      <c r="K471" s="8"/>
    </row>
    <row r="472" spans="1:11" x14ac:dyDescent="0.25">
      <c r="A472" s="44"/>
      <c r="B472" s="44"/>
      <c r="C472" s="44"/>
      <c r="D472" s="44"/>
      <c r="E472" s="44"/>
      <c r="F472" s="44"/>
      <c r="G472" s="44"/>
      <c r="H472" s="44"/>
      <c r="I472" s="8"/>
      <c r="J472" s="8"/>
      <c r="K472" s="8"/>
    </row>
    <row r="473" spans="1:11" x14ac:dyDescent="0.25">
      <c r="A473" s="44"/>
      <c r="B473" s="44"/>
      <c r="C473" s="44"/>
      <c r="D473" s="44"/>
      <c r="E473" s="44"/>
      <c r="F473" s="44"/>
      <c r="G473" s="44"/>
      <c r="H473" s="44"/>
      <c r="I473" s="8"/>
      <c r="J473" s="8"/>
      <c r="K473" s="8"/>
    </row>
    <row r="474" spans="1:11" x14ac:dyDescent="0.25">
      <c r="A474" s="44"/>
      <c r="B474" s="44"/>
      <c r="C474" s="44"/>
      <c r="D474" s="44"/>
      <c r="E474" s="44"/>
      <c r="F474" s="44"/>
      <c r="G474" s="44"/>
      <c r="H474" s="44"/>
      <c r="I474" s="8"/>
      <c r="J474" s="8"/>
      <c r="K474" s="8"/>
    </row>
    <row r="475" spans="1:11" x14ac:dyDescent="0.25">
      <c r="A475" s="44"/>
      <c r="B475" s="44"/>
      <c r="C475" s="44"/>
      <c r="D475" s="44"/>
      <c r="E475" s="44"/>
      <c r="F475" s="44"/>
      <c r="G475" s="44"/>
      <c r="H475" s="44"/>
      <c r="I475" s="8"/>
      <c r="J475" s="8"/>
      <c r="K475" s="8"/>
    </row>
    <row r="476" spans="1:11" x14ac:dyDescent="0.25">
      <c r="A476" s="44"/>
      <c r="B476" s="44"/>
      <c r="C476" s="44"/>
      <c r="D476" s="44"/>
      <c r="E476" s="44"/>
      <c r="F476" s="44"/>
      <c r="G476" s="44"/>
      <c r="H476" s="44"/>
      <c r="I476" s="8"/>
      <c r="J476" s="8"/>
      <c r="K476" s="8"/>
    </row>
    <row r="477" spans="1:11" x14ac:dyDescent="0.25">
      <c r="A477" s="44"/>
      <c r="B477" s="44"/>
      <c r="C477" s="44"/>
      <c r="D477" s="44"/>
      <c r="E477" s="44"/>
      <c r="F477" s="44"/>
      <c r="G477" s="44"/>
      <c r="H477" s="44"/>
      <c r="I477" s="8"/>
      <c r="J477" s="8"/>
      <c r="K477" s="8"/>
    </row>
    <row r="478" spans="1:11" x14ac:dyDescent="0.25">
      <c r="A478" s="44"/>
      <c r="B478" s="44"/>
      <c r="C478" s="44"/>
      <c r="D478" s="44"/>
      <c r="E478" s="44"/>
      <c r="F478" s="44"/>
      <c r="G478" s="44"/>
      <c r="H478" s="44"/>
      <c r="I478" s="8"/>
      <c r="J478" s="8"/>
      <c r="K478" s="8"/>
    </row>
    <row r="479" spans="1:11" x14ac:dyDescent="0.25">
      <c r="A479" s="44"/>
      <c r="B479" s="44"/>
      <c r="C479" s="44"/>
      <c r="D479" s="44"/>
      <c r="E479" s="44"/>
      <c r="F479" s="44"/>
      <c r="G479" s="44"/>
      <c r="H479" s="44"/>
      <c r="I479" s="8"/>
      <c r="J479" s="8"/>
      <c r="K479" s="8"/>
    </row>
    <row r="480" spans="1:11" x14ac:dyDescent="0.25">
      <c r="A480" s="44"/>
      <c r="B480" s="44"/>
      <c r="C480" s="44"/>
      <c r="D480" s="44"/>
      <c r="E480" s="44"/>
      <c r="F480" s="44"/>
      <c r="G480" s="44"/>
      <c r="H480" s="44"/>
      <c r="I480" s="8"/>
      <c r="J480" s="8"/>
      <c r="K480" s="8"/>
    </row>
    <row r="481" spans="1:11" x14ac:dyDescent="0.25">
      <c r="A481" s="44"/>
      <c r="B481" s="44"/>
      <c r="C481" s="44"/>
      <c r="D481" s="44"/>
      <c r="E481" s="44"/>
      <c r="F481" s="44"/>
      <c r="G481" s="44"/>
      <c r="H481" s="44"/>
      <c r="I481" s="8"/>
      <c r="J481" s="8"/>
      <c r="K481" s="8"/>
    </row>
    <row r="482" spans="1:11" x14ac:dyDescent="0.25">
      <c r="A482" s="44"/>
      <c r="B482" s="44"/>
      <c r="C482" s="44"/>
      <c r="D482" s="44"/>
      <c r="E482" s="44"/>
      <c r="F482" s="44"/>
      <c r="G482" s="44"/>
      <c r="H482" s="44"/>
      <c r="I482" s="8"/>
      <c r="J482" s="8"/>
      <c r="K482" s="8"/>
    </row>
    <row r="483" spans="1:11" x14ac:dyDescent="0.25">
      <c r="A483" s="44"/>
      <c r="B483" s="44"/>
      <c r="C483" s="44"/>
      <c r="D483" s="44"/>
      <c r="E483" s="44"/>
      <c r="F483" s="44"/>
      <c r="G483" s="44"/>
      <c r="H483" s="44"/>
      <c r="I483" s="8"/>
      <c r="J483" s="8"/>
      <c r="K483" s="8"/>
    </row>
    <row r="484" spans="1:11" x14ac:dyDescent="0.25">
      <c r="A484" s="44"/>
      <c r="B484" s="44"/>
      <c r="C484" s="44"/>
      <c r="D484" s="44"/>
      <c r="E484" s="44"/>
      <c r="F484" s="44"/>
      <c r="G484" s="44"/>
      <c r="H484" s="44"/>
      <c r="I484" s="8"/>
      <c r="J484" s="8"/>
      <c r="K484" s="8"/>
    </row>
    <row r="485" spans="1:11" x14ac:dyDescent="0.25">
      <c r="A485" s="44"/>
      <c r="B485" s="44"/>
      <c r="C485" s="44"/>
      <c r="D485" s="44"/>
      <c r="E485" s="44"/>
      <c r="F485" s="44"/>
      <c r="G485" s="44"/>
      <c r="H485" s="44"/>
      <c r="I485" s="8"/>
      <c r="J485" s="8"/>
      <c r="K485" s="8"/>
    </row>
    <row r="486" spans="1:11" x14ac:dyDescent="0.25">
      <c r="A486" s="44"/>
      <c r="B486" s="44"/>
      <c r="C486" s="44"/>
      <c r="D486" s="44"/>
      <c r="E486" s="44"/>
      <c r="F486" s="44"/>
      <c r="G486" s="44"/>
      <c r="H486" s="44"/>
      <c r="I486" s="8"/>
      <c r="J486" s="8"/>
      <c r="K486" s="8"/>
    </row>
    <row r="487" spans="1:11" x14ac:dyDescent="0.25">
      <c r="A487" s="44"/>
      <c r="B487" s="44"/>
      <c r="C487" s="44"/>
      <c r="D487" s="44"/>
      <c r="E487" s="44"/>
      <c r="F487" s="44"/>
      <c r="G487" s="44"/>
      <c r="H487" s="44"/>
      <c r="I487" s="8"/>
      <c r="J487" s="8"/>
      <c r="K487" s="8"/>
    </row>
    <row r="488" spans="1:11" x14ac:dyDescent="0.25">
      <c r="A488" s="44"/>
      <c r="B488" s="44"/>
      <c r="C488" s="44"/>
      <c r="D488" s="44"/>
      <c r="E488" s="44"/>
      <c r="F488" s="44"/>
      <c r="G488" s="44"/>
      <c r="H488" s="44"/>
      <c r="I488" s="8"/>
      <c r="J488" s="8"/>
      <c r="K488" s="8"/>
    </row>
    <row r="489" spans="1:11" x14ac:dyDescent="0.25">
      <c r="A489" s="44"/>
      <c r="B489" s="44"/>
      <c r="C489" s="44"/>
      <c r="D489" s="44"/>
      <c r="E489" s="44"/>
      <c r="F489" s="44"/>
      <c r="G489" s="44"/>
      <c r="H489" s="44"/>
      <c r="I489" s="8"/>
      <c r="J489" s="8"/>
      <c r="K489" s="8"/>
    </row>
    <row r="490" spans="1:11" x14ac:dyDescent="0.25">
      <c r="A490" s="44"/>
      <c r="B490" s="44"/>
      <c r="C490" s="44"/>
      <c r="D490" s="44"/>
      <c r="E490" s="44"/>
      <c r="F490" s="44"/>
      <c r="G490" s="44"/>
      <c r="H490" s="44"/>
      <c r="I490" s="8"/>
      <c r="J490" s="8"/>
      <c r="K490" s="8"/>
    </row>
    <row r="491" spans="1:11" x14ac:dyDescent="0.25">
      <c r="A491" s="44"/>
      <c r="B491" s="44"/>
      <c r="C491" s="44"/>
      <c r="D491" s="44"/>
      <c r="E491" s="44"/>
      <c r="F491" s="44"/>
      <c r="G491" s="44"/>
      <c r="H491" s="44"/>
      <c r="I491" s="8"/>
      <c r="J491" s="8"/>
      <c r="K491" s="8"/>
    </row>
    <row r="492" spans="1:11" x14ac:dyDescent="0.25">
      <c r="A492" s="44"/>
      <c r="B492" s="44"/>
      <c r="C492" s="44"/>
      <c r="D492" s="44"/>
      <c r="E492" s="44"/>
      <c r="F492" s="44"/>
      <c r="G492" s="44"/>
      <c r="H492" s="44"/>
      <c r="I492" s="8"/>
      <c r="J492" s="8"/>
      <c r="K492" s="8"/>
    </row>
    <row r="493" spans="1:11" x14ac:dyDescent="0.25">
      <c r="A493" s="44"/>
      <c r="B493" s="44"/>
      <c r="C493" s="44"/>
      <c r="D493" s="44"/>
      <c r="E493" s="44"/>
      <c r="F493" s="44"/>
      <c r="G493" s="44"/>
      <c r="H493" s="44"/>
      <c r="I493" s="8"/>
      <c r="J493" s="8"/>
      <c r="K493" s="8"/>
    </row>
    <row r="494" spans="1:11" x14ac:dyDescent="0.25">
      <c r="A494" s="44"/>
      <c r="B494" s="44"/>
      <c r="C494" s="44"/>
      <c r="D494" s="44"/>
      <c r="E494" s="44"/>
      <c r="F494" s="44"/>
      <c r="G494" s="44"/>
      <c r="H494" s="44"/>
      <c r="I494" s="8"/>
      <c r="J494" s="8"/>
      <c r="K494" s="8"/>
    </row>
    <row r="495" spans="1:11" x14ac:dyDescent="0.25">
      <c r="A495" s="44"/>
      <c r="B495" s="44"/>
      <c r="C495" s="44"/>
      <c r="D495" s="44"/>
      <c r="E495" s="44"/>
      <c r="F495" s="44"/>
      <c r="G495" s="44"/>
      <c r="H495" s="44"/>
      <c r="I495" s="8"/>
      <c r="J495" s="8"/>
      <c r="K495" s="8"/>
    </row>
    <row r="496" spans="1:11" x14ac:dyDescent="0.25">
      <c r="A496" s="44"/>
      <c r="B496" s="44"/>
      <c r="C496" s="44"/>
      <c r="D496" s="44"/>
      <c r="E496" s="44"/>
      <c r="F496" s="44"/>
      <c r="G496" s="44"/>
      <c r="H496" s="44"/>
      <c r="I496" s="8"/>
      <c r="J496" s="8"/>
      <c r="K496" s="8"/>
    </row>
    <row r="497" spans="1:11" x14ac:dyDescent="0.25">
      <c r="A497" s="44"/>
      <c r="B497" s="44"/>
      <c r="C497" s="44"/>
      <c r="D497" s="44"/>
      <c r="E497" s="44"/>
      <c r="F497" s="44"/>
      <c r="G497" s="44"/>
      <c r="H497" s="44"/>
      <c r="I497" s="8"/>
      <c r="J497" s="8"/>
      <c r="K497" s="8"/>
    </row>
    <row r="498" spans="1:11" x14ac:dyDescent="0.25">
      <c r="A498" s="44"/>
      <c r="B498" s="44"/>
      <c r="C498" s="44"/>
      <c r="D498" s="44"/>
      <c r="E498" s="44"/>
      <c r="F498" s="44"/>
      <c r="G498" s="44"/>
      <c r="H498" s="44"/>
      <c r="I498" s="8"/>
      <c r="J498" s="8"/>
      <c r="K498" s="8"/>
    </row>
    <row r="499" spans="1:11" x14ac:dyDescent="0.25">
      <c r="A499" s="44"/>
      <c r="B499" s="44"/>
      <c r="C499" s="44"/>
      <c r="D499" s="44"/>
      <c r="E499" s="44"/>
      <c r="F499" s="44"/>
      <c r="G499" s="44"/>
      <c r="H499" s="44"/>
      <c r="I499" s="8"/>
      <c r="J499" s="8"/>
      <c r="K499" s="8"/>
    </row>
    <row r="500" spans="1:11" x14ac:dyDescent="0.25">
      <c r="A500" s="44"/>
      <c r="B500" s="44"/>
      <c r="C500" s="44"/>
      <c r="D500" s="44"/>
      <c r="E500" s="44"/>
      <c r="F500" s="44"/>
      <c r="G500" s="44"/>
      <c r="H500" s="44"/>
      <c r="I500" s="8"/>
      <c r="J500" s="8"/>
      <c r="K500" s="8"/>
    </row>
    <row r="501" spans="1:11" x14ac:dyDescent="0.25">
      <c r="A501" s="44"/>
      <c r="B501" s="44"/>
      <c r="C501" s="44"/>
      <c r="D501" s="44"/>
      <c r="E501" s="44"/>
      <c r="F501" s="44"/>
      <c r="G501" s="44"/>
      <c r="H501" s="44"/>
      <c r="I501" s="8"/>
      <c r="J501" s="8"/>
      <c r="K501" s="8"/>
    </row>
    <row r="502" spans="1:11" x14ac:dyDescent="0.25">
      <c r="A502" s="44"/>
      <c r="B502" s="44"/>
      <c r="C502" s="44"/>
      <c r="D502" s="44"/>
      <c r="E502" s="44"/>
      <c r="F502" s="44"/>
      <c r="G502" s="44"/>
      <c r="H502" s="44"/>
      <c r="I502" s="8"/>
      <c r="J502" s="8"/>
      <c r="K502" s="8"/>
    </row>
    <row r="503" spans="1:11" x14ac:dyDescent="0.25">
      <c r="A503" s="44"/>
      <c r="B503" s="44"/>
      <c r="C503" s="44"/>
      <c r="D503" s="44"/>
      <c r="E503" s="44"/>
      <c r="F503" s="44"/>
      <c r="G503" s="44"/>
      <c r="H503" s="44"/>
      <c r="I503" s="8"/>
      <c r="J503" s="8"/>
      <c r="K503" s="8"/>
    </row>
    <row r="504" spans="1:11" x14ac:dyDescent="0.25">
      <c r="A504" s="44"/>
      <c r="B504" s="44"/>
      <c r="C504" s="44"/>
      <c r="D504" s="44"/>
      <c r="E504" s="44"/>
      <c r="F504" s="44"/>
      <c r="G504" s="44"/>
      <c r="H504" s="44"/>
      <c r="I504" s="8"/>
      <c r="J504" s="8"/>
      <c r="K504" s="8"/>
    </row>
    <row r="505" spans="1:11" x14ac:dyDescent="0.25">
      <c r="A505" s="44"/>
      <c r="B505" s="44"/>
      <c r="C505" s="44"/>
      <c r="D505" s="44"/>
      <c r="E505" s="44"/>
      <c r="F505" s="44"/>
      <c r="G505" s="44"/>
      <c r="H505" s="44"/>
      <c r="I505" s="8"/>
      <c r="J505" s="8"/>
      <c r="K505" s="8"/>
    </row>
    <row r="506" spans="1:11" x14ac:dyDescent="0.25">
      <c r="A506" s="44"/>
      <c r="B506" s="44"/>
      <c r="C506" s="44"/>
      <c r="D506" s="44"/>
      <c r="E506" s="44"/>
      <c r="F506" s="44"/>
      <c r="G506" s="44"/>
      <c r="H506" s="44"/>
      <c r="I506" s="8"/>
      <c r="J506" s="8"/>
      <c r="K506" s="8"/>
    </row>
    <row r="507" spans="1:11" x14ac:dyDescent="0.25">
      <c r="A507" s="44"/>
      <c r="B507" s="44"/>
      <c r="C507" s="44"/>
      <c r="D507" s="44"/>
      <c r="E507" s="44"/>
      <c r="F507" s="44"/>
      <c r="G507" s="44"/>
      <c r="H507" s="44"/>
      <c r="I507" s="8"/>
      <c r="J507" s="8"/>
      <c r="K507" s="8"/>
    </row>
    <row r="508" spans="1:11" x14ac:dyDescent="0.25">
      <c r="A508" s="44"/>
      <c r="B508" s="44"/>
      <c r="C508" s="44"/>
      <c r="D508" s="44"/>
      <c r="E508" s="44"/>
      <c r="F508" s="44"/>
      <c r="G508" s="44"/>
      <c r="H508" s="44"/>
      <c r="I508" s="8"/>
      <c r="J508" s="8"/>
      <c r="K508" s="8"/>
    </row>
    <row r="509" spans="1:11" x14ac:dyDescent="0.25">
      <c r="A509" s="44"/>
      <c r="B509" s="44"/>
      <c r="C509" s="44"/>
      <c r="D509" s="44"/>
      <c r="E509" s="44"/>
      <c r="F509" s="44"/>
      <c r="G509" s="44"/>
      <c r="H509" s="44"/>
      <c r="I509" s="8"/>
      <c r="J509" s="8"/>
      <c r="K509" s="8"/>
    </row>
    <row r="510" spans="1:11" x14ac:dyDescent="0.25">
      <c r="A510" s="44"/>
      <c r="B510" s="44"/>
      <c r="C510" s="44"/>
      <c r="D510" s="44"/>
      <c r="E510" s="44"/>
      <c r="F510" s="44"/>
      <c r="G510" s="44"/>
      <c r="H510" s="44"/>
      <c r="I510" s="8"/>
      <c r="J510" s="8"/>
      <c r="K510" s="8"/>
    </row>
    <row r="511" spans="1:11" x14ac:dyDescent="0.25">
      <c r="A511" s="44"/>
      <c r="B511" s="44"/>
      <c r="C511" s="44"/>
      <c r="D511" s="44"/>
      <c r="E511" s="44"/>
      <c r="F511" s="44"/>
      <c r="G511" s="44"/>
      <c r="H511" s="44"/>
      <c r="I511" s="8"/>
      <c r="J511" s="8"/>
      <c r="K511" s="8"/>
    </row>
    <row r="512" spans="1:11" x14ac:dyDescent="0.25">
      <c r="A512" s="44"/>
      <c r="B512" s="44"/>
      <c r="C512" s="44"/>
      <c r="D512" s="44"/>
      <c r="E512" s="44"/>
      <c r="F512" s="44"/>
      <c r="G512" s="44"/>
      <c r="H512" s="44"/>
      <c r="I512" s="8"/>
      <c r="J512" s="8"/>
      <c r="K512" s="8"/>
    </row>
    <row r="513" spans="1:11" x14ac:dyDescent="0.25">
      <c r="A513" s="44"/>
      <c r="B513" s="44"/>
      <c r="C513" s="44"/>
      <c r="D513" s="44"/>
      <c r="E513" s="44"/>
      <c r="F513" s="44"/>
      <c r="G513" s="44"/>
      <c r="H513" s="44"/>
      <c r="I513" s="8"/>
      <c r="J513" s="8"/>
      <c r="K513" s="8"/>
    </row>
    <row r="514" spans="1:11" x14ac:dyDescent="0.25">
      <c r="A514" s="44"/>
      <c r="B514" s="44"/>
      <c r="C514" s="44"/>
      <c r="D514" s="44"/>
      <c r="E514" s="44"/>
      <c r="F514" s="44"/>
      <c r="G514" s="44"/>
      <c r="H514" s="44"/>
      <c r="I514" s="8"/>
      <c r="J514" s="8"/>
      <c r="K514" s="8"/>
    </row>
    <row r="515" spans="1:11" x14ac:dyDescent="0.25">
      <c r="A515" s="44"/>
      <c r="B515" s="44"/>
      <c r="C515" s="44"/>
      <c r="D515" s="44"/>
      <c r="E515" s="44"/>
      <c r="F515" s="44"/>
      <c r="G515" s="44"/>
      <c r="H515" s="44"/>
      <c r="I515" s="8"/>
      <c r="J515" s="8"/>
      <c r="K515" s="8"/>
    </row>
    <row r="516" spans="1:11" x14ac:dyDescent="0.25">
      <c r="A516" s="44"/>
      <c r="B516" s="44"/>
      <c r="C516" s="44"/>
      <c r="D516" s="44"/>
      <c r="E516" s="44"/>
      <c r="F516" s="44"/>
      <c r="G516" s="44"/>
      <c r="H516" s="44"/>
      <c r="I516" s="8"/>
      <c r="J516" s="8"/>
      <c r="K516" s="8"/>
    </row>
    <row r="517" spans="1:11" x14ac:dyDescent="0.25">
      <c r="A517" s="44"/>
      <c r="B517" s="44"/>
      <c r="C517" s="44"/>
      <c r="D517" s="44"/>
      <c r="E517" s="44"/>
      <c r="F517" s="44"/>
      <c r="G517" s="44"/>
      <c r="H517" s="44"/>
      <c r="I517" s="8"/>
      <c r="J517" s="8"/>
      <c r="K517" s="8"/>
    </row>
    <row r="518" spans="1:11" x14ac:dyDescent="0.25">
      <c r="A518" s="44"/>
      <c r="B518" s="44"/>
      <c r="C518" s="44"/>
      <c r="D518" s="44"/>
      <c r="E518" s="44"/>
      <c r="F518" s="44"/>
      <c r="G518" s="44"/>
      <c r="H518" s="44"/>
      <c r="I518" s="8"/>
      <c r="J518" s="8"/>
      <c r="K518" s="8"/>
    </row>
    <row r="519" spans="1:11" x14ac:dyDescent="0.25">
      <c r="A519" s="44"/>
      <c r="B519" s="44"/>
      <c r="C519" s="44"/>
      <c r="D519" s="44"/>
      <c r="E519" s="44"/>
      <c r="F519" s="44"/>
      <c r="G519" s="44"/>
      <c r="H519" s="44"/>
      <c r="I519" s="8"/>
      <c r="J519" s="8"/>
      <c r="K519" s="8"/>
    </row>
    <row r="520" spans="1:11" x14ac:dyDescent="0.25">
      <c r="A520" s="44"/>
      <c r="B520" s="44"/>
      <c r="C520" s="44"/>
      <c r="D520" s="44"/>
      <c r="E520" s="44"/>
      <c r="F520" s="44"/>
      <c r="G520" s="44"/>
      <c r="H520" s="44"/>
      <c r="I520" s="8"/>
      <c r="J520" s="8"/>
      <c r="K520" s="8"/>
    </row>
    <row r="521" spans="1:11" x14ac:dyDescent="0.25">
      <c r="A521" s="44"/>
      <c r="B521" s="44"/>
      <c r="C521" s="44"/>
      <c r="D521" s="44"/>
      <c r="E521" s="44"/>
      <c r="F521" s="44"/>
      <c r="G521" s="44"/>
      <c r="H521" s="44"/>
      <c r="I521" s="8"/>
      <c r="J521" s="8"/>
      <c r="K521" s="8"/>
    </row>
    <row r="522" spans="1:11" x14ac:dyDescent="0.25">
      <c r="A522" s="44"/>
      <c r="B522" s="44"/>
      <c r="C522" s="44"/>
      <c r="D522" s="44"/>
      <c r="E522" s="44"/>
      <c r="F522" s="44"/>
      <c r="G522" s="44"/>
      <c r="H522" s="44"/>
      <c r="I522" s="8"/>
      <c r="J522" s="8"/>
      <c r="K522" s="8"/>
    </row>
    <row r="523" spans="1:11" x14ac:dyDescent="0.25">
      <c r="A523" s="44"/>
      <c r="B523" s="44"/>
      <c r="C523" s="44"/>
      <c r="D523" s="44"/>
      <c r="E523" s="44"/>
      <c r="F523" s="44"/>
      <c r="G523" s="44"/>
      <c r="H523" s="44"/>
      <c r="I523" s="8"/>
      <c r="J523" s="8"/>
      <c r="K523" s="8"/>
    </row>
    <row r="524" spans="1:11" x14ac:dyDescent="0.25">
      <c r="A524" s="44"/>
      <c r="B524" s="44"/>
      <c r="C524" s="44"/>
      <c r="D524" s="44"/>
      <c r="E524" s="44"/>
      <c r="F524" s="44"/>
      <c r="G524" s="44"/>
      <c r="H524" s="44"/>
      <c r="I524" s="8"/>
      <c r="J524" s="8"/>
      <c r="K524" s="8"/>
    </row>
    <row r="525" spans="1:11" x14ac:dyDescent="0.25">
      <c r="A525" s="44"/>
      <c r="B525" s="44"/>
      <c r="C525" s="44"/>
      <c r="D525" s="44"/>
      <c r="E525" s="44"/>
      <c r="F525" s="44"/>
      <c r="G525" s="44"/>
      <c r="H525" s="44"/>
      <c r="I525" s="8"/>
      <c r="J525" s="8"/>
      <c r="K525" s="8"/>
    </row>
    <row r="526" spans="1:11" x14ac:dyDescent="0.25">
      <c r="A526" s="44"/>
      <c r="B526" s="44"/>
      <c r="C526" s="44"/>
      <c r="D526" s="44"/>
      <c r="E526" s="44"/>
      <c r="F526" s="44"/>
      <c r="G526" s="44"/>
      <c r="H526" s="44"/>
      <c r="I526" s="8"/>
      <c r="J526" s="8"/>
      <c r="K526" s="8"/>
    </row>
    <row r="527" spans="1:11" x14ac:dyDescent="0.25">
      <c r="A527" s="44"/>
      <c r="B527" s="44"/>
      <c r="C527" s="44"/>
      <c r="D527" s="44"/>
      <c r="E527" s="44"/>
      <c r="F527" s="44"/>
      <c r="G527" s="44"/>
      <c r="H527" s="44"/>
      <c r="I527" s="8"/>
      <c r="J527" s="8"/>
      <c r="K527" s="8"/>
    </row>
    <row r="528" spans="1:11" x14ac:dyDescent="0.25">
      <c r="A528" s="44"/>
      <c r="B528" s="44"/>
      <c r="C528" s="44"/>
      <c r="D528" s="44"/>
      <c r="E528" s="44"/>
      <c r="F528" s="44"/>
      <c r="G528" s="44"/>
      <c r="H528" s="44"/>
      <c r="I528" s="8"/>
      <c r="J528" s="8"/>
      <c r="K528" s="8"/>
    </row>
    <row r="529" spans="1:11" x14ac:dyDescent="0.25">
      <c r="A529" s="44"/>
      <c r="B529" s="44"/>
      <c r="C529" s="44"/>
      <c r="D529" s="44"/>
      <c r="E529" s="44"/>
      <c r="F529" s="44"/>
      <c r="G529" s="44"/>
      <c r="H529" s="44"/>
      <c r="I529" s="8"/>
      <c r="J529" s="8"/>
      <c r="K529" s="8"/>
    </row>
    <row r="530" spans="1:11" x14ac:dyDescent="0.25">
      <c r="A530" s="44"/>
      <c r="B530" s="44"/>
      <c r="C530" s="44"/>
      <c r="D530" s="44"/>
      <c r="E530" s="44"/>
      <c r="F530" s="44"/>
      <c r="G530" s="44"/>
      <c r="H530" s="44"/>
      <c r="I530" s="8"/>
      <c r="J530" s="8"/>
      <c r="K530" s="8"/>
    </row>
    <row r="531" spans="1:11" x14ac:dyDescent="0.25">
      <c r="A531" s="44"/>
      <c r="B531" s="44"/>
      <c r="C531" s="44"/>
      <c r="D531" s="44"/>
      <c r="E531" s="44"/>
      <c r="F531" s="44"/>
      <c r="G531" s="44"/>
      <c r="H531" s="44"/>
      <c r="I531" s="8"/>
      <c r="J531" s="8"/>
      <c r="K531" s="8"/>
    </row>
    <row r="532" spans="1:11" x14ac:dyDescent="0.25">
      <c r="A532" s="44"/>
      <c r="B532" s="44"/>
      <c r="C532" s="44"/>
      <c r="D532" s="44"/>
      <c r="E532" s="44"/>
      <c r="F532" s="44"/>
      <c r="G532" s="44"/>
      <c r="H532" s="44"/>
      <c r="I532" s="8"/>
      <c r="J532" s="8"/>
      <c r="K532" s="8"/>
    </row>
    <row r="533" spans="1:11" x14ac:dyDescent="0.25">
      <c r="A533" s="44"/>
      <c r="B533" s="44"/>
      <c r="C533" s="44"/>
      <c r="D533" s="44"/>
      <c r="E533" s="44"/>
      <c r="F533" s="44"/>
      <c r="G533" s="44"/>
      <c r="H533" s="44"/>
      <c r="I533" s="8"/>
      <c r="J533" s="8"/>
      <c r="K533" s="8"/>
    </row>
    <row r="534" spans="1:11" x14ac:dyDescent="0.25">
      <c r="A534" s="44"/>
      <c r="B534" s="44"/>
      <c r="C534" s="44"/>
      <c r="D534" s="44"/>
      <c r="E534" s="44"/>
      <c r="F534" s="44"/>
      <c r="G534" s="44"/>
      <c r="H534" s="44"/>
      <c r="I534" s="8"/>
      <c r="J534" s="8"/>
      <c r="K534" s="8"/>
    </row>
    <row r="535" spans="1:11" x14ac:dyDescent="0.25">
      <c r="A535" s="44"/>
      <c r="B535" s="44"/>
      <c r="C535" s="44"/>
      <c r="D535" s="44"/>
      <c r="E535" s="44"/>
      <c r="F535" s="44"/>
      <c r="G535" s="44"/>
      <c r="H535" s="44"/>
      <c r="I535" s="8"/>
      <c r="J535" s="8"/>
      <c r="K535" s="8"/>
    </row>
    <row r="536" spans="1:11" x14ac:dyDescent="0.25">
      <c r="A536" s="44"/>
      <c r="B536" s="44"/>
      <c r="C536" s="44"/>
      <c r="D536" s="44"/>
      <c r="E536" s="44"/>
      <c r="F536" s="44"/>
      <c r="G536" s="44"/>
      <c r="H536" s="44"/>
      <c r="I536" s="8"/>
      <c r="J536" s="8"/>
      <c r="K536" s="8"/>
    </row>
    <row r="537" spans="1:11" x14ac:dyDescent="0.25">
      <c r="A537" s="44"/>
      <c r="B537" s="44"/>
      <c r="C537" s="44"/>
      <c r="D537" s="44"/>
      <c r="E537" s="44"/>
      <c r="F537" s="44"/>
      <c r="G537" s="44"/>
      <c r="H537" s="44"/>
      <c r="I537" s="8"/>
      <c r="J537" s="8"/>
      <c r="K537" s="8"/>
    </row>
    <row r="538" spans="1:11" x14ac:dyDescent="0.25">
      <c r="A538" s="44"/>
      <c r="B538" s="44"/>
      <c r="C538" s="44"/>
      <c r="D538" s="44"/>
      <c r="E538" s="44"/>
      <c r="F538" s="44"/>
      <c r="G538" s="44"/>
      <c r="H538" s="44"/>
      <c r="I538" s="8"/>
      <c r="J538" s="8"/>
      <c r="K538" s="8"/>
    </row>
    <row r="539" spans="1:11" x14ac:dyDescent="0.25">
      <c r="A539" s="44"/>
      <c r="B539" s="44"/>
      <c r="C539" s="44"/>
      <c r="D539" s="44"/>
      <c r="E539" s="44"/>
      <c r="F539" s="44"/>
      <c r="G539" s="44"/>
      <c r="H539" s="44"/>
      <c r="I539" s="8"/>
      <c r="J539" s="8"/>
      <c r="K539" s="8"/>
    </row>
    <row r="540" spans="1:11" x14ac:dyDescent="0.25">
      <c r="A540" s="44"/>
      <c r="B540" s="44"/>
      <c r="C540" s="44"/>
      <c r="D540" s="44"/>
      <c r="E540" s="44"/>
      <c r="F540" s="44"/>
      <c r="G540" s="44"/>
      <c r="H540" s="44"/>
      <c r="I540" s="8"/>
      <c r="J540" s="8"/>
      <c r="K540" s="8"/>
    </row>
    <row r="541" spans="1:11" x14ac:dyDescent="0.25">
      <c r="A541" s="44"/>
      <c r="B541" s="44"/>
      <c r="C541" s="44"/>
      <c r="D541" s="44"/>
      <c r="E541" s="44"/>
      <c r="F541" s="44"/>
      <c r="G541" s="44"/>
      <c r="H541" s="44"/>
      <c r="I541" s="8"/>
      <c r="J541" s="8"/>
      <c r="K541" s="8"/>
    </row>
    <row r="542" spans="1:11" x14ac:dyDescent="0.25">
      <c r="A542" s="44"/>
      <c r="B542" s="44"/>
      <c r="C542" s="44"/>
      <c r="D542" s="44"/>
      <c r="E542" s="44"/>
      <c r="F542" s="44"/>
      <c r="G542" s="44"/>
      <c r="H542" s="44"/>
      <c r="I542" s="8"/>
      <c r="J542" s="8"/>
      <c r="K542" s="8"/>
    </row>
    <row r="543" spans="1:11" x14ac:dyDescent="0.25">
      <c r="A543" s="44"/>
      <c r="B543" s="44"/>
      <c r="C543" s="44"/>
      <c r="D543" s="44"/>
      <c r="E543" s="44"/>
      <c r="F543" s="44"/>
      <c r="G543" s="44"/>
      <c r="H543" s="44"/>
      <c r="I543" s="8"/>
      <c r="J543" s="8"/>
      <c r="K543" s="8"/>
    </row>
    <row r="544" spans="1:11" x14ac:dyDescent="0.25">
      <c r="A544" s="44"/>
      <c r="B544" s="44"/>
      <c r="C544" s="44"/>
      <c r="D544" s="44"/>
      <c r="E544" s="44"/>
      <c r="F544" s="44"/>
      <c r="G544" s="44"/>
      <c r="H544" s="44"/>
      <c r="I544" s="8"/>
      <c r="J544" s="8"/>
      <c r="K544" s="8"/>
    </row>
    <row r="545" spans="1:11" x14ac:dyDescent="0.25">
      <c r="A545" s="44"/>
      <c r="B545" s="44"/>
      <c r="C545" s="44"/>
      <c r="D545" s="44"/>
      <c r="E545" s="44"/>
      <c r="F545" s="44"/>
      <c r="G545" s="44"/>
      <c r="H545" s="44"/>
      <c r="I545" s="8"/>
      <c r="J545" s="8"/>
      <c r="K545" s="8"/>
    </row>
    <row r="546" spans="1:11" x14ac:dyDescent="0.25">
      <c r="A546" s="44"/>
      <c r="B546" s="44"/>
      <c r="C546" s="44"/>
      <c r="D546" s="44"/>
      <c r="E546" s="44"/>
      <c r="F546" s="44"/>
      <c r="G546" s="44"/>
      <c r="H546" s="44"/>
      <c r="I546" s="8"/>
      <c r="J546" s="8"/>
      <c r="K546" s="8"/>
    </row>
    <row r="547" spans="1:11" x14ac:dyDescent="0.25">
      <c r="A547" s="44"/>
      <c r="B547" s="44"/>
      <c r="C547" s="44"/>
      <c r="D547" s="44"/>
      <c r="E547" s="44"/>
      <c r="F547" s="44"/>
      <c r="G547" s="44"/>
      <c r="H547" s="44"/>
      <c r="I547" s="8"/>
      <c r="J547" s="8"/>
      <c r="K547" s="8"/>
    </row>
    <row r="548" spans="1:11" x14ac:dyDescent="0.25">
      <c r="A548" s="44"/>
      <c r="B548" s="44"/>
      <c r="C548" s="44"/>
      <c r="D548" s="44"/>
      <c r="E548" s="44"/>
      <c r="F548" s="44"/>
      <c r="G548" s="44"/>
      <c r="H548" s="44"/>
      <c r="I548" s="8"/>
      <c r="J548" s="8"/>
      <c r="K548" s="8"/>
    </row>
    <row r="549" spans="1:11" x14ac:dyDescent="0.25">
      <c r="A549" s="44"/>
      <c r="B549" s="44"/>
      <c r="C549" s="44"/>
      <c r="D549" s="44"/>
      <c r="E549" s="44"/>
      <c r="F549" s="44"/>
      <c r="G549" s="44"/>
      <c r="H549" s="44"/>
      <c r="I549" s="8"/>
      <c r="J549" s="8"/>
      <c r="K549" s="8"/>
    </row>
    <row r="550" spans="1:11" x14ac:dyDescent="0.25">
      <c r="A550" s="44"/>
      <c r="B550" s="44"/>
      <c r="C550" s="44"/>
      <c r="D550" s="44"/>
      <c r="E550" s="44"/>
      <c r="F550" s="44"/>
      <c r="G550" s="44"/>
      <c r="H550" s="44"/>
      <c r="I550" s="8"/>
      <c r="J550" s="8"/>
      <c r="K550" s="8"/>
    </row>
    <row r="551" spans="1:11" x14ac:dyDescent="0.25">
      <c r="A551" s="44"/>
      <c r="B551" s="44"/>
      <c r="C551" s="44"/>
      <c r="D551" s="44"/>
      <c r="E551" s="44"/>
      <c r="F551" s="44"/>
      <c r="G551" s="44"/>
      <c r="H551" s="44"/>
      <c r="I551" s="8"/>
      <c r="J551" s="8"/>
      <c r="K551" s="8"/>
    </row>
    <row r="552" spans="1:11" x14ac:dyDescent="0.25">
      <c r="A552" s="44"/>
      <c r="B552" s="44"/>
      <c r="C552" s="44"/>
      <c r="D552" s="44"/>
      <c r="E552" s="44"/>
      <c r="F552" s="44"/>
      <c r="G552" s="44"/>
      <c r="H552" s="44"/>
      <c r="I552" s="8"/>
      <c r="J552" s="8"/>
      <c r="K552" s="8"/>
    </row>
    <row r="553" spans="1:11" x14ac:dyDescent="0.25">
      <c r="A553" s="44"/>
      <c r="B553" s="44"/>
      <c r="C553" s="44"/>
      <c r="D553" s="44"/>
      <c r="E553" s="44"/>
      <c r="F553" s="44"/>
      <c r="G553" s="44"/>
      <c r="H553" s="44"/>
      <c r="I553" s="8"/>
      <c r="J553" s="8"/>
      <c r="K553" s="8"/>
    </row>
    <row r="554" spans="1:11" x14ac:dyDescent="0.25">
      <c r="A554" s="44"/>
      <c r="B554" s="44"/>
      <c r="C554" s="44"/>
      <c r="D554" s="44"/>
      <c r="E554" s="44"/>
      <c r="F554" s="44"/>
      <c r="G554" s="44"/>
      <c r="H554" s="44"/>
      <c r="I554" s="8"/>
      <c r="J554" s="8"/>
      <c r="K554" s="8"/>
    </row>
    <row r="555" spans="1:11" x14ac:dyDescent="0.25">
      <c r="A555" s="44"/>
      <c r="B555" s="44"/>
      <c r="C555" s="44"/>
      <c r="D555" s="44"/>
      <c r="E555" s="44"/>
      <c r="F555" s="44"/>
      <c r="G555" s="44"/>
      <c r="H555" s="44"/>
      <c r="I555" s="8"/>
      <c r="J555" s="8"/>
      <c r="K555" s="8"/>
    </row>
    <row r="556" spans="1:11" x14ac:dyDescent="0.25">
      <c r="A556" s="44"/>
      <c r="B556" s="44"/>
      <c r="C556" s="44"/>
      <c r="D556" s="44"/>
      <c r="E556" s="44"/>
      <c r="F556" s="44"/>
      <c r="G556" s="44"/>
      <c r="H556" s="44"/>
      <c r="I556" s="8"/>
      <c r="J556" s="8"/>
      <c r="K556" s="8"/>
    </row>
    <row r="557" spans="1:11" x14ac:dyDescent="0.25">
      <c r="A557" s="44"/>
      <c r="B557" s="44"/>
      <c r="C557" s="44"/>
      <c r="D557" s="44"/>
      <c r="E557" s="44"/>
      <c r="F557" s="44"/>
      <c r="G557" s="44"/>
      <c r="H557" s="44"/>
      <c r="I557" s="8"/>
      <c r="J557" s="8"/>
      <c r="K557" s="8"/>
    </row>
    <row r="558" spans="1:11" x14ac:dyDescent="0.25">
      <c r="A558" s="44"/>
      <c r="B558" s="44"/>
      <c r="C558" s="44"/>
      <c r="D558" s="44"/>
      <c r="E558" s="44"/>
      <c r="F558" s="44"/>
      <c r="G558" s="44"/>
      <c r="H558" s="44"/>
      <c r="I558" s="8"/>
      <c r="J558" s="8"/>
      <c r="K558" s="8"/>
    </row>
    <row r="559" spans="1:11" x14ac:dyDescent="0.25">
      <c r="A559" s="44"/>
      <c r="B559" s="44"/>
      <c r="C559" s="44"/>
      <c r="D559" s="44"/>
      <c r="E559" s="44"/>
      <c r="F559" s="44"/>
      <c r="G559" s="44"/>
      <c r="H559" s="44"/>
      <c r="I559" s="8"/>
      <c r="J559" s="8"/>
      <c r="K559" s="8"/>
    </row>
    <row r="560" spans="1:11" x14ac:dyDescent="0.25">
      <c r="A560" s="44"/>
      <c r="B560" s="44"/>
      <c r="C560" s="44"/>
      <c r="D560" s="44"/>
      <c r="E560" s="44"/>
      <c r="F560" s="44"/>
      <c r="G560" s="44"/>
      <c r="H560" s="44"/>
      <c r="I560" s="8"/>
      <c r="J560" s="8"/>
      <c r="K560" s="8"/>
    </row>
    <row r="561" spans="1:11" x14ac:dyDescent="0.25">
      <c r="A561" s="44"/>
      <c r="B561" s="44"/>
      <c r="C561" s="44"/>
      <c r="D561" s="44"/>
      <c r="E561" s="44"/>
      <c r="F561" s="44"/>
      <c r="G561" s="44"/>
      <c r="H561" s="44"/>
      <c r="I561" s="8"/>
      <c r="J561" s="8"/>
      <c r="K561" s="8"/>
    </row>
    <row r="562" spans="1:11" x14ac:dyDescent="0.25">
      <c r="A562" s="44"/>
      <c r="B562" s="44"/>
      <c r="C562" s="44"/>
      <c r="D562" s="44"/>
      <c r="E562" s="44"/>
      <c r="F562" s="44"/>
      <c r="G562" s="44"/>
      <c r="H562" s="44"/>
      <c r="I562" s="8"/>
      <c r="J562" s="8"/>
      <c r="K562" s="8"/>
    </row>
    <row r="563" spans="1:11" x14ac:dyDescent="0.25">
      <c r="A563" s="44"/>
      <c r="B563" s="44"/>
      <c r="C563" s="44"/>
      <c r="D563" s="44"/>
      <c r="E563" s="44"/>
      <c r="F563" s="44"/>
      <c r="G563" s="44"/>
      <c r="H563" s="44"/>
      <c r="I563" s="8"/>
      <c r="J563" s="8"/>
      <c r="K563" s="8"/>
    </row>
    <row r="564" spans="1:11" x14ac:dyDescent="0.25">
      <c r="A564" s="44"/>
      <c r="B564" s="44"/>
      <c r="C564" s="44"/>
      <c r="D564" s="44"/>
      <c r="E564" s="44"/>
      <c r="F564" s="44"/>
      <c r="G564" s="44"/>
      <c r="H564" s="44"/>
      <c r="I564" s="8"/>
      <c r="J564" s="8"/>
      <c r="K564" s="8"/>
    </row>
    <row r="565" spans="1:11" x14ac:dyDescent="0.25">
      <c r="A565" s="44"/>
      <c r="B565" s="44"/>
      <c r="C565" s="44"/>
      <c r="D565" s="44"/>
      <c r="E565" s="44"/>
      <c r="F565" s="44"/>
      <c r="G565" s="44"/>
      <c r="H565" s="44"/>
      <c r="I565" s="8"/>
      <c r="J565" s="8"/>
      <c r="K565" s="8"/>
    </row>
    <row r="566" spans="1:11" x14ac:dyDescent="0.25">
      <c r="A566" s="44"/>
      <c r="B566" s="44"/>
      <c r="C566" s="44"/>
      <c r="D566" s="44"/>
      <c r="E566" s="44"/>
      <c r="F566" s="44"/>
      <c r="G566" s="44"/>
      <c r="H566" s="44"/>
      <c r="I566" s="8"/>
      <c r="J566" s="8"/>
      <c r="K566" s="8"/>
    </row>
    <row r="567" spans="1:11" x14ac:dyDescent="0.25">
      <c r="A567" s="44"/>
      <c r="B567" s="44"/>
      <c r="C567" s="44"/>
      <c r="D567" s="44"/>
      <c r="E567" s="44"/>
      <c r="F567" s="44"/>
      <c r="G567" s="44"/>
      <c r="H567" s="44"/>
      <c r="I567" s="8"/>
      <c r="J567" s="8"/>
      <c r="K567" s="8"/>
    </row>
    <row r="568" spans="1:11" x14ac:dyDescent="0.25">
      <c r="A568" s="44"/>
      <c r="B568" s="44"/>
      <c r="C568" s="44"/>
      <c r="D568" s="44"/>
      <c r="E568" s="44"/>
      <c r="F568" s="44"/>
      <c r="G568" s="44"/>
      <c r="H568" s="44"/>
      <c r="I568" s="8"/>
      <c r="J568" s="8"/>
      <c r="K568" s="8"/>
    </row>
    <row r="569" spans="1:11" x14ac:dyDescent="0.25">
      <c r="A569" s="44"/>
      <c r="B569" s="44"/>
      <c r="C569" s="44"/>
      <c r="D569" s="44"/>
      <c r="E569" s="44"/>
      <c r="F569" s="44"/>
      <c r="G569" s="44"/>
      <c r="H569" s="44"/>
      <c r="I569" s="8"/>
      <c r="J569" s="8"/>
      <c r="K569" s="8"/>
    </row>
    <row r="570" spans="1:11" x14ac:dyDescent="0.25">
      <c r="A570" s="44"/>
      <c r="B570" s="44"/>
      <c r="C570" s="44"/>
      <c r="D570" s="44"/>
      <c r="E570" s="44"/>
      <c r="F570" s="44"/>
      <c r="G570" s="44"/>
      <c r="H570" s="44"/>
      <c r="I570" s="8"/>
      <c r="J570" s="8"/>
      <c r="K570" s="8"/>
    </row>
    <row r="571" spans="1:11" x14ac:dyDescent="0.25">
      <c r="A571" s="44"/>
      <c r="B571" s="44"/>
      <c r="C571" s="44"/>
      <c r="D571" s="44"/>
      <c r="E571" s="44"/>
      <c r="F571" s="44"/>
      <c r="G571" s="44"/>
      <c r="H571" s="44"/>
      <c r="I571" s="8"/>
      <c r="J571" s="8"/>
      <c r="K571" s="8"/>
    </row>
    <row r="572" spans="1:11" x14ac:dyDescent="0.25">
      <c r="A572" s="44"/>
      <c r="B572" s="44"/>
      <c r="C572" s="44"/>
      <c r="D572" s="44"/>
      <c r="E572" s="44"/>
      <c r="F572" s="44"/>
      <c r="G572" s="44"/>
      <c r="H572" s="44"/>
      <c r="I572" s="8"/>
      <c r="J572" s="8"/>
      <c r="K572" s="8"/>
    </row>
    <row r="573" spans="1:11" x14ac:dyDescent="0.25">
      <c r="A573" s="44"/>
      <c r="B573" s="44"/>
      <c r="C573" s="44"/>
      <c r="D573" s="44"/>
      <c r="E573" s="44"/>
      <c r="F573" s="44"/>
      <c r="G573" s="44"/>
      <c r="H573" s="44"/>
      <c r="I573" s="8"/>
      <c r="J573" s="8"/>
      <c r="K573" s="8"/>
    </row>
    <row r="574" spans="1:11" x14ac:dyDescent="0.25">
      <c r="A574" s="44"/>
      <c r="B574" s="44"/>
      <c r="C574" s="44"/>
      <c r="D574" s="44"/>
      <c r="E574" s="44"/>
      <c r="F574" s="44"/>
      <c r="G574" s="44"/>
      <c r="H574" s="44"/>
      <c r="I574" s="8"/>
      <c r="J574" s="8"/>
      <c r="K574" s="8"/>
    </row>
    <row r="575" spans="1:11" x14ac:dyDescent="0.25">
      <c r="A575" s="44"/>
      <c r="B575" s="44"/>
      <c r="C575" s="44"/>
      <c r="D575" s="44"/>
      <c r="E575" s="44"/>
      <c r="F575" s="44"/>
      <c r="G575" s="44"/>
      <c r="H575" s="44"/>
      <c r="I575" s="8"/>
      <c r="J575" s="8"/>
      <c r="K575" s="8"/>
    </row>
    <row r="576" spans="1:11" x14ac:dyDescent="0.25">
      <c r="A576" s="44"/>
      <c r="B576" s="44"/>
      <c r="C576" s="44"/>
      <c r="D576" s="44"/>
      <c r="E576" s="44"/>
      <c r="F576" s="44"/>
      <c r="G576" s="44"/>
      <c r="H576" s="44"/>
      <c r="I576" s="8"/>
      <c r="J576" s="8"/>
      <c r="K576" s="8"/>
    </row>
    <row r="577" spans="1:11" x14ac:dyDescent="0.25">
      <c r="A577" s="44"/>
      <c r="B577" s="44"/>
      <c r="C577" s="44"/>
      <c r="D577" s="44"/>
      <c r="E577" s="44"/>
      <c r="F577" s="44"/>
      <c r="G577" s="44"/>
      <c r="H577" s="44"/>
      <c r="I577" s="8"/>
      <c r="J577" s="8"/>
      <c r="K577" s="8"/>
    </row>
    <row r="578" spans="1:11" x14ac:dyDescent="0.25">
      <c r="A578" s="44"/>
      <c r="B578" s="44"/>
      <c r="C578" s="44"/>
      <c r="D578" s="44"/>
      <c r="E578" s="44"/>
      <c r="F578" s="44"/>
      <c r="G578" s="44"/>
      <c r="H578" s="44"/>
      <c r="I578" s="8"/>
      <c r="J578" s="8"/>
      <c r="K578" s="8"/>
    </row>
    <row r="579" spans="1:11" x14ac:dyDescent="0.25">
      <c r="A579" s="44"/>
      <c r="B579" s="44"/>
      <c r="C579" s="44"/>
      <c r="D579" s="44"/>
      <c r="E579" s="44"/>
      <c r="F579" s="44"/>
      <c r="G579" s="44"/>
      <c r="H579" s="44"/>
      <c r="I579" s="8"/>
      <c r="J579" s="8"/>
      <c r="K579" s="8"/>
    </row>
    <row r="580" spans="1:11" x14ac:dyDescent="0.25">
      <c r="A580" s="44"/>
      <c r="B580" s="44"/>
      <c r="C580" s="44"/>
      <c r="D580" s="44"/>
      <c r="E580" s="44"/>
      <c r="F580" s="44"/>
      <c r="G580" s="44"/>
      <c r="H580" s="44"/>
      <c r="I580" s="8"/>
      <c r="J580" s="8"/>
      <c r="K580" s="8"/>
    </row>
    <row r="581" spans="1:11" x14ac:dyDescent="0.25">
      <c r="A581" s="44"/>
      <c r="B581" s="44"/>
      <c r="C581" s="44"/>
      <c r="D581" s="44"/>
      <c r="E581" s="44"/>
      <c r="F581" s="44"/>
      <c r="G581" s="44"/>
      <c r="H581" s="44"/>
      <c r="I581" s="8"/>
      <c r="J581" s="8"/>
      <c r="K581" s="8"/>
    </row>
    <row r="582" spans="1:11" x14ac:dyDescent="0.25">
      <c r="A582" s="44"/>
      <c r="B582" s="44"/>
      <c r="C582" s="44"/>
      <c r="D582" s="44"/>
      <c r="E582" s="44"/>
      <c r="F582" s="44"/>
      <c r="G582" s="44"/>
      <c r="H582" s="44"/>
      <c r="I582" s="8"/>
      <c r="J582" s="8"/>
      <c r="K582" s="8"/>
    </row>
    <row r="583" spans="1:11" x14ac:dyDescent="0.25">
      <c r="A583" s="44"/>
      <c r="B583" s="44"/>
      <c r="C583" s="44"/>
      <c r="D583" s="44"/>
      <c r="E583" s="44"/>
      <c r="F583" s="44"/>
      <c r="G583" s="44"/>
      <c r="H583" s="44"/>
      <c r="I583" s="8"/>
      <c r="J583" s="8"/>
      <c r="K583" s="8"/>
    </row>
    <row r="584" spans="1:11" x14ac:dyDescent="0.25">
      <c r="A584" s="44"/>
      <c r="B584" s="44"/>
      <c r="C584" s="44"/>
      <c r="D584" s="44"/>
      <c r="E584" s="44"/>
      <c r="F584" s="44"/>
      <c r="G584" s="44"/>
      <c r="H584" s="44"/>
      <c r="I584" s="8"/>
      <c r="J584" s="8"/>
      <c r="K584" s="8"/>
    </row>
    <row r="585" spans="1:11" x14ac:dyDescent="0.25">
      <c r="A585" s="44"/>
      <c r="B585" s="44"/>
      <c r="C585" s="44"/>
      <c r="D585" s="44"/>
      <c r="E585" s="44"/>
      <c r="F585" s="44"/>
      <c r="G585" s="44"/>
      <c r="H585" s="44"/>
      <c r="I585" s="8"/>
      <c r="J585" s="8"/>
      <c r="K585" s="8"/>
    </row>
    <row r="586" spans="1:11" x14ac:dyDescent="0.25">
      <c r="A586" s="44"/>
      <c r="B586" s="44"/>
      <c r="C586" s="44"/>
      <c r="D586" s="44"/>
      <c r="E586" s="44"/>
      <c r="F586" s="44"/>
      <c r="G586" s="44"/>
      <c r="H586" s="44"/>
      <c r="I586" s="8"/>
      <c r="J586" s="8"/>
      <c r="K586" s="8"/>
    </row>
    <row r="587" spans="1:11" x14ac:dyDescent="0.25">
      <c r="A587" s="44"/>
      <c r="B587" s="44"/>
      <c r="C587" s="44"/>
      <c r="D587" s="44"/>
      <c r="E587" s="44"/>
      <c r="F587" s="44"/>
      <c r="G587" s="44"/>
      <c r="H587" s="44"/>
      <c r="I587" s="8"/>
      <c r="J587" s="8"/>
      <c r="K587" s="8"/>
    </row>
    <row r="588" spans="1:11" x14ac:dyDescent="0.25">
      <c r="A588" s="44"/>
      <c r="B588" s="44"/>
      <c r="C588" s="44"/>
      <c r="D588" s="44"/>
      <c r="E588" s="44"/>
      <c r="F588" s="44"/>
      <c r="G588" s="44"/>
      <c r="H588" s="44"/>
      <c r="I588" s="8"/>
      <c r="J588" s="8"/>
      <c r="K588" s="8"/>
    </row>
    <row r="589" spans="1:11" x14ac:dyDescent="0.25">
      <c r="A589" s="44"/>
      <c r="B589" s="44"/>
      <c r="C589" s="44"/>
      <c r="D589" s="44"/>
      <c r="E589" s="44"/>
      <c r="F589" s="44"/>
      <c r="G589" s="44"/>
      <c r="H589" s="44"/>
      <c r="I589" s="8"/>
      <c r="J589" s="8"/>
      <c r="K589" s="8"/>
    </row>
    <row r="590" spans="1:11" x14ac:dyDescent="0.25">
      <c r="A590" s="44"/>
      <c r="B590" s="44"/>
      <c r="C590" s="44"/>
      <c r="D590" s="44"/>
      <c r="E590" s="44"/>
      <c r="F590" s="44"/>
      <c r="G590" s="44"/>
      <c r="H590" s="44"/>
      <c r="I590" s="8"/>
      <c r="J590" s="8"/>
      <c r="K590" s="8"/>
    </row>
    <row r="591" spans="1:11" x14ac:dyDescent="0.25">
      <c r="A591" s="44"/>
      <c r="B591" s="44"/>
      <c r="C591" s="44"/>
      <c r="D591" s="44"/>
      <c r="E591" s="44"/>
      <c r="F591" s="44"/>
      <c r="G591" s="44"/>
      <c r="H591" s="44"/>
      <c r="I591" s="8"/>
      <c r="J591" s="8"/>
      <c r="K591" s="8"/>
    </row>
    <row r="592" spans="1:11" x14ac:dyDescent="0.25">
      <c r="A592" s="44"/>
      <c r="B592" s="44"/>
      <c r="C592" s="44"/>
      <c r="D592" s="44"/>
      <c r="E592" s="44"/>
      <c r="F592" s="44"/>
      <c r="G592" s="44"/>
      <c r="H592" s="44"/>
      <c r="I592" s="8"/>
      <c r="J592" s="8"/>
      <c r="K592" s="8"/>
    </row>
    <row r="593" spans="1:11" x14ac:dyDescent="0.25">
      <c r="A593" s="44"/>
      <c r="B593" s="44"/>
      <c r="C593" s="44"/>
      <c r="D593" s="44"/>
      <c r="E593" s="44"/>
      <c r="F593" s="44"/>
      <c r="G593" s="44"/>
      <c r="H593" s="44"/>
      <c r="I593" s="8"/>
      <c r="J593" s="8"/>
      <c r="K593" s="8"/>
    </row>
    <row r="594" spans="1:11" x14ac:dyDescent="0.25">
      <c r="A594" s="44"/>
      <c r="B594" s="44"/>
      <c r="C594" s="44"/>
      <c r="D594" s="44"/>
      <c r="E594" s="44"/>
      <c r="F594" s="44"/>
      <c r="G594" s="44"/>
      <c r="H594" s="44"/>
      <c r="I594" s="8"/>
      <c r="J594" s="8"/>
      <c r="K594" s="8"/>
    </row>
    <row r="595" spans="1:11" x14ac:dyDescent="0.25">
      <c r="A595" s="44"/>
      <c r="B595" s="44"/>
      <c r="C595" s="44"/>
      <c r="D595" s="44"/>
      <c r="E595" s="44"/>
      <c r="F595" s="44"/>
      <c r="G595" s="44"/>
      <c r="H595" s="44"/>
      <c r="I595" s="8"/>
      <c r="J595" s="8"/>
      <c r="K595" s="8"/>
    </row>
    <row r="596" spans="1:11" x14ac:dyDescent="0.25">
      <c r="A596" s="44"/>
      <c r="B596" s="44"/>
      <c r="C596" s="44"/>
      <c r="D596" s="44"/>
      <c r="E596" s="44"/>
      <c r="F596" s="44"/>
      <c r="G596" s="44"/>
      <c r="H596" s="44"/>
      <c r="I596" s="8"/>
      <c r="J596" s="8"/>
      <c r="K596" s="8"/>
    </row>
    <row r="597" spans="1:11" x14ac:dyDescent="0.25">
      <c r="A597" s="44"/>
      <c r="B597" s="44"/>
      <c r="C597" s="44"/>
      <c r="D597" s="44"/>
      <c r="E597" s="44"/>
      <c r="F597" s="44"/>
      <c r="G597" s="44"/>
      <c r="H597" s="44"/>
      <c r="I597" s="8"/>
      <c r="J597" s="8"/>
      <c r="K597" s="8"/>
    </row>
    <row r="598" spans="1:11" x14ac:dyDescent="0.25">
      <c r="A598" s="44"/>
      <c r="B598" s="44"/>
      <c r="C598" s="44"/>
      <c r="D598" s="44"/>
      <c r="E598" s="44"/>
      <c r="F598" s="44"/>
      <c r="G598" s="44"/>
      <c r="H598" s="44"/>
      <c r="I598" s="8"/>
      <c r="J598" s="8"/>
      <c r="K598" s="8"/>
    </row>
    <row r="599" spans="1:11" x14ac:dyDescent="0.25">
      <c r="A599" s="44"/>
      <c r="B599" s="44"/>
      <c r="C599" s="44"/>
      <c r="D599" s="44"/>
      <c r="E599" s="44"/>
      <c r="F599" s="44"/>
      <c r="G599" s="44"/>
      <c r="H599" s="44"/>
      <c r="I599" s="8"/>
      <c r="J599" s="8"/>
      <c r="K599" s="8"/>
    </row>
    <row r="600" spans="1:11" x14ac:dyDescent="0.25">
      <c r="A600" s="44"/>
      <c r="B600" s="44"/>
      <c r="C600" s="44"/>
      <c r="D600" s="44"/>
      <c r="E600" s="44"/>
      <c r="F600" s="44"/>
      <c r="G600" s="44"/>
      <c r="H600" s="44"/>
      <c r="I600" s="8"/>
      <c r="J600" s="8"/>
      <c r="K600" s="8"/>
    </row>
    <row r="601" spans="1:11" x14ac:dyDescent="0.25">
      <c r="A601" s="44"/>
      <c r="B601" s="44"/>
      <c r="C601" s="44"/>
      <c r="D601" s="44"/>
      <c r="E601" s="44"/>
      <c r="F601" s="44"/>
      <c r="G601" s="44"/>
      <c r="H601" s="44"/>
      <c r="I601" s="8"/>
      <c r="J601" s="8"/>
      <c r="K601" s="8"/>
    </row>
    <row r="602" spans="1:11" x14ac:dyDescent="0.25">
      <c r="A602" s="44"/>
      <c r="B602" s="44"/>
      <c r="C602" s="44"/>
      <c r="D602" s="44"/>
      <c r="E602" s="44"/>
      <c r="F602" s="44"/>
      <c r="G602" s="44"/>
      <c r="H602" s="44"/>
      <c r="I602" s="8"/>
      <c r="J602" s="8"/>
      <c r="K602" s="8"/>
    </row>
    <row r="603" spans="1:11" x14ac:dyDescent="0.25">
      <c r="A603" s="44"/>
      <c r="B603" s="44"/>
      <c r="C603" s="44"/>
      <c r="D603" s="44"/>
      <c r="E603" s="44"/>
      <c r="F603" s="44"/>
      <c r="G603" s="44"/>
      <c r="H603" s="44"/>
      <c r="I603" s="8"/>
      <c r="J603" s="8"/>
      <c r="K603" s="8"/>
    </row>
    <row r="604" spans="1:11" x14ac:dyDescent="0.25">
      <c r="A604" s="44"/>
      <c r="B604" s="44"/>
      <c r="C604" s="44"/>
      <c r="D604" s="44"/>
      <c r="E604" s="44"/>
      <c r="F604" s="44"/>
      <c r="G604" s="44"/>
      <c r="H604" s="44"/>
      <c r="I604" s="8"/>
      <c r="J604" s="8"/>
      <c r="K604" s="8"/>
    </row>
    <row r="605" spans="1:11" x14ac:dyDescent="0.25">
      <c r="A605" s="44"/>
      <c r="B605" s="44"/>
      <c r="C605" s="44"/>
      <c r="D605" s="44"/>
      <c r="E605" s="44"/>
      <c r="F605" s="44"/>
      <c r="G605" s="44"/>
      <c r="H605" s="44"/>
      <c r="I605" s="8"/>
      <c r="J605" s="8"/>
      <c r="K605" s="8"/>
    </row>
    <row r="606" spans="1:11" x14ac:dyDescent="0.25">
      <c r="A606" s="44"/>
      <c r="B606" s="44"/>
      <c r="C606" s="44"/>
      <c r="D606" s="44"/>
      <c r="E606" s="44"/>
      <c r="F606" s="44"/>
      <c r="G606" s="44"/>
      <c r="H606" s="44"/>
      <c r="I606" s="8"/>
      <c r="J606" s="8"/>
      <c r="K606" s="8"/>
    </row>
    <row r="607" spans="1:11" x14ac:dyDescent="0.25">
      <c r="A607" s="44"/>
      <c r="B607" s="44"/>
      <c r="C607" s="44"/>
      <c r="D607" s="44"/>
      <c r="E607" s="44"/>
      <c r="F607" s="44"/>
      <c r="G607" s="44"/>
      <c r="H607" s="44"/>
      <c r="I607" s="8"/>
      <c r="J607" s="8"/>
      <c r="K607" s="8"/>
    </row>
    <row r="608" spans="1:11" x14ac:dyDescent="0.25">
      <c r="A608" s="44"/>
      <c r="B608" s="44"/>
      <c r="C608" s="44"/>
      <c r="D608" s="44"/>
      <c r="E608" s="44"/>
      <c r="F608" s="44"/>
      <c r="G608" s="44"/>
      <c r="H608" s="44"/>
      <c r="I608" s="8"/>
      <c r="J608" s="8"/>
      <c r="K608" s="8"/>
    </row>
    <row r="609" spans="1:11" x14ac:dyDescent="0.25">
      <c r="A609" s="44"/>
      <c r="B609" s="44"/>
      <c r="C609" s="44"/>
      <c r="D609" s="44"/>
      <c r="E609" s="44"/>
      <c r="F609" s="44"/>
      <c r="G609" s="44"/>
      <c r="H609" s="44"/>
      <c r="I609" s="8"/>
      <c r="J609" s="8"/>
      <c r="K609" s="8"/>
    </row>
    <row r="610" spans="1:11" x14ac:dyDescent="0.25">
      <c r="A610" s="44"/>
      <c r="B610" s="44"/>
      <c r="C610" s="44"/>
      <c r="D610" s="44"/>
      <c r="E610" s="44"/>
      <c r="F610" s="44"/>
      <c r="G610" s="44"/>
      <c r="H610" s="44"/>
      <c r="I610" s="8"/>
      <c r="J610" s="8"/>
      <c r="K610" s="8"/>
    </row>
    <row r="611" spans="1:11" x14ac:dyDescent="0.25">
      <c r="A611" s="44"/>
      <c r="B611" s="44"/>
      <c r="C611" s="44"/>
      <c r="D611" s="44"/>
      <c r="E611" s="44"/>
      <c r="F611" s="44"/>
      <c r="G611" s="44"/>
      <c r="H611" s="44"/>
      <c r="I611" s="8"/>
      <c r="J611" s="8"/>
      <c r="K611" s="8"/>
    </row>
    <row r="612" spans="1:11" x14ac:dyDescent="0.25">
      <c r="A612" s="44"/>
      <c r="B612" s="44"/>
      <c r="C612" s="44"/>
      <c r="D612" s="44"/>
      <c r="E612" s="44"/>
      <c r="F612" s="44"/>
      <c r="G612" s="44"/>
      <c r="H612" s="44"/>
      <c r="I612" s="8"/>
      <c r="J612" s="8"/>
      <c r="K612" s="8"/>
    </row>
    <row r="613" spans="1:11" x14ac:dyDescent="0.25">
      <c r="A613" s="44"/>
      <c r="B613" s="44"/>
      <c r="C613" s="44"/>
      <c r="D613" s="44"/>
      <c r="E613" s="44"/>
      <c r="F613" s="44"/>
      <c r="G613" s="44"/>
      <c r="H613" s="44"/>
      <c r="I613" s="8"/>
      <c r="J613" s="8"/>
      <c r="K613" s="8"/>
    </row>
    <row r="614" spans="1:11" x14ac:dyDescent="0.25">
      <c r="A614" s="44"/>
      <c r="B614" s="44"/>
      <c r="C614" s="44"/>
      <c r="D614" s="44"/>
      <c r="E614" s="44"/>
      <c r="F614" s="44"/>
      <c r="G614" s="44"/>
      <c r="H614" s="44"/>
      <c r="I614" s="8"/>
      <c r="J614" s="8"/>
      <c r="K614" s="8"/>
    </row>
    <row r="615" spans="1:11" x14ac:dyDescent="0.25">
      <c r="A615" s="44"/>
      <c r="B615" s="44"/>
      <c r="C615" s="44"/>
      <c r="D615" s="44"/>
      <c r="E615" s="44"/>
      <c r="F615" s="44"/>
      <c r="G615" s="44"/>
      <c r="H615" s="44"/>
      <c r="I615" s="8"/>
      <c r="J615" s="8"/>
      <c r="K615" s="8"/>
    </row>
    <row r="616" spans="1:11" x14ac:dyDescent="0.25">
      <c r="A616" s="44"/>
      <c r="B616" s="44"/>
      <c r="C616" s="44"/>
      <c r="D616" s="44"/>
      <c r="E616" s="44"/>
      <c r="F616" s="44"/>
      <c r="G616" s="44"/>
      <c r="H616" s="44"/>
      <c r="I616" s="8"/>
      <c r="J616" s="8"/>
      <c r="K616" s="8"/>
    </row>
    <row r="617" spans="1:11" x14ac:dyDescent="0.25">
      <c r="A617" s="44"/>
      <c r="B617" s="44"/>
      <c r="C617" s="44"/>
      <c r="D617" s="44"/>
      <c r="E617" s="44"/>
      <c r="F617" s="44"/>
      <c r="G617" s="44"/>
      <c r="H617" s="44"/>
      <c r="I617" s="8"/>
      <c r="J617" s="8"/>
      <c r="K617" s="8"/>
    </row>
    <row r="618" spans="1:11" x14ac:dyDescent="0.25">
      <c r="A618" s="44"/>
      <c r="B618" s="44"/>
      <c r="C618" s="44"/>
      <c r="D618" s="44"/>
      <c r="E618" s="44"/>
      <c r="F618" s="44"/>
      <c r="G618" s="44"/>
      <c r="H618" s="44"/>
      <c r="I618" s="8"/>
      <c r="J618" s="8"/>
      <c r="K618" s="8"/>
    </row>
    <row r="619" spans="1:11" x14ac:dyDescent="0.25">
      <c r="A619" s="44"/>
      <c r="B619" s="44"/>
      <c r="C619" s="44"/>
      <c r="D619" s="44"/>
      <c r="E619" s="44"/>
      <c r="F619" s="44"/>
      <c r="G619" s="44"/>
      <c r="H619" s="44"/>
      <c r="I619" s="8"/>
      <c r="J619" s="8"/>
      <c r="K619" s="8"/>
    </row>
    <row r="620" spans="1:11" x14ac:dyDescent="0.25">
      <c r="A620" s="44"/>
      <c r="B620" s="44"/>
      <c r="C620" s="44"/>
      <c r="D620" s="44"/>
      <c r="E620" s="44"/>
      <c r="F620" s="44"/>
      <c r="G620" s="44"/>
      <c r="H620" s="44"/>
      <c r="I620" s="8"/>
      <c r="J620" s="8"/>
      <c r="K620" s="8"/>
    </row>
    <row r="621" spans="1:11" x14ac:dyDescent="0.25">
      <c r="A621" s="44"/>
      <c r="B621" s="44"/>
      <c r="C621" s="44"/>
      <c r="D621" s="44"/>
      <c r="E621" s="44"/>
      <c r="F621" s="44"/>
      <c r="G621" s="44"/>
      <c r="H621" s="44"/>
      <c r="I621" s="8"/>
      <c r="J621" s="8"/>
      <c r="K621" s="8"/>
    </row>
    <row r="622" spans="1:11" x14ac:dyDescent="0.25">
      <c r="A622" s="44"/>
      <c r="B622" s="44"/>
      <c r="C622" s="44"/>
      <c r="D622" s="44"/>
      <c r="E622" s="44"/>
      <c r="F622" s="44"/>
      <c r="G622" s="44"/>
      <c r="H622" s="44"/>
      <c r="I622" s="8"/>
      <c r="J622" s="8"/>
      <c r="K622" s="8"/>
    </row>
    <row r="623" spans="1:11" x14ac:dyDescent="0.25">
      <c r="A623" s="44"/>
      <c r="B623" s="44"/>
      <c r="C623" s="44"/>
      <c r="D623" s="44"/>
      <c r="E623" s="44"/>
      <c r="F623" s="44"/>
      <c r="G623" s="44"/>
      <c r="H623" s="44"/>
      <c r="I623" s="8"/>
      <c r="J623" s="8"/>
      <c r="K623" s="8"/>
    </row>
    <row r="624" spans="1:11" x14ac:dyDescent="0.25">
      <c r="A624" s="44"/>
      <c r="B624" s="44"/>
      <c r="C624" s="44"/>
      <c r="D624" s="44"/>
      <c r="E624" s="44"/>
      <c r="F624" s="44"/>
      <c r="G624" s="44"/>
      <c r="H624" s="44"/>
      <c r="I624" s="8"/>
      <c r="J624" s="8"/>
      <c r="K624" s="8"/>
    </row>
    <row r="625" spans="1:11" x14ac:dyDescent="0.25">
      <c r="A625" s="44"/>
      <c r="B625" s="44"/>
      <c r="C625" s="44"/>
      <c r="D625" s="44"/>
      <c r="E625" s="44"/>
      <c r="F625" s="44"/>
      <c r="G625" s="44"/>
      <c r="H625" s="44"/>
      <c r="I625" s="8"/>
      <c r="J625" s="8"/>
      <c r="K625" s="8"/>
    </row>
    <row r="626" spans="1:11" x14ac:dyDescent="0.25">
      <c r="A626" s="44"/>
      <c r="B626" s="44"/>
      <c r="C626" s="44"/>
      <c r="D626" s="44"/>
      <c r="E626" s="44"/>
      <c r="F626" s="44"/>
      <c r="G626" s="44"/>
      <c r="H626" s="44"/>
      <c r="I626" s="8"/>
      <c r="J626" s="8"/>
      <c r="K626" s="8"/>
    </row>
    <row r="627" spans="1:11" x14ac:dyDescent="0.25">
      <c r="A627" s="44"/>
      <c r="B627" s="44"/>
      <c r="C627" s="44"/>
      <c r="D627" s="44"/>
      <c r="E627" s="44"/>
      <c r="F627" s="44"/>
      <c r="G627" s="44"/>
      <c r="H627" s="44"/>
      <c r="I627" s="8"/>
      <c r="J627" s="8"/>
      <c r="K627" s="8"/>
    </row>
    <row r="628" spans="1:11" x14ac:dyDescent="0.25">
      <c r="A628" s="44"/>
      <c r="B628" s="44"/>
      <c r="C628" s="44"/>
      <c r="D628" s="44"/>
      <c r="E628" s="44"/>
      <c r="F628" s="44"/>
      <c r="G628" s="44"/>
      <c r="H628" s="44"/>
      <c r="I628" s="8"/>
      <c r="J628" s="8"/>
      <c r="K628" s="8"/>
    </row>
    <row r="629" spans="1:11" x14ac:dyDescent="0.25">
      <c r="A629" s="44"/>
      <c r="B629" s="44"/>
      <c r="C629" s="44"/>
      <c r="D629" s="44"/>
      <c r="E629" s="44"/>
      <c r="F629" s="44"/>
      <c r="G629" s="44"/>
      <c r="H629" s="44"/>
      <c r="I629" s="8"/>
      <c r="J629" s="8"/>
      <c r="K629" s="8"/>
    </row>
    <row r="630" spans="1:11" x14ac:dyDescent="0.25">
      <c r="A630" s="44"/>
      <c r="B630" s="44"/>
      <c r="C630" s="44"/>
      <c r="D630" s="44"/>
      <c r="E630" s="44"/>
      <c r="F630" s="44"/>
      <c r="G630" s="44"/>
      <c r="H630" s="44"/>
      <c r="I630" s="8"/>
      <c r="J630" s="8"/>
      <c r="K630" s="8"/>
    </row>
    <row r="631" spans="1:11" x14ac:dyDescent="0.25">
      <c r="A631" s="44"/>
      <c r="B631" s="44"/>
      <c r="C631" s="44"/>
      <c r="D631" s="44"/>
      <c r="E631" s="44"/>
      <c r="F631" s="44"/>
      <c r="G631" s="44"/>
      <c r="H631" s="44"/>
      <c r="I631" s="8"/>
      <c r="J631" s="8"/>
      <c r="K631" s="8"/>
    </row>
    <row r="632" spans="1:11" x14ac:dyDescent="0.25">
      <c r="A632" s="44"/>
      <c r="B632" s="44"/>
      <c r="C632" s="44"/>
      <c r="D632" s="44"/>
      <c r="E632" s="44"/>
      <c r="F632" s="44"/>
      <c r="G632" s="44"/>
      <c r="H632" s="44"/>
      <c r="I632" s="8"/>
      <c r="J632" s="8"/>
      <c r="K632" s="8"/>
    </row>
    <row r="633" spans="1:11" x14ac:dyDescent="0.25">
      <c r="A633" s="44"/>
      <c r="B633" s="44"/>
      <c r="C633" s="44"/>
      <c r="D633" s="44"/>
      <c r="E633" s="44"/>
      <c r="F633" s="44"/>
      <c r="G633" s="44"/>
      <c r="H633" s="44"/>
      <c r="I633" s="8"/>
      <c r="J633" s="8"/>
      <c r="K633" s="8"/>
    </row>
    <row r="634" spans="1:11" x14ac:dyDescent="0.25">
      <c r="A634" s="44"/>
      <c r="B634" s="44"/>
      <c r="C634" s="44"/>
      <c r="D634" s="44"/>
      <c r="E634" s="44"/>
      <c r="F634" s="44"/>
      <c r="G634" s="44"/>
      <c r="H634" s="44"/>
      <c r="I634" s="8"/>
      <c r="J634" s="8"/>
      <c r="K634" s="8"/>
    </row>
    <row r="635" spans="1:11" x14ac:dyDescent="0.25">
      <c r="A635" s="44"/>
      <c r="B635" s="44"/>
      <c r="C635" s="44"/>
      <c r="D635" s="44"/>
      <c r="E635" s="44"/>
      <c r="F635" s="44"/>
      <c r="G635" s="44"/>
      <c r="H635" s="44"/>
      <c r="I635" s="8"/>
      <c r="J635" s="8"/>
      <c r="K635" s="8"/>
    </row>
    <row r="636" spans="1:11" x14ac:dyDescent="0.25">
      <c r="A636" s="44"/>
      <c r="B636" s="44"/>
      <c r="C636" s="44"/>
      <c r="D636" s="44"/>
      <c r="E636" s="44"/>
      <c r="F636" s="44"/>
      <c r="G636" s="44"/>
      <c r="H636" s="44"/>
      <c r="I636" s="8"/>
      <c r="J636" s="8"/>
      <c r="K636" s="8"/>
    </row>
    <row r="637" spans="1:11" x14ac:dyDescent="0.25">
      <c r="A637" s="44"/>
      <c r="B637" s="44"/>
      <c r="C637" s="44"/>
      <c r="D637" s="44"/>
      <c r="E637" s="44"/>
      <c r="F637" s="44"/>
      <c r="G637" s="44"/>
      <c r="H637" s="44"/>
      <c r="I637" s="8"/>
      <c r="J637" s="8"/>
      <c r="K637" s="8"/>
    </row>
    <row r="638" spans="1:11" x14ac:dyDescent="0.25">
      <c r="A638" s="44"/>
      <c r="B638" s="44"/>
      <c r="C638" s="44"/>
      <c r="D638" s="44"/>
      <c r="E638" s="44"/>
      <c r="F638" s="44"/>
      <c r="G638" s="44"/>
      <c r="H638" s="44"/>
      <c r="I638" s="8"/>
      <c r="J638" s="8"/>
      <c r="K638" s="8"/>
    </row>
    <row r="639" spans="1:11" x14ac:dyDescent="0.25">
      <c r="A639" s="44"/>
      <c r="B639" s="44"/>
      <c r="C639" s="44"/>
      <c r="D639" s="44"/>
      <c r="E639" s="44"/>
      <c r="F639" s="44"/>
      <c r="G639" s="44"/>
      <c r="H639" s="44"/>
      <c r="I639" s="8"/>
      <c r="J639" s="8"/>
      <c r="K639" s="8"/>
    </row>
    <row r="640" spans="1:11" x14ac:dyDescent="0.25">
      <c r="A640" s="44"/>
      <c r="B640" s="44"/>
      <c r="C640" s="44"/>
      <c r="D640" s="44"/>
      <c r="E640" s="44"/>
      <c r="F640" s="44"/>
      <c r="G640" s="44"/>
      <c r="H640" s="44"/>
      <c r="I640" s="8"/>
      <c r="J640" s="8"/>
      <c r="K640" s="8"/>
    </row>
    <row r="641" spans="1:11" x14ac:dyDescent="0.25">
      <c r="A641" s="44"/>
      <c r="B641" s="44"/>
      <c r="C641" s="44"/>
      <c r="D641" s="44"/>
      <c r="E641" s="44"/>
      <c r="F641" s="44"/>
      <c r="G641" s="44"/>
      <c r="H641" s="44"/>
      <c r="I641" s="8"/>
      <c r="J641" s="8"/>
      <c r="K641" s="8"/>
    </row>
    <row r="642" spans="1:11" x14ac:dyDescent="0.25">
      <c r="A642" s="44"/>
      <c r="B642" s="44"/>
      <c r="C642" s="44"/>
      <c r="D642" s="44"/>
      <c r="E642" s="44"/>
      <c r="F642" s="44"/>
      <c r="G642" s="44"/>
      <c r="H642" s="44"/>
      <c r="I642" s="8"/>
      <c r="J642" s="8"/>
      <c r="K642" s="8"/>
    </row>
    <row r="643" spans="1:11" x14ac:dyDescent="0.25">
      <c r="A643" s="44"/>
      <c r="B643" s="44"/>
      <c r="C643" s="44"/>
      <c r="D643" s="44"/>
      <c r="E643" s="44"/>
      <c r="F643" s="44"/>
      <c r="G643" s="44"/>
      <c r="H643" s="44"/>
      <c r="I643" s="8"/>
      <c r="J643" s="8"/>
      <c r="K643" s="8"/>
    </row>
    <row r="644" spans="1:11" x14ac:dyDescent="0.25">
      <c r="A644" s="44"/>
      <c r="B644" s="44"/>
      <c r="C644" s="44"/>
      <c r="D644" s="44"/>
      <c r="E644" s="44"/>
      <c r="F644" s="44"/>
      <c r="G644" s="44"/>
      <c r="H644" s="44"/>
      <c r="I644" s="8"/>
      <c r="J644" s="8"/>
      <c r="K644" s="8"/>
    </row>
    <row r="645" spans="1:11" x14ac:dyDescent="0.25">
      <c r="A645" s="44"/>
      <c r="B645" s="44"/>
      <c r="C645" s="44"/>
      <c r="D645" s="44"/>
      <c r="E645" s="44"/>
      <c r="F645" s="44"/>
      <c r="G645" s="44"/>
      <c r="H645" s="44"/>
      <c r="I645" s="8"/>
      <c r="J645" s="8"/>
      <c r="K645" s="8"/>
    </row>
    <row r="646" spans="1:11" x14ac:dyDescent="0.25">
      <c r="A646" s="44"/>
      <c r="B646" s="44"/>
      <c r="C646" s="44"/>
      <c r="D646" s="44"/>
      <c r="E646" s="44"/>
      <c r="F646" s="44"/>
      <c r="G646" s="44"/>
      <c r="H646" s="44"/>
      <c r="I646" s="8"/>
      <c r="J646" s="8"/>
      <c r="K646" s="8"/>
    </row>
    <row r="647" spans="1:11" x14ac:dyDescent="0.25">
      <c r="A647" s="44"/>
      <c r="B647" s="44"/>
      <c r="C647" s="44"/>
      <c r="D647" s="44"/>
      <c r="E647" s="44"/>
      <c r="F647" s="44"/>
      <c r="G647" s="44"/>
      <c r="H647" s="44"/>
      <c r="I647" s="8"/>
      <c r="J647" s="8"/>
      <c r="K647" s="8"/>
    </row>
    <row r="648" spans="1:11" x14ac:dyDescent="0.25">
      <c r="A648" s="44"/>
      <c r="B648" s="44"/>
      <c r="C648" s="44"/>
      <c r="D648" s="44"/>
      <c r="E648" s="44"/>
      <c r="F648" s="44"/>
      <c r="G648" s="44"/>
      <c r="H648" s="44"/>
      <c r="I648" s="8"/>
      <c r="J648" s="8"/>
      <c r="K648" s="8"/>
    </row>
    <row r="649" spans="1:11" x14ac:dyDescent="0.25">
      <c r="A649" s="44"/>
      <c r="B649" s="44"/>
      <c r="C649" s="44"/>
      <c r="D649" s="44"/>
      <c r="E649" s="44"/>
      <c r="F649" s="44"/>
      <c r="G649" s="44"/>
      <c r="H649" s="44"/>
      <c r="I649" s="8"/>
      <c r="J649" s="8"/>
      <c r="K649" s="8"/>
    </row>
    <row r="650" spans="1:11" x14ac:dyDescent="0.25">
      <c r="A650" s="44"/>
      <c r="B650" s="44"/>
      <c r="C650" s="44"/>
      <c r="D650" s="44"/>
      <c r="E650" s="44"/>
      <c r="F650" s="44"/>
      <c r="G650" s="44"/>
      <c r="H650" s="44"/>
      <c r="I650" s="8"/>
      <c r="J650" s="8"/>
      <c r="K650" s="8"/>
    </row>
    <row r="651" spans="1:11" x14ac:dyDescent="0.25">
      <c r="A651" s="44"/>
      <c r="B651" s="44"/>
      <c r="C651" s="44"/>
      <c r="D651" s="44"/>
      <c r="E651" s="44"/>
      <c r="F651" s="44"/>
      <c r="G651" s="44"/>
      <c r="H651" s="44"/>
      <c r="I651" s="8"/>
      <c r="J651" s="8"/>
      <c r="K651" s="8"/>
    </row>
    <row r="652" spans="1:11" x14ac:dyDescent="0.25">
      <c r="A652" s="44"/>
      <c r="B652" s="44"/>
      <c r="C652" s="44"/>
      <c r="D652" s="44"/>
      <c r="E652" s="44"/>
      <c r="F652" s="44"/>
      <c r="G652" s="44"/>
      <c r="H652" s="44"/>
      <c r="I652" s="8"/>
      <c r="J652" s="8"/>
      <c r="K652" s="8"/>
    </row>
    <row r="653" spans="1:11" x14ac:dyDescent="0.25">
      <c r="A653" s="44"/>
      <c r="B653" s="44"/>
      <c r="C653" s="44"/>
      <c r="D653" s="44"/>
      <c r="E653" s="44"/>
      <c r="F653" s="44"/>
      <c r="G653" s="44"/>
      <c r="H653" s="44"/>
      <c r="I653" s="8"/>
      <c r="J653" s="8"/>
      <c r="K653" s="8"/>
    </row>
    <row r="654" spans="1:11" x14ac:dyDescent="0.25">
      <c r="A654" s="44"/>
      <c r="B654" s="44"/>
      <c r="C654" s="44"/>
      <c r="D654" s="44"/>
      <c r="E654" s="44"/>
      <c r="F654" s="44"/>
      <c r="G654" s="44"/>
      <c r="H654" s="44"/>
      <c r="I654" s="8"/>
      <c r="J654" s="8"/>
      <c r="K654" s="8"/>
    </row>
    <row r="655" spans="1:11" x14ac:dyDescent="0.25">
      <c r="A655" s="44"/>
      <c r="B655" s="44"/>
      <c r="C655" s="44"/>
      <c r="D655" s="44"/>
      <c r="E655" s="44"/>
      <c r="F655" s="44"/>
      <c r="G655" s="44"/>
      <c r="H655" s="44"/>
      <c r="I655" s="8"/>
      <c r="J655" s="8"/>
      <c r="K655" s="8"/>
    </row>
    <row r="656" spans="1:11" x14ac:dyDescent="0.25">
      <c r="A656" s="44"/>
      <c r="B656" s="44"/>
      <c r="C656" s="44"/>
      <c r="D656" s="44"/>
      <c r="E656" s="44"/>
      <c r="F656" s="44"/>
      <c r="G656" s="44"/>
      <c r="H656" s="44"/>
      <c r="I656" s="8"/>
      <c r="J656" s="8"/>
      <c r="K656" s="8"/>
    </row>
    <row r="657" spans="1:11" x14ac:dyDescent="0.25">
      <c r="A657" s="44"/>
      <c r="B657" s="44"/>
      <c r="C657" s="44"/>
      <c r="D657" s="44"/>
      <c r="E657" s="44"/>
      <c r="F657" s="44"/>
      <c r="G657" s="44"/>
      <c r="H657" s="44"/>
      <c r="I657" s="8"/>
      <c r="J657" s="8"/>
      <c r="K657" s="8"/>
    </row>
    <row r="658" spans="1:11" x14ac:dyDescent="0.25">
      <c r="A658" s="44"/>
      <c r="B658" s="44"/>
      <c r="C658" s="44"/>
      <c r="D658" s="44"/>
      <c r="E658" s="44"/>
      <c r="F658" s="44"/>
      <c r="G658" s="44"/>
      <c r="H658" s="44"/>
      <c r="I658" s="8"/>
      <c r="J658" s="8"/>
      <c r="K658" s="8"/>
    </row>
    <row r="659" spans="1:11" x14ac:dyDescent="0.25">
      <c r="A659" s="44"/>
      <c r="B659" s="44"/>
      <c r="C659" s="44"/>
      <c r="D659" s="44"/>
      <c r="E659" s="44"/>
      <c r="F659" s="44"/>
      <c r="G659" s="44"/>
      <c r="H659" s="44"/>
      <c r="I659" s="8"/>
      <c r="J659" s="8"/>
      <c r="K659" s="8"/>
    </row>
    <row r="660" spans="1:11" x14ac:dyDescent="0.25">
      <c r="A660" s="44"/>
      <c r="B660" s="44"/>
      <c r="C660" s="44"/>
      <c r="D660" s="44"/>
      <c r="E660" s="44"/>
      <c r="F660" s="44"/>
      <c r="G660" s="44"/>
      <c r="H660" s="44"/>
      <c r="I660" s="8"/>
      <c r="J660" s="8"/>
      <c r="K660" s="8"/>
    </row>
    <row r="661" spans="1:11" x14ac:dyDescent="0.25">
      <c r="A661" s="44"/>
      <c r="B661" s="44"/>
      <c r="C661" s="44"/>
      <c r="D661" s="44"/>
      <c r="E661" s="44"/>
      <c r="F661" s="44"/>
      <c r="G661" s="44"/>
      <c r="H661" s="44"/>
      <c r="I661" s="8"/>
      <c r="J661" s="8"/>
      <c r="K661" s="8"/>
    </row>
    <row r="662" spans="1:11" x14ac:dyDescent="0.25">
      <c r="A662" s="44"/>
      <c r="B662" s="44"/>
      <c r="C662" s="44"/>
      <c r="D662" s="44"/>
      <c r="E662" s="44"/>
      <c r="F662" s="44"/>
      <c r="G662" s="44"/>
      <c r="H662" s="44"/>
      <c r="I662" s="8"/>
      <c r="J662" s="8"/>
      <c r="K662" s="8"/>
    </row>
    <row r="663" spans="1:11" x14ac:dyDescent="0.25">
      <c r="A663" s="44"/>
      <c r="B663" s="44"/>
      <c r="C663" s="44"/>
      <c r="D663" s="44"/>
      <c r="E663" s="44"/>
      <c r="F663" s="44"/>
      <c r="G663" s="44"/>
      <c r="H663" s="44"/>
      <c r="I663" s="8"/>
      <c r="J663" s="8"/>
      <c r="K663" s="8"/>
    </row>
    <row r="664" spans="1:11" x14ac:dyDescent="0.25">
      <c r="A664" s="44"/>
      <c r="B664" s="44"/>
      <c r="C664" s="44"/>
      <c r="D664" s="44"/>
      <c r="E664" s="44"/>
      <c r="F664" s="44"/>
      <c r="G664" s="44"/>
      <c r="H664" s="44"/>
      <c r="I664" s="8"/>
      <c r="J664" s="8"/>
      <c r="K664" s="8"/>
    </row>
    <row r="665" spans="1:11" x14ac:dyDescent="0.25">
      <c r="A665" s="44"/>
      <c r="B665" s="44"/>
      <c r="C665" s="44"/>
      <c r="D665" s="44"/>
      <c r="E665" s="44"/>
      <c r="F665" s="44"/>
      <c r="G665" s="44"/>
      <c r="H665" s="44"/>
      <c r="I665" s="8"/>
      <c r="J665" s="8"/>
      <c r="K665" s="8"/>
    </row>
    <row r="666" spans="1:11" x14ac:dyDescent="0.25">
      <c r="A666" s="44"/>
      <c r="B666" s="44"/>
      <c r="C666" s="44"/>
      <c r="D666" s="44"/>
      <c r="E666" s="44"/>
      <c r="F666" s="44"/>
      <c r="G666" s="44"/>
      <c r="H666" s="44"/>
      <c r="I666" s="8"/>
      <c r="J666" s="8"/>
      <c r="K666" s="8"/>
    </row>
    <row r="667" spans="1:11" x14ac:dyDescent="0.25">
      <c r="A667" s="44"/>
      <c r="B667" s="44"/>
      <c r="C667" s="44"/>
      <c r="D667" s="44"/>
      <c r="E667" s="44"/>
      <c r="F667" s="44"/>
      <c r="G667" s="44"/>
      <c r="H667" s="44"/>
      <c r="I667" s="8"/>
      <c r="J667" s="8"/>
      <c r="K667" s="8"/>
    </row>
    <row r="668" spans="1:11" x14ac:dyDescent="0.25">
      <c r="A668" s="44"/>
      <c r="B668" s="44"/>
      <c r="C668" s="44"/>
      <c r="D668" s="44"/>
      <c r="E668" s="44"/>
      <c r="F668" s="44"/>
      <c r="G668" s="44"/>
      <c r="H668" s="44"/>
      <c r="I668" s="8"/>
      <c r="J668" s="8"/>
      <c r="K668" s="8"/>
    </row>
    <row r="669" spans="1:11" x14ac:dyDescent="0.25">
      <c r="A669" s="44"/>
      <c r="B669" s="44"/>
      <c r="C669" s="44"/>
      <c r="D669" s="44"/>
      <c r="E669" s="44"/>
      <c r="F669" s="44"/>
      <c r="G669" s="44"/>
      <c r="H669" s="44"/>
      <c r="I669" s="8"/>
      <c r="J669" s="8"/>
      <c r="K669" s="8"/>
    </row>
    <row r="670" spans="1:11" x14ac:dyDescent="0.25">
      <c r="A670" s="44"/>
      <c r="B670" s="44"/>
      <c r="C670" s="44"/>
      <c r="D670" s="44"/>
      <c r="E670" s="44"/>
      <c r="F670" s="44"/>
      <c r="G670" s="44"/>
      <c r="H670" s="44"/>
      <c r="I670" s="8"/>
      <c r="J670" s="8"/>
      <c r="K670" s="8"/>
    </row>
    <row r="671" spans="1:11" x14ac:dyDescent="0.25">
      <c r="A671" s="44"/>
      <c r="B671" s="44"/>
      <c r="C671" s="44"/>
      <c r="D671" s="44"/>
      <c r="E671" s="44"/>
      <c r="F671" s="44"/>
      <c r="G671" s="44"/>
      <c r="H671" s="44"/>
      <c r="I671" s="8"/>
      <c r="J671" s="8"/>
      <c r="K671" s="8"/>
    </row>
    <row r="672" spans="1:11" x14ac:dyDescent="0.25">
      <c r="A672" s="44"/>
      <c r="B672" s="44"/>
      <c r="C672" s="44"/>
      <c r="D672" s="44"/>
      <c r="E672" s="44"/>
      <c r="F672" s="44"/>
      <c r="G672" s="44"/>
      <c r="H672" s="44"/>
      <c r="I672" s="8"/>
      <c r="J672" s="8"/>
      <c r="K672" s="8"/>
    </row>
    <row r="673" spans="1:11" x14ac:dyDescent="0.25">
      <c r="A673" s="44"/>
      <c r="B673" s="44"/>
      <c r="C673" s="44"/>
      <c r="D673" s="44"/>
      <c r="E673" s="44"/>
      <c r="F673" s="44"/>
      <c r="G673" s="44"/>
      <c r="H673" s="44"/>
      <c r="I673" s="8"/>
      <c r="J673" s="8"/>
      <c r="K673" s="8"/>
    </row>
    <row r="674" spans="1:11" x14ac:dyDescent="0.25">
      <c r="A674" s="44"/>
      <c r="B674" s="44"/>
      <c r="C674" s="44"/>
      <c r="D674" s="44"/>
      <c r="E674" s="44"/>
      <c r="F674" s="44"/>
      <c r="G674" s="44"/>
      <c r="H674" s="44"/>
      <c r="I674" s="8"/>
      <c r="J674" s="8"/>
      <c r="K674" s="8"/>
    </row>
    <row r="675" spans="1:11" x14ac:dyDescent="0.25">
      <c r="A675" s="44"/>
      <c r="B675" s="44"/>
      <c r="C675" s="44"/>
      <c r="D675" s="44"/>
      <c r="E675" s="44"/>
      <c r="F675" s="44"/>
      <c r="G675" s="44"/>
      <c r="H675" s="44"/>
      <c r="I675" s="8"/>
      <c r="J675" s="8"/>
      <c r="K675" s="8"/>
    </row>
    <row r="676" spans="1:11" x14ac:dyDescent="0.25">
      <c r="A676" s="44"/>
      <c r="B676" s="44"/>
      <c r="C676" s="44"/>
      <c r="D676" s="44"/>
      <c r="E676" s="44"/>
      <c r="F676" s="44"/>
      <c r="G676" s="44"/>
      <c r="H676" s="44"/>
      <c r="I676" s="8"/>
      <c r="J676" s="8"/>
      <c r="K676" s="8"/>
    </row>
    <row r="677" spans="1:11" x14ac:dyDescent="0.25">
      <c r="A677" s="44"/>
      <c r="B677" s="44"/>
      <c r="C677" s="44"/>
      <c r="D677" s="44"/>
      <c r="E677" s="44"/>
      <c r="F677" s="44"/>
      <c r="G677" s="44"/>
      <c r="H677" s="44"/>
      <c r="I677" s="8"/>
      <c r="J677" s="8"/>
      <c r="K677" s="8"/>
    </row>
    <row r="678" spans="1:11" x14ac:dyDescent="0.25">
      <c r="A678" s="44"/>
      <c r="B678" s="44"/>
      <c r="C678" s="44"/>
      <c r="D678" s="44"/>
      <c r="E678" s="44"/>
      <c r="F678" s="44"/>
      <c r="G678" s="44"/>
      <c r="H678" s="44"/>
      <c r="I678" s="8"/>
      <c r="J678" s="8"/>
      <c r="K678" s="8"/>
    </row>
    <row r="679" spans="1:11" x14ac:dyDescent="0.25">
      <c r="A679" s="44"/>
      <c r="B679" s="44"/>
      <c r="C679" s="44"/>
      <c r="D679" s="44"/>
      <c r="E679" s="44"/>
      <c r="F679" s="44"/>
      <c r="G679" s="44"/>
      <c r="H679" s="44"/>
      <c r="I679" s="8"/>
      <c r="J679" s="8"/>
      <c r="K679" s="8"/>
    </row>
    <row r="680" spans="1:11" x14ac:dyDescent="0.25">
      <c r="A680" s="44"/>
      <c r="B680" s="44"/>
      <c r="C680" s="44"/>
      <c r="D680" s="44"/>
      <c r="E680" s="44"/>
      <c r="F680" s="44"/>
      <c r="G680" s="44"/>
      <c r="H680" s="44"/>
      <c r="I680" s="8"/>
      <c r="J680" s="8"/>
      <c r="K680" s="8"/>
    </row>
    <row r="681" spans="1:11" x14ac:dyDescent="0.25">
      <c r="A681" s="44"/>
      <c r="B681" s="44"/>
      <c r="C681" s="44"/>
      <c r="D681" s="44"/>
      <c r="E681" s="44"/>
      <c r="F681" s="44"/>
      <c r="G681" s="44"/>
      <c r="H681" s="44"/>
      <c r="I681" s="8"/>
      <c r="J681" s="8"/>
      <c r="K681" s="8"/>
    </row>
    <row r="682" spans="1:11" x14ac:dyDescent="0.25">
      <c r="A682" s="44"/>
      <c r="B682" s="44"/>
      <c r="C682" s="44"/>
      <c r="D682" s="44"/>
      <c r="E682" s="44"/>
      <c r="F682" s="44"/>
      <c r="G682" s="44"/>
      <c r="H682" s="44"/>
      <c r="I682" s="8"/>
      <c r="J682" s="8"/>
      <c r="K682" s="8"/>
    </row>
    <row r="683" spans="1:11" x14ac:dyDescent="0.25">
      <c r="A683" s="44"/>
      <c r="B683" s="44"/>
      <c r="C683" s="44"/>
      <c r="D683" s="44"/>
      <c r="E683" s="44"/>
      <c r="F683" s="44"/>
      <c r="G683" s="44"/>
      <c r="H683" s="44"/>
      <c r="I683" s="8"/>
      <c r="J683" s="8"/>
      <c r="K683" s="8"/>
    </row>
    <row r="684" spans="1:11" x14ac:dyDescent="0.25">
      <c r="A684" s="44"/>
      <c r="B684" s="44"/>
      <c r="C684" s="44"/>
      <c r="D684" s="44"/>
      <c r="E684" s="44"/>
      <c r="F684" s="44"/>
      <c r="G684" s="44"/>
      <c r="H684" s="44"/>
      <c r="I684" s="8"/>
      <c r="J684" s="8"/>
      <c r="K684" s="8"/>
    </row>
    <row r="685" spans="1:11" x14ac:dyDescent="0.25">
      <c r="A685" s="44"/>
      <c r="B685" s="44"/>
      <c r="C685" s="44"/>
      <c r="D685" s="44"/>
      <c r="E685" s="44"/>
      <c r="F685" s="44"/>
      <c r="G685" s="44"/>
      <c r="H685" s="44"/>
      <c r="I685" s="8"/>
      <c r="J685" s="8"/>
      <c r="K685" s="8"/>
    </row>
    <row r="686" spans="1:11" x14ac:dyDescent="0.25">
      <c r="A686" s="44"/>
      <c r="B686" s="44"/>
      <c r="C686" s="44"/>
      <c r="D686" s="44"/>
      <c r="E686" s="44"/>
      <c r="F686" s="44"/>
      <c r="G686" s="44"/>
      <c r="H686" s="44"/>
      <c r="I686" s="8"/>
      <c r="J686" s="8"/>
      <c r="K686" s="8"/>
    </row>
    <row r="687" spans="1:11" x14ac:dyDescent="0.25">
      <c r="A687" s="44"/>
      <c r="B687" s="44"/>
      <c r="C687" s="44"/>
      <c r="D687" s="44"/>
      <c r="E687" s="44"/>
      <c r="F687" s="44"/>
      <c r="G687" s="44"/>
      <c r="H687" s="44"/>
      <c r="I687" s="8"/>
      <c r="J687" s="8"/>
      <c r="K687" s="8"/>
    </row>
    <row r="688" spans="1:11" x14ac:dyDescent="0.25">
      <c r="A688" s="44"/>
      <c r="B688" s="44"/>
      <c r="C688" s="44"/>
      <c r="D688" s="44"/>
      <c r="E688" s="44"/>
      <c r="F688" s="44"/>
      <c r="G688" s="44"/>
      <c r="H688" s="44"/>
      <c r="I688" s="8"/>
      <c r="J688" s="8"/>
      <c r="K688" s="8"/>
    </row>
    <row r="689" spans="1:11" x14ac:dyDescent="0.25">
      <c r="A689" s="44"/>
      <c r="B689" s="44"/>
      <c r="C689" s="44"/>
      <c r="D689" s="44"/>
      <c r="E689" s="44"/>
      <c r="F689" s="44"/>
      <c r="G689" s="44"/>
      <c r="H689" s="44"/>
      <c r="I689" s="8"/>
      <c r="J689" s="8"/>
      <c r="K689" s="8"/>
    </row>
    <row r="690" spans="1:11" x14ac:dyDescent="0.25">
      <c r="A690" s="44"/>
      <c r="B690" s="44"/>
      <c r="C690" s="44"/>
      <c r="D690" s="44"/>
      <c r="E690" s="44"/>
      <c r="F690" s="44"/>
      <c r="G690" s="44"/>
      <c r="H690" s="44"/>
      <c r="I690" s="8"/>
      <c r="J690" s="8"/>
      <c r="K690" s="8"/>
    </row>
    <row r="691" spans="1:11" x14ac:dyDescent="0.25">
      <c r="A691" s="44"/>
      <c r="B691" s="44"/>
      <c r="C691" s="44"/>
      <c r="D691" s="44"/>
      <c r="E691" s="44"/>
      <c r="F691" s="44"/>
      <c r="G691" s="44"/>
      <c r="H691" s="44"/>
      <c r="I691" s="8"/>
      <c r="J691" s="8"/>
      <c r="K691" s="8"/>
    </row>
    <row r="692" spans="1:11" x14ac:dyDescent="0.25">
      <c r="A692" s="44"/>
      <c r="B692" s="44"/>
      <c r="C692" s="44"/>
      <c r="D692" s="44"/>
      <c r="E692" s="44"/>
      <c r="F692" s="44"/>
      <c r="G692" s="44"/>
      <c r="H692" s="44"/>
      <c r="I692" s="8"/>
      <c r="J692" s="8"/>
      <c r="K692" s="8"/>
    </row>
    <row r="693" spans="1:11" x14ac:dyDescent="0.25">
      <c r="A693" s="44"/>
      <c r="B693" s="44"/>
      <c r="C693" s="44"/>
      <c r="D693" s="44"/>
      <c r="E693" s="44"/>
      <c r="F693" s="44"/>
      <c r="G693" s="44"/>
      <c r="H693" s="44"/>
      <c r="I693" s="8"/>
      <c r="J693" s="8"/>
      <c r="K693" s="8"/>
    </row>
    <row r="694" spans="1:11" x14ac:dyDescent="0.25">
      <c r="A694" s="44"/>
      <c r="B694" s="44"/>
      <c r="C694" s="44"/>
      <c r="D694" s="44"/>
      <c r="E694" s="44"/>
      <c r="F694" s="44"/>
      <c r="G694" s="44"/>
      <c r="H694" s="44"/>
      <c r="I694" s="8"/>
      <c r="J694" s="8"/>
      <c r="K694" s="8"/>
    </row>
    <row r="695" spans="1:11" x14ac:dyDescent="0.25">
      <c r="A695" s="44"/>
      <c r="B695" s="44"/>
      <c r="C695" s="44"/>
      <c r="D695" s="44"/>
      <c r="E695" s="44"/>
      <c r="F695" s="44"/>
      <c r="G695" s="44"/>
      <c r="H695" s="44"/>
      <c r="I695" s="8"/>
      <c r="J695" s="8"/>
      <c r="K695" s="8"/>
    </row>
    <row r="696" spans="1:11" x14ac:dyDescent="0.25">
      <c r="A696" s="44"/>
      <c r="B696" s="44"/>
      <c r="C696" s="44"/>
      <c r="D696" s="44"/>
      <c r="E696" s="44"/>
      <c r="F696" s="44"/>
      <c r="G696" s="44"/>
      <c r="H696" s="44"/>
      <c r="I696" s="8"/>
      <c r="J696" s="8"/>
      <c r="K696" s="8"/>
    </row>
    <row r="697" spans="1:11" x14ac:dyDescent="0.25">
      <c r="A697" s="44"/>
      <c r="B697" s="44"/>
      <c r="C697" s="44"/>
      <c r="D697" s="44"/>
      <c r="E697" s="44"/>
      <c r="F697" s="44"/>
      <c r="G697" s="44"/>
      <c r="H697" s="44"/>
      <c r="I697" s="8"/>
      <c r="J697" s="8"/>
      <c r="K697" s="8"/>
    </row>
    <row r="698" spans="1:11" x14ac:dyDescent="0.25">
      <c r="A698" s="44"/>
      <c r="B698" s="44"/>
      <c r="C698" s="44"/>
      <c r="D698" s="44"/>
      <c r="E698" s="44"/>
      <c r="F698" s="44"/>
      <c r="G698" s="44"/>
      <c r="H698" s="44"/>
      <c r="I698" s="8"/>
      <c r="J698" s="8"/>
      <c r="K698" s="8"/>
    </row>
    <row r="699" spans="1:11" x14ac:dyDescent="0.25">
      <c r="A699" s="44"/>
      <c r="B699" s="44"/>
      <c r="C699" s="44"/>
      <c r="D699" s="44"/>
      <c r="E699" s="44"/>
      <c r="F699" s="44"/>
      <c r="G699" s="44"/>
      <c r="H699" s="44"/>
      <c r="I699" s="8"/>
      <c r="J699" s="8"/>
      <c r="K699" s="8"/>
    </row>
    <row r="700" spans="1:11" x14ac:dyDescent="0.25">
      <c r="A700" s="44"/>
      <c r="B700" s="44"/>
      <c r="C700" s="44"/>
      <c r="D700" s="44"/>
      <c r="E700" s="44"/>
      <c r="F700" s="44"/>
      <c r="G700" s="44"/>
      <c r="H700" s="44"/>
      <c r="I700" s="8"/>
      <c r="J700" s="8"/>
      <c r="K700" s="8"/>
    </row>
    <row r="701" spans="1:11" x14ac:dyDescent="0.25">
      <c r="A701" s="44"/>
      <c r="B701" s="44"/>
      <c r="C701" s="44"/>
      <c r="D701" s="44"/>
      <c r="E701" s="44"/>
      <c r="F701" s="44"/>
      <c r="G701" s="44"/>
      <c r="H701" s="44"/>
      <c r="I701" s="8"/>
      <c r="J701" s="8"/>
      <c r="K701" s="8"/>
    </row>
    <row r="702" spans="1:11" x14ac:dyDescent="0.25">
      <c r="A702" s="44"/>
      <c r="B702" s="44"/>
      <c r="C702" s="44"/>
      <c r="D702" s="44"/>
      <c r="E702" s="44"/>
      <c r="F702" s="44"/>
      <c r="G702" s="44"/>
      <c r="H702" s="44"/>
      <c r="I702" s="8"/>
      <c r="J702" s="8"/>
      <c r="K702" s="8"/>
    </row>
    <row r="703" spans="1:11" x14ac:dyDescent="0.25">
      <c r="A703" s="44"/>
      <c r="B703" s="44"/>
      <c r="C703" s="44"/>
      <c r="D703" s="44"/>
      <c r="E703" s="44"/>
      <c r="F703" s="44"/>
      <c r="G703" s="44"/>
      <c r="H703" s="44"/>
      <c r="I703" s="8"/>
      <c r="J703" s="8"/>
      <c r="K703" s="8"/>
    </row>
    <row r="704" spans="1:11" x14ac:dyDescent="0.25">
      <c r="A704" s="44"/>
      <c r="B704" s="44"/>
      <c r="C704" s="44"/>
      <c r="D704" s="44"/>
      <c r="E704" s="44"/>
      <c r="F704" s="44"/>
      <c r="G704" s="44"/>
      <c r="H704" s="44"/>
      <c r="I704" s="8"/>
      <c r="J704" s="8"/>
      <c r="K704" s="8"/>
    </row>
    <row r="705" spans="1:11" x14ac:dyDescent="0.25">
      <c r="A705" s="44"/>
      <c r="B705" s="44"/>
      <c r="C705" s="44"/>
      <c r="D705" s="44"/>
      <c r="E705" s="44"/>
      <c r="F705" s="44"/>
      <c r="G705" s="44"/>
      <c r="H705" s="44"/>
      <c r="I705" s="8"/>
      <c r="J705" s="8"/>
      <c r="K705" s="8"/>
    </row>
    <row r="706" spans="1:11" x14ac:dyDescent="0.25">
      <c r="A706" s="44"/>
      <c r="B706" s="44"/>
      <c r="C706" s="44"/>
      <c r="D706" s="44"/>
      <c r="E706" s="44"/>
      <c r="F706" s="44"/>
      <c r="G706" s="44"/>
      <c r="H706" s="44"/>
      <c r="I706" s="8"/>
      <c r="J706" s="8"/>
      <c r="K706" s="8"/>
    </row>
    <row r="707" spans="1:11" x14ac:dyDescent="0.25">
      <c r="A707" s="44"/>
      <c r="B707" s="44"/>
      <c r="C707" s="44"/>
      <c r="D707" s="44"/>
      <c r="E707" s="44"/>
      <c r="F707" s="44"/>
      <c r="G707" s="44"/>
      <c r="H707" s="44"/>
      <c r="I707" s="8"/>
      <c r="J707" s="8"/>
      <c r="K707" s="8"/>
    </row>
    <row r="708" spans="1:11" x14ac:dyDescent="0.25">
      <c r="A708" s="44"/>
      <c r="B708" s="44"/>
      <c r="C708" s="44"/>
      <c r="D708" s="44"/>
      <c r="E708" s="44"/>
      <c r="F708" s="44"/>
      <c r="G708" s="44"/>
      <c r="H708" s="44"/>
      <c r="I708" s="8"/>
      <c r="J708" s="8"/>
      <c r="K708" s="8"/>
    </row>
    <row r="709" spans="1:11" x14ac:dyDescent="0.25">
      <c r="A709" s="44"/>
      <c r="B709" s="44"/>
      <c r="C709" s="44"/>
      <c r="D709" s="44"/>
      <c r="E709" s="44"/>
      <c r="F709" s="44"/>
      <c r="G709" s="44"/>
      <c r="H709" s="44"/>
      <c r="I709" s="8"/>
      <c r="J709" s="8"/>
      <c r="K709" s="8"/>
    </row>
    <row r="710" spans="1:11" x14ac:dyDescent="0.25">
      <c r="A710" s="44"/>
      <c r="B710" s="44"/>
      <c r="C710" s="44"/>
      <c r="D710" s="44"/>
      <c r="E710" s="44"/>
      <c r="F710" s="44"/>
      <c r="G710" s="44"/>
      <c r="H710" s="44"/>
      <c r="I710" s="8"/>
      <c r="J710" s="8"/>
      <c r="K710" s="8"/>
    </row>
    <row r="711" spans="1:11" x14ac:dyDescent="0.25">
      <c r="A711" s="44"/>
      <c r="B711" s="44"/>
      <c r="C711" s="44"/>
      <c r="D711" s="44"/>
      <c r="E711" s="44"/>
      <c r="F711" s="44"/>
      <c r="G711" s="44"/>
      <c r="H711" s="44"/>
      <c r="I711" s="8"/>
      <c r="J711" s="8"/>
      <c r="K711" s="8"/>
    </row>
    <row r="712" spans="1:11" x14ac:dyDescent="0.25">
      <c r="A712" s="44"/>
      <c r="B712" s="44"/>
      <c r="C712" s="44"/>
      <c r="D712" s="44"/>
      <c r="E712" s="44"/>
      <c r="F712" s="44"/>
      <c r="G712" s="44"/>
      <c r="H712" s="44"/>
      <c r="I712" s="8"/>
      <c r="J712" s="8"/>
      <c r="K712" s="8"/>
    </row>
    <row r="713" spans="1:11" x14ac:dyDescent="0.25">
      <c r="A713" s="44"/>
      <c r="B713" s="44"/>
      <c r="C713" s="44"/>
      <c r="D713" s="44"/>
      <c r="E713" s="44"/>
      <c r="F713" s="44"/>
      <c r="G713" s="44"/>
      <c r="H713" s="44"/>
      <c r="I713" s="8"/>
      <c r="J713" s="8"/>
      <c r="K713" s="8"/>
    </row>
    <row r="714" spans="1:11" x14ac:dyDescent="0.25">
      <c r="A714" s="44"/>
      <c r="B714" s="44"/>
      <c r="C714" s="44"/>
      <c r="D714" s="44"/>
      <c r="E714" s="44"/>
      <c r="F714" s="44"/>
      <c r="G714" s="44"/>
      <c r="H714" s="44"/>
      <c r="I714" s="8"/>
      <c r="J714" s="8"/>
      <c r="K714" s="8"/>
    </row>
    <row r="715" spans="1:11" x14ac:dyDescent="0.25">
      <c r="A715" s="44"/>
      <c r="B715" s="44"/>
      <c r="C715" s="44"/>
      <c r="D715" s="44"/>
      <c r="E715" s="44"/>
      <c r="F715" s="44"/>
      <c r="G715" s="44"/>
      <c r="H715" s="44"/>
      <c r="I715" s="8"/>
      <c r="J715" s="8"/>
      <c r="K715" s="8"/>
    </row>
    <row r="716" spans="1:11" x14ac:dyDescent="0.25">
      <c r="A716" s="44"/>
      <c r="B716" s="44"/>
      <c r="C716" s="44"/>
      <c r="D716" s="44"/>
      <c r="E716" s="44"/>
      <c r="F716" s="44"/>
      <c r="G716" s="44"/>
      <c r="H716" s="44"/>
      <c r="I716" s="8"/>
      <c r="J716" s="8"/>
      <c r="K716" s="8"/>
    </row>
    <row r="717" spans="1:11" x14ac:dyDescent="0.25">
      <c r="A717" s="44"/>
      <c r="B717" s="44"/>
      <c r="C717" s="44"/>
      <c r="D717" s="44"/>
      <c r="E717" s="44"/>
      <c r="F717" s="44"/>
      <c r="G717" s="44"/>
      <c r="H717" s="44"/>
      <c r="I717" s="8"/>
      <c r="J717" s="8"/>
      <c r="K717" s="8"/>
    </row>
    <row r="718" spans="1:11" x14ac:dyDescent="0.25">
      <c r="A718" s="44"/>
      <c r="B718" s="44"/>
      <c r="C718" s="44"/>
      <c r="D718" s="44"/>
      <c r="E718" s="44"/>
      <c r="F718" s="44"/>
      <c r="G718" s="44"/>
      <c r="H718" s="44"/>
      <c r="I718" s="8"/>
      <c r="J718" s="8"/>
      <c r="K718" s="8"/>
    </row>
    <row r="719" spans="1:11" x14ac:dyDescent="0.25">
      <c r="A719" s="44"/>
      <c r="B719" s="44"/>
      <c r="C719" s="44"/>
      <c r="D719" s="44"/>
      <c r="E719" s="44"/>
      <c r="F719" s="44"/>
      <c r="G719" s="44"/>
      <c r="H719" s="44"/>
      <c r="I719" s="8"/>
      <c r="J719" s="8"/>
      <c r="K719" s="8"/>
    </row>
    <row r="720" spans="1:11" x14ac:dyDescent="0.25">
      <c r="A720" s="44"/>
      <c r="B720" s="44"/>
      <c r="C720" s="44"/>
      <c r="D720" s="44"/>
      <c r="E720" s="44"/>
      <c r="F720" s="44"/>
      <c r="G720" s="44"/>
      <c r="H720" s="44"/>
      <c r="I720" s="8"/>
      <c r="J720" s="8"/>
      <c r="K720" s="8"/>
    </row>
    <row r="721" spans="1:11" x14ac:dyDescent="0.25">
      <c r="A721" s="44"/>
      <c r="B721" s="44"/>
      <c r="C721" s="44"/>
      <c r="D721" s="44"/>
      <c r="E721" s="44"/>
      <c r="F721" s="44"/>
      <c r="G721" s="44"/>
      <c r="H721" s="44"/>
      <c r="I721" s="8"/>
      <c r="J721" s="8"/>
      <c r="K721" s="8"/>
    </row>
    <row r="722" spans="1:11" x14ac:dyDescent="0.25">
      <c r="A722" s="44"/>
      <c r="B722" s="44"/>
      <c r="C722" s="44"/>
      <c r="D722" s="44"/>
      <c r="E722" s="44"/>
      <c r="F722" s="44"/>
      <c r="G722" s="44"/>
      <c r="H722" s="44"/>
      <c r="I722" s="8"/>
      <c r="J722" s="8"/>
      <c r="K722" s="8"/>
    </row>
    <row r="723" spans="1:11" x14ac:dyDescent="0.25">
      <c r="A723" s="44"/>
      <c r="B723" s="44"/>
      <c r="C723" s="44"/>
      <c r="D723" s="44"/>
      <c r="E723" s="44"/>
      <c r="F723" s="44"/>
      <c r="G723" s="44"/>
      <c r="H723" s="44"/>
      <c r="I723" s="8"/>
      <c r="J723" s="8"/>
      <c r="K723" s="8"/>
    </row>
    <row r="724" spans="1:11" x14ac:dyDescent="0.25">
      <c r="A724" s="44"/>
      <c r="B724" s="44"/>
      <c r="C724" s="44"/>
      <c r="D724" s="44"/>
      <c r="E724" s="44"/>
      <c r="F724" s="44"/>
      <c r="G724" s="44"/>
      <c r="H724" s="44"/>
      <c r="I724" s="8"/>
      <c r="J724" s="8"/>
      <c r="K724" s="8"/>
    </row>
    <row r="725" spans="1:11" x14ac:dyDescent="0.25">
      <c r="A725" s="44"/>
      <c r="B725" s="44"/>
      <c r="C725" s="44"/>
      <c r="D725" s="44"/>
      <c r="E725" s="44"/>
      <c r="F725" s="44"/>
      <c r="G725" s="44"/>
      <c r="H725" s="44"/>
      <c r="I725" s="8"/>
      <c r="J725" s="8"/>
      <c r="K725" s="8"/>
    </row>
    <row r="726" spans="1:11" x14ac:dyDescent="0.25">
      <c r="A726" s="44"/>
      <c r="B726" s="44"/>
      <c r="C726" s="44"/>
      <c r="D726" s="44"/>
      <c r="E726" s="44"/>
      <c r="F726" s="44"/>
      <c r="G726" s="44"/>
      <c r="H726" s="44"/>
      <c r="I726" s="8"/>
      <c r="J726" s="8"/>
      <c r="K726" s="8"/>
    </row>
    <row r="727" spans="1:11" x14ac:dyDescent="0.25">
      <c r="A727" s="44"/>
      <c r="B727" s="44"/>
      <c r="C727" s="44"/>
      <c r="D727" s="44"/>
      <c r="E727" s="44"/>
      <c r="F727" s="44"/>
      <c r="G727" s="44"/>
      <c r="H727" s="44"/>
      <c r="I727" s="8"/>
      <c r="J727" s="8"/>
      <c r="K727" s="8"/>
    </row>
    <row r="728" spans="1:11" x14ac:dyDescent="0.25">
      <c r="A728" s="44"/>
      <c r="B728" s="44"/>
      <c r="C728" s="44"/>
      <c r="D728" s="44"/>
      <c r="E728" s="44"/>
      <c r="F728" s="44"/>
      <c r="G728" s="44"/>
      <c r="H728" s="44"/>
      <c r="I728" s="8"/>
      <c r="J728" s="8"/>
      <c r="K728" s="8"/>
    </row>
    <row r="729" spans="1:11" x14ac:dyDescent="0.25">
      <c r="A729" s="44"/>
      <c r="B729" s="44"/>
      <c r="C729" s="44"/>
      <c r="D729" s="44"/>
      <c r="E729" s="44"/>
      <c r="F729" s="44"/>
      <c r="G729" s="44"/>
      <c r="H729" s="44"/>
      <c r="I729" s="8"/>
      <c r="J729" s="8"/>
      <c r="K729" s="8"/>
    </row>
    <row r="730" spans="1:11" x14ac:dyDescent="0.25">
      <c r="A730" s="44"/>
      <c r="B730" s="44"/>
      <c r="C730" s="44"/>
      <c r="D730" s="44"/>
      <c r="E730" s="44"/>
      <c r="F730" s="44"/>
      <c r="G730" s="44"/>
      <c r="H730" s="44"/>
      <c r="I730" s="8"/>
      <c r="J730" s="8"/>
      <c r="K730" s="8"/>
    </row>
    <row r="731" spans="1:11" x14ac:dyDescent="0.25">
      <c r="A731" s="44"/>
      <c r="B731" s="44"/>
      <c r="C731" s="44"/>
      <c r="D731" s="44"/>
      <c r="E731" s="44"/>
      <c r="F731" s="44"/>
      <c r="G731" s="44"/>
      <c r="H731" s="44"/>
      <c r="I731" s="8"/>
      <c r="J731" s="8"/>
      <c r="K731" s="8"/>
    </row>
    <row r="732" spans="1:11" x14ac:dyDescent="0.25">
      <c r="A732" s="44"/>
      <c r="B732" s="44"/>
      <c r="C732" s="44"/>
      <c r="D732" s="44"/>
      <c r="E732" s="44"/>
      <c r="F732" s="44"/>
      <c r="G732" s="44"/>
      <c r="H732" s="44"/>
      <c r="I732" s="8"/>
      <c r="J732" s="8"/>
      <c r="K732" s="8"/>
    </row>
    <row r="733" spans="1:11" x14ac:dyDescent="0.25">
      <c r="A733" s="44"/>
      <c r="B733" s="44"/>
      <c r="C733" s="44"/>
      <c r="D733" s="44"/>
      <c r="E733" s="44"/>
      <c r="F733" s="44"/>
      <c r="G733" s="44"/>
      <c r="H733" s="44"/>
      <c r="I733" s="8"/>
      <c r="J733" s="8"/>
      <c r="K733" s="8"/>
    </row>
    <row r="734" spans="1:11" x14ac:dyDescent="0.25">
      <c r="A734" s="44"/>
      <c r="B734" s="44"/>
      <c r="C734" s="44"/>
      <c r="D734" s="44"/>
      <c r="E734" s="44"/>
      <c r="F734" s="44"/>
      <c r="G734" s="44"/>
      <c r="H734" s="44"/>
      <c r="I734" s="8"/>
      <c r="J734" s="8"/>
      <c r="K734" s="8"/>
    </row>
    <row r="735" spans="1:11" x14ac:dyDescent="0.25">
      <c r="A735" s="44"/>
      <c r="B735" s="44"/>
      <c r="C735" s="44"/>
      <c r="D735" s="44"/>
      <c r="E735" s="44"/>
      <c r="F735" s="44"/>
      <c r="G735" s="44"/>
      <c r="H735" s="44"/>
      <c r="I735" s="8"/>
      <c r="J735" s="8"/>
      <c r="K735" s="8"/>
    </row>
    <row r="736" spans="1:11" x14ac:dyDescent="0.25">
      <c r="A736" s="44"/>
      <c r="B736" s="44"/>
      <c r="C736" s="44"/>
      <c r="D736" s="44"/>
      <c r="E736" s="44"/>
      <c r="F736" s="44"/>
      <c r="G736" s="44"/>
      <c r="H736" s="44"/>
      <c r="I736" s="8"/>
      <c r="J736" s="8"/>
      <c r="K736" s="8"/>
    </row>
    <row r="737" spans="1:11" x14ac:dyDescent="0.25">
      <c r="A737" s="44"/>
      <c r="B737" s="44"/>
      <c r="C737" s="44"/>
      <c r="D737" s="44"/>
      <c r="E737" s="44"/>
      <c r="F737" s="44"/>
      <c r="G737" s="44"/>
      <c r="H737" s="44"/>
      <c r="I737" s="8"/>
      <c r="J737" s="8"/>
      <c r="K737" s="8"/>
    </row>
    <row r="738" spans="1:11" x14ac:dyDescent="0.25">
      <c r="A738" s="44"/>
      <c r="B738" s="44"/>
      <c r="C738" s="44"/>
      <c r="D738" s="44"/>
      <c r="E738" s="44"/>
      <c r="F738" s="44"/>
      <c r="G738" s="44"/>
      <c r="H738" s="44"/>
      <c r="I738" s="8"/>
      <c r="J738" s="8"/>
      <c r="K738" s="8"/>
    </row>
    <row r="739" spans="1:11" x14ac:dyDescent="0.25">
      <c r="A739" s="44"/>
      <c r="B739" s="44"/>
      <c r="C739" s="44"/>
      <c r="D739" s="44"/>
      <c r="E739" s="44"/>
      <c r="F739" s="44"/>
      <c r="G739" s="44"/>
      <c r="H739" s="44"/>
      <c r="I739" s="8"/>
      <c r="J739" s="8"/>
      <c r="K739" s="8"/>
    </row>
    <row r="740" spans="1:11" x14ac:dyDescent="0.25">
      <c r="A740" s="44"/>
      <c r="B740" s="44"/>
      <c r="C740" s="44"/>
      <c r="D740" s="44"/>
      <c r="E740" s="44"/>
      <c r="F740" s="44"/>
      <c r="G740" s="44"/>
      <c r="H740" s="44"/>
      <c r="I740" s="8"/>
      <c r="J740" s="8"/>
      <c r="K740" s="8"/>
    </row>
    <row r="741" spans="1:11" x14ac:dyDescent="0.25">
      <c r="A741" s="44"/>
      <c r="B741" s="44"/>
      <c r="C741" s="44"/>
      <c r="D741" s="44"/>
      <c r="E741" s="44"/>
      <c r="F741" s="44"/>
      <c r="G741" s="44"/>
      <c r="H741" s="44"/>
      <c r="I741" s="8"/>
      <c r="J741" s="8"/>
      <c r="K741" s="8"/>
    </row>
    <row r="742" spans="1:11" x14ac:dyDescent="0.25">
      <c r="A742" s="44"/>
      <c r="B742" s="44"/>
      <c r="C742" s="44"/>
      <c r="D742" s="44"/>
      <c r="E742" s="44"/>
      <c r="F742" s="44"/>
      <c r="G742" s="44"/>
      <c r="H742" s="44"/>
      <c r="I742" s="8"/>
      <c r="J742" s="8"/>
      <c r="K742" s="8"/>
    </row>
    <row r="743" spans="1:11" x14ac:dyDescent="0.25">
      <c r="A743" s="44"/>
      <c r="B743" s="44"/>
      <c r="C743" s="44"/>
      <c r="D743" s="44"/>
      <c r="E743" s="44"/>
      <c r="F743" s="44"/>
      <c r="G743" s="44"/>
      <c r="H743" s="44"/>
      <c r="I743" s="8"/>
      <c r="J743" s="8"/>
      <c r="K743" s="8"/>
    </row>
    <row r="744" spans="1:11" x14ac:dyDescent="0.25">
      <c r="A744" s="44"/>
      <c r="B744" s="44"/>
      <c r="C744" s="44"/>
      <c r="D744" s="44"/>
      <c r="E744" s="44"/>
      <c r="F744" s="44"/>
      <c r="G744" s="44"/>
      <c r="H744" s="44"/>
      <c r="I744" s="8"/>
      <c r="J744" s="8"/>
      <c r="K744" s="8"/>
    </row>
    <row r="745" spans="1:11" x14ac:dyDescent="0.25">
      <c r="A745" s="44"/>
      <c r="B745" s="44"/>
      <c r="C745" s="44"/>
      <c r="D745" s="44"/>
      <c r="E745" s="44"/>
      <c r="F745" s="44"/>
      <c r="G745" s="44"/>
      <c r="H745" s="44"/>
      <c r="I745" s="8"/>
      <c r="J745" s="8"/>
      <c r="K745" s="8"/>
    </row>
    <row r="746" spans="1:11" x14ac:dyDescent="0.25">
      <c r="A746" s="44"/>
      <c r="B746" s="44"/>
      <c r="C746" s="44"/>
      <c r="D746" s="44"/>
      <c r="E746" s="44"/>
      <c r="F746" s="44"/>
      <c r="G746" s="44"/>
      <c r="H746" s="44"/>
      <c r="I746" s="8"/>
      <c r="J746" s="8"/>
      <c r="K746" s="8"/>
    </row>
    <row r="747" spans="1:11" x14ac:dyDescent="0.25">
      <c r="A747" s="44"/>
      <c r="B747" s="44"/>
      <c r="C747" s="44"/>
      <c r="D747" s="44"/>
      <c r="E747" s="44"/>
      <c r="F747" s="44"/>
      <c r="G747" s="44"/>
      <c r="H747" s="44"/>
      <c r="I747" s="8"/>
      <c r="J747" s="8"/>
      <c r="K747" s="8"/>
    </row>
    <row r="748" spans="1:11" x14ac:dyDescent="0.25">
      <c r="A748" s="44"/>
      <c r="B748" s="44"/>
      <c r="C748" s="44"/>
      <c r="D748" s="44"/>
      <c r="E748" s="44"/>
      <c r="F748" s="44"/>
      <c r="G748" s="44"/>
      <c r="H748" s="44"/>
      <c r="I748" s="8"/>
      <c r="J748" s="8"/>
      <c r="K748" s="8"/>
    </row>
    <row r="749" spans="1:11" x14ac:dyDescent="0.25">
      <c r="A749" s="44"/>
      <c r="B749" s="44"/>
      <c r="C749" s="44"/>
      <c r="D749" s="44"/>
      <c r="E749" s="44"/>
      <c r="F749" s="44"/>
      <c r="G749" s="44"/>
      <c r="H749" s="44"/>
      <c r="I749" s="8"/>
      <c r="J749" s="8"/>
      <c r="K749" s="8"/>
    </row>
    <row r="750" spans="1:11" x14ac:dyDescent="0.25">
      <c r="A750" s="44"/>
      <c r="B750" s="44"/>
      <c r="C750" s="44"/>
      <c r="D750" s="44"/>
      <c r="E750" s="44"/>
      <c r="F750" s="44"/>
      <c r="G750" s="44"/>
      <c r="H750" s="44"/>
      <c r="I750" s="8"/>
      <c r="J750" s="8"/>
      <c r="K750" s="8"/>
    </row>
    <row r="751" spans="1:11" x14ac:dyDescent="0.25">
      <c r="A751" s="44"/>
      <c r="B751" s="44"/>
      <c r="C751" s="44"/>
      <c r="D751" s="44"/>
      <c r="E751" s="44"/>
      <c r="F751" s="44"/>
      <c r="G751" s="44"/>
      <c r="H751" s="44"/>
      <c r="I751" s="8"/>
      <c r="J751" s="8"/>
      <c r="K751" s="8"/>
    </row>
    <row r="752" spans="1:11" x14ac:dyDescent="0.25">
      <c r="A752" s="44"/>
      <c r="B752" s="44"/>
      <c r="C752" s="44"/>
      <c r="D752" s="44"/>
      <c r="E752" s="44"/>
      <c r="F752" s="44"/>
      <c r="G752" s="44"/>
      <c r="H752" s="44"/>
      <c r="I752" s="8"/>
      <c r="J752" s="8"/>
      <c r="K752" s="8"/>
    </row>
    <row r="753" spans="1:11" x14ac:dyDescent="0.25">
      <c r="A753" s="44"/>
      <c r="B753" s="44"/>
      <c r="C753" s="44"/>
      <c r="D753" s="44"/>
      <c r="E753" s="44"/>
      <c r="F753" s="44"/>
      <c r="G753" s="44"/>
      <c r="H753" s="44"/>
      <c r="I753" s="8"/>
      <c r="J753" s="8"/>
      <c r="K753" s="8"/>
    </row>
    <row r="754" spans="1:11" x14ac:dyDescent="0.25">
      <c r="A754" s="44"/>
      <c r="B754" s="44"/>
      <c r="C754" s="44"/>
      <c r="D754" s="44"/>
      <c r="E754" s="44"/>
      <c r="F754" s="44"/>
      <c r="G754" s="44"/>
      <c r="H754" s="44"/>
      <c r="I754" s="8"/>
      <c r="J754" s="8"/>
      <c r="K754" s="8"/>
    </row>
    <row r="755" spans="1:11" x14ac:dyDescent="0.25">
      <c r="A755" s="44"/>
      <c r="B755" s="44"/>
      <c r="C755" s="44"/>
      <c r="D755" s="44"/>
      <c r="E755" s="44"/>
      <c r="F755" s="44"/>
      <c r="G755" s="44"/>
      <c r="H755" s="44"/>
      <c r="I755" s="8"/>
      <c r="J755" s="8"/>
      <c r="K755" s="8"/>
    </row>
    <row r="756" spans="1:11" x14ac:dyDescent="0.25">
      <c r="A756" s="44"/>
      <c r="B756" s="44"/>
      <c r="C756" s="44"/>
      <c r="D756" s="44"/>
      <c r="E756" s="44"/>
      <c r="F756" s="44"/>
      <c r="G756" s="44"/>
      <c r="H756" s="44"/>
      <c r="I756" s="8"/>
      <c r="J756" s="8"/>
      <c r="K756" s="8"/>
    </row>
    <row r="757" spans="1:11" x14ac:dyDescent="0.25">
      <c r="A757" s="44"/>
      <c r="B757" s="44"/>
      <c r="C757" s="44"/>
      <c r="D757" s="44"/>
      <c r="E757" s="44"/>
      <c r="F757" s="44"/>
      <c r="G757" s="44"/>
      <c r="H757" s="44"/>
      <c r="I757" s="8"/>
      <c r="J757" s="8"/>
      <c r="K757" s="8"/>
    </row>
    <row r="758" spans="1:11" x14ac:dyDescent="0.25">
      <c r="A758" s="44"/>
      <c r="B758" s="44"/>
      <c r="C758" s="44"/>
      <c r="D758" s="44"/>
      <c r="E758" s="44"/>
      <c r="F758" s="44"/>
      <c r="G758" s="44"/>
      <c r="H758" s="44"/>
      <c r="I758" s="8"/>
      <c r="J758" s="8"/>
      <c r="K758" s="8"/>
    </row>
    <row r="759" spans="1:11" x14ac:dyDescent="0.25">
      <c r="A759" s="44"/>
      <c r="B759" s="44"/>
      <c r="C759" s="44"/>
      <c r="D759" s="44"/>
      <c r="E759" s="44"/>
      <c r="F759" s="44"/>
      <c r="G759" s="44"/>
      <c r="H759" s="44"/>
      <c r="I759" s="8"/>
      <c r="J759" s="8"/>
      <c r="K759" s="8"/>
    </row>
    <row r="760" spans="1:11" x14ac:dyDescent="0.25">
      <c r="A760" s="44"/>
      <c r="B760" s="44"/>
      <c r="C760" s="44"/>
      <c r="D760" s="44"/>
      <c r="E760" s="44"/>
      <c r="F760" s="44"/>
      <c r="G760" s="44"/>
      <c r="H760" s="44"/>
      <c r="I760" s="8"/>
      <c r="J760" s="8"/>
      <c r="K760" s="8"/>
    </row>
    <row r="761" spans="1:11" x14ac:dyDescent="0.25">
      <c r="A761" s="44"/>
      <c r="B761" s="44"/>
      <c r="C761" s="44"/>
      <c r="D761" s="44"/>
      <c r="E761" s="44"/>
      <c r="F761" s="44"/>
      <c r="G761" s="44"/>
      <c r="H761" s="44"/>
      <c r="I761" s="8"/>
      <c r="J761" s="8"/>
      <c r="K761" s="8"/>
    </row>
    <row r="762" spans="1:11" x14ac:dyDescent="0.25">
      <c r="A762" s="44"/>
      <c r="B762" s="44"/>
      <c r="C762" s="44"/>
      <c r="D762" s="44"/>
      <c r="E762" s="44"/>
      <c r="F762" s="44"/>
      <c r="G762" s="44"/>
      <c r="H762" s="44"/>
      <c r="I762" s="8"/>
      <c r="J762" s="8"/>
      <c r="K762" s="8"/>
    </row>
    <row r="763" spans="1:11" x14ac:dyDescent="0.25">
      <c r="A763" s="44"/>
      <c r="B763" s="44"/>
      <c r="C763" s="44"/>
      <c r="D763" s="44"/>
      <c r="E763" s="44"/>
      <c r="F763" s="44"/>
      <c r="G763" s="44"/>
      <c r="H763" s="44"/>
      <c r="I763" s="8"/>
      <c r="J763" s="8"/>
      <c r="K763" s="8"/>
    </row>
    <row r="764" spans="1:11" x14ac:dyDescent="0.25">
      <c r="A764" s="44"/>
      <c r="B764" s="44"/>
      <c r="C764" s="44"/>
      <c r="D764" s="44"/>
      <c r="E764" s="44"/>
      <c r="F764" s="44"/>
      <c r="G764" s="44"/>
      <c r="H764" s="44"/>
      <c r="I764" s="8"/>
      <c r="J764" s="8"/>
      <c r="K764" s="8"/>
    </row>
    <row r="765" spans="1:11" x14ac:dyDescent="0.25">
      <c r="A765" s="44"/>
      <c r="B765" s="44"/>
      <c r="C765" s="44"/>
      <c r="D765" s="44"/>
      <c r="E765" s="44"/>
      <c r="F765" s="44"/>
      <c r="G765" s="44"/>
      <c r="H765" s="44"/>
      <c r="I765" s="8"/>
      <c r="J765" s="8"/>
      <c r="K765" s="8"/>
    </row>
    <row r="766" spans="1:11" x14ac:dyDescent="0.25">
      <c r="A766" s="44"/>
      <c r="B766" s="44"/>
      <c r="C766" s="44"/>
      <c r="D766" s="44"/>
      <c r="E766" s="44"/>
      <c r="F766" s="44"/>
      <c r="G766" s="44"/>
      <c r="H766" s="44"/>
      <c r="I766" s="8"/>
      <c r="J766" s="8"/>
      <c r="K766" s="8"/>
    </row>
    <row r="767" spans="1:11" x14ac:dyDescent="0.25">
      <c r="A767" s="44"/>
      <c r="B767" s="44"/>
      <c r="C767" s="44"/>
      <c r="D767" s="44"/>
      <c r="E767" s="44"/>
      <c r="F767" s="44"/>
      <c r="G767" s="44"/>
      <c r="H767" s="44"/>
      <c r="I767" s="8"/>
      <c r="J767" s="8"/>
      <c r="K767" s="8"/>
    </row>
    <row r="768" spans="1:11" x14ac:dyDescent="0.25">
      <c r="A768" s="44"/>
      <c r="B768" s="44"/>
      <c r="C768" s="44"/>
      <c r="D768" s="44"/>
      <c r="E768" s="44"/>
      <c r="F768" s="44"/>
      <c r="G768" s="44"/>
      <c r="H768" s="44"/>
      <c r="I768" s="8"/>
      <c r="J768" s="8"/>
      <c r="K768" s="8"/>
    </row>
    <row r="769" spans="1:11" x14ac:dyDescent="0.25">
      <c r="A769" s="44"/>
      <c r="B769" s="44"/>
      <c r="C769" s="44"/>
      <c r="D769" s="44"/>
      <c r="E769" s="44"/>
      <c r="F769" s="44"/>
      <c r="G769" s="44"/>
      <c r="H769" s="44"/>
      <c r="I769" s="8"/>
      <c r="J769" s="8"/>
      <c r="K769" s="8"/>
    </row>
    <row r="770" spans="1:11" x14ac:dyDescent="0.25">
      <c r="A770" s="44"/>
      <c r="B770" s="44"/>
      <c r="C770" s="44"/>
      <c r="D770" s="44"/>
      <c r="E770" s="44"/>
      <c r="F770" s="44"/>
      <c r="G770" s="44"/>
      <c r="H770" s="44"/>
      <c r="I770" s="8"/>
      <c r="J770" s="8"/>
      <c r="K770" s="8"/>
    </row>
    <row r="771" spans="1:11" x14ac:dyDescent="0.25">
      <c r="A771" s="44"/>
      <c r="B771" s="44"/>
      <c r="C771" s="44"/>
      <c r="D771" s="44"/>
      <c r="E771" s="44"/>
      <c r="F771" s="44"/>
      <c r="G771" s="44"/>
      <c r="H771" s="44"/>
      <c r="I771" s="8"/>
      <c r="J771" s="8"/>
      <c r="K771" s="8"/>
    </row>
    <row r="772" spans="1:11" x14ac:dyDescent="0.25">
      <c r="A772" s="44"/>
      <c r="B772" s="44"/>
      <c r="C772" s="44"/>
      <c r="D772" s="44"/>
      <c r="E772" s="44"/>
      <c r="F772" s="44"/>
      <c r="G772" s="44"/>
      <c r="H772" s="44"/>
      <c r="I772" s="8"/>
      <c r="J772" s="8"/>
      <c r="K772" s="8"/>
    </row>
    <row r="773" spans="1:11" x14ac:dyDescent="0.25">
      <c r="A773" s="44"/>
      <c r="B773" s="44"/>
      <c r="C773" s="44"/>
      <c r="D773" s="44"/>
      <c r="E773" s="44"/>
      <c r="F773" s="44"/>
      <c r="G773" s="44"/>
      <c r="H773" s="44"/>
      <c r="I773" s="8"/>
      <c r="J773" s="8"/>
      <c r="K773" s="8"/>
    </row>
    <row r="774" spans="1:11" x14ac:dyDescent="0.25">
      <c r="A774" s="44"/>
      <c r="B774" s="44"/>
      <c r="C774" s="44"/>
      <c r="D774" s="44"/>
      <c r="E774" s="44"/>
      <c r="F774" s="44"/>
      <c r="G774" s="44"/>
      <c r="H774" s="44"/>
      <c r="I774" s="8"/>
      <c r="J774" s="8"/>
      <c r="K774" s="8"/>
    </row>
    <row r="775" spans="1:11" x14ac:dyDescent="0.25">
      <c r="A775" s="44"/>
      <c r="B775" s="44"/>
      <c r="C775" s="44"/>
      <c r="D775" s="44"/>
      <c r="E775" s="44"/>
      <c r="F775" s="44"/>
      <c r="G775" s="44"/>
      <c r="H775" s="44"/>
      <c r="I775" s="8"/>
      <c r="J775" s="8"/>
      <c r="K775" s="8"/>
    </row>
    <row r="776" spans="1:11" x14ac:dyDescent="0.25">
      <c r="A776" s="44"/>
      <c r="B776" s="44"/>
      <c r="C776" s="44"/>
      <c r="D776" s="44"/>
      <c r="E776" s="44"/>
      <c r="F776" s="44"/>
      <c r="G776" s="44"/>
      <c r="H776" s="44"/>
      <c r="I776" s="8"/>
      <c r="J776" s="8"/>
      <c r="K776" s="8"/>
    </row>
    <row r="777" spans="1:11" x14ac:dyDescent="0.25">
      <c r="A777" s="44"/>
      <c r="B777" s="44"/>
      <c r="C777" s="44"/>
      <c r="D777" s="44"/>
      <c r="E777" s="44"/>
      <c r="F777" s="44"/>
      <c r="G777" s="44"/>
      <c r="H777" s="44"/>
      <c r="I777" s="8"/>
      <c r="J777" s="8"/>
      <c r="K777" s="8"/>
    </row>
    <row r="778" spans="1:11" x14ac:dyDescent="0.25">
      <c r="A778" s="44"/>
      <c r="B778" s="44"/>
      <c r="C778" s="44"/>
      <c r="D778" s="44"/>
      <c r="E778" s="44"/>
      <c r="F778" s="44"/>
      <c r="G778" s="44"/>
      <c r="H778" s="44"/>
      <c r="I778" s="8"/>
      <c r="J778" s="8"/>
      <c r="K778" s="8"/>
    </row>
    <row r="779" spans="1:11" x14ac:dyDescent="0.25">
      <c r="A779" s="44"/>
      <c r="B779" s="44"/>
      <c r="C779" s="44"/>
      <c r="D779" s="44"/>
      <c r="E779" s="44"/>
      <c r="F779" s="44"/>
      <c r="G779" s="44"/>
      <c r="H779" s="44"/>
      <c r="I779" s="8"/>
      <c r="J779" s="8"/>
      <c r="K779" s="8"/>
    </row>
    <row r="780" spans="1:11" x14ac:dyDescent="0.25">
      <c r="A780" s="44"/>
      <c r="B780" s="44"/>
      <c r="C780" s="44"/>
      <c r="D780" s="44"/>
      <c r="E780" s="44"/>
      <c r="F780" s="44"/>
      <c r="G780" s="44"/>
      <c r="H780" s="44"/>
      <c r="I780" s="8"/>
      <c r="J780" s="8"/>
      <c r="K780" s="8"/>
    </row>
    <row r="781" spans="1:11" x14ac:dyDescent="0.25">
      <c r="A781" s="44"/>
      <c r="B781" s="44"/>
      <c r="C781" s="44"/>
      <c r="D781" s="44"/>
      <c r="E781" s="44"/>
      <c r="F781" s="44"/>
      <c r="G781" s="44"/>
      <c r="H781" s="44"/>
      <c r="I781" s="8"/>
      <c r="J781" s="8"/>
      <c r="K781" s="8"/>
    </row>
    <row r="782" spans="1:11" x14ac:dyDescent="0.25">
      <c r="A782" s="44"/>
      <c r="B782" s="44"/>
      <c r="C782" s="44"/>
      <c r="D782" s="44"/>
      <c r="E782" s="44"/>
      <c r="F782" s="44"/>
      <c r="G782" s="44"/>
      <c r="H782" s="44"/>
      <c r="I782" s="8"/>
      <c r="J782" s="8"/>
      <c r="K782" s="8"/>
    </row>
    <row r="783" spans="1:11" x14ac:dyDescent="0.25">
      <c r="A783" s="44"/>
      <c r="B783" s="44"/>
      <c r="C783" s="44"/>
      <c r="D783" s="44"/>
      <c r="E783" s="44"/>
      <c r="F783" s="44"/>
      <c r="G783" s="44"/>
      <c r="H783" s="44"/>
      <c r="I783" s="8"/>
      <c r="J783" s="8"/>
      <c r="K783" s="8"/>
    </row>
    <row r="784" spans="1:11" x14ac:dyDescent="0.25">
      <c r="A784" s="44"/>
      <c r="B784" s="44"/>
      <c r="C784" s="44"/>
      <c r="D784" s="44"/>
      <c r="E784" s="44"/>
      <c r="F784" s="44"/>
      <c r="G784" s="44"/>
      <c r="H784" s="44"/>
      <c r="I784" s="8"/>
      <c r="J784" s="8"/>
      <c r="K784" s="8"/>
    </row>
    <row r="785" spans="1:11" x14ac:dyDescent="0.25">
      <c r="A785" s="44"/>
      <c r="B785" s="44"/>
      <c r="C785" s="44"/>
      <c r="D785" s="44"/>
      <c r="E785" s="44"/>
      <c r="F785" s="44"/>
      <c r="G785" s="44"/>
      <c r="H785" s="44"/>
      <c r="I785" s="8"/>
      <c r="J785" s="8"/>
      <c r="K785" s="8"/>
    </row>
    <row r="786" spans="1:11" x14ac:dyDescent="0.25">
      <c r="A786" s="44"/>
      <c r="B786" s="44"/>
      <c r="C786" s="44"/>
      <c r="D786" s="44"/>
      <c r="E786" s="44"/>
      <c r="F786" s="44"/>
      <c r="G786" s="44"/>
      <c r="H786" s="44"/>
      <c r="I786" s="8"/>
      <c r="J786" s="8"/>
      <c r="K786" s="8"/>
    </row>
    <row r="787" spans="1:11" x14ac:dyDescent="0.25">
      <c r="A787" s="44"/>
      <c r="B787" s="44"/>
      <c r="C787" s="44"/>
      <c r="D787" s="44"/>
      <c r="E787" s="44"/>
      <c r="F787" s="44"/>
      <c r="G787" s="44"/>
      <c r="H787" s="44"/>
      <c r="I787" s="8"/>
      <c r="J787" s="8"/>
      <c r="K787" s="8"/>
    </row>
    <row r="788" spans="1:11" x14ac:dyDescent="0.25">
      <c r="A788" s="44"/>
      <c r="B788" s="44"/>
      <c r="C788" s="44"/>
      <c r="D788" s="44"/>
      <c r="E788" s="44"/>
      <c r="F788" s="44"/>
      <c r="G788" s="44"/>
      <c r="H788" s="44"/>
      <c r="I788" s="8"/>
      <c r="J788" s="8"/>
      <c r="K788" s="8"/>
    </row>
    <row r="789" spans="1:11" x14ac:dyDescent="0.25">
      <c r="A789" s="44"/>
      <c r="B789" s="44"/>
      <c r="C789" s="44"/>
      <c r="D789" s="44"/>
      <c r="E789" s="44"/>
      <c r="F789" s="44"/>
      <c r="G789" s="44"/>
      <c r="H789" s="44"/>
      <c r="I789" s="8"/>
      <c r="J789" s="8"/>
      <c r="K789" s="8"/>
    </row>
    <row r="790" spans="1:11" x14ac:dyDescent="0.25">
      <c r="A790" s="44"/>
      <c r="B790" s="44"/>
      <c r="C790" s="44"/>
      <c r="D790" s="44"/>
      <c r="E790" s="44"/>
      <c r="F790" s="44"/>
      <c r="G790" s="44"/>
      <c r="H790" s="44"/>
      <c r="I790" s="8"/>
      <c r="J790" s="8"/>
      <c r="K790" s="8"/>
    </row>
    <row r="791" spans="1:11" x14ac:dyDescent="0.25">
      <c r="A791" s="44"/>
      <c r="B791" s="44"/>
      <c r="C791" s="44"/>
      <c r="D791" s="44"/>
      <c r="E791" s="44"/>
      <c r="F791" s="44"/>
      <c r="G791" s="44"/>
      <c r="H791" s="44"/>
      <c r="I791" s="8"/>
      <c r="J791" s="8"/>
      <c r="K791" s="8"/>
    </row>
    <row r="792" spans="1:11" x14ac:dyDescent="0.25">
      <c r="A792" s="44"/>
      <c r="B792" s="44"/>
      <c r="C792" s="44"/>
      <c r="D792" s="44"/>
      <c r="E792" s="44"/>
      <c r="F792" s="44"/>
      <c r="G792" s="44"/>
      <c r="H792" s="44"/>
      <c r="I792" s="8"/>
      <c r="J792" s="8"/>
      <c r="K792" s="8"/>
    </row>
    <row r="793" spans="1:11" x14ac:dyDescent="0.25">
      <c r="A793" s="44"/>
      <c r="B793" s="44"/>
      <c r="C793" s="44"/>
      <c r="D793" s="44"/>
      <c r="E793" s="44"/>
      <c r="F793" s="44"/>
      <c r="G793" s="44"/>
      <c r="H793" s="44"/>
      <c r="I793" s="8"/>
      <c r="J793" s="8"/>
      <c r="K793" s="8"/>
    </row>
    <row r="794" spans="1:11" x14ac:dyDescent="0.25">
      <c r="A794" s="44"/>
      <c r="B794" s="44"/>
      <c r="C794" s="44"/>
      <c r="D794" s="44"/>
      <c r="E794" s="44"/>
      <c r="F794" s="44"/>
      <c r="G794" s="44"/>
      <c r="H794" s="44"/>
      <c r="I794" s="8"/>
      <c r="J794" s="8"/>
      <c r="K794" s="8"/>
    </row>
    <row r="795" spans="1:11" x14ac:dyDescent="0.25">
      <c r="A795" s="44"/>
      <c r="B795" s="44"/>
      <c r="C795" s="44"/>
      <c r="D795" s="44"/>
      <c r="E795" s="44"/>
      <c r="F795" s="44"/>
      <c r="G795" s="44"/>
      <c r="H795" s="44"/>
      <c r="I795" s="8"/>
      <c r="J795" s="8"/>
      <c r="K795" s="8"/>
    </row>
    <row r="796" spans="1:11" x14ac:dyDescent="0.25">
      <c r="A796" s="44"/>
      <c r="B796" s="44"/>
      <c r="C796" s="44"/>
      <c r="D796" s="44"/>
      <c r="E796" s="44"/>
      <c r="F796" s="44"/>
      <c r="G796" s="44"/>
      <c r="H796" s="44"/>
      <c r="I796" s="8"/>
      <c r="J796" s="8"/>
      <c r="K796" s="8"/>
    </row>
    <row r="797" spans="1:11" x14ac:dyDescent="0.25">
      <c r="A797" s="44"/>
      <c r="B797" s="44"/>
      <c r="C797" s="44"/>
      <c r="D797" s="44"/>
      <c r="E797" s="44"/>
      <c r="F797" s="44"/>
      <c r="G797" s="44"/>
      <c r="H797" s="44"/>
      <c r="I797" s="8"/>
      <c r="J797" s="8"/>
      <c r="K797" s="8"/>
    </row>
    <row r="798" spans="1:11" x14ac:dyDescent="0.25">
      <c r="A798" s="44"/>
      <c r="B798" s="44"/>
      <c r="C798" s="44"/>
      <c r="D798" s="44"/>
      <c r="E798" s="44"/>
      <c r="F798" s="44"/>
      <c r="G798" s="44"/>
      <c r="H798" s="44"/>
      <c r="I798" s="8"/>
      <c r="J798" s="8"/>
      <c r="K798" s="8"/>
    </row>
    <row r="799" spans="1:11" x14ac:dyDescent="0.25">
      <c r="A799" s="44"/>
      <c r="B799" s="44"/>
      <c r="C799" s="44"/>
      <c r="D799" s="44"/>
      <c r="E799" s="44"/>
      <c r="F799" s="44"/>
      <c r="G799" s="44"/>
      <c r="H799" s="44"/>
      <c r="I799" s="8"/>
      <c r="J799" s="8"/>
      <c r="K799" s="8"/>
    </row>
    <row r="800" spans="1:11" x14ac:dyDescent="0.25">
      <c r="A800" s="44"/>
      <c r="B800" s="44"/>
      <c r="C800" s="44"/>
      <c r="D800" s="44"/>
      <c r="E800" s="44"/>
      <c r="F800" s="44"/>
      <c r="G800" s="44"/>
      <c r="H800" s="44"/>
      <c r="I800" s="8"/>
      <c r="J800" s="8"/>
      <c r="K800" s="8"/>
    </row>
    <row r="801" spans="1:11" x14ac:dyDescent="0.25">
      <c r="A801" s="44"/>
      <c r="B801" s="44"/>
      <c r="C801" s="44"/>
      <c r="D801" s="44"/>
      <c r="E801" s="44"/>
      <c r="F801" s="44"/>
      <c r="G801" s="44"/>
      <c r="H801" s="44"/>
      <c r="I801" s="8"/>
      <c r="J801" s="8"/>
      <c r="K801" s="8"/>
    </row>
    <row r="802" spans="1:11" x14ac:dyDescent="0.25">
      <c r="A802" s="44"/>
      <c r="B802" s="44"/>
      <c r="C802" s="44"/>
      <c r="D802" s="44"/>
      <c r="E802" s="44"/>
      <c r="F802" s="44"/>
      <c r="G802" s="44"/>
      <c r="H802" s="44"/>
      <c r="I802" s="8"/>
      <c r="J802" s="8"/>
      <c r="K802" s="8"/>
    </row>
    <row r="803" spans="1:11" x14ac:dyDescent="0.25">
      <c r="A803" s="44"/>
      <c r="B803" s="44"/>
      <c r="C803" s="44"/>
      <c r="D803" s="44"/>
      <c r="E803" s="44"/>
      <c r="F803" s="44"/>
      <c r="G803" s="44"/>
      <c r="H803" s="44"/>
      <c r="I803" s="8"/>
      <c r="J803" s="8"/>
      <c r="K803" s="8"/>
    </row>
    <row r="804" spans="1:11" x14ac:dyDescent="0.25">
      <c r="A804" s="44"/>
      <c r="B804" s="44"/>
      <c r="C804" s="44"/>
      <c r="D804" s="44"/>
      <c r="E804" s="44"/>
      <c r="F804" s="44"/>
      <c r="G804" s="44"/>
      <c r="H804" s="44"/>
      <c r="I804" s="8"/>
      <c r="J804" s="8"/>
      <c r="K804" s="8"/>
    </row>
    <row r="805" spans="1:11" x14ac:dyDescent="0.25">
      <c r="A805" s="44"/>
      <c r="B805" s="44"/>
      <c r="C805" s="44"/>
      <c r="D805" s="44"/>
      <c r="E805" s="44"/>
      <c r="F805" s="44"/>
      <c r="G805" s="44"/>
      <c r="H805" s="44"/>
      <c r="I805" s="8"/>
      <c r="J805" s="8"/>
      <c r="K805" s="8"/>
    </row>
    <row r="806" spans="1:11" x14ac:dyDescent="0.25">
      <c r="A806" s="44"/>
      <c r="B806" s="44"/>
      <c r="C806" s="44"/>
      <c r="D806" s="44"/>
      <c r="E806" s="44"/>
      <c r="F806" s="44"/>
      <c r="G806" s="44"/>
      <c r="H806" s="44"/>
      <c r="I806" s="8"/>
      <c r="J806" s="8"/>
      <c r="K806" s="8"/>
    </row>
    <row r="807" spans="1:11" x14ac:dyDescent="0.25">
      <c r="A807" s="44"/>
      <c r="B807" s="44"/>
      <c r="C807" s="44"/>
      <c r="D807" s="44"/>
      <c r="E807" s="44"/>
      <c r="F807" s="44"/>
      <c r="G807" s="44"/>
      <c r="H807" s="44"/>
      <c r="I807" s="8"/>
      <c r="J807" s="8"/>
      <c r="K807" s="8"/>
    </row>
    <row r="808" spans="1:11" x14ac:dyDescent="0.25">
      <c r="A808" s="44"/>
      <c r="B808" s="44"/>
      <c r="C808" s="44"/>
      <c r="D808" s="44"/>
      <c r="E808" s="44"/>
      <c r="F808" s="44"/>
      <c r="G808" s="44"/>
      <c r="H808" s="44"/>
      <c r="I808" s="8"/>
      <c r="J808" s="8"/>
      <c r="K808" s="8"/>
    </row>
    <row r="809" spans="1:11" x14ac:dyDescent="0.25">
      <c r="A809" s="44"/>
      <c r="B809" s="44"/>
      <c r="C809" s="44"/>
      <c r="D809" s="44"/>
      <c r="E809" s="44"/>
      <c r="F809" s="44"/>
      <c r="G809" s="44"/>
      <c r="H809" s="44"/>
      <c r="I809" s="8"/>
      <c r="J809" s="8"/>
      <c r="K809" s="8"/>
    </row>
    <row r="810" spans="1:11" x14ac:dyDescent="0.25">
      <c r="A810" s="44"/>
      <c r="B810" s="44"/>
      <c r="C810" s="44"/>
      <c r="D810" s="44"/>
      <c r="E810" s="44"/>
      <c r="F810" s="44"/>
      <c r="G810" s="44"/>
      <c r="H810" s="44"/>
      <c r="I810" s="8"/>
      <c r="J810" s="8"/>
      <c r="K810" s="8"/>
    </row>
    <row r="811" spans="1:11" x14ac:dyDescent="0.25">
      <c r="A811" s="44"/>
      <c r="B811" s="44"/>
      <c r="C811" s="44"/>
      <c r="D811" s="44"/>
      <c r="E811" s="44"/>
      <c r="F811" s="44"/>
      <c r="G811" s="44"/>
      <c r="H811" s="44"/>
      <c r="I811" s="8"/>
      <c r="J811" s="8"/>
      <c r="K811" s="8"/>
    </row>
    <row r="812" spans="1:11" x14ac:dyDescent="0.25">
      <c r="A812" s="44"/>
      <c r="B812" s="44"/>
      <c r="C812" s="44"/>
      <c r="D812" s="44"/>
      <c r="E812" s="44"/>
      <c r="F812" s="44"/>
      <c r="G812" s="44"/>
      <c r="H812" s="44"/>
      <c r="I812" s="8"/>
      <c r="J812" s="8"/>
      <c r="K812" s="8"/>
    </row>
    <row r="813" spans="1:11" x14ac:dyDescent="0.25">
      <c r="A813" s="44"/>
      <c r="B813" s="44"/>
      <c r="C813" s="44"/>
      <c r="D813" s="44"/>
      <c r="E813" s="44"/>
      <c r="F813" s="44"/>
      <c r="G813" s="44"/>
      <c r="H813" s="44"/>
      <c r="I813" s="8"/>
      <c r="J813" s="8"/>
      <c r="K813" s="8"/>
    </row>
    <row r="814" spans="1:11" x14ac:dyDescent="0.25">
      <c r="A814" s="44"/>
      <c r="B814" s="44"/>
      <c r="C814" s="44"/>
      <c r="D814" s="44"/>
      <c r="E814" s="44"/>
      <c r="F814" s="44"/>
      <c r="G814" s="44"/>
      <c r="H814" s="44"/>
      <c r="I814" s="8"/>
      <c r="J814" s="8"/>
      <c r="K814" s="8"/>
    </row>
    <row r="815" spans="1:11" x14ac:dyDescent="0.25">
      <c r="A815" s="44"/>
      <c r="B815" s="44"/>
      <c r="C815" s="44"/>
      <c r="D815" s="44"/>
      <c r="E815" s="44"/>
      <c r="F815" s="44"/>
      <c r="G815" s="44"/>
      <c r="H815" s="44"/>
      <c r="I815" s="8"/>
      <c r="J815" s="8"/>
      <c r="K815" s="8"/>
    </row>
    <row r="816" spans="1:11" x14ac:dyDescent="0.25">
      <c r="A816" s="44"/>
      <c r="B816" s="44"/>
      <c r="C816" s="44"/>
      <c r="D816" s="44"/>
      <c r="E816" s="44"/>
      <c r="F816" s="44"/>
      <c r="G816" s="44"/>
      <c r="H816" s="44"/>
      <c r="I816" s="8"/>
      <c r="J816" s="8"/>
      <c r="K816" s="8"/>
    </row>
    <row r="817" spans="1:11" x14ac:dyDescent="0.25">
      <c r="A817" s="44"/>
      <c r="B817" s="44"/>
      <c r="C817" s="44"/>
      <c r="D817" s="44"/>
      <c r="E817" s="44"/>
      <c r="F817" s="44"/>
      <c r="G817" s="44"/>
      <c r="H817" s="44"/>
      <c r="I817" s="8"/>
      <c r="J817" s="8"/>
      <c r="K817" s="8"/>
    </row>
    <row r="818" spans="1:11" x14ac:dyDescent="0.25">
      <c r="A818" s="44"/>
      <c r="B818" s="44"/>
      <c r="C818" s="44"/>
      <c r="D818" s="44"/>
      <c r="E818" s="44"/>
      <c r="F818" s="44"/>
      <c r="G818" s="44"/>
      <c r="H818" s="44"/>
      <c r="I818" s="8"/>
      <c r="J818" s="8"/>
      <c r="K818" s="8"/>
    </row>
    <row r="819" spans="1:11" x14ac:dyDescent="0.25">
      <c r="A819" s="44"/>
      <c r="B819" s="44"/>
      <c r="C819" s="44"/>
      <c r="D819" s="44"/>
      <c r="E819" s="44"/>
      <c r="F819" s="44"/>
      <c r="G819" s="44"/>
      <c r="H819" s="44"/>
      <c r="I819" s="8"/>
      <c r="J819" s="8"/>
      <c r="K819" s="8"/>
    </row>
    <row r="820" spans="1:11" x14ac:dyDescent="0.25">
      <c r="A820" s="44"/>
      <c r="B820" s="44"/>
      <c r="C820" s="44"/>
      <c r="D820" s="44"/>
      <c r="E820" s="44"/>
      <c r="F820" s="44"/>
      <c r="G820" s="44"/>
      <c r="H820" s="44"/>
      <c r="I820" s="8"/>
      <c r="J820" s="8"/>
      <c r="K820" s="8"/>
    </row>
    <row r="821" spans="1:11" x14ac:dyDescent="0.25">
      <c r="A821" s="44"/>
      <c r="B821" s="44"/>
      <c r="C821" s="44"/>
      <c r="D821" s="44"/>
      <c r="E821" s="44"/>
      <c r="F821" s="44"/>
      <c r="G821" s="44"/>
      <c r="H821" s="44"/>
      <c r="I821" s="8"/>
      <c r="J821" s="8"/>
      <c r="K821" s="8"/>
    </row>
    <row r="822" spans="1:11" x14ac:dyDescent="0.25">
      <c r="A822" s="44"/>
      <c r="B822" s="44"/>
      <c r="C822" s="44"/>
      <c r="D822" s="44"/>
      <c r="E822" s="44"/>
      <c r="F822" s="44"/>
      <c r="G822" s="44"/>
      <c r="H822" s="44"/>
      <c r="I822" s="8"/>
      <c r="J822" s="8"/>
      <c r="K822" s="8"/>
    </row>
    <row r="823" spans="1:11" x14ac:dyDescent="0.25">
      <c r="A823" s="44"/>
      <c r="B823" s="44"/>
      <c r="C823" s="44"/>
      <c r="D823" s="44"/>
      <c r="E823" s="44"/>
      <c r="F823" s="44"/>
      <c r="G823" s="44"/>
      <c r="H823" s="44"/>
      <c r="I823" s="8"/>
      <c r="J823" s="8"/>
      <c r="K823" s="8"/>
    </row>
    <row r="824" spans="1:11" x14ac:dyDescent="0.25">
      <c r="A824" s="44"/>
      <c r="B824" s="44"/>
      <c r="C824" s="44"/>
      <c r="D824" s="44"/>
      <c r="E824" s="44"/>
      <c r="F824" s="44"/>
      <c r="G824" s="44"/>
      <c r="H824" s="44"/>
      <c r="I824" s="8"/>
      <c r="J824" s="8"/>
      <c r="K824" s="8"/>
    </row>
    <row r="825" spans="1:11" x14ac:dyDescent="0.25">
      <c r="A825" s="44"/>
      <c r="B825" s="44"/>
      <c r="C825" s="44"/>
      <c r="D825" s="44"/>
      <c r="E825" s="44"/>
      <c r="F825" s="44"/>
      <c r="G825" s="44"/>
      <c r="H825" s="44"/>
      <c r="I825" s="8"/>
      <c r="J825" s="8"/>
      <c r="K825" s="8"/>
    </row>
    <row r="826" spans="1:11" x14ac:dyDescent="0.25">
      <c r="A826" s="44"/>
      <c r="B826" s="44"/>
      <c r="C826" s="44"/>
      <c r="D826" s="44"/>
      <c r="E826" s="44"/>
      <c r="F826" s="44"/>
      <c r="G826" s="44"/>
      <c r="H826" s="44"/>
      <c r="I826" s="8"/>
      <c r="J826" s="8"/>
      <c r="K826" s="8"/>
    </row>
    <row r="827" spans="1:11" x14ac:dyDescent="0.25">
      <c r="A827" s="44"/>
      <c r="B827" s="44"/>
      <c r="C827" s="44"/>
      <c r="D827" s="44"/>
      <c r="E827" s="44"/>
      <c r="F827" s="44"/>
      <c r="G827" s="44"/>
      <c r="H827" s="44"/>
      <c r="I827" s="8"/>
      <c r="J827" s="8"/>
      <c r="K827" s="8"/>
    </row>
    <row r="828" spans="1:11" x14ac:dyDescent="0.25">
      <c r="A828" s="44"/>
      <c r="B828" s="44"/>
      <c r="C828" s="44"/>
      <c r="D828" s="44"/>
      <c r="E828" s="44"/>
      <c r="F828" s="44"/>
      <c r="G828" s="44"/>
      <c r="H828" s="44"/>
      <c r="I828" s="8"/>
      <c r="J828" s="8"/>
      <c r="K828" s="8"/>
    </row>
    <row r="829" spans="1:11" x14ac:dyDescent="0.25">
      <c r="A829" s="44"/>
      <c r="B829" s="44"/>
      <c r="C829" s="44"/>
      <c r="D829" s="44"/>
      <c r="E829" s="44"/>
      <c r="F829" s="44"/>
      <c r="G829" s="44"/>
      <c r="H829" s="44"/>
      <c r="I829" s="8"/>
      <c r="J829" s="8"/>
      <c r="K829" s="8"/>
    </row>
    <row r="830" spans="1:11" x14ac:dyDescent="0.25">
      <c r="A830" s="44"/>
      <c r="B830" s="44"/>
      <c r="C830" s="44"/>
      <c r="D830" s="44"/>
      <c r="E830" s="44"/>
      <c r="F830" s="44"/>
      <c r="G830" s="44"/>
      <c r="H830" s="44"/>
      <c r="I830" s="8"/>
      <c r="J830" s="8"/>
      <c r="K830" s="8"/>
    </row>
    <row r="831" spans="1:11" x14ac:dyDescent="0.25">
      <c r="A831" s="44"/>
      <c r="B831" s="44"/>
      <c r="C831" s="44"/>
      <c r="D831" s="44"/>
      <c r="E831" s="44"/>
      <c r="F831" s="44"/>
      <c r="G831" s="44"/>
      <c r="H831" s="44"/>
      <c r="I831" s="8"/>
      <c r="J831" s="8"/>
      <c r="K831" s="8"/>
    </row>
    <row r="832" spans="1:11" x14ac:dyDescent="0.25">
      <c r="A832" s="44"/>
      <c r="B832" s="44"/>
      <c r="C832" s="44"/>
      <c r="D832" s="44"/>
      <c r="E832" s="44"/>
      <c r="F832" s="44"/>
      <c r="G832" s="44"/>
      <c r="H832" s="44"/>
      <c r="I832" s="8"/>
      <c r="J832" s="8"/>
      <c r="K832" s="8"/>
    </row>
    <row r="833" spans="1:11" x14ac:dyDescent="0.25">
      <c r="A833" s="44"/>
      <c r="B833" s="44"/>
      <c r="C833" s="44"/>
      <c r="D833" s="44"/>
      <c r="E833" s="44"/>
      <c r="F833" s="44"/>
      <c r="G833" s="44"/>
      <c r="H833" s="44"/>
      <c r="I833" s="8"/>
      <c r="J833" s="8"/>
      <c r="K833" s="8"/>
    </row>
    <row r="834" spans="1:11" x14ac:dyDescent="0.25">
      <c r="A834" s="44"/>
      <c r="B834" s="44"/>
      <c r="C834" s="44"/>
      <c r="D834" s="44"/>
      <c r="E834" s="44"/>
      <c r="F834" s="44"/>
      <c r="G834" s="44"/>
      <c r="H834" s="44"/>
      <c r="I834" s="8"/>
      <c r="J834" s="8"/>
      <c r="K834" s="8"/>
    </row>
    <row r="835" spans="1:11" x14ac:dyDescent="0.25">
      <c r="A835" s="44"/>
      <c r="B835" s="44"/>
      <c r="C835" s="44"/>
      <c r="D835" s="44"/>
      <c r="E835" s="44"/>
      <c r="F835" s="44"/>
      <c r="G835" s="44"/>
      <c r="H835" s="44"/>
      <c r="I835" s="8"/>
      <c r="J835" s="8"/>
      <c r="K835" s="8"/>
    </row>
    <row r="836" spans="1:11" x14ac:dyDescent="0.25">
      <c r="A836" s="44"/>
      <c r="B836" s="44"/>
      <c r="C836" s="44"/>
      <c r="D836" s="44"/>
      <c r="E836" s="44"/>
      <c r="F836" s="44"/>
      <c r="G836" s="44"/>
      <c r="H836" s="44"/>
      <c r="I836" s="8"/>
      <c r="J836" s="8"/>
      <c r="K836" s="8"/>
    </row>
    <row r="837" spans="1:11" x14ac:dyDescent="0.25">
      <c r="A837" s="44"/>
      <c r="B837" s="44"/>
      <c r="C837" s="44"/>
      <c r="D837" s="44"/>
      <c r="E837" s="44"/>
      <c r="F837" s="44"/>
      <c r="G837" s="44"/>
      <c r="H837" s="44"/>
      <c r="I837" s="8"/>
      <c r="J837" s="8"/>
      <c r="K837" s="8"/>
    </row>
    <row r="838" spans="1:11" x14ac:dyDescent="0.25">
      <c r="A838" s="44"/>
      <c r="B838" s="44"/>
      <c r="C838" s="44"/>
      <c r="D838" s="44"/>
      <c r="E838" s="44"/>
      <c r="F838" s="44"/>
      <c r="G838" s="44"/>
      <c r="H838" s="44"/>
      <c r="I838" s="8"/>
      <c r="J838" s="8"/>
      <c r="K838" s="8"/>
    </row>
    <row r="839" spans="1:11" x14ac:dyDescent="0.25">
      <c r="A839" s="44"/>
      <c r="B839" s="44"/>
      <c r="C839" s="44"/>
      <c r="D839" s="44"/>
      <c r="E839" s="44"/>
      <c r="F839" s="44"/>
      <c r="G839" s="44"/>
      <c r="H839" s="44"/>
      <c r="I839" s="8"/>
      <c r="J839" s="8"/>
      <c r="K839" s="8"/>
    </row>
    <row r="840" spans="1:11" x14ac:dyDescent="0.25">
      <c r="A840" s="44"/>
      <c r="B840" s="44"/>
      <c r="C840" s="44"/>
      <c r="D840" s="44"/>
      <c r="E840" s="44"/>
      <c r="F840" s="44"/>
      <c r="G840" s="44"/>
      <c r="H840" s="44"/>
      <c r="I840" s="8"/>
      <c r="J840" s="8"/>
      <c r="K840" s="8"/>
    </row>
    <row r="841" spans="1:11" x14ac:dyDescent="0.25">
      <c r="A841" s="44"/>
      <c r="B841" s="44"/>
      <c r="C841" s="44"/>
      <c r="D841" s="44"/>
      <c r="E841" s="44"/>
      <c r="F841" s="44"/>
      <c r="G841" s="44"/>
      <c r="H841" s="44"/>
      <c r="I841" s="8"/>
      <c r="J841" s="8"/>
      <c r="K841" s="8"/>
    </row>
    <row r="842" spans="1:11" x14ac:dyDescent="0.25">
      <c r="A842" s="44"/>
      <c r="B842" s="44"/>
      <c r="C842" s="44"/>
      <c r="D842" s="44"/>
      <c r="E842" s="44"/>
      <c r="F842" s="44"/>
      <c r="G842" s="44"/>
      <c r="H842" s="44"/>
      <c r="I842" s="8"/>
      <c r="J842" s="8"/>
      <c r="K842" s="8"/>
    </row>
    <row r="843" spans="1:11" x14ac:dyDescent="0.25">
      <c r="A843" s="44"/>
      <c r="B843" s="44"/>
      <c r="C843" s="44"/>
      <c r="D843" s="44"/>
      <c r="E843" s="44"/>
      <c r="F843" s="44"/>
      <c r="G843" s="44"/>
      <c r="H843" s="44"/>
      <c r="I843" s="8"/>
      <c r="J843" s="8"/>
      <c r="K843" s="8"/>
    </row>
    <row r="844" spans="1:11" x14ac:dyDescent="0.25">
      <c r="A844" s="44"/>
      <c r="B844" s="44"/>
      <c r="C844" s="44"/>
      <c r="D844" s="44"/>
      <c r="E844" s="44"/>
      <c r="F844" s="44"/>
      <c r="G844" s="44"/>
      <c r="H844" s="44"/>
      <c r="I844" s="8"/>
      <c r="J844" s="8"/>
      <c r="K844" s="8"/>
    </row>
    <row r="845" spans="1:11" x14ac:dyDescent="0.25">
      <c r="A845" s="44"/>
      <c r="B845" s="44"/>
      <c r="C845" s="44"/>
      <c r="D845" s="44"/>
      <c r="E845" s="44"/>
      <c r="F845" s="44"/>
      <c r="G845" s="44"/>
      <c r="H845" s="44"/>
      <c r="I845" s="8"/>
      <c r="J845" s="8"/>
      <c r="K845" s="8"/>
    </row>
    <row r="846" spans="1:11" x14ac:dyDescent="0.25">
      <c r="A846" s="44"/>
      <c r="B846" s="44"/>
      <c r="C846" s="44"/>
      <c r="D846" s="44"/>
      <c r="E846" s="44"/>
      <c r="F846" s="44"/>
      <c r="G846" s="44"/>
      <c r="H846" s="44"/>
      <c r="I846" s="8"/>
      <c r="J846" s="8"/>
      <c r="K846" s="8"/>
    </row>
    <row r="847" spans="1:11" x14ac:dyDescent="0.25">
      <c r="A847" s="44"/>
      <c r="B847" s="44"/>
      <c r="C847" s="44"/>
      <c r="D847" s="44"/>
      <c r="E847" s="44"/>
      <c r="F847" s="44"/>
      <c r="G847" s="44"/>
      <c r="H847" s="44"/>
      <c r="I847" s="8"/>
      <c r="J847" s="8"/>
      <c r="K847" s="8"/>
    </row>
    <row r="848" spans="1:11" x14ac:dyDescent="0.25">
      <c r="A848" s="44"/>
      <c r="B848" s="44"/>
      <c r="C848" s="44"/>
      <c r="D848" s="44"/>
      <c r="E848" s="44"/>
      <c r="F848" s="44"/>
      <c r="G848" s="44"/>
      <c r="H848" s="44"/>
      <c r="I848" s="8"/>
      <c r="J848" s="8"/>
      <c r="K848" s="8"/>
    </row>
    <row r="849" spans="1:11" x14ac:dyDescent="0.25">
      <c r="A849" s="44"/>
      <c r="B849" s="44"/>
      <c r="C849" s="44"/>
      <c r="D849" s="44"/>
      <c r="E849" s="44"/>
      <c r="F849" s="44"/>
      <c r="G849" s="44"/>
      <c r="H849" s="44"/>
      <c r="I849" s="8"/>
      <c r="J849" s="8"/>
      <c r="K849" s="8"/>
    </row>
    <row r="850" spans="1:11" x14ac:dyDescent="0.25">
      <c r="A850" s="44"/>
      <c r="B850" s="44"/>
      <c r="C850" s="44"/>
      <c r="D850" s="44"/>
      <c r="E850" s="44"/>
      <c r="F850" s="44"/>
      <c r="G850" s="44"/>
      <c r="H850" s="44"/>
      <c r="I850" s="8"/>
      <c r="J850" s="8"/>
      <c r="K850" s="8"/>
    </row>
    <row r="851" spans="1:11" x14ac:dyDescent="0.25">
      <c r="A851" s="44"/>
      <c r="B851" s="44"/>
      <c r="C851" s="44"/>
      <c r="D851" s="44"/>
      <c r="E851" s="44"/>
      <c r="F851" s="44"/>
      <c r="G851" s="44"/>
      <c r="H851" s="44"/>
      <c r="I851" s="8"/>
      <c r="J851" s="8"/>
      <c r="K851" s="8"/>
    </row>
    <row r="852" spans="1:11" x14ac:dyDescent="0.25">
      <c r="A852" s="44"/>
      <c r="B852" s="44"/>
      <c r="C852" s="44"/>
      <c r="D852" s="44"/>
      <c r="E852" s="44"/>
      <c r="F852" s="44"/>
      <c r="G852" s="44"/>
      <c r="H852" s="44"/>
      <c r="I852" s="8"/>
      <c r="J852" s="8"/>
      <c r="K852" s="8"/>
    </row>
    <row r="853" spans="1:11" x14ac:dyDescent="0.25">
      <c r="A853" s="44"/>
      <c r="B853" s="44"/>
      <c r="C853" s="44"/>
      <c r="D853" s="44"/>
      <c r="E853" s="44"/>
      <c r="F853" s="44"/>
      <c r="G853" s="44"/>
      <c r="H853" s="44"/>
      <c r="I853" s="8"/>
      <c r="J853" s="8"/>
      <c r="K853" s="8"/>
    </row>
    <row r="854" spans="1:11" x14ac:dyDescent="0.25">
      <c r="A854" s="44"/>
      <c r="B854" s="44"/>
      <c r="C854" s="44"/>
      <c r="D854" s="44"/>
      <c r="E854" s="44"/>
      <c r="F854" s="44"/>
      <c r="G854" s="44"/>
      <c r="H854" s="44"/>
      <c r="I854" s="8"/>
      <c r="J854" s="8"/>
      <c r="K854" s="8"/>
    </row>
    <row r="855" spans="1:11" x14ac:dyDescent="0.25">
      <c r="A855" s="44"/>
      <c r="B855" s="44"/>
      <c r="C855" s="44"/>
      <c r="D855" s="44"/>
      <c r="E855" s="44"/>
      <c r="F855" s="44"/>
      <c r="G855" s="44"/>
      <c r="H855" s="44"/>
      <c r="I855" s="8"/>
      <c r="J855" s="8"/>
      <c r="K855" s="8"/>
    </row>
    <row r="856" spans="1:11" x14ac:dyDescent="0.25">
      <c r="A856" s="44"/>
      <c r="B856" s="44"/>
      <c r="C856" s="44"/>
      <c r="D856" s="44"/>
      <c r="E856" s="44"/>
      <c r="F856" s="44"/>
      <c r="G856" s="44"/>
      <c r="H856" s="44"/>
      <c r="I856" s="8"/>
      <c r="J856" s="8"/>
      <c r="K856" s="8"/>
    </row>
    <row r="857" spans="1:11" x14ac:dyDescent="0.25">
      <c r="A857" s="44"/>
      <c r="B857" s="44"/>
      <c r="C857" s="44"/>
      <c r="D857" s="44"/>
      <c r="E857" s="44"/>
      <c r="F857" s="44"/>
      <c r="G857" s="44"/>
      <c r="H857" s="44"/>
      <c r="I857" s="8"/>
      <c r="J857" s="8"/>
      <c r="K857" s="8"/>
    </row>
    <row r="858" spans="1:11" x14ac:dyDescent="0.25">
      <c r="A858" s="44"/>
      <c r="B858" s="44"/>
      <c r="C858" s="44"/>
      <c r="D858" s="44"/>
      <c r="E858" s="44"/>
      <c r="F858" s="44"/>
      <c r="G858" s="44"/>
      <c r="H858" s="44"/>
      <c r="I858" s="8"/>
      <c r="J858" s="8"/>
      <c r="K858" s="8"/>
    </row>
    <row r="859" spans="1:11" x14ac:dyDescent="0.25">
      <c r="A859" s="44"/>
      <c r="B859" s="44"/>
      <c r="C859" s="44"/>
      <c r="D859" s="44"/>
      <c r="E859" s="44"/>
      <c r="F859" s="44"/>
      <c r="G859" s="44"/>
      <c r="H859" s="44"/>
      <c r="I859" s="8"/>
      <c r="J859" s="8"/>
      <c r="K859" s="8"/>
    </row>
    <row r="860" spans="1:11" x14ac:dyDescent="0.25">
      <c r="A860" s="44"/>
      <c r="B860" s="44"/>
      <c r="C860" s="44"/>
      <c r="D860" s="44"/>
      <c r="E860" s="44"/>
      <c r="F860" s="44"/>
      <c r="G860" s="44"/>
      <c r="H860" s="44"/>
      <c r="I860" s="8"/>
      <c r="J860" s="8"/>
      <c r="K860" s="8"/>
    </row>
    <row r="861" spans="1:11" x14ac:dyDescent="0.25">
      <c r="A861" s="44"/>
      <c r="B861" s="44"/>
      <c r="C861" s="44"/>
      <c r="D861" s="44"/>
      <c r="E861" s="44"/>
      <c r="F861" s="44"/>
      <c r="G861" s="44"/>
      <c r="H861" s="44"/>
      <c r="I861" s="8"/>
      <c r="J861" s="8"/>
      <c r="K861" s="8"/>
    </row>
    <row r="862" spans="1:11" x14ac:dyDescent="0.25">
      <c r="A862" s="44"/>
      <c r="B862" s="44"/>
      <c r="C862" s="44"/>
      <c r="D862" s="44"/>
      <c r="E862" s="44"/>
      <c r="F862" s="44"/>
      <c r="G862" s="44"/>
      <c r="H862" s="44"/>
      <c r="I862" s="8"/>
      <c r="J862" s="8"/>
      <c r="K862" s="8"/>
    </row>
    <row r="863" spans="1:11" x14ac:dyDescent="0.25">
      <c r="A863" s="44"/>
      <c r="B863" s="44"/>
      <c r="C863" s="44"/>
      <c r="D863" s="44"/>
      <c r="E863" s="44"/>
      <c r="F863" s="44"/>
      <c r="G863" s="44"/>
      <c r="H863" s="44"/>
      <c r="I863" s="8"/>
      <c r="J863" s="8"/>
      <c r="K863" s="8"/>
    </row>
    <row r="864" spans="1:11" x14ac:dyDescent="0.25">
      <c r="A864" s="44"/>
      <c r="B864" s="44"/>
      <c r="C864" s="44"/>
      <c r="D864" s="44"/>
      <c r="E864" s="44"/>
      <c r="F864" s="44"/>
      <c r="G864" s="44"/>
      <c r="H864" s="44"/>
      <c r="I864" s="8"/>
      <c r="J864" s="8"/>
      <c r="K864" s="8"/>
    </row>
    <row r="865" spans="1:11" x14ac:dyDescent="0.25">
      <c r="A865" s="44"/>
      <c r="B865" s="44"/>
      <c r="C865" s="44"/>
      <c r="D865" s="44"/>
      <c r="E865" s="44"/>
      <c r="F865" s="44"/>
      <c r="G865" s="44"/>
      <c r="H865" s="44"/>
      <c r="I865" s="8"/>
      <c r="J865" s="8"/>
      <c r="K865" s="8"/>
    </row>
    <row r="866" spans="1:11" x14ac:dyDescent="0.25">
      <c r="A866" s="44"/>
      <c r="B866" s="44"/>
      <c r="C866" s="44"/>
      <c r="D866" s="44"/>
      <c r="E866" s="44"/>
      <c r="F866" s="44"/>
      <c r="G866" s="44"/>
      <c r="H866" s="44"/>
      <c r="I866" s="8"/>
      <c r="J866" s="8"/>
      <c r="K866" s="8"/>
    </row>
    <row r="867" spans="1:11" x14ac:dyDescent="0.25">
      <c r="A867" s="44"/>
      <c r="B867" s="44"/>
      <c r="C867" s="44"/>
      <c r="D867" s="44"/>
      <c r="E867" s="44"/>
      <c r="F867" s="44"/>
      <c r="G867" s="44"/>
      <c r="H867" s="44"/>
      <c r="I867" s="8"/>
      <c r="J867" s="8"/>
      <c r="K867" s="8"/>
    </row>
    <row r="868" spans="1:11" x14ac:dyDescent="0.25">
      <c r="A868" s="44"/>
      <c r="B868" s="44"/>
      <c r="C868" s="44"/>
      <c r="D868" s="44"/>
      <c r="E868" s="44"/>
      <c r="F868" s="44"/>
      <c r="G868" s="44"/>
      <c r="H868" s="44"/>
      <c r="I868" s="8"/>
      <c r="J868" s="8"/>
      <c r="K868" s="8"/>
    </row>
    <row r="869" spans="1:11" x14ac:dyDescent="0.25">
      <c r="A869" s="44"/>
      <c r="B869" s="44"/>
      <c r="C869" s="44"/>
      <c r="D869" s="44"/>
      <c r="E869" s="44"/>
      <c r="F869" s="44"/>
      <c r="G869" s="44"/>
      <c r="H869" s="44"/>
      <c r="I869" s="8"/>
      <c r="J869" s="8"/>
      <c r="K869" s="8"/>
    </row>
    <row r="870" spans="1:11" x14ac:dyDescent="0.25">
      <c r="A870" s="44"/>
      <c r="B870" s="44"/>
      <c r="C870" s="44"/>
      <c r="D870" s="44"/>
      <c r="E870" s="44"/>
      <c r="F870" s="44"/>
      <c r="G870" s="44"/>
      <c r="H870" s="44"/>
      <c r="I870" s="8"/>
      <c r="J870" s="8"/>
      <c r="K870" s="8"/>
    </row>
    <row r="871" spans="1:11" x14ac:dyDescent="0.25">
      <c r="A871" s="44"/>
      <c r="B871" s="44"/>
      <c r="C871" s="44"/>
      <c r="D871" s="44"/>
      <c r="E871" s="44"/>
      <c r="F871" s="44"/>
      <c r="G871" s="44"/>
      <c r="H871" s="44"/>
      <c r="I871" s="8"/>
      <c r="J871" s="8"/>
      <c r="K871" s="8"/>
    </row>
    <row r="872" spans="1:11" x14ac:dyDescent="0.25">
      <c r="A872" s="44"/>
      <c r="B872" s="44"/>
      <c r="C872" s="44"/>
      <c r="D872" s="44"/>
      <c r="E872" s="44"/>
      <c r="F872" s="44"/>
      <c r="G872" s="44"/>
      <c r="H872" s="44"/>
      <c r="I872" s="8"/>
      <c r="J872" s="8"/>
      <c r="K872" s="8"/>
    </row>
    <row r="873" spans="1:11" x14ac:dyDescent="0.25">
      <c r="A873" s="44"/>
      <c r="B873" s="44"/>
      <c r="C873" s="44"/>
      <c r="D873" s="44"/>
      <c r="E873" s="44"/>
      <c r="F873" s="44"/>
      <c r="G873" s="44"/>
      <c r="H873" s="44"/>
      <c r="I873" s="8"/>
      <c r="J873" s="8"/>
      <c r="K873" s="8"/>
    </row>
    <row r="874" spans="1:11" x14ac:dyDescent="0.25">
      <c r="A874" s="44"/>
      <c r="B874" s="44"/>
      <c r="C874" s="44"/>
      <c r="D874" s="44"/>
      <c r="E874" s="44"/>
      <c r="F874" s="44"/>
      <c r="G874" s="44"/>
      <c r="H874" s="44"/>
      <c r="I874" s="8"/>
      <c r="J874" s="8"/>
      <c r="K874" s="8"/>
    </row>
    <row r="875" spans="1:11" x14ac:dyDescent="0.25">
      <c r="A875" s="44"/>
      <c r="B875" s="44"/>
      <c r="C875" s="44"/>
      <c r="D875" s="44"/>
      <c r="E875" s="44"/>
      <c r="F875" s="44"/>
      <c r="G875" s="44"/>
      <c r="H875" s="44"/>
      <c r="I875" s="8"/>
      <c r="J875" s="8"/>
      <c r="K875" s="8"/>
    </row>
    <row r="876" spans="1:11" x14ac:dyDescent="0.25">
      <c r="A876" s="44"/>
      <c r="B876" s="44"/>
      <c r="C876" s="44"/>
      <c r="D876" s="44"/>
      <c r="E876" s="44"/>
      <c r="F876" s="44"/>
      <c r="G876" s="44"/>
      <c r="H876" s="44"/>
      <c r="I876" s="8"/>
      <c r="J876" s="8"/>
      <c r="K876" s="8"/>
    </row>
    <row r="877" spans="1:11" x14ac:dyDescent="0.25">
      <c r="A877" s="44"/>
      <c r="B877" s="44"/>
      <c r="C877" s="44"/>
      <c r="D877" s="44"/>
      <c r="E877" s="44"/>
      <c r="F877" s="44"/>
      <c r="G877" s="44"/>
      <c r="H877" s="44"/>
      <c r="I877" s="8"/>
      <c r="J877" s="8"/>
      <c r="K877" s="8"/>
    </row>
    <row r="878" spans="1:11" x14ac:dyDescent="0.25">
      <c r="A878" s="44"/>
      <c r="B878" s="44"/>
      <c r="C878" s="44"/>
      <c r="D878" s="44"/>
      <c r="E878" s="44"/>
      <c r="F878" s="44"/>
      <c r="G878" s="44"/>
      <c r="H878" s="44"/>
      <c r="I878" s="8"/>
      <c r="J878" s="8"/>
      <c r="K878" s="8"/>
    </row>
    <row r="879" spans="1:11" x14ac:dyDescent="0.25">
      <c r="A879" s="44"/>
      <c r="B879" s="44"/>
      <c r="C879" s="44"/>
      <c r="D879" s="44"/>
      <c r="E879" s="44"/>
      <c r="F879" s="44"/>
      <c r="G879" s="44"/>
      <c r="H879" s="44"/>
      <c r="I879" s="8"/>
      <c r="J879" s="8"/>
      <c r="K879" s="8"/>
    </row>
    <row r="880" spans="1:11" x14ac:dyDescent="0.25">
      <c r="A880" s="44"/>
      <c r="B880" s="44"/>
      <c r="C880" s="44"/>
      <c r="D880" s="44"/>
      <c r="E880" s="44"/>
      <c r="F880" s="44"/>
      <c r="G880" s="44"/>
      <c r="H880" s="44"/>
      <c r="I880" s="8"/>
      <c r="J880" s="8"/>
      <c r="K880" s="8"/>
    </row>
    <row r="881" spans="1:11" x14ac:dyDescent="0.25">
      <c r="A881" s="44"/>
      <c r="B881" s="44"/>
      <c r="C881" s="44"/>
      <c r="D881" s="44"/>
      <c r="E881" s="44"/>
      <c r="F881" s="44"/>
      <c r="G881" s="44"/>
      <c r="H881" s="44"/>
      <c r="I881" s="8"/>
      <c r="J881" s="8"/>
      <c r="K881" s="8"/>
    </row>
    <row r="882" spans="1:11" x14ac:dyDescent="0.25">
      <c r="A882" s="44"/>
      <c r="B882" s="44"/>
      <c r="C882" s="44"/>
      <c r="D882" s="44"/>
      <c r="E882" s="44"/>
      <c r="F882" s="44"/>
      <c r="G882" s="44"/>
      <c r="H882" s="44"/>
      <c r="I882" s="8"/>
      <c r="J882" s="8"/>
      <c r="K882" s="8"/>
    </row>
    <row r="883" spans="1:11" x14ac:dyDescent="0.25">
      <c r="A883" s="44"/>
      <c r="B883" s="44"/>
      <c r="C883" s="44"/>
      <c r="D883" s="44"/>
      <c r="E883" s="44"/>
      <c r="F883" s="44"/>
      <c r="G883" s="44"/>
      <c r="H883" s="44"/>
      <c r="I883" s="8"/>
      <c r="J883" s="8"/>
      <c r="K883" s="8"/>
    </row>
    <row r="884" spans="1:11" x14ac:dyDescent="0.25">
      <c r="A884" s="44"/>
      <c r="B884" s="44"/>
      <c r="C884" s="44"/>
      <c r="D884" s="44"/>
      <c r="E884" s="44"/>
      <c r="F884" s="44"/>
      <c r="G884" s="44"/>
      <c r="H884" s="44"/>
      <c r="I884" s="8"/>
      <c r="J884" s="8"/>
      <c r="K884" s="8"/>
    </row>
    <row r="885" spans="1:11" x14ac:dyDescent="0.25">
      <c r="A885" s="44"/>
      <c r="B885" s="44"/>
      <c r="C885" s="44"/>
      <c r="D885" s="44"/>
      <c r="E885" s="44"/>
      <c r="F885" s="44"/>
      <c r="G885" s="44"/>
      <c r="H885" s="44"/>
      <c r="I885" s="8"/>
      <c r="J885" s="8"/>
      <c r="K885" s="8"/>
    </row>
    <row r="886" spans="1:11" x14ac:dyDescent="0.25">
      <c r="A886" s="44"/>
      <c r="B886" s="44"/>
      <c r="C886" s="44"/>
      <c r="D886" s="44"/>
      <c r="E886" s="44"/>
      <c r="F886" s="44"/>
      <c r="G886" s="44"/>
      <c r="H886" s="44"/>
      <c r="I886" s="8"/>
      <c r="J886" s="8"/>
      <c r="K886" s="8"/>
    </row>
    <row r="887" spans="1:11" x14ac:dyDescent="0.25">
      <c r="A887" s="44"/>
      <c r="B887" s="44"/>
      <c r="C887" s="44"/>
      <c r="D887" s="44"/>
      <c r="E887" s="44"/>
      <c r="F887" s="44"/>
      <c r="G887" s="44"/>
      <c r="H887" s="44"/>
      <c r="I887" s="8"/>
      <c r="J887" s="8"/>
      <c r="K887" s="8"/>
    </row>
    <row r="888" spans="1:11" x14ac:dyDescent="0.25">
      <c r="A888" s="44"/>
      <c r="B888" s="44"/>
      <c r="C888" s="44"/>
      <c r="D888" s="44"/>
      <c r="E888" s="44"/>
      <c r="F888" s="44"/>
      <c r="G888" s="44"/>
      <c r="H888" s="44"/>
      <c r="I888" s="8"/>
      <c r="J888" s="8"/>
      <c r="K888" s="8"/>
    </row>
    <row r="889" spans="1:11" x14ac:dyDescent="0.25">
      <c r="A889" s="44"/>
      <c r="B889" s="44"/>
      <c r="C889" s="44"/>
      <c r="D889" s="44"/>
      <c r="E889" s="44"/>
      <c r="F889" s="44"/>
      <c r="G889" s="44"/>
      <c r="H889" s="44"/>
      <c r="I889" s="8"/>
      <c r="J889" s="8"/>
      <c r="K889" s="8"/>
    </row>
    <row r="890" spans="1:11" x14ac:dyDescent="0.25">
      <c r="A890" s="44"/>
      <c r="B890" s="44"/>
      <c r="C890" s="44"/>
      <c r="D890" s="44"/>
      <c r="E890" s="44"/>
      <c r="F890" s="44"/>
      <c r="G890" s="44"/>
      <c r="H890" s="44"/>
      <c r="I890" s="8"/>
      <c r="J890" s="8"/>
      <c r="K890" s="8"/>
    </row>
    <row r="891" spans="1:11" x14ac:dyDescent="0.25">
      <c r="A891" s="44"/>
      <c r="B891" s="44"/>
      <c r="C891" s="44"/>
      <c r="D891" s="44"/>
      <c r="E891" s="44"/>
      <c r="F891" s="44"/>
      <c r="G891" s="44"/>
      <c r="H891" s="44"/>
      <c r="I891" s="8"/>
      <c r="J891" s="8"/>
      <c r="K891" s="8"/>
    </row>
    <row r="892" spans="1:11" x14ac:dyDescent="0.25">
      <c r="A892" s="44"/>
      <c r="B892" s="44"/>
      <c r="C892" s="44"/>
      <c r="D892" s="44"/>
      <c r="E892" s="44"/>
      <c r="F892" s="44"/>
      <c r="G892" s="44"/>
      <c r="H892" s="44"/>
      <c r="I892" s="8"/>
      <c r="J892" s="8"/>
      <c r="K892" s="8"/>
    </row>
    <row r="893" spans="1:11" x14ac:dyDescent="0.25">
      <c r="A893" s="44"/>
      <c r="B893" s="44"/>
      <c r="C893" s="44"/>
      <c r="D893" s="44"/>
      <c r="E893" s="44"/>
      <c r="F893" s="44"/>
      <c r="G893" s="44"/>
      <c r="H893" s="44"/>
      <c r="I893" s="8"/>
      <c r="J893" s="8"/>
      <c r="K893" s="8"/>
    </row>
    <row r="894" spans="1:11" x14ac:dyDescent="0.25">
      <c r="A894" s="44"/>
      <c r="B894" s="44"/>
      <c r="C894" s="44"/>
      <c r="D894" s="44"/>
      <c r="E894" s="44"/>
      <c r="F894" s="44"/>
      <c r="G894" s="44"/>
      <c r="H894" s="44"/>
      <c r="I894" s="8"/>
      <c r="J894" s="8"/>
      <c r="K894" s="8"/>
    </row>
    <row r="895" spans="1:11" x14ac:dyDescent="0.25">
      <c r="A895" s="44"/>
      <c r="B895" s="44"/>
      <c r="C895" s="44"/>
      <c r="D895" s="44"/>
      <c r="E895" s="44"/>
      <c r="F895" s="44"/>
      <c r="G895" s="44"/>
      <c r="H895" s="44"/>
      <c r="I895" s="8"/>
      <c r="J895" s="8"/>
      <c r="K895" s="8"/>
    </row>
    <row r="896" spans="1:11" x14ac:dyDescent="0.25">
      <c r="A896" s="44"/>
      <c r="B896" s="44"/>
      <c r="C896" s="44"/>
      <c r="D896" s="44"/>
      <c r="E896" s="44"/>
      <c r="F896" s="44"/>
      <c r="G896" s="44"/>
      <c r="H896" s="44"/>
      <c r="I896" s="8"/>
      <c r="J896" s="8"/>
      <c r="K896" s="8"/>
    </row>
    <row r="897" spans="1:11" x14ac:dyDescent="0.25">
      <c r="A897" s="44"/>
      <c r="B897" s="44"/>
      <c r="C897" s="44"/>
      <c r="D897" s="44"/>
      <c r="E897" s="44"/>
      <c r="F897" s="44"/>
      <c r="G897" s="44"/>
      <c r="H897" s="44"/>
      <c r="I897" s="8"/>
      <c r="J897" s="8"/>
      <c r="K897" s="8"/>
    </row>
    <row r="898" spans="1:11" x14ac:dyDescent="0.25">
      <c r="A898" s="44"/>
      <c r="B898" s="44"/>
      <c r="C898" s="44"/>
      <c r="D898" s="44"/>
      <c r="E898" s="44"/>
      <c r="F898" s="44"/>
      <c r="G898" s="44"/>
      <c r="H898" s="44"/>
      <c r="I898" s="8"/>
      <c r="J898" s="8"/>
      <c r="K898" s="8"/>
    </row>
    <row r="899" spans="1:11" x14ac:dyDescent="0.25">
      <c r="A899" s="44"/>
      <c r="B899" s="44"/>
      <c r="C899" s="44"/>
      <c r="D899" s="44"/>
      <c r="E899" s="44"/>
      <c r="F899" s="44"/>
      <c r="G899" s="44"/>
      <c r="H899" s="44"/>
      <c r="I899" s="8"/>
      <c r="J899" s="8"/>
      <c r="K899" s="8"/>
    </row>
    <row r="900" spans="1:11" x14ac:dyDescent="0.25">
      <c r="A900" s="44"/>
      <c r="B900" s="44"/>
      <c r="C900" s="44"/>
      <c r="D900" s="44"/>
      <c r="E900" s="44"/>
      <c r="F900" s="44"/>
      <c r="G900" s="44"/>
      <c r="H900" s="44"/>
      <c r="I900" s="8"/>
      <c r="J900" s="8"/>
      <c r="K900" s="8"/>
    </row>
    <row r="901" spans="1:11" x14ac:dyDescent="0.25">
      <c r="A901" s="44"/>
      <c r="B901" s="44"/>
      <c r="C901" s="44"/>
      <c r="D901" s="44"/>
      <c r="E901" s="44"/>
      <c r="F901" s="44"/>
      <c r="G901" s="44"/>
      <c r="H901" s="44"/>
      <c r="I901" s="8"/>
      <c r="J901" s="8"/>
      <c r="K901" s="8"/>
    </row>
    <row r="902" spans="1:11" x14ac:dyDescent="0.25">
      <c r="A902" s="44"/>
      <c r="B902" s="44"/>
      <c r="C902" s="44"/>
      <c r="D902" s="44"/>
      <c r="E902" s="44"/>
      <c r="F902" s="44"/>
      <c r="G902" s="44"/>
      <c r="H902" s="44"/>
      <c r="I902" s="8"/>
      <c r="J902" s="8"/>
      <c r="K902" s="8"/>
    </row>
    <row r="903" spans="1:11" x14ac:dyDescent="0.25">
      <c r="A903" s="44"/>
      <c r="B903" s="44"/>
      <c r="C903" s="44"/>
      <c r="D903" s="44"/>
      <c r="E903" s="44"/>
      <c r="F903" s="44"/>
      <c r="G903" s="44"/>
      <c r="H903" s="44"/>
      <c r="I903" s="8"/>
      <c r="J903" s="8"/>
      <c r="K903" s="8"/>
    </row>
    <row r="904" spans="1:11" x14ac:dyDescent="0.25">
      <c r="A904" s="44"/>
      <c r="B904" s="44"/>
      <c r="C904" s="44"/>
      <c r="D904" s="44"/>
      <c r="E904" s="44"/>
      <c r="F904" s="44"/>
      <c r="G904" s="44"/>
      <c r="H904" s="44"/>
      <c r="I904" s="8"/>
      <c r="J904" s="8"/>
      <c r="K904" s="8"/>
    </row>
    <row r="905" spans="1:11" x14ac:dyDescent="0.25">
      <c r="A905" s="44"/>
      <c r="B905" s="44"/>
      <c r="C905" s="44"/>
      <c r="D905" s="44"/>
      <c r="E905" s="44"/>
      <c r="F905" s="44"/>
      <c r="G905" s="44"/>
      <c r="H905" s="44"/>
      <c r="I905" s="8"/>
      <c r="J905" s="8"/>
      <c r="K905" s="8"/>
    </row>
    <row r="906" spans="1:11" x14ac:dyDescent="0.25">
      <c r="A906" s="44"/>
      <c r="B906" s="44"/>
      <c r="C906" s="44"/>
      <c r="D906" s="44"/>
      <c r="E906" s="44"/>
      <c r="F906" s="44"/>
      <c r="G906" s="44"/>
      <c r="H906" s="44"/>
      <c r="I906" s="8"/>
      <c r="J906" s="8"/>
      <c r="K906" s="8"/>
    </row>
    <row r="907" spans="1:11" x14ac:dyDescent="0.25">
      <c r="A907" s="44"/>
      <c r="B907" s="44"/>
      <c r="C907" s="44"/>
      <c r="D907" s="44"/>
      <c r="E907" s="44"/>
      <c r="F907" s="44"/>
      <c r="G907" s="44"/>
      <c r="H907" s="44"/>
      <c r="I907" s="8"/>
      <c r="J907" s="8"/>
      <c r="K907" s="8"/>
    </row>
    <row r="908" spans="1:11" x14ac:dyDescent="0.25">
      <c r="A908" s="44"/>
      <c r="B908" s="44"/>
      <c r="C908" s="44"/>
      <c r="D908" s="44"/>
      <c r="E908" s="44"/>
      <c r="F908" s="44"/>
      <c r="G908" s="44"/>
      <c r="H908" s="44"/>
      <c r="I908" s="8"/>
      <c r="J908" s="8"/>
      <c r="K908" s="8"/>
    </row>
    <row r="909" spans="1:11" x14ac:dyDescent="0.25">
      <c r="A909" s="44"/>
      <c r="B909" s="44"/>
      <c r="C909" s="44"/>
      <c r="D909" s="44"/>
      <c r="E909" s="44"/>
      <c r="F909" s="44"/>
      <c r="G909" s="44"/>
      <c r="H909" s="44"/>
      <c r="I909" s="8"/>
      <c r="J909" s="8"/>
      <c r="K909" s="8"/>
    </row>
    <row r="910" spans="1:11" x14ac:dyDescent="0.25">
      <c r="A910" s="44"/>
      <c r="B910" s="44"/>
      <c r="C910" s="44"/>
      <c r="D910" s="44"/>
      <c r="E910" s="44"/>
      <c r="F910" s="44"/>
      <c r="G910" s="44"/>
      <c r="H910" s="44"/>
      <c r="I910" s="8"/>
      <c r="J910" s="8"/>
      <c r="K910" s="8"/>
    </row>
    <row r="911" spans="1:11" x14ac:dyDescent="0.25">
      <c r="A911" s="44"/>
      <c r="B911" s="44"/>
      <c r="C911" s="44"/>
      <c r="D911" s="44"/>
      <c r="E911" s="44"/>
      <c r="F911" s="44"/>
      <c r="G911" s="44"/>
      <c r="H911" s="44"/>
      <c r="I911" s="8"/>
      <c r="J911" s="8"/>
      <c r="K911" s="8"/>
    </row>
    <row r="912" spans="1:11" x14ac:dyDescent="0.25">
      <c r="A912" s="44"/>
      <c r="B912" s="44"/>
      <c r="C912" s="44"/>
      <c r="D912" s="44"/>
      <c r="E912" s="44"/>
      <c r="F912" s="44"/>
      <c r="G912" s="44"/>
      <c r="H912" s="44"/>
      <c r="I912" s="8"/>
      <c r="J912" s="8"/>
      <c r="K912" s="8"/>
    </row>
    <row r="913" spans="1:11" x14ac:dyDescent="0.25">
      <c r="A913" s="44"/>
      <c r="B913" s="44"/>
      <c r="C913" s="44"/>
      <c r="D913" s="44"/>
      <c r="E913" s="44"/>
      <c r="F913" s="44"/>
      <c r="G913" s="44"/>
      <c r="H913" s="44"/>
      <c r="I913" s="8"/>
      <c r="J913" s="8"/>
      <c r="K913" s="8"/>
    </row>
    <row r="914" spans="1:11" x14ac:dyDescent="0.25">
      <c r="A914" s="44"/>
      <c r="B914" s="44"/>
      <c r="C914" s="44"/>
      <c r="D914" s="44"/>
      <c r="E914" s="44"/>
      <c r="F914" s="44"/>
      <c r="G914" s="44"/>
      <c r="H914" s="44"/>
      <c r="I914" s="8"/>
      <c r="J914" s="8"/>
      <c r="K914" s="8"/>
    </row>
    <row r="915" spans="1:11" x14ac:dyDescent="0.25">
      <c r="A915" s="44"/>
      <c r="B915" s="44"/>
      <c r="C915" s="44"/>
      <c r="D915" s="44"/>
      <c r="E915" s="44"/>
      <c r="F915" s="44"/>
      <c r="G915" s="44"/>
      <c r="H915" s="44"/>
      <c r="I915" s="8"/>
      <c r="J915" s="8"/>
      <c r="K915" s="8"/>
    </row>
    <row r="916" spans="1:11" x14ac:dyDescent="0.25">
      <c r="A916" s="44"/>
      <c r="B916" s="44"/>
      <c r="C916" s="44"/>
      <c r="D916" s="44"/>
      <c r="E916" s="44"/>
      <c r="F916" s="44"/>
      <c r="G916" s="44"/>
      <c r="H916" s="44"/>
      <c r="I916" s="8"/>
      <c r="J916" s="8"/>
      <c r="K916" s="8"/>
    </row>
    <row r="917" spans="1:11" x14ac:dyDescent="0.25">
      <c r="A917" s="44"/>
      <c r="B917" s="44"/>
      <c r="C917" s="44"/>
      <c r="D917" s="44"/>
      <c r="E917" s="44"/>
      <c r="F917" s="44"/>
      <c r="G917" s="44"/>
      <c r="H917" s="44"/>
      <c r="I917" s="8"/>
      <c r="J917" s="8"/>
      <c r="K917" s="8"/>
    </row>
    <row r="918" spans="1:11" x14ac:dyDescent="0.25">
      <c r="A918" s="44"/>
      <c r="B918" s="44"/>
      <c r="C918" s="44"/>
      <c r="D918" s="44"/>
      <c r="E918" s="44"/>
      <c r="F918" s="44"/>
      <c r="G918" s="44"/>
      <c r="H918" s="44"/>
      <c r="I918" s="8"/>
      <c r="J918" s="8"/>
      <c r="K918" s="8"/>
    </row>
    <row r="919" spans="1:11" x14ac:dyDescent="0.25">
      <c r="A919" s="44"/>
      <c r="B919" s="44"/>
      <c r="C919" s="44"/>
      <c r="D919" s="44"/>
      <c r="E919" s="44"/>
      <c r="F919" s="44"/>
      <c r="G919" s="44"/>
      <c r="H919" s="44"/>
      <c r="I919" s="8"/>
      <c r="J919" s="8"/>
      <c r="K919" s="8"/>
    </row>
    <row r="920" spans="1:11" x14ac:dyDescent="0.25">
      <c r="A920" s="44"/>
      <c r="B920" s="44"/>
      <c r="C920" s="44"/>
      <c r="D920" s="44"/>
      <c r="E920" s="44"/>
      <c r="F920" s="44"/>
      <c r="G920" s="44"/>
      <c r="H920" s="44"/>
      <c r="I920" s="8"/>
      <c r="J920" s="8"/>
      <c r="K920" s="8"/>
    </row>
    <row r="921" spans="1:11" x14ac:dyDescent="0.25">
      <c r="A921" s="44"/>
      <c r="B921" s="44"/>
      <c r="C921" s="44"/>
      <c r="D921" s="44"/>
      <c r="E921" s="44"/>
      <c r="F921" s="44"/>
      <c r="G921" s="44"/>
      <c r="H921" s="44"/>
      <c r="I921" s="8"/>
      <c r="J921" s="8"/>
      <c r="K921" s="8"/>
    </row>
    <row r="922" spans="1:11" x14ac:dyDescent="0.25">
      <c r="A922" s="44"/>
      <c r="B922" s="44"/>
      <c r="C922" s="44"/>
      <c r="D922" s="44"/>
      <c r="E922" s="44"/>
      <c r="F922" s="44"/>
      <c r="G922" s="44"/>
      <c r="H922" s="44"/>
      <c r="I922" s="8"/>
      <c r="J922" s="8"/>
      <c r="K922" s="8"/>
    </row>
    <row r="923" spans="1:11" x14ac:dyDescent="0.25">
      <c r="A923" s="44"/>
      <c r="B923" s="44"/>
      <c r="C923" s="44"/>
      <c r="D923" s="44"/>
      <c r="E923" s="44"/>
      <c r="F923" s="44"/>
      <c r="G923" s="44"/>
      <c r="H923" s="44"/>
      <c r="I923" s="8"/>
      <c r="J923" s="8"/>
      <c r="K923" s="8"/>
    </row>
    <row r="924" spans="1:11" x14ac:dyDescent="0.25">
      <c r="A924" s="44"/>
      <c r="B924" s="44"/>
      <c r="C924" s="44"/>
      <c r="D924" s="44"/>
      <c r="E924" s="44"/>
      <c r="F924" s="44"/>
      <c r="G924" s="44"/>
      <c r="H924" s="44"/>
      <c r="I924" s="8"/>
      <c r="J924" s="8"/>
      <c r="K924" s="8"/>
    </row>
    <row r="925" spans="1:11" x14ac:dyDescent="0.25">
      <c r="A925" s="44"/>
      <c r="B925" s="44"/>
      <c r="C925" s="44"/>
      <c r="D925" s="44"/>
      <c r="E925" s="44"/>
      <c r="F925" s="44"/>
      <c r="G925" s="44"/>
      <c r="H925" s="44"/>
      <c r="I925" s="8"/>
      <c r="J925" s="8"/>
      <c r="K925" s="8"/>
    </row>
    <row r="926" spans="1:11" x14ac:dyDescent="0.25">
      <c r="A926" s="44"/>
      <c r="B926" s="44"/>
      <c r="C926" s="44"/>
      <c r="D926" s="44"/>
      <c r="E926" s="44"/>
      <c r="F926" s="44"/>
      <c r="G926" s="44"/>
      <c r="H926" s="44"/>
      <c r="I926" s="8"/>
      <c r="J926" s="8"/>
      <c r="K926" s="8"/>
    </row>
    <row r="927" spans="1:11" x14ac:dyDescent="0.25">
      <c r="A927" s="44"/>
      <c r="B927" s="44"/>
      <c r="C927" s="44"/>
      <c r="D927" s="44"/>
      <c r="E927" s="44"/>
      <c r="F927" s="44"/>
      <c r="G927" s="44"/>
      <c r="H927" s="44"/>
      <c r="I927" s="8"/>
      <c r="J927" s="8"/>
      <c r="K927" s="8"/>
    </row>
    <row r="928" spans="1:11" x14ac:dyDescent="0.25">
      <c r="A928" s="44"/>
      <c r="B928" s="44"/>
      <c r="C928" s="44"/>
      <c r="D928" s="44"/>
      <c r="E928" s="44"/>
      <c r="F928" s="44"/>
      <c r="G928" s="44"/>
      <c r="H928" s="44"/>
      <c r="I928" s="8"/>
      <c r="J928" s="8"/>
      <c r="K928" s="8"/>
    </row>
    <row r="929" spans="1:11" x14ac:dyDescent="0.25">
      <c r="A929" s="44"/>
      <c r="B929" s="44"/>
      <c r="C929" s="44"/>
      <c r="D929" s="44"/>
      <c r="E929" s="44"/>
      <c r="F929" s="44"/>
      <c r="G929" s="44"/>
      <c r="H929" s="44"/>
      <c r="I929" s="8"/>
      <c r="J929" s="8"/>
      <c r="K929" s="8"/>
    </row>
    <row r="930" spans="1:11" x14ac:dyDescent="0.25">
      <c r="A930" s="44"/>
      <c r="B930" s="44"/>
      <c r="C930" s="44"/>
      <c r="D930" s="44"/>
      <c r="E930" s="44"/>
      <c r="F930" s="44"/>
      <c r="G930" s="44"/>
      <c r="H930" s="44"/>
      <c r="I930" s="8"/>
      <c r="J930" s="8"/>
      <c r="K930" s="8"/>
    </row>
    <row r="931" spans="1:11" x14ac:dyDescent="0.25">
      <c r="A931" s="44"/>
      <c r="B931" s="44"/>
      <c r="C931" s="44"/>
      <c r="D931" s="44"/>
      <c r="E931" s="44"/>
      <c r="F931" s="44"/>
      <c r="G931" s="44"/>
      <c r="H931" s="44"/>
      <c r="I931" s="8"/>
      <c r="J931" s="8"/>
      <c r="K931" s="8"/>
    </row>
    <row r="932" spans="1:11" x14ac:dyDescent="0.25">
      <c r="A932" s="44"/>
      <c r="B932" s="44"/>
      <c r="C932" s="44"/>
      <c r="D932" s="44"/>
      <c r="E932" s="44"/>
      <c r="F932" s="44"/>
      <c r="G932" s="44"/>
      <c r="H932" s="44"/>
      <c r="I932" s="8"/>
      <c r="J932" s="8"/>
      <c r="K932" s="8"/>
    </row>
    <row r="933" spans="1:11" x14ac:dyDescent="0.25">
      <c r="A933" s="44"/>
      <c r="B933" s="44"/>
      <c r="C933" s="44"/>
      <c r="D933" s="44"/>
      <c r="E933" s="44"/>
      <c r="F933" s="44"/>
      <c r="G933" s="44"/>
      <c r="H933" s="44"/>
      <c r="I933" s="8"/>
      <c r="J933" s="8"/>
      <c r="K933" s="8"/>
    </row>
    <row r="934" spans="1:11" x14ac:dyDescent="0.25">
      <c r="A934" s="44"/>
      <c r="B934" s="44"/>
      <c r="C934" s="44"/>
      <c r="D934" s="44"/>
      <c r="E934" s="44"/>
      <c r="F934" s="44"/>
      <c r="G934" s="44"/>
      <c r="H934" s="44"/>
      <c r="I934" s="8"/>
      <c r="J934" s="8"/>
      <c r="K934" s="8"/>
    </row>
    <row r="935" spans="1:11" x14ac:dyDescent="0.25">
      <c r="A935" s="44"/>
      <c r="B935" s="44"/>
      <c r="C935" s="44"/>
      <c r="D935" s="44"/>
      <c r="E935" s="44"/>
      <c r="F935" s="44"/>
      <c r="G935" s="44"/>
      <c r="H935" s="44"/>
      <c r="I935" s="8"/>
      <c r="J935" s="8"/>
      <c r="K935" s="8"/>
    </row>
    <row r="936" spans="1:11" x14ac:dyDescent="0.25">
      <c r="A936" s="44"/>
      <c r="B936" s="44"/>
      <c r="C936" s="44"/>
      <c r="D936" s="44"/>
      <c r="E936" s="44"/>
      <c r="F936" s="44"/>
      <c r="G936" s="44"/>
      <c r="H936" s="44"/>
      <c r="I936" s="8"/>
      <c r="J936" s="8"/>
      <c r="K936" s="8"/>
    </row>
    <row r="937" spans="1:11" x14ac:dyDescent="0.25">
      <c r="A937" s="44"/>
      <c r="B937" s="44"/>
      <c r="C937" s="44"/>
      <c r="D937" s="44"/>
      <c r="E937" s="44"/>
      <c r="F937" s="44"/>
      <c r="G937" s="44"/>
      <c r="H937" s="44"/>
      <c r="I937" s="8"/>
      <c r="J937" s="8"/>
      <c r="K937" s="8"/>
    </row>
    <row r="938" spans="1:11" x14ac:dyDescent="0.25">
      <c r="A938" s="44"/>
      <c r="B938" s="44"/>
      <c r="C938" s="44"/>
      <c r="D938" s="44"/>
      <c r="E938" s="44"/>
      <c r="F938" s="44"/>
      <c r="G938" s="44"/>
      <c r="H938" s="44"/>
      <c r="I938" s="8"/>
      <c r="J938" s="8"/>
      <c r="K938" s="8"/>
    </row>
    <row r="939" spans="1:11" x14ac:dyDescent="0.25">
      <c r="A939" s="44"/>
      <c r="B939" s="44"/>
      <c r="C939" s="44"/>
      <c r="D939" s="44"/>
      <c r="E939" s="44"/>
      <c r="F939" s="44"/>
      <c r="G939" s="44"/>
      <c r="H939" s="44"/>
      <c r="I939" s="8"/>
      <c r="J939" s="8"/>
      <c r="K939" s="8"/>
    </row>
    <row r="940" spans="1:11" x14ac:dyDescent="0.25">
      <c r="A940" s="44"/>
      <c r="B940" s="44"/>
      <c r="C940" s="44"/>
      <c r="D940" s="44"/>
      <c r="E940" s="44"/>
      <c r="F940" s="44"/>
      <c r="G940" s="44"/>
      <c r="H940" s="44"/>
      <c r="I940" s="8"/>
      <c r="J940" s="8"/>
      <c r="K940" s="8"/>
    </row>
    <row r="941" spans="1:11" x14ac:dyDescent="0.25">
      <c r="A941" s="44"/>
      <c r="B941" s="44"/>
      <c r="C941" s="44"/>
      <c r="D941" s="44"/>
      <c r="E941" s="44"/>
      <c r="F941" s="44"/>
      <c r="G941" s="44"/>
      <c r="H941" s="44"/>
      <c r="I941" s="8"/>
      <c r="J941" s="8"/>
      <c r="K941" s="8"/>
    </row>
    <row r="942" spans="1:11" x14ac:dyDescent="0.25">
      <c r="A942" s="44"/>
      <c r="B942" s="44"/>
      <c r="C942" s="44"/>
      <c r="D942" s="44"/>
      <c r="E942" s="44"/>
      <c r="F942" s="44"/>
      <c r="G942" s="44"/>
      <c r="H942" s="44"/>
      <c r="I942" s="8"/>
      <c r="J942" s="8"/>
      <c r="K942" s="8"/>
    </row>
    <row r="943" spans="1:11" x14ac:dyDescent="0.25">
      <c r="A943" s="44"/>
      <c r="B943" s="44"/>
      <c r="C943" s="44"/>
      <c r="D943" s="44"/>
      <c r="E943" s="44"/>
      <c r="F943" s="44"/>
      <c r="G943" s="44"/>
      <c r="H943" s="44"/>
      <c r="I943" s="8"/>
      <c r="J943" s="8"/>
      <c r="K943" s="8"/>
    </row>
    <row r="944" spans="1:11" x14ac:dyDescent="0.25">
      <c r="A944" s="44"/>
      <c r="B944" s="44"/>
      <c r="C944" s="44"/>
      <c r="D944" s="44"/>
      <c r="E944" s="44"/>
      <c r="F944" s="44"/>
      <c r="G944" s="44"/>
      <c r="H944" s="44"/>
      <c r="I944" s="8"/>
      <c r="J944" s="8"/>
      <c r="K944" s="8"/>
    </row>
    <row r="945" spans="1:11" x14ac:dyDescent="0.25">
      <c r="A945" s="44"/>
      <c r="B945" s="44"/>
      <c r="C945" s="44"/>
      <c r="D945" s="44"/>
      <c r="E945" s="44"/>
      <c r="F945" s="44"/>
      <c r="G945" s="44"/>
      <c r="H945" s="44"/>
      <c r="I945" s="8"/>
      <c r="J945" s="8"/>
      <c r="K945" s="8"/>
    </row>
    <row r="946" spans="1:11" x14ac:dyDescent="0.25">
      <c r="A946" s="44"/>
      <c r="B946" s="44"/>
      <c r="C946" s="44"/>
      <c r="D946" s="44"/>
      <c r="E946" s="44"/>
      <c r="F946" s="44"/>
      <c r="G946" s="44"/>
      <c r="H946" s="44"/>
      <c r="I946" s="8"/>
      <c r="J946" s="8"/>
      <c r="K946" s="8"/>
    </row>
    <row r="947" spans="1:11" x14ac:dyDescent="0.25">
      <c r="A947" s="44"/>
      <c r="B947" s="44"/>
      <c r="C947" s="44"/>
      <c r="D947" s="44"/>
      <c r="E947" s="44"/>
      <c r="F947" s="44"/>
      <c r="G947" s="44"/>
      <c r="H947" s="44"/>
      <c r="I947" s="8"/>
      <c r="J947" s="8"/>
      <c r="K947" s="8"/>
    </row>
    <row r="948" spans="1:11" x14ac:dyDescent="0.25">
      <c r="A948" s="44"/>
      <c r="B948" s="44"/>
      <c r="C948" s="44"/>
      <c r="D948" s="44"/>
      <c r="E948" s="44"/>
      <c r="F948" s="44"/>
      <c r="G948" s="44"/>
      <c r="H948" s="44"/>
      <c r="I948" s="8"/>
      <c r="J948" s="8"/>
      <c r="K948" s="8"/>
    </row>
    <row r="949" spans="1:11" x14ac:dyDescent="0.25">
      <c r="A949" s="44"/>
      <c r="B949" s="44"/>
      <c r="C949" s="44"/>
      <c r="D949" s="44"/>
      <c r="E949" s="44"/>
      <c r="F949" s="44"/>
      <c r="G949" s="44"/>
      <c r="H949" s="44"/>
      <c r="I949" s="8"/>
      <c r="J949" s="8"/>
      <c r="K949" s="8"/>
    </row>
    <row r="950" spans="1:11" x14ac:dyDescent="0.25">
      <c r="A950" s="44"/>
      <c r="B950" s="44"/>
      <c r="C950" s="44"/>
      <c r="D950" s="44"/>
      <c r="E950" s="44"/>
      <c r="F950" s="44"/>
      <c r="G950" s="44"/>
      <c r="H950" s="44"/>
      <c r="I950" s="8"/>
      <c r="J950" s="8"/>
      <c r="K950" s="8"/>
    </row>
    <row r="951" spans="1:11" x14ac:dyDescent="0.25">
      <c r="A951" s="44"/>
      <c r="B951" s="44"/>
      <c r="C951" s="44"/>
      <c r="D951" s="44"/>
      <c r="E951" s="44"/>
      <c r="F951" s="44"/>
      <c r="G951" s="44"/>
      <c r="H951" s="44"/>
      <c r="I951" s="8"/>
      <c r="J951" s="8"/>
      <c r="K951" s="8"/>
    </row>
    <row r="952" spans="1:11" x14ac:dyDescent="0.25">
      <c r="A952" s="44"/>
      <c r="B952" s="44"/>
      <c r="C952" s="44"/>
      <c r="D952" s="44"/>
      <c r="E952" s="44"/>
      <c r="F952" s="44"/>
      <c r="G952" s="44"/>
      <c r="H952" s="44"/>
      <c r="I952" s="8"/>
      <c r="J952" s="8"/>
      <c r="K952" s="8"/>
    </row>
    <row r="953" spans="1:11" x14ac:dyDescent="0.25">
      <c r="A953" s="44"/>
      <c r="B953" s="44"/>
      <c r="C953" s="44"/>
      <c r="D953" s="44"/>
      <c r="E953" s="44"/>
      <c r="F953" s="44"/>
      <c r="G953" s="44"/>
      <c r="H953" s="44"/>
      <c r="I953" s="8"/>
      <c r="J953" s="8"/>
      <c r="K953" s="8"/>
    </row>
    <row r="954" spans="1:11" x14ac:dyDescent="0.25">
      <c r="A954" s="44"/>
      <c r="B954" s="44"/>
      <c r="C954" s="44"/>
      <c r="D954" s="44"/>
      <c r="E954" s="44"/>
      <c r="F954" s="44"/>
      <c r="G954" s="44"/>
      <c r="H954" s="44"/>
      <c r="I954" s="8"/>
      <c r="J954" s="8"/>
      <c r="K954" s="8"/>
    </row>
    <row r="955" spans="1:11" x14ac:dyDescent="0.25">
      <c r="A955" s="44"/>
      <c r="B955" s="44"/>
      <c r="C955" s="44"/>
      <c r="D955" s="44"/>
      <c r="E955" s="44"/>
      <c r="F955" s="44"/>
      <c r="G955" s="44"/>
      <c r="H955" s="44"/>
      <c r="I955" s="8"/>
      <c r="J955" s="8"/>
      <c r="K955" s="8"/>
    </row>
    <row r="956" spans="1:11" x14ac:dyDescent="0.25">
      <c r="A956" s="44"/>
      <c r="B956" s="44"/>
      <c r="C956" s="44"/>
      <c r="D956" s="44"/>
      <c r="E956" s="44"/>
      <c r="F956" s="44"/>
      <c r="G956" s="44"/>
      <c r="H956" s="44"/>
      <c r="I956" s="8"/>
      <c r="J956" s="8"/>
      <c r="K956" s="8"/>
    </row>
    <row r="957" spans="1:11" x14ac:dyDescent="0.25">
      <c r="A957" s="44"/>
      <c r="B957" s="44"/>
      <c r="C957" s="44"/>
      <c r="D957" s="44"/>
      <c r="E957" s="44"/>
      <c r="F957" s="44"/>
      <c r="G957" s="44"/>
      <c r="H957" s="44"/>
      <c r="I957" s="8"/>
      <c r="J957" s="8"/>
      <c r="K957" s="8"/>
    </row>
    <row r="958" spans="1:11" x14ac:dyDescent="0.25">
      <c r="A958" s="44"/>
      <c r="B958" s="44"/>
      <c r="C958" s="44"/>
      <c r="D958" s="44"/>
      <c r="E958" s="44"/>
      <c r="F958" s="44"/>
      <c r="G958" s="44"/>
      <c r="H958" s="44"/>
      <c r="I958" s="8"/>
      <c r="J958" s="8"/>
      <c r="K958" s="8"/>
    </row>
    <row r="959" spans="1:11" x14ac:dyDescent="0.25">
      <c r="A959" s="44"/>
      <c r="B959" s="44"/>
      <c r="C959" s="44"/>
      <c r="D959" s="44"/>
      <c r="E959" s="44"/>
      <c r="F959" s="44"/>
      <c r="G959" s="44"/>
      <c r="H959" s="44"/>
      <c r="I959" s="8"/>
      <c r="J959" s="8"/>
      <c r="K959" s="8"/>
    </row>
    <row r="960" spans="1:11" x14ac:dyDescent="0.25">
      <c r="A960" s="44"/>
      <c r="B960" s="44"/>
      <c r="C960" s="44"/>
      <c r="D960" s="44"/>
      <c r="E960" s="44"/>
      <c r="F960" s="44"/>
      <c r="G960" s="44"/>
      <c r="H960" s="44"/>
      <c r="I960" s="8"/>
      <c r="J960" s="8"/>
      <c r="K960" s="8"/>
    </row>
    <row r="961" spans="1:11" x14ac:dyDescent="0.25">
      <c r="A961" s="44"/>
      <c r="B961" s="44"/>
      <c r="C961" s="44"/>
      <c r="D961" s="44"/>
      <c r="E961" s="44"/>
      <c r="F961" s="44"/>
      <c r="G961" s="44"/>
      <c r="H961" s="44"/>
      <c r="I961" s="8"/>
      <c r="J961" s="8"/>
      <c r="K961" s="8"/>
    </row>
    <row r="962" spans="1:11" x14ac:dyDescent="0.25">
      <c r="A962" s="44"/>
      <c r="B962" s="44"/>
      <c r="C962" s="44"/>
      <c r="D962" s="44"/>
      <c r="E962" s="44"/>
      <c r="F962" s="44"/>
      <c r="G962" s="44"/>
      <c r="H962" s="44"/>
      <c r="I962" s="8"/>
      <c r="J962" s="8"/>
      <c r="K962" s="8"/>
    </row>
    <row r="963" spans="1:11" x14ac:dyDescent="0.25">
      <c r="A963" s="44"/>
      <c r="B963" s="44"/>
      <c r="C963" s="44"/>
      <c r="D963" s="44"/>
      <c r="E963" s="44"/>
      <c r="F963" s="44"/>
      <c r="G963" s="44"/>
      <c r="H963" s="44"/>
      <c r="I963" s="8"/>
      <c r="J963" s="8"/>
      <c r="K963" s="8"/>
    </row>
    <row r="964" spans="1:11" x14ac:dyDescent="0.25">
      <c r="A964" s="44"/>
      <c r="B964" s="44"/>
      <c r="C964" s="44"/>
      <c r="D964" s="44"/>
      <c r="E964" s="44"/>
      <c r="F964" s="44"/>
      <c r="G964" s="44"/>
      <c r="H964" s="44"/>
      <c r="I964" s="8"/>
      <c r="J964" s="8"/>
      <c r="K964" s="8"/>
    </row>
    <row r="965" spans="1:11" x14ac:dyDescent="0.25">
      <c r="A965" s="44"/>
      <c r="B965" s="44"/>
      <c r="C965" s="44"/>
      <c r="D965" s="44"/>
      <c r="E965" s="44"/>
      <c r="F965" s="44"/>
      <c r="G965" s="44"/>
      <c r="H965" s="44"/>
      <c r="I965" s="8"/>
      <c r="J965" s="8"/>
      <c r="K965" s="8"/>
    </row>
    <row r="966" spans="1:11" x14ac:dyDescent="0.25">
      <c r="A966" s="44"/>
      <c r="B966" s="44"/>
      <c r="C966" s="44"/>
      <c r="D966" s="44"/>
      <c r="E966" s="44"/>
      <c r="F966" s="44"/>
      <c r="G966" s="44"/>
      <c r="H966" s="44"/>
      <c r="I966" s="8"/>
      <c r="J966" s="8"/>
      <c r="K966" s="8"/>
    </row>
    <row r="967" spans="1:11" x14ac:dyDescent="0.25">
      <c r="A967" s="44"/>
      <c r="B967" s="44"/>
      <c r="C967" s="44"/>
      <c r="D967" s="44"/>
      <c r="E967" s="44"/>
      <c r="F967" s="44"/>
      <c r="G967" s="44"/>
      <c r="H967" s="44"/>
      <c r="I967" s="8"/>
      <c r="J967" s="8"/>
      <c r="K967" s="8"/>
    </row>
    <row r="968" spans="1:11" x14ac:dyDescent="0.25">
      <c r="A968" s="44"/>
      <c r="B968" s="44"/>
      <c r="C968" s="44"/>
      <c r="D968" s="44"/>
      <c r="E968" s="44"/>
      <c r="F968" s="44"/>
      <c r="G968" s="44"/>
      <c r="H968" s="44"/>
      <c r="I968" s="8"/>
      <c r="J968" s="8"/>
      <c r="K968" s="8"/>
    </row>
    <row r="969" spans="1:11" x14ac:dyDescent="0.25">
      <c r="A969" s="44"/>
      <c r="B969" s="44"/>
      <c r="C969" s="44"/>
      <c r="D969" s="44"/>
      <c r="E969" s="44"/>
      <c r="F969" s="44"/>
      <c r="G969" s="44"/>
      <c r="H969" s="44"/>
      <c r="I969" s="8"/>
      <c r="J969" s="8"/>
      <c r="K969" s="8"/>
    </row>
    <row r="970" spans="1:11" x14ac:dyDescent="0.25">
      <c r="A970" s="44"/>
      <c r="B970" s="44"/>
      <c r="C970" s="44"/>
      <c r="D970" s="44"/>
      <c r="E970" s="44"/>
      <c r="F970" s="44"/>
      <c r="G970" s="44"/>
      <c r="H970" s="44"/>
      <c r="I970" s="8"/>
      <c r="J970" s="8"/>
      <c r="K970" s="8"/>
    </row>
    <row r="971" spans="1:11" x14ac:dyDescent="0.25">
      <c r="A971" s="44"/>
      <c r="B971" s="44"/>
      <c r="C971" s="44"/>
      <c r="D971" s="44"/>
      <c r="E971" s="44"/>
      <c r="F971" s="44"/>
      <c r="G971" s="44"/>
      <c r="H971" s="44"/>
      <c r="I971" s="8"/>
      <c r="J971" s="8"/>
      <c r="K971" s="8"/>
    </row>
    <row r="972" spans="1:11" x14ac:dyDescent="0.25">
      <c r="A972" s="44"/>
      <c r="B972" s="44"/>
      <c r="C972" s="44"/>
      <c r="D972" s="44"/>
      <c r="E972" s="44"/>
      <c r="F972" s="44"/>
      <c r="G972" s="44"/>
      <c r="H972" s="44"/>
      <c r="I972" s="8"/>
      <c r="J972" s="8"/>
      <c r="K972" s="8"/>
    </row>
    <row r="973" spans="1:11" x14ac:dyDescent="0.25">
      <c r="A973" s="44"/>
      <c r="B973" s="44"/>
      <c r="C973" s="44"/>
      <c r="D973" s="44"/>
      <c r="E973" s="44"/>
      <c r="F973" s="44"/>
      <c r="G973" s="44"/>
      <c r="H973" s="44"/>
      <c r="I973" s="8"/>
      <c r="J973" s="8"/>
      <c r="K973" s="8"/>
    </row>
    <row r="974" spans="1:11" x14ac:dyDescent="0.25">
      <c r="A974" s="44"/>
      <c r="B974" s="44"/>
      <c r="C974" s="44"/>
      <c r="D974" s="44"/>
      <c r="E974" s="44"/>
      <c r="F974" s="44"/>
      <c r="G974" s="44"/>
      <c r="H974" s="44"/>
      <c r="I974" s="8"/>
      <c r="J974" s="8"/>
      <c r="K974" s="8"/>
    </row>
    <row r="975" spans="1:11" x14ac:dyDescent="0.25">
      <c r="A975" s="44"/>
      <c r="B975" s="44"/>
      <c r="C975" s="44"/>
      <c r="D975" s="44"/>
      <c r="E975" s="44"/>
      <c r="F975" s="44"/>
      <c r="G975" s="44"/>
      <c r="H975" s="44"/>
      <c r="I975" s="8"/>
      <c r="J975" s="8"/>
      <c r="K975" s="8"/>
    </row>
    <row r="976" spans="1:11" x14ac:dyDescent="0.25">
      <c r="A976" s="44"/>
      <c r="B976" s="44"/>
      <c r="C976" s="44"/>
      <c r="D976" s="44"/>
      <c r="E976" s="44"/>
      <c r="F976" s="44"/>
      <c r="G976" s="44"/>
      <c r="H976" s="44"/>
      <c r="I976" s="8"/>
      <c r="J976" s="8"/>
      <c r="K976" s="8"/>
    </row>
    <row r="977" spans="1:11" x14ac:dyDescent="0.25">
      <c r="A977" s="44"/>
      <c r="B977" s="44"/>
      <c r="C977" s="44"/>
      <c r="D977" s="44"/>
      <c r="E977" s="44"/>
      <c r="F977" s="44"/>
      <c r="G977" s="44"/>
      <c r="H977" s="44"/>
      <c r="I977" s="8"/>
      <c r="J977" s="8"/>
      <c r="K977" s="8"/>
    </row>
    <row r="978" spans="1:11" x14ac:dyDescent="0.25">
      <c r="A978" s="44"/>
      <c r="B978" s="44"/>
      <c r="C978" s="44"/>
      <c r="D978" s="44"/>
      <c r="E978" s="44"/>
      <c r="F978" s="44"/>
      <c r="G978" s="44"/>
      <c r="H978" s="44"/>
      <c r="I978" s="8"/>
      <c r="J978" s="8"/>
      <c r="K978" s="8"/>
    </row>
    <row r="979" spans="1:11" x14ac:dyDescent="0.25">
      <c r="A979" s="44"/>
      <c r="B979" s="44"/>
      <c r="C979" s="44"/>
      <c r="D979" s="44"/>
      <c r="E979" s="44"/>
      <c r="F979" s="44"/>
      <c r="G979" s="44"/>
      <c r="H979" s="44"/>
      <c r="I979" s="8"/>
      <c r="J979" s="8"/>
      <c r="K979" s="8"/>
    </row>
    <row r="980" spans="1:11" x14ac:dyDescent="0.25">
      <c r="A980" s="44"/>
      <c r="B980" s="44"/>
      <c r="C980" s="44"/>
      <c r="D980" s="44"/>
      <c r="E980" s="44"/>
      <c r="F980" s="44"/>
      <c r="G980" s="44"/>
      <c r="H980" s="44"/>
      <c r="I980" s="8"/>
      <c r="J980" s="8"/>
      <c r="K980" s="8"/>
    </row>
    <row r="981" spans="1:11" x14ac:dyDescent="0.25">
      <c r="A981" s="44"/>
      <c r="B981" s="44"/>
      <c r="C981" s="44"/>
      <c r="D981" s="44"/>
      <c r="E981" s="44"/>
      <c r="F981" s="44"/>
      <c r="G981" s="44"/>
      <c r="H981" s="44"/>
      <c r="I981" s="8"/>
      <c r="J981" s="8"/>
      <c r="K981" s="8"/>
    </row>
    <row r="982" spans="1:11" x14ac:dyDescent="0.25">
      <c r="A982" s="44"/>
      <c r="B982" s="44"/>
      <c r="C982" s="44"/>
      <c r="D982" s="44"/>
      <c r="E982" s="44"/>
      <c r="F982" s="44"/>
      <c r="G982" s="44"/>
      <c r="H982" s="44"/>
      <c r="I982" s="8"/>
      <c r="J982" s="8"/>
      <c r="K982" s="8"/>
    </row>
    <row r="983" spans="1:11" x14ac:dyDescent="0.25">
      <c r="A983" s="44"/>
      <c r="B983" s="44"/>
      <c r="C983" s="44"/>
      <c r="D983" s="44"/>
      <c r="E983" s="44"/>
      <c r="F983" s="44"/>
      <c r="G983" s="44"/>
      <c r="H983" s="44"/>
      <c r="I983" s="8"/>
      <c r="J983" s="8"/>
      <c r="K983" s="8"/>
    </row>
    <row r="984" spans="1:11" x14ac:dyDescent="0.25">
      <c r="A984" s="44"/>
      <c r="B984" s="44"/>
      <c r="C984" s="44"/>
      <c r="D984" s="44"/>
      <c r="E984" s="44"/>
      <c r="F984" s="44"/>
      <c r="G984" s="44"/>
      <c r="H984" s="44"/>
      <c r="I984" s="8"/>
      <c r="J984" s="8"/>
      <c r="K984" s="8"/>
    </row>
    <row r="985" spans="1:11" x14ac:dyDescent="0.25">
      <c r="A985" s="44"/>
      <c r="B985" s="44"/>
      <c r="C985" s="44"/>
      <c r="D985" s="44"/>
      <c r="E985" s="44"/>
      <c r="F985" s="44"/>
      <c r="G985" s="44"/>
      <c r="H985" s="44"/>
      <c r="I985" s="8"/>
      <c r="J985" s="8"/>
      <c r="K985" s="8"/>
    </row>
    <row r="986" spans="1:11" x14ac:dyDescent="0.25">
      <c r="A986" s="44"/>
      <c r="B986" s="44"/>
      <c r="C986" s="44"/>
      <c r="D986" s="44"/>
      <c r="E986" s="44"/>
      <c r="F986" s="44"/>
      <c r="G986" s="44"/>
      <c r="H986" s="44"/>
      <c r="I986" s="8"/>
      <c r="J986" s="8"/>
      <c r="K986" s="8"/>
    </row>
    <row r="987" spans="1:11" x14ac:dyDescent="0.25">
      <c r="A987" s="44"/>
      <c r="B987" s="44"/>
      <c r="C987" s="44"/>
      <c r="D987" s="44"/>
      <c r="E987" s="44"/>
      <c r="F987" s="44"/>
      <c r="G987" s="44"/>
      <c r="H987" s="44"/>
      <c r="I987" s="8"/>
      <c r="J987" s="8"/>
      <c r="K987" s="8"/>
    </row>
    <row r="988" spans="1:11" x14ac:dyDescent="0.25">
      <c r="A988" s="44"/>
      <c r="B988" s="44"/>
      <c r="C988" s="44"/>
      <c r="D988" s="44"/>
      <c r="E988" s="44"/>
      <c r="F988" s="44"/>
      <c r="G988" s="44"/>
      <c r="H988" s="44"/>
      <c r="I988" s="8"/>
      <c r="J988" s="8"/>
      <c r="K988" s="8"/>
    </row>
    <row r="989" spans="1:11" x14ac:dyDescent="0.25">
      <c r="A989" s="44"/>
      <c r="B989" s="44"/>
      <c r="C989" s="44"/>
      <c r="D989" s="44"/>
      <c r="E989" s="44"/>
      <c r="F989" s="44"/>
      <c r="G989" s="44"/>
      <c r="H989" s="44"/>
      <c r="I989" s="8"/>
      <c r="J989" s="8"/>
      <c r="K989" s="8"/>
    </row>
    <row r="990" spans="1:11" x14ac:dyDescent="0.25">
      <c r="A990" s="44"/>
      <c r="B990" s="44"/>
      <c r="C990" s="44"/>
      <c r="D990" s="44"/>
      <c r="E990" s="44"/>
      <c r="F990" s="44"/>
      <c r="G990" s="44"/>
      <c r="H990" s="44"/>
      <c r="I990" s="8"/>
      <c r="J990" s="8"/>
      <c r="K990" s="8"/>
    </row>
    <row r="991" spans="1:11" x14ac:dyDescent="0.25">
      <c r="A991" s="44"/>
      <c r="B991" s="44"/>
      <c r="C991" s="44"/>
      <c r="D991" s="44"/>
      <c r="E991" s="44"/>
      <c r="F991" s="44"/>
      <c r="G991" s="44"/>
      <c r="H991" s="44"/>
      <c r="I991" s="8"/>
      <c r="J991" s="8"/>
      <c r="K991" s="8"/>
    </row>
    <row r="992" spans="1:11" x14ac:dyDescent="0.25">
      <c r="A992" s="44"/>
      <c r="B992" s="44"/>
      <c r="C992" s="44"/>
      <c r="D992" s="44"/>
      <c r="E992" s="44"/>
      <c r="F992" s="44"/>
      <c r="G992" s="44"/>
      <c r="H992" s="44"/>
      <c r="I992" s="8"/>
      <c r="J992" s="8"/>
      <c r="K992" s="8"/>
    </row>
    <row r="993" spans="1:11" x14ac:dyDescent="0.25">
      <c r="A993" s="44"/>
      <c r="B993" s="44"/>
      <c r="C993" s="44"/>
      <c r="D993" s="44"/>
      <c r="E993" s="44"/>
      <c r="F993" s="44"/>
      <c r="G993" s="44"/>
      <c r="H993" s="44"/>
      <c r="I993" s="8"/>
      <c r="J993" s="8"/>
      <c r="K993" s="8"/>
    </row>
    <row r="994" spans="1:11" x14ac:dyDescent="0.25">
      <c r="A994" s="44"/>
      <c r="B994" s="44"/>
      <c r="C994" s="44"/>
      <c r="D994" s="44"/>
      <c r="E994" s="44"/>
      <c r="F994" s="44"/>
      <c r="G994" s="44"/>
      <c r="H994" s="44"/>
      <c r="I994" s="8"/>
      <c r="J994" s="8"/>
      <c r="K994" s="8"/>
    </row>
    <row r="995" spans="1:11" x14ac:dyDescent="0.25">
      <c r="A995" s="44"/>
      <c r="B995" s="44"/>
      <c r="C995" s="44"/>
      <c r="D995" s="44"/>
      <c r="E995" s="44"/>
      <c r="F995" s="44"/>
      <c r="G995" s="44"/>
      <c r="H995" s="44"/>
      <c r="I995" s="8"/>
      <c r="J995" s="8"/>
      <c r="K995" s="8"/>
    </row>
    <row r="996" spans="1:11" x14ac:dyDescent="0.25">
      <c r="A996" s="44"/>
      <c r="B996" s="44"/>
      <c r="C996" s="44"/>
      <c r="D996" s="44"/>
      <c r="E996" s="44"/>
      <c r="F996" s="44"/>
      <c r="G996" s="44"/>
      <c r="H996" s="44"/>
      <c r="I996" s="8"/>
      <c r="J996" s="8"/>
      <c r="K996" s="8"/>
    </row>
    <row r="997" spans="1:11" x14ac:dyDescent="0.25">
      <c r="A997" s="44"/>
      <c r="B997" s="44"/>
      <c r="C997" s="44"/>
      <c r="D997" s="44"/>
      <c r="E997" s="44"/>
      <c r="F997" s="44"/>
      <c r="G997" s="44"/>
      <c r="H997" s="44"/>
      <c r="I997" s="8"/>
      <c r="J997" s="8"/>
      <c r="K997" s="8"/>
    </row>
    <row r="998" spans="1:11" x14ac:dyDescent="0.25">
      <c r="A998" s="44"/>
      <c r="B998" s="44"/>
      <c r="C998" s="44"/>
      <c r="D998" s="44"/>
      <c r="E998" s="44"/>
      <c r="F998" s="44"/>
      <c r="G998" s="44"/>
      <c r="H998" s="44"/>
      <c r="I998" s="8"/>
      <c r="J998" s="8"/>
      <c r="K998" s="8"/>
    </row>
    <row r="999" spans="1:11" x14ac:dyDescent="0.25">
      <c r="A999" s="44"/>
      <c r="B999" s="44"/>
      <c r="C999" s="44"/>
      <c r="D999" s="44"/>
      <c r="E999" s="44"/>
      <c r="F999" s="44"/>
      <c r="G999" s="44"/>
      <c r="H999" s="44"/>
      <c r="I999" s="8"/>
      <c r="J999" s="8"/>
      <c r="K999" s="8"/>
    </row>
    <row r="1000" spans="1:11" x14ac:dyDescent="0.25">
      <c r="A1000" s="44"/>
      <c r="B1000" s="44"/>
      <c r="C1000" s="44"/>
      <c r="D1000" s="44"/>
      <c r="E1000" s="44"/>
      <c r="F1000" s="44"/>
      <c r="G1000" s="44"/>
      <c r="H1000" s="44"/>
      <c r="I1000" s="8"/>
      <c r="J1000" s="8"/>
      <c r="K1000" s="8"/>
    </row>
    <row r="1001" spans="1:11" x14ac:dyDescent="0.25">
      <c r="A1001" s="44"/>
      <c r="B1001" s="44"/>
      <c r="C1001" s="44"/>
      <c r="D1001" s="44"/>
      <c r="E1001" s="44"/>
      <c r="F1001" s="44"/>
      <c r="G1001" s="44"/>
      <c r="H1001" s="44"/>
      <c r="I1001" s="8"/>
      <c r="J1001" s="8"/>
      <c r="K1001" s="8"/>
    </row>
    <row r="1002" spans="1:11" x14ac:dyDescent="0.25">
      <c r="A1002" s="44"/>
      <c r="B1002" s="44"/>
      <c r="C1002" s="44"/>
      <c r="D1002" s="44"/>
      <c r="E1002" s="44"/>
      <c r="F1002" s="44"/>
      <c r="G1002" s="44"/>
      <c r="H1002" s="44"/>
      <c r="I1002" s="8"/>
      <c r="J1002" s="8"/>
      <c r="K1002" s="8"/>
    </row>
  </sheetData>
  <mergeCells count="7">
    <mergeCell ref="J130:K130"/>
    <mergeCell ref="J135:K135"/>
    <mergeCell ref="J2:L2"/>
    <mergeCell ref="J4:L4"/>
    <mergeCell ref="J49:K49"/>
    <mergeCell ref="J71:K71"/>
    <mergeCell ref="J111:K1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W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3" x14ac:dyDescent="0.25">
      <c r="A1" s="50" t="s">
        <v>0</v>
      </c>
      <c r="B1" s="50" t="s">
        <v>4354</v>
      </c>
      <c r="C1" s="50" t="s">
        <v>4355</v>
      </c>
      <c r="D1" s="50" t="s">
        <v>6</v>
      </c>
      <c r="E1" s="50" t="s">
        <v>4356</v>
      </c>
      <c r="F1" s="50" t="s">
        <v>4357</v>
      </c>
      <c r="G1" s="50" t="s">
        <v>4358</v>
      </c>
      <c r="H1" s="50" t="s">
        <v>4359</v>
      </c>
      <c r="I1" s="50" t="s">
        <v>4360</v>
      </c>
      <c r="J1" s="50"/>
      <c r="K1" s="50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</row>
    <row r="2" spans="1:23" x14ac:dyDescent="0.25">
      <c r="A2" s="44" t="s">
        <v>4230</v>
      </c>
      <c r="B2" s="20">
        <v>7817326330.0999994</v>
      </c>
      <c r="C2" s="20">
        <v>12714545400</v>
      </c>
      <c r="D2" s="44">
        <f t="shared" ref="D2:D187" si="0">((C2-B2)/B2)*100</f>
        <v>62.645703442667397</v>
      </c>
      <c r="E2" s="39">
        <v>1</v>
      </c>
      <c r="F2" s="39">
        <v>0</v>
      </c>
      <c r="G2" s="39">
        <v>0</v>
      </c>
      <c r="H2" s="44">
        <f t="shared" ref="H2:H187" si="1">(E2/(E2+F2+G2))*100</f>
        <v>100</v>
      </c>
      <c r="I2" s="44">
        <f t="shared" ref="I2:I187" si="2">(F2/(E2+F2+G2))*100</f>
        <v>0</v>
      </c>
      <c r="J2" s="44"/>
      <c r="K2" s="44"/>
      <c r="L2" s="8"/>
    </row>
    <row r="3" spans="1:23" x14ac:dyDescent="0.25">
      <c r="A3" s="44" t="s">
        <v>668</v>
      </c>
      <c r="B3" s="20">
        <v>58773153934.649994</v>
      </c>
      <c r="C3" s="20">
        <v>83850423227.600006</v>
      </c>
      <c r="D3" s="44">
        <f t="shared" si="0"/>
        <v>42.667897865126456</v>
      </c>
      <c r="E3" s="39">
        <v>2</v>
      </c>
      <c r="F3" s="39">
        <v>0</v>
      </c>
      <c r="G3" s="39">
        <v>0</v>
      </c>
      <c r="H3" s="44">
        <f t="shared" si="1"/>
        <v>100</v>
      </c>
      <c r="I3" s="44">
        <f t="shared" si="2"/>
        <v>0</v>
      </c>
      <c r="J3" s="44"/>
      <c r="K3" s="44"/>
      <c r="L3" s="8"/>
    </row>
    <row r="4" spans="1:23" x14ac:dyDescent="0.25">
      <c r="A4" s="44" t="s">
        <v>4051</v>
      </c>
      <c r="B4" s="20">
        <v>55356114071.300003</v>
      </c>
      <c r="C4" s="20">
        <v>68469406916.400002</v>
      </c>
      <c r="D4" s="44">
        <f t="shared" si="0"/>
        <v>23.688969258589506</v>
      </c>
      <c r="E4" s="39">
        <v>1</v>
      </c>
      <c r="F4" s="39">
        <v>0</v>
      </c>
      <c r="G4" s="39">
        <v>0</v>
      </c>
      <c r="H4" s="44">
        <f t="shared" si="1"/>
        <v>100</v>
      </c>
      <c r="I4" s="44">
        <f t="shared" si="2"/>
        <v>0</v>
      </c>
      <c r="J4" s="44"/>
      <c r="K4" s="44"/>
      <c r="L4" s="8"/>
    </row>
    <row r="5" spans="1:23" x14ac:dyDescent="0.25">
      <c r="A5" s="44" t="s">
        <v>3867</v>
      </c>
      <c r="B5" s="20">
        <v>7670941960</v>
      </c>
      <c r="C5" s="20">
        <v>9178017539.9000015</v>
      </c>
      <c r="D5" s="44">
        <f t="shared" si="0"/>
        <v>19.64655172413795</v>
      </c>
      <c r="E5" s="39">
        <v>1</v>
      </c>
      <c r="F5" s="39">
        <v>0</v>
      </c>
      <c r="G5" s="39">
        <v>0</v>
      </c>
      <c r="H5" s="44">
        <f t="shared" si="1"/>
        <v>100</v>
      </c>
      <c r="I5" s="44">
        <f t="shared" si="2"/>
        <v>0</v>
      </c>
      <c r="J5" s="44"/>
      <c r="K5" s="44"/>
      <c r="L5" s="8"/>
    </row>
    <row r="6" spans="1:23" x14ac:dyDescent="0.25">
      <c r="A6" s="44" t="s">
        <v>4168</v>
      </c>
      <c r="B6" s="20">
        <v>157347495479.20001</v>
      </c>
      <c r="C6" s="20">
        <v>188050899602</v>
      </c>
      <c r="D6" s="44">
        <f t="shared" si="0"/>
        <v>19.51311905492561</v>
      </c>
      <c r="E6" s="39">
        <v>4</v>
      </c>
      <c r="F6" s="39">
        <v>0</v>
      </c>
      <c r="G6" s="39">
        <v>0</v>
      </c>
      <c r="H6" s="44">
        <f t="shared" si="1"/>
        <v>100</v>
      </c>
      <c r="I6" s="44">
        <f t="shared" si="2"/>
        <v>0</v>
      </c>
      <c r="J6" s="44"/>
      <c r="K6" s="44"/>
      <c r="L6" s="8"/>
    </row>
    <row r="7" spans="1:23" x14ac:dyDescent="0.25">
      <c r="A7" s="44" t="s">
        <v>4133</v>
      </c>
      <c r="B7" s="20">
        <v>4722619053.5999994</v>
      </c>
      <c r="C7" s="20">
        <v>5608361757.6000004</v>
      </c>
      <c r="D7" s="44">
        <f t="shared" si="0"/>
        <v>18.755328218243843</v>
      </c>
      <c r="E7" s="39">
        <v>1</v>
      </c>
      <c r="F7" s="39">
        <v>0</v>
      </c>
      <c r="G7" s="39">
        <v>0</v>
      </c>
      <c r="H7" s="44">
        <f t="shared" si="1"/>
        <v>100</v>
      </c>
      <c r="I7" s="44">
        <f t="shared" si="2"/>
        <v>0</v>
      </c>
      <c r="J7" s="44"/>
      <c r="K7" s="44"/>
      <c r="L7" s="8"/>
    </row>
    <row r="8" spans="1:23" x14ac:dyDescent="0.25">
      <c r="A8" s="44" t="s">
        <v>2749</v>
      </c>
      <c r="B8" s="20">
        <v>33401316908.5</v>
      </c>
      <c r="C8" s="20">
        <v>39647364789</v>
      </c>
      <c r="D8" s="44">
        <f t="shared" si="0"/>
        <v>18.700004845948154</v>
      </c>
      <c r="E8" s="39">
        <v>2</v>
      </c>
      <c r="F8" s="39">
        <v>0</v>
      </c>
      <c r="G8" s="39">
        <v>0</v>
      </c>
      <c r="H8" s="44">
        <f t="shared" si="1"/>
        <v>100</v>
      </c>
      <c r="I8" s="44">
        <f t="shared" si="2"/>
        <v>0</v>
      </c>
      <c r="J8" s="44"/>
      <c r="K8" s="44"/>
      <c r="L8" s="8"/>
    </row>
    <row r="9" spans="1:23" x14ac:dyDescent="0.25">
      <c r="A9" s="44" t="s">
        <v>166</v>
      </c>
      <c r="B9" s="20">
        <v>634677499120.15002</v>
      </c>
      <c r="C9" s="20">
        <v>751553993435.84998</v>
      </c>
      <c r="D9" s="44">
        <f t="shared" si="0"/>
        <v>18.415099712487869</v>
      </c>
      <c r="E9" s="39">
        <v>4</v>
      </c>
      <c r="F9" s="39">
        <v>0</v>
      </c>
      <c r="G9" s="39">
        <v>0</v>
      </c>
      <c r="H9" s="44">
        <f t="shared" si="1"/>
        <v>100</v>
      </c>
      <c r="I9" s="44">
        <f t="shared" si="2"/>
        <v>0</v>
      </c>
      <c r="J9" s="44"/>
      <c r="K9" s="44"/>
      <c r="L9" s="8"/>
    </row>
    <row r="10" spans="1:23" x14ac:dyDescent="0.25">
      <c r="A10" s="44" t="s">
        <v>3519</v>
      </c>
      <c r="B10" s="20">
        <v>14067384251.719999</v>
      </c>
      <c r="C10" s="20">
        <v>16479759138.940001</v>
      </c>
      <c r="D10" s="44">
        <f t="shared" si="0"/>
        <v>17.148709696509808</v>
      </c>
      <c r="E10" s="39">
        <v>4</v>
      </c>
      <c r="F10" s="39">
        <v>0</v>
      </c>
      <c r="G10" s="39">
        <v>0</v>
      </c>
      <c r="H10" s="44">
        <f t="shared" si="1"/>
        <v>100</v>
      </c>
      <c r="I10" s="44">
        <f t="shared" si="2"/>
        <v>0</v>
      </c>
      <c r="J10" s="44"/>
      <c r="K10" s="44"/>
      <c r="L10" s="8"/>
    </row>
    <row r="11" spans="1:23" x14ac:dyDescent="0.25">
      <c r="A11" s="51" t="s">
        <v>2567</v>
      </c>
      <c r="B11" s="20">
        <v>215966663262.5</v>
      </c>
      <c r="C11" s="20">
        <v>252422101180.39999</v>
      </c>
      <c r="D11" s="44">
        <f t="shared" si="0"/>
        <v>16.880122777833385</v>
      </c>
      <c r="E11" s="39">
        <v>3</v>
      </c>
      <c r="F11" s="39">
        <v>0</v>
      </c>
      <c r="G11" s="39">
        <v>0</v>
      </c>
      <c r="H11" s="44">
        <f t="shared" si="1"/>
        <v>100</v>
      </c>
      <c r="I11" s="44">
        <f t="shared" si="2"/>
        <v>0</v>
      </c>
      <c r="J11" s="44"/>
      <c r="K11" s="44"/>
      <c r="L11" s="8"/>
    </row>
    <row r="12" spans="1:23" x14ac:dyDescent="0.25">
      <c r="A12" s="44" t="s">
        <v>2757</v>
      </c>
      <c r="B12" s="20">
        <v>725733039586.12</v>
      </c>
      <c r="C12" s="20">
        <v>819967771462.95996</v>
      </c>
      <c r="D12" s="44">
        <f t="shared" si="0"/>
        <v>12.98476529752336</v>
      </c>
      <c r="E12" s="39">
        <v>6</v>
      </c>
      <c r="F12" s="39">
        <v>0</v>
      </c>
      <c r="G12" s="39">
        <v>0</v>
      </c>
      <c r="H12" s="44">
        <f t="shared" si="1"/>
        <v>100</v>
      </c>
      <c r="I12" s="44">
        <f t="shared" si="2"/>
        <v>0</v>
      </c>
      <c r="J12" s="44"/>
      <c r="K12" s="44"/>
      <c r="L12" s="8"/>
    </row>
    <row r="13" spans="1:23" x14ac:dyDescent="0.25">
      <c r="A13" s="44" t="s">
        <v>4016</v>
      </c>
      <c r="B13" s="20">
        <v>2733814916228.5996</v>
      </c>
      <c r="C13" s="20">
        <v>3087881052488.5498</v>
      </c>
      <c r="D13" s="44">
        <f t="shared" si="0"/>
        <v>12.951357246539489</v>
      </c>
      <c r="E13" s="39">
        <v>5</v>
      </c>
      <c r="F13" s="39">
        <v>0</v>
      </c>
      <c r="G13" s="39">
        <v>0</v>
      </c>
      <c r="H13" s="44">
        <f t="shared" si="1"/>
        <v>100</v>
      </c>
      <c r="I13" s="44">
        <f t="shared" si="2"/>
        <v>0</v>
      </c>
      <c r="J13" s="44"/>
      <c r="K13" s="44"/>
      <c r="L13" s="8"/>
    </row>
    <row r="14" spans="1:23" x14ac:dyDescent="0.25">
      <c r="A14" s="44" t="s">
        <v>2787</v>
      </c>
      <c r="B14" s="20">
        <v>881202390051.62</v>
      </c>
      <c r="C14" s="20">
        <v>992233795168.69006</v>
      </c>
      <c r="D14" s="44">
        <f t="shared" si="0"/>
        <v>12.599989102454199</v>
      </c>
      <c r="E14" s="39">
        <v>8</v>
      </c>
      <c r="F14" s="39">
        <v>0</v>
      </c>
      <c r="G14" s="39">
        <v>0</v>
      </c>
      <c r="H14" s="44">
        <f t="shared" si="1"/>
        <v>100</v>
      </c>
      <c r="I14" s="44">
        <f t="shared" si="2"/>
        <v>0</v>
      </c>
      <c r="J14" s="44"/>
      <c r="K14" s="44"/>
      <c r="L14" s="8"/>
    </row>
    <row r="15" spans="1:23" x14ac:dyDescent="0.25">
      <c r="A15" s="44" t="s">
        <v>4245</v>
      </c>
      <c r="B15" s="20">
        <v>1350504580</v>
      </c>
      <c r="C15" s="20">
        <v>1519486700</v>
      </c>
      <c r="D15" s="44">
        <f t="shared" si="0"/>
        <v>12.512517358512032</v>
      </c>
      <c r="E15" s="44">
        <v>2</v>
      </c>
      <c r="F15" s="44">
        <v>0</v>
      </c>
      <c r="G15" s="44">
        <v>0</v>
      </c>
      <c r="H15" s="44">
        <f t="shared" si="1"/>
        <v>100</v>
      </c>
      <c r="I15" s="44">
        <f t="shared" si="2"/>
        <v>0</v>
      </c>
      <c r="J15" s="44"/>
      <c r="K15" s="44"/>
      <c r="L15" s="8"/>
    </row>
    <row r="16" spans="1:23" x14ac:dyDescent="0.25">
      <c r="A16" s="44" t="s">
        <v>3068</v>
      </c>
      <c r="B16" s="20">
        <v>4994086197.5200005</v>
      </c>
      <c r="C16" s="20">
        <v>5567467794.3199997</v>
      </c>
      <c r="D16" s="44">
        <f t="shared" si="0"/>
        <v>11.481211459360338</v>
      </c>
      <c r="E16" s="39">
        <v>4</v>
      </c>
      <c r="F16" s="39">
        <v>0</v>
      </c>
      <c r="G16" s="39">
        <v>0</v>
      </c>
      <c r="H16" s="44">
        <f t="shared" si="1"/>
        <v>100</v>
      </c>
      <c r="I16" s="44">
        <f t="shared" si="2"/>
        <v>0</v>
      </c>
      <c r="J16" s="44"/>
      <c r="K16" s="44"/>
      <c r="L16" s="8"/>
    </row>
    <row r="17" spans="1:12" x14ac:dyDescent="0.25">
      <c r="A17" s="44" t="s">
        <v>642</v>
      </c>
      <c r="B17" s="20">
        <v>1924278586472.25</v>
      </c>
      <c r="C17" s="20">
        <v>2130669256975.55</v>
      </c>
      <c r="D17" s="44">
        <f t="shared" si="0"/>
        <v>10.725612806494556</v>
      </c>
      <c r="E17" s="39">
        <v>4</v>
      </c>
      <c r="F17" s="39">
        <v>0</v>
      </c>
      <c r="G17" s="39">
        <v>0</v>
      </c>
      <c r="H17" s="44">
        <f t="shared" si="1"/>
        <v>100</v>
      </c>
      <c r="I17" s="44">
        <f t="shared" si="2"/>
        <v>0</v>
      </c>
      <c r="J17" s="44"/>
      <c r="K17" s="44"/>
      <c r="L17" s="8"/>
    </row>
    <row r="18" spans="1:12" x14ac:dyDescent="0.25">
      <c r="A18" s="44" t="s">
        <v>342</v>
      </c>
      <c r="B18" s="20">
        <v>1605885960736.6501</v>
      </c>
      <c r="C18" s="20">
        <v>1740846916440.3</v>
      </c>
      <c r="D18" s="44">
        <f t="shared" si="0"/>
        <v>8.4041431959303505</v>
      </c>
      <c r="E18" s="39">
        <v>3</v>
      </c>
      <c r="F18" s="39">
        <v>0</v>
      </c>
      <c r="G18" s="39">
        <v>0</v>
      </c>
      <c r="H18" s="44">
        <f t="shared" si="1"/>
        <v>100</v>
      </c>
      <c r="I18" s="44">
        <f t="shared" si="2"/>
        <v>0</v>
      </c>
      <c r="J18" s="44"/>
      <c r="K18" s="44"/>
      <c r="L18" s="8"/>
    </row>
    <row r="19" spans="1:12" x14ac:dyDescent="0.25">
      <c r="A19" s="44" t="s">
        <v>3131</v>
      </c>
      <c r="B19" s="20">
        <v>954514261177.71997</v>
      </c>
      <c r="C19" s="20">
        <v>1016106301466.9601</v>
      </c>
      <c r="D19" s="44">
        <f t="shared" si="0"/>
        <v>6.452710325484845</v>
      </c>
      <c r="E19" s="39">
        <v>2</v>
      </c>
      <c r="F19" s="39">
        <v>0</v>
      </c>
      <c r="G19" s="39">
        <v>0</v>
      </c>
      <c r="H19" s="44">
        <f t="shared" si="1"/>
        <v>100</v>
      </c>
      <c r="I19" s="44">
        <f t="shared" si="2"/>
        <v>0</v>
      </c>
      <c r="J19" s="44"/>
      <c r="K19" s="44"/>
      <c r="L19" s="8"/>
    </row>
    <row r="20" spans="1:12" x14ac:dyDescent="0.25">
      <c r="A20" s="44" t="s">
        <v>2778</v>
      </c>
      <c r="B20" s="20">
        <v>4848388100.2799997</v>
      </c>
      <c r="C20" s="20">
        <v>5148220527.4099998</v>
      </c>
      <c r="D20" s="44">
        <f t="shared" si="0"/>
        <v>6.1841672103906964</v>
      </c>
      <c r="E20" s="39">
        <v>2</v>
      </c>
      <c r="F20" s="39">
        <v>0</v>
      </c>
      <c r="G20" s="39">
        <v>0</v>
      </c>
      <c r="H20" s="44">
        <f t="shared" si="1"/>
        <v>100</v>
      </c>
      <c r="I20" s="44">
        <f t="shared" si="2"/>
        <v>0</v>
      </c>
      <c r="J20" s="44"/>
      <c r="K20" s="44"/>
      <c r="L20" s="8"/>
    </row>
    <row r="21" spans="1:12" x14ac:dyDescent="0.25">
      <c r="A21" s="44" t="s">
        <v>4191</v>
      </c>
      <c r="B21" s="20">
        <v>10933810165</v>
      </c>
      <c r="C21" s="20">
        <v>11580810858.25</v>
      </c>
      <c r="D21" s="44">
        <f t="shared" si="0"/>
        <v>5.9174311926605512</v>
      </c>
      <c r="E21" s="39">
        <v>1</v>
      </c>
      <c r="F21" s="39">
        <v>0</v>
      </c>
      <c r="G21" s="39">
        <v>0</v>
      </c>
      <c r="H21" s="44">
        <f t="shared" si="1"/>
        <v>100</v>
      </c>
      <c r="I21" s="44">
        <f t="shared" si="2"/>
        <v>0</v>
      </c>
      <c r="J21" s="44"/>
      <c r="K21" s="44"/>
      <c r="L21" s="8"/>
    </row>
    <row r="22" spans="1:12" x14ac:dyDescent="0.25">
      <c r="A22" s="44" t="s">
        <v>833</v>
      </c>
      <c r="B22" s="20">
        <v>411006229865.32007</v>
      </c>
      <c r="C22" s="20">
        <v>432703920915.74011</v>
      </c>
      <c r="D22" s="44">
        <f t="shared" si="0"/>
        <v>5.2791635439516371</v>
      </c>
      <c r="E22" s="39">
        <v>4</v>
      </c>
      <c r="F22" s="39">
        <v>0</v>
      </c>
      <c r="G22" s="39">
        <v>0</v>
      </c>
      <c r="H22" s="44">
        <f t="shared" si="1"/>
        <v>100</v>
      </c>
      <c r="I22" s="44">
        <f t="shared" si="2"/>
        <v>0</v>
      </c>
      <c r="J22" s="44"/>
      <c r="K22" s="44"/>
      <c r="L22" s="8"/>
    </row>
    <row r="23" spans="1:12" x14ac:dyDescent="0.25">
      <c r="A23" s="44" t="s">
        <v>3501</v>
      </c>
      <c r="B23" s="20">
        <v>43112590042.900002</v>
      </c>
      <c r="C23" s="20">
        <v>45351975417.300003</v>
      </c>
      <c r="D23" s="44">
        <f t="shared" si="0"/>
        <v>5.19427242058911</v>
      </c>
      <c r="E23" s="39">
        <v>4</v>
      </c>
      <c r="F23" s="39">
        <v>0</v>
      </c>
      <c r="G23" s="39">
        <v>0</v>
      </c>
      <c r="H23" s="44">
        <f t="shared" si="1"/>
        <v>100</v>
      </c>
      <c r="I23" s="44">
        <f t="shared" si="2"/>
        <v>0</v>
      </c>
      <c r="J23" s="44"/>
      <c r="K23" s="44"/>
      <c r="L23" s="8"/>
    </row>
    <row r="24" spans="1:12" x14ac:dyDescent="0.25">
      <c r="A24" s="44" t="s">
        <v>4077</v>
      </c>
      <c r="B24" s="20">
        <v>4409734095</v>
      </c>
      <c r="C24" s="20">
        <v>4627087773.75</v>
      </c>
      <c r="D24" s="44">
        <f t="shared" si="0"/>
        <v>4.9289520426287741</v>
      </c>
      <c r="E24" s="39">
        <v>1</v>
      </c>
      <c r="F24" s="39">
        <v>0</v>
      </c>
      <c r="G24" s="39">
        <v>0</v>
      </c>
      <c r="H24" s="44">
        <f t="shared" si="1"/>
        <v>100</v>
      </c>
      <c r="I24" s="44">
        <f t="shared" si="2"/>
        <v>0</v>
      </c>
      <c r="J24" s="44"/>
      <c r="K24" s="44"/>
      <c r="L24" s="8"/>
    </row>
    <row r="25" spans="1:12" x14ac:dyDescent="0.25">
      <c r="A25" s="44" t="s">
        <v>4200</v>
      </c>
      <c r="B25" s="20">
        <v>236944129591.20001</v>
      </c>
      <c r="C25" s="20">
        <v>247744618396.54999</v>
      </c>
      <c r="D25" s="44">
        <f t="shared" si="0"/>
        <v>4.5582428330189364</v>
      </c>
      <c r="E25" s="39">
        <v>6</v>
      </c>
      <c r="F25" s="39">
        <v>0</v>
      </c>
      <c r="G25" s="39">
        <v>0</v>
      </c>
      <c r="H25" s="44">
        <f t="shared" si="1"/>
        <v>100</v>
      </c>
      <c r="I25" s="44">
        <f t="shared" si="2"/>
        <v>0</v>
      </c>
      <c r="J25" s="70" t="s">
        <v>4368</v>
      </c>
      <c r="K25" s="67"/>
      <c r="L25" s="8"/>
    </row>
    <row r="26" spans="1:12" x14ac:dyDescent="0.25">
      <c r="A26" s="44" t="s">
        <v>4194</v>
      </c>
      <c r="B26" s="20">
        <v>8237701286</v>
      </c>
      <c r="C26" s="20">
        <v>8587336820</v>
      </c>
      <c r="D26" s="44">
        <f t="shared" si="0"/>
        <v>4.2443337268639096</v>
      </c>
      <c r="E26" s="39">
        <v>4</v>
      </c>
      <c r="F26" s="39">
        <v>0</v>
      </c>
      <c r="G26" s="39">
        <v>0</v>
      </c>
      <c r="H26" s="44">
        <f t="shared" si="1"/>
        <v>100</v>
      </c>
      <c r="I26" s="44">
        <f t="shared" si="2"/>
        <v>0</v>
      </c>
      <c r="J26" s="70" t="s">
        <v>4369</v>
      </c>
      <c r="K26" s="67"/>
      <c r="L26" s="8"/>
    </row>
    <row r="27" spans="1:12" x14ac:dyDescent="0.25">
      <c r="A27" s="44" t="s">
        <v>4128</v>
      </c>
      <c r="B27" s="20">
        <v>28831549999.999996</v>
      </c>
      <c r="C27" s="20">
        <v>29071900000</v>
      </c>
      <c r="D27" s="44">
        <f t="shared" si="0"/>
        <v>0.83363537513593211</v>
      </c>
      <c r="E27" s="39">
        <v>1</v>
      </c>
      <c r="F27" s="39">
        <v>0</v>
      </c>
      <c r="G27" s="39">
        <v>0</v>
      </c>
      <c r="H27" s="44">
        <f t="shared" si="1"/>
        <v>100</v>
      </c>
      <c r="I27" s="44">
        <f t="shared" si="2"/>
        <v>0</v>
      </c>
      <c r="J27" s="44"/>
      <c r="K27" s="44"/>
      <c r="L27" s="8"/>
    </row>
    <row r="28" spans="1:12" x14ac:dyDescent="0.25">
      <c r="A28" s="44" t="s">
        <v>2247</v>
      </c>
      <c r="B28" s="20">
        <v>240753984075.72</v>
      </c>
      <c r="C28" s="20">
        <v>242394356390.22</v>
      </c>
      <c r="D28" s="44">
        <f t="shared" si="0"/>
        <v>0.68134794146712163</v>
      </c>
      <c r="E28" s="39">
        <v>3</v>
      </c>
      <c r="F28" s="39">
        <v>0</v>
      </c>
      <c r="G28" s="39">
        <v>0</v>
      </c>
      <c r="H28" s="44">
        <f t="shared" si="1"/>
        <v>100</v>
      </c>
      <c r="I28" s="44">
        <f t="shared" si="2"/>
        <v>0</v>
      </c>
      <c r="J28" s="44"/>
      <c r="K28" s="44"/>
      <c r="L28" s="8"/>
    </row>
    <row r="29" spans="1:12" x14ac:dyDescent="0.25">
      <c r="A29" s="44" t="s">
        <v>4210</v>
      </c>
      <c r="B29" s="20">
        <v>32699130256.200001</v>
      </c>
      <c r="C29" s="20">
        <v>32912927693.399998</v>
      </c>
      <c r="D29" s="44">
        <f t="shared" si="0"/>
        <v>0.65383218307300195</v>
      </c>
      <c r="E29" s="39">
        <v>1</v>
      </c>
      <c r="F29" s="39">
        <v>0</v>
      </c>
      <c r="G29" s="39">
        <v>0</v>
      </c>
      <c r="H29" s="44">
        <f t="shared" si="1"/>
        <v>100</v>
      </c>
      <c r="I29" s="44">
        <f t="shared" si="2"/>
        <v>0</v>
      </c>
      <c r="J29" s="44"/>
      <c r="K29" s="44"/>
      <c r="L29" s="8"/>
    </row>
    <row r="30" spans="1:12" x14ac:dyDescent="0.25">
      <c r="A30" s="44" t="s">
        <v>3475</v>
      </c>
      <c r="B30" s="20">
        <v>11794043483272.418</v>
      </c>
      <c r="C30" s="20">
        <v>13089050876101.531</v>
      </c>
      <c r="D30" s="44">
        <f t="shared" si="0"/>
        <v>10.980181603246013</v>
      </c>
      <c r="E30" s="39">
        <v>32</v>
      </c>
      <c r="F30" s="39">
        <v>2</v>
      </c>
      <c r="G30" s="39">
        <v>0</v>
      </c>
      <c r="H30" s="44">
        <f t="shared" si="1"/>
        <v>94.117647058823522</v>
      </c>
      <c r="I30" s="44">
        <f t="shared" si="2"/>
        <v>5.8823529411764701</v>
      </c>
      <c r="J30" s="44"/>
      <c r="K30" s="44"/>
      <c r="L30" s="8"/>
    </row>
    <row r="31" spans="1:12" x14ac:dyDescent="0.25">
      <c r="A31" s="44" t="s">
        <v>3611</v>
      </c>
      <c r="B31" s="20">
        <v>210559504969.91003</v>
      </c>
      <c r="C31" s="20">
        <v>232915667446.07999</v>
      </c>
      <c r="D31" s="44">
        <f t="shared" si="0"/>
        <v>10.617503341568339</v>
      </c>
      <c r="E31" s="39">
        <v>11</v>
      </c>
      <c r="F31" s="39">
        <v>0</v>
      </c>
      <c r="G31" s="39">
        <v>1</v>
      </c>
      <c r="H31" s="44">
        <f t="shared" si="1"/>
        <v>91.666666666666657</v>
      </c>
      <c r="I31" s="44">
        <f t="shared" si="2"/>
        <v>0</v>
      </c>
      <c r="J31" s="44"/>
      <c r="K31" s="44"/>
      <c r="L31" s="8"/>
    </row>
    <row r="32" spans="1:12" x14ac:dyDescent="0.25">
      <c r="A32" s="44" t="s">
        <v>4145</v>
      </c>
      <c r="B32" s="20">
        <v>12919545764293.08</v>
      </c>
      <c r="C32" s="20">
        <v>13916753970550.68</v>
      </c>
      <c r="D32" s="44">
        <f t="shared" si="0"/>
        <v>7.7186011369972025</v>
      </c>
      <c r="E32" s="39">
        <v>11</v>
      </c>
      <c r="F32" s="39">
        <v>1</v>
      </c>
      <c r="G32" s="39">
        <v>0</v>
      </c>
      <c r="H32" s="44">
        <f t="shared" si="1"/>
        <v>91.666666666666657</v>
      </c>
      <c r="I32" s="44">
        <f t="shared" si="2"/>
        <v>8.3333333333333321</v>
      </c>
      <c r="J32" s="44"/>
      <c r="K32" s="44"/>
      <c r="L32" s="8"/>
    </row>
    <row r="33" spans="1:12" x14ac:dyDescent="0.25">
      <c r="A33" s="44" t="s">
        <v>11</v>
      </c>
      <c r="B33" s="20">
        <v>4676702759350.7998</v>
      </c>
      <c r="C33" s="20">
        <v>6408644996521.8105</v>
      </c>
      <c r="D33" s="44">
        <f t="shared" si="0"/>
        <v>37.033404222838222</v>
      </c>
      <c r="E33" s="39">
        <v>8</v>
      </c>
      <c r="F33" s="39">
        <v>0</v>
      </c>
      <c r="G33" s="39">
        <v>1</v>
      </c>
      <c r="H33" s="44">
        <f t="shared" si="1"/>
        <v>88.888888888888886</v>
      </c>
      <c r="I33" s="44">
        <f t="shared" si="2"/>
        <v>0</v>
      </c>
      <c r="J33" s="44"/>
      <c r="K33" s="44"/>
      <c r="L33" s="8"/>
    </row>
    <row r="34" spans="1:12" x14ac:dyDescent="0.25">
      <c r="A34" s="44" t="s">
        <v>3831</v>
      </c>
      <c r="B34" s="20">
        <v>3219946388.9100003</v>
      </c>
      <c r="C34" s="20">
        <v>3938315168.1000009</v>
      </c>
      <c r="D34" s="44">
        <f t="shared" si="0"/>
        <v>22.309960863453352</v>
      </c>
      <c r="E34" s="39">
        <v>15</v>
      </c>
      <c r="F34" s="39">
        <v>0</v>
      </c>
      <c r="G34" s="39">
        <v>2</v>
      </c>
      <c r="H34" s="44">
        <f t="shared" si="1"/>
        <v>88.235294117647058</v>
      </c>
      <c r="I34" s="44">
        <f t="shared" si="2"/>
        <v>0</v>
      </c>
      <c r="J34" s="44"/>
      <c r="K34" s="44"/>
      <c r="L34" s="8"/>
    </row>
    <row r="35" spans="1:12" x14ac:dyDescent="0.25">
      <c r="A35" s="44" t="s">
        <v>2286</v>
      </c>
      <c r="B35" s="20">
        <v>935551578022.21008</v>
      </c>
      <c r="C35" s="20">
        <v>1055386335318.5302</v>
      </c>
      <c r="D35" s="44">
        <f t="shared" si="0"/>
        <v>12.808995261346798</v>
      </c>
      <c r="E35" s="39">
        <v>28</v>
      </c>
      <c r="F35" s="39">
        <v>4</v>
      </c>
      <c r="G35" s="39">
        <v>0</v>
      </c>
      <c r="H35" s="44">
        <f t="shared" si="1"/>
        <v>87.5</v>
      </c>
      <c r="I35" s="44">
        <f t="shared" si="2"/>
        <v>12.5</v>
      </c>
      <c r="J35" s="44"/>
      <c r="K35" s="44"/>
      <c r="L35" s="8"/>
    </row>
    <row r="36" spans="1:12" x14ac:dyDescent="0.25">
      <c r="A36" s="44" t="s">
        <v>3918</v>
      </c>
      <c r="B36" s="20">
        <v>74816874998.12001</v>
      </c>
      <c r="C36" s="20">
        <v>83107016686.860001</v>
      </c>
      <c r="D36" s="44">
        <f t="shared" si="0"/>
        <v>11.08057732824086</v>
      </c>
      <c r="E36" s="39">
        <v>7</v>
      </c>
      <c r="F36" s="39">
        <v>1</v>
      </c>
      <c r="G36" s="39">
        <v>0</v>
      </c>
      <c r="H36" s="44">
        <f t="shared" si="1"/>
        <v>87.5</v>
      </c>
      <c r="I36" s="44">
        <f t="shared" si="2"/>
        <v>12.5</v>
      </c>
      <c r="J36" s="44"/>
      <c r="K36" s="44"/>
      <c r="L36" s="8"/>
    </row>
    <row r="37" spans="1:12" x14ac:dyDescent="0.25">
      <c r="A37" s="44" t="s">
        <v>1935</v>
      </c>
      <c r="B37" s="20">
        <v>534472083409.55005</v>
      </c>
      <c r="C37" s="20">
        <v>583627906073.19995</v>
      </c>
      <c r="D37" s="44">
        <f t="shared" si="0"/>
        <v>9.1970795462451242</v>
      </c>
      <c r="E37" s="39">
        <v>7</v>
      </c>
      <c r="F37" s="39">
        <v>1</v>
      </c>
      <c r="G37" s="39">
        <v>0</v>
      </c>
      <c r="H37" s="44">
        <f t="shared" si="1"/>
        <v>87.5</v>
      </c>
      <c r="I37" s="44">
        <f t="shared" si="2"/>
        <v>12.5</v>
      </c>
      <c r="J37" s="44"/>
      <c r="K37" s="44"/>
      <c r="L37" s="8"/>
    </row>
    <row r="38" spans="1:12" x14ac:dyDescent="0.25">
      <c r="A38" s="44" t="s">
        <v>3652</v>
      </c>
      <c r="B38" s="20">
        <v>160237107504.47998</v>
      </c>
      <c r="C38" s="20">
        <v>172979857612.38998</v>
      </c>
      <c r="D38" s="44">
        <f t="shared" si="0"/>
        <v>7.9524339314186232</v>
      </c>
      <c r="E38" s="39">
        <v>6</v>
      </c>
      <c r="F38" s="39">
        <v>1</v>
      </c>
      <c r="G38" s="39">
        <v>0</v>
      </c>
      <c r="H38" s="44">
        <f t="shared" si="1"/>
        <v>85.714285714285708</v>
      </c>
      <c r="I38" s="44">
        <f t="shared" si="2"/>
        <v>14.285714285714285</v>
      </c>
      <c r="J38" s="44"/>
      <c r="K38" s="44"/>
      <c r="L38" s="8"/>
    </row>
    <row r="39" spans="1:12" x14ac:dyDescent="0.25">
      <c r="A39" s="44" t="s">
        <v>3287</v>
      </c>
      <c r="B39" s="20">
        <v>321532015031.45996</v>
      </c>
      <c r="C39" s="20">
        <v>337440397589.35004</v>
      </c>
      <c r="D39" s="44">
        <f t="shared" si="0"/>
        <v>4.947682287977929</v>
      </c>
      <c r="E39" s="39">
        <v>6</v>
      </c>
      <c r="F39" s="39">
        <v>1</v>
      </c>
      <c r="G39" s="39">
        <v>0</v>
      </c>
      <c r="H39" s="44">
        <f t="shared" si="1"/>
        <v>85.714285714285708</v>
      </c>
      <c r="I39" s="44">
        <f t="shared" si="2"/>
        <v>14.285714285714285</v>
      </c>
      <c r="J39" s="44"/>
      <c r="K39" s="44"/>
      <c r="L39" s="8"/>
    </row>
    <row r="40" spans="1:12" x14ac:dyDescent="0.25">
      <c r="A40" s="44" t="s">
        <v>4111</v>
      </c>
      <c r="B40" s="20">
        <v>55220226431.980003</v>
      </c>
      <c r="C40" s="20">
        <v>55142042982.440002</v>
      </c>
      <c r="D40" s="44">
        <f t="shared" si="0"/>
        <v>-0.14158480432221135</v>
      </c>
      <c r="E40" s="39">
        <v>6</v>
      </c>
      <c r="F40" s="39">
        <v>1</v>
      </c>
      <c r="G40" s="39">
        <v>0</v>
      </c>
      <c r="H40" s="44">
        <f t="shared" si="1"/>
        <v>85.714285714285708</v>
      </c>
      <c r="I40" s="44">
        <f t="shared" si="2"/>
        <v>14.285714285714285</v>
      </c>
      <c r="J40" s="44"/>
      <c r="K40" s="44"/>
      <c r="L40" s="8"/>
    </row>
    <row r="41" spans="1:12" x14ac:dyDescent="0.25">
      <c r="A41" s="44" t="s">
        <v>3536</v>
      </c>
      <c r="B41" s="20">
        <v>3029292170803.6802</v>
      </c>
      <c r="C41" s="20">
        <v>3676836726139.9399</v>
      </c>
      <c r="D41" s="44">
        <f t="shared" si="0"/>
        <v>21.376101043580235</v>
      </c>
      <c r="E41" s="39">
        <v>5</v>
      </c>
      <c r="F41" s="39">
        <v>1</v>
      </c>
      <c r="G41" s="39">
        <v>0</v>
      </c>
      <c r="H41" s="44">
        <f t="shared" si="1"/>
        <v>83.333333333333343</v>
      </c>
      <c r="I41" s="44">
        <f t="shared" si="2"/>
        <v>16.666666666666664</v>
      </c>
      <c r="J41" s="44"/>
      <c r="K41" s="44"/>
      <c r="L41" s="8"/>
    </row>
    <row r="42" spans="1:12" x14ac:dyDescent="0.25">
      <c r="A42" s="44" t="s">
        <v>2321</v>
      </c>
      <c r="B42" s="20">
        <v>248126179103.5</v>
      </c>
      <c r="C42" s="20">
        <v>291798454612.04999</v>
      </c>
      <c r="D42" s="44">
        <f t="shared" si="0"/>
        <v>17.600833441413339</v>
      </c>
      <c r="E42" s="39">
        <v>5</v>
      </c>
      <c r="F42" s="39">
        <v>1</v>
      </c>
      <c r="G42" s="39">
        <v>0</v>
      </c>
      <c r="H42" s="44">
        <f t="shared" si="1"/>
        <v>83.333333333333343</v>
      </c>
      <c r="I42" s="44">
        <f t="shared" si="2"/>
        <v>16.666666666666664</v>
      </c>
      <c r="J42" s="44"/>
      <c r="K42" s="44"/>
      <c r="L42" s="8"/>
    </row>
    <row r="43" spans="1:12" x14ac:dyDescent="0.25">
      <c r="A43" s="44" t="s">
        <v>350</v>
      </c>
      <c r="B43" s="20">
        <v>1223466776163.3999</v>
      </c>
      <c r="C43" s="20">
        <v>1350746112171.01</v>
      </c>
      <c r="D43" s="44">
        <f t="shared" si="0"/>
        <v>10.40317060400595</v>
      </c>
      <c r="E43" s="39">
        <v>5</v>
      </c>
      <c r="F43" s="39">
        <v>1</v>
      </c>
      <c r="G43" s="39">
        <v>0</v>
      </c>
      <c r="H43" s="44">
        <f t="shared" si="1"/>
        <v>83.333333333333343</v>
      </c>
      <c r="I43" s="44">
        <f t="shared" si="2"/>
        <v>16.666666666666664</v>
      </c>
      <c r="J43" s="44"/>
      <c r="K43" s="44"/>
      <c r="L43" s="8"/>
    </row>
    <row r="44" spans="1:12" x14ac:dyDescent="0.25">
      <c r="A44" s="44" t="s">
        <v>807</v>
      </c>
      <c r="B44" s="20">
        <v>5688892813374.3105</v>
      </c>
      <c r="C44" s="20">
        <v>6073073144904.2715</v>
      </c>
      <c r="D44" s="44">
        <f t="shared" si="0"/>
        <v>6.7531652314976238</v>
      </c>
      <c r="E44" s="39">
        <v>24</v>
      </c>
      <c r="F44" s="39">
        <v>5</v>
      </c>
      <c r="G44" s="39">
        <v>0</v>
      </c>
      <c r="H44" s="44">
        <f t="shared" si="1"/>
        <v>82.758620689655174</v>
      </c>
      <c r="I44" s="44">
        <f t="shared" si="2"/>
        <v>17.241379310344829</v>
      </c>
      <c r="J44" s="70" t="s">
        <v>4370</v>
      </c>
      <c r="K44" s="67"/>
      <c r="L44" s="8"/>
    </row>
    <row r="45" spans="1:12" x14ac:dyDescent="0.25">
      <c r="A45" s="44" t="s">
        <v>3976</v>
      </c>
      <c r="B45" s="20">
        <v>1540434454322.24</v>
      </c>
      <c r="C45" s="20">
        <v>1666537597396.0298</v>
      </c>
      <c r="D45" s="44">
        <f t="shared" si="0"/>
        <v>8.1862063471744815</v>
      </c>
      <c r="E45" s="39">
        <v>14</v>
      </c>
      <c r="F45" s="39">
        <v>3</v>
      </c>
      <c r="G45" s="39">
        <v>0</v>
      </c>
      <c r="H45" s="44">
        <f t="shared" si="1"/>
        <v>82.35294117647058</v>
      </c>
      <c r="I45" s="44">
        <f t="shared" si="2"/>
        <v>17.647058823529413</v>
      </c>
      <c r="J45" s="44"/>
      <c r="K45" s="44"/>
      <c r="L45" s="8"/>
    </row>
    <row r="46" spans="1:12" x14ac:dyDescent="0.25">
      <c r="A46" s="44" t="s">
        <v>3209</v>
      </c>
      <c r="B46" s="20">
        <v>414174285360.16003</v>
      </c>
      <c r="C46" s="20">
        <v>458382060652.47003</v>
      </c>
      <c r="D46" s="44">
        <f t="shared" si="0"/>
        <v>10.67371318184748</v>
      </c>
      <c r="E46" s="39">
        <v>37</v>
      </c>
      <c r="F46" s="39">
        <v>5</v>
      </c>
      <c r="G46" s="39">
        <v>3</v>
      </c>
      <c r="H46" s="44">
        <f t="shared" si="1"/>
        <v>82.222222222222214</v>
      </c>
      <c r="I46" s="44">
        <f t="shared" si="2"/>
        <v>11.111111111111111</v>
      </c>
      <c r="J46" s="44"/>
      <c r="K46" s="44"/>
      <c r="L46" s="8"/>
    </row>
    <row r="47" spans="1:12" x14ac:dyDescent="0.25">
      <c r="A47" s="44" t="s">
        <v>2905</v>
      </c>
      <c r="B47" s="20">
        <v>77600630789.210007</v>
      </c>
      <c r="C47" s="20">
        <v>87727510353.829987</v>
      </c>
      <c r="D47" s="44">
        <f t="shared" si="0"/>
        <v>13.049996451869145</v>
      </c>
      <c r="E47" s="39">
        <v>9</v>
      </c>
      <c r="F47" s="39">
        <v>2</v>
      </c>
      <c r="G47" s="39">
        <v>0</v>
      </c>
      <c r="H47" s="44">
        <f t="shared" si="1"/>
        <v>81.818181818181827</v>
      </c>
      <c r="I47" s="44">
        <f t="shared" si="2"/>
        <v>18.181818181818183</v>
      </c>
      <c r="J47" s="44"/>
      <c r="K47" s="44"/>
      <c r="L47" s="8"/>
    </row>
    <row r="48" spans="1:12" x14ac:dyDescent="0.25">
      <c r="A48" s="44" t="s">
        <v>788</v>
      </c>
      <c r="B48" s="20">
        <v>21085286167330.566</v>
      </c>
      <c r="C48" s="20">
        <v>23383501008604.98</v>
      </c>
      <c r="D48" s="44">
        <f t="shared" si="0"/>
        <v>10.89961418135864</v>
      </c>
      <c r="E48" s="39">
        <v>9</v>
      </c>
      <c r="F48" s="39">
        <v>2</v>
      </c>
      <c r="G48" s="39">
        <v>0</v>
      </c>
      <c r="H48" s="44">
        <f t="shared" si="1"/>
        <v>81.818181818181827</v>
      </c>
      <c r="I48" s="44">
        <f t="shared" si="2"/>
        <v>18.181818181818183</v>
      </c>
      <c r="J48" s="44"/>
      <c r="K48" s="44"/>
      <c r="L48" s="8"/>
    </row>
    <row r="49" spans="1:12" x14ac:dyDescent="0.25">
      <c r="A49" s="44" t="s">
        <v>3683</v>
      </c>
      <c r="B49" s="20">
        <v>6689892556143.4219</v>
      </c>
      <c r="C49" s="20">
        <v>7220983790623.0098</v>
      </c>
      <c r="D49" s="44">
        <f t="shared" si="0"/>
        <v>7.9387109736445529</v>
      </c>
      <c r="E49" s="39">
        <v>30</v>
      </c>
      <c r="F49" s="39">
        <v>7</v>
      </c>
      <c r="G49" s="39">
        <v>0</v>
      </c>
      <c r="H49" s="44">
        <f t="shared" si="1"/>
        <v>81.081081081081081</v>
      </c>
      <c r="I49" s="44">
        <f t="shared" si="2"/>
        <v>18.918918918918919</v>
      </c>
      <c r="J49" s="44"/>
      <c r="K49" s="44"/>
      <c r="L49" s="8"/>
    </row>
    <row r="50" spans="1:12" x14ac:dyDescent="0.25">
      <c r="A50" s="44" t="s">
        <v>1315</v>
      </c>
      <c r="B50" s="20">
        <v>159786331525.13</v>
      </c>
      <c r="C50" s="20">
        <v>184069222482.19</v>
      </c>
      <c r="D50" s="44">
        <f t="shared" si="0"/>
        <v>15.19710148251383</v>
      </c>
      <c r="E50" s="39">
        <v>4</v>
      </c>
      <c r="F50" s="39">
        <v>1</v>
      </c>
      <c r="G50" s="39">
        <v>0</v>
      </c>
      <c r="H50" s="44">
        <f t="shared" si="1"/>
        <v>80</v>
      </c>
      <c r="I50" s="44">
        <f t="shared" si="2"/>
        <v>20</v>
      </c>
      <c r="J50" s="44"/>
      <c r="K50" s="44"/>
      <c r="L50" s="8"/>
    </row>
    <row r="51" spans="1:12" x14ac:dyDescent="0.25">
      <c r="A51" s="44" t="s">
        <v>3793</v>
      </c>
      <c r="B51" s="20">
        <v>1614339786010.5</v>
      </c>
      <c r="C51" s="20">
        <v>1663968523472.0999</v>
      </c>
      <c r="D51" s="44">
        <f t="shared" si="0"/>
        <v>3.0742435942960187</v>
      </c>
      <c r="E51" s="39">
        <v>4</v>
      </c>
      <c r="F51" s="39">
        <v>1</v>
      </c>
      <c r="G51" s="39">
        <v>0</v>
      </c>
      <c r="H51" s="44">
        <f t="shared" si="1"/>
        <v>80</v>
      </c>
      <c r="I51" s="44">
        <f t="shared" si="2"/>
        <v>20</v>
      </c>
      <c r="J51" s="44"/>
      <c r="K51" s="44"/>
      <c r="L51" s="8"/>
    </row>
    <row r="52" spans="1:12" x14ac:dyDescent="0.25">
      <c r="A52" s="44" t="s">
        <v>2998</v>
      </c>
      <c r="B52" s="20">
        <v>15431497069.34</v>
      </c>
      <c r="C52" s="20">
        <v>15660627703.470001</v>
      </c>
      <c r="D52" s="44">
        <f t="shared" si="0"/>
        <v>1.4848244023274206</v>
      </c>
      <c r="E52" s="39">
        <v>4</v>
      </c>
      <c r="F52" s="39">
        <v>1</v>
      </c>
      <c r="G52" s="39">
        <v>0</v>
      </c>
      <c r="H52" s="44">
        <f t="shared" si="1"/>
        <v>80</v>
      </c>
      <c r="I52" s="44">
        <f t="shared" si="2"/>
        <v>20</v>
      </c>
      <c r="J52" s="44"/>
      <c r="K52" s="44"/>
      <c r="L52" s="8"/>
    </row>
    <row r="53" spans="1:12" x14ac:dyDescent="0.25">
      <c r="A53" s="44" t="s">
        <v>858</v>
      </c>
      <c r="B53" s="20">
        <v>6266348730554.0137</v>
      </c>
      <c r="C53" s="20">
        <v>6910002593787.1191</v>
      </c>
      <c r="D53" s="44">
        <f t="shared" si="0"/>
        <v>10.271593409647334</v>
      </c>
      <c r="E53" s="39">
        <v>124</v>
      </c>
      <c r="F53" s="39">
        <v>25</v>
      </c>
      <c r="G53" s="39">
        <v>7</v>
      </c>
      <c r="H53" s="44">
        <f t="shared" si="1"/>
        <v>79.487179487179489</v>
      </c>
      <c r="I53" s="44">
        <f t="shared" si="2"/>
        <v>16.025641025641026</v>
      </c>
      <c r="J53" s="70" t="s">
        <v>4371</v>
      </c>
      <c r="K53" s="67"/>
      <c r="L53" s="8"/>
    </row>
    <row r="54" spans="1:12" x14ac:dyDescent="0.25">
      <c r="A54" s="44" t="s">
        <v>2575</v>
      </c>
      <c r="B54" s="20">
        <v>1169691423268.8901</v>
      </c>
      <c r="C54" s="20">
        <v>1222063033449.3201</v>
      </c>
      <c r="D54" s="44">
        <f t="shared" si="0"/>
        <v>4.477386867903081</v>
      </c>
      <c r="E54" s="39">
        <v>19</v>
      </c>
      <c r="F54" s="39">
        <v>5</v>
      </c>
      <c r="G54" s="39">
        <v>0</v>
      </c>
      <c r="H54" s="44">
        <f t="shared" si="1"/>
        <v>79.166666666666657</v>
      </c>
      <c r="I54" s="44">
        <f t="shared" si="2"/>
        <v>20.833333333333336</v>
      </c>
      <c r="J54" s="44"/>
      <c r="K54" s="44"/>
      <c r="L54" s="8"/>
    </row>
    <row r="55" spans="1:12" x14ac:dyDescent="0.25">
      <c r="A55" s="44" t="s">
        <v>1064</v>
      </c>
      <c r="B55" s="20">
        <v>1432635147266.5503</v>
      </c>
      <c r="C55" s="20">
        <v>1643181046019.28</v>
      </c>
      <c r="D55" s="44">
        <f t="shared" si="0"/>
        <v>14.696407466649736</v>
      </c>
      <c r="E55" s="39">
        <v>40</v>
      </c>
      <c r="F55" s="39">
        <v>11</v>
      </c>
      <c r="G55" s="39">
        <v>0</v>
      </c>
      <c r="H55" s="44">
        <f t="shared" si="1"/>
        <v>78.431372549019613</v>
      </c>
      <c r="I55" s="44">
        <f t="shared" si="2"/>
        <v>21.568627450980394</v>
      </c>
      <c r="J55" s="44"/>
      <c r="K55" s="44"/>
      <c r="L55" s="8"/>
    </row>
    <row r="56" spans="1:12" x14ac:dyDescent="0.25">
      <c r="A56" s="44" t="s">
        <v>1478</v>
      </c>
      <c r="B56" s="20">
        <v>641926348754.79004</v>
      </c>
      <c r="C56" s="20">
        <v>691369186394.46997</v>
      </c>
      <c r="D56" s="44">
        <f t="shared" si="0"/>
        <v>7.7022601947387335</v>
      </c>
      <c r="E56" s="39">
        <v>36</v>
      </c>
      <c r="F56" s="39">
        <v>10</v>
      </c>
      <c r="G56" s="39">
        <v>0</v>
      </c>
      <c r="H56" s="44">
        <f t="shared" si="1"/>
        <v>78.260869565217391</v>
      </c>
      <c r="I56" s="44">
        <f t="shared" si="2"/>
        <v>21.739130434782609</v>
      </c>
      <c r="J56" s="44"/>
      <c r="K56" s="44"/>
      <c r="L56" s="8"/>
    </row>
    <row r="57" spans="1:12" x14ac:dyDescent="0.25">
      <c r="A57" s="44" t="s">
        <v>4066</v>
      </c>
      <c r="B57" s="20">
        <v>94222886898.990005</v>
      </c>
      <c r="C57" s="20">
        <v>109598817174.63998</v>
      </c>
      <c r="D57" s="44">
        <f t="shared" si="0"/>
        <v>16.318678806916068</v>
      </c>
      <c r="E57" s="39">
        <v>7</v>
      </c>
      <c r="F57" s="39">
        <v>2</v>
      </c>
      <c r="G57" s="39">
        <v>0</v>
      </c>
      <c r="H57" s="44">
        <f t="shared" si="1"/>
        <v>77.777777777777786</v>
      </c>
      <c r="I57" s="44">
        <f t="shared" si="2"/>
        <v>22.222222222222221</v>
      </c>
      <c r="J57" s="44"/>
      <c r="K57" s="44"/>
      <c r="L57" s="8"/>
    </row>
    <row r="58" spans="1:12" x14ac:dyDescent="0.25">
      <c r="A58" s="44" t="s">
        <v>3847</v>
      </c>
      <c r="B58" s="20">
        <v>1338057663199.99</v>
      </c>
      <c r="C58" s="20">
        <v>1412537968121.9099</v>
      </c>
      <c r="D58" s="44">
        <f t="shared" si="0"/>
        <v>5.5663000908196194</v>
      </c>
      <c r="E58" s="39">
        <v>7</v>
      </c>
      <c r="F58" s="39">
        <v>2</v>
      </c>
      <c r="G58" s="39">
        <v>0</v>
      </c>
      <c r="H58" s="44">
        <f t="shared" si="1"/>
        <v>77.777777777777786</v>
      </c>
      <c r="I58" s="44">
        <f t="shared" si="2"/>
        <v>22.222222222222221</v>
      </c>
      <c r="J58" s="44"/>
      <c r="K58" s="44"/>
      <c r="L58" s="8"/>
    </row>
    <row r="59" spans="1:12" x14ac:dyDescent="0.25">
      <c r="A59" s="44" t="s">
        <v>1453</v>
      </c>
      <c r="B59" s="20">
        <v>463080782673.72009</v>
      </c>
      <c r="C59" s="20">
        <v>469806851466.29004</v>
      </c>
      <c r="D59" s="44">
        <f t="shared" si="0"/>
        <v>1.4524612215033408</v>
      </c>
      <c r="E59" s="39">
        <v>7</v>
      </c>
      <c r="F59" s="39">
        <v>2</v>
      </c>
      <c r="G59" s="39">
        <v>0</v>
      </c>
      <c r="H59" s="44">
        <f t="shared" si="1"/>
        <v>77.777777777777786</v>
      </c>
      <c r="I59" s="44">
        <f t="shared" si="2"/>
        <v>22.222222222222221</v>
      </c>
      <c r="J59" s="44"/>
      <c r="K59" s="44"/>
      <c r="L59" s="8"/>
    </row>
    <row r="60" spans="1:12" x14ac:dyDescent="0.25">
      <c r="A60" s="44" t="s">
        <v>3906</v>
      </c>
      <c r="B60" s="20">
        <v>662700050228.81995</v>
      </c>
      <c r="C60" s="20">
        <v>736229559399.94006</v>
      </c>
      <c r="D60" s="44">
        <f t="shared" si="0"/>
        <v>11.09544342809866</v>
      </c>
      <c r="E60" s="39">
        <v>34</v>
      </c>
      <c r="F60" s="39">
        <v>10</v>
      </c>
      <c r="G60" s="39">
        <v>0</v>
      </c>
      <c r="H60" s="44">
        <f t="shared" si="1"/>
        <v>77.272727272727266</v>
      </c>
      <c r="I60" s="44">
        <f t="shared" si="2"/>
        <v>22.727272727272727</v>
      </c>
      <c r="J60" s="44"/>
      <c r="K60" s="44"/>
      <c r="L60" s="8"/>
    </row>
    <row r="61" spans="1:12" x14ac:dyDescent="0.25">
      <c r="A61" s="44" t="s">
        <v>3872</v>
      </c>
      <c r="B61" s="20">
        <v>817443971957.37</v>
      </c>
      <c r="C61" s="20">
        <v>730934527180.59009</v>
      </c>
      <c r="D61" s="44">
        <f t="shared" si="0"/>
        <v>-10.58292038898189</v>
      </c>
      <c r="E61" s="39">
        <v>17</v>
      </c>
      <c r="F61" s="39">
        <v>5</v>
      </c>
      <c r="G61" s="39">
        <v>0</v>
      </c>
      <c r="H61" s="44">
        <f t="shared" si="1"/>
        <v>77.272727272727266</v>
      </c>
      <c r="I61" s="44">
        <f t="shared" si="2"/>
        <v>22.727272727272727</v>
      </c>
      <c r="J61" s="44"/>
      <c r="K61" s="44"/>
      <c r="L61" s="8"/>
    </row>
    <row r="62" spans="1:12" x14ac:dyDescent="0.25">
      <c r="A62" s="44" t="s">
        <v>1999</v>
      </c>
      <c r="B62" s="20">
        <v>1245446818558.25</v>
      </c>
      <c r="C62" s="20">
        <v>1425503519312.9202</v>
      </c>
      <c r="D62" s="44">
        <f t="shared" si="0"/>
        <v>14.457197053432342</v>
      </c>
      <c r="E62" s="39">
        <v>44</v>
      </c>
      <c r="F62" s="39">
        <v>9</v>
      </c>
      <c r="G62" s="39">
        <v>4</v>
      </c>
      <c r="H62" s="44">
        <f t="shared" si="1"/>
        <v>77.192982456140342</v>
      </c>
      <c r="I62" s="44">
        <f t="shared" si="2"/>
        <v>15.789473684210526</v>
      </c>
      <c r="J62" s="44"/>
      <c r="K62" s="44"/>
      <c r="L62" s="8"/>
    </row>
    <row r="63" spans="1:12" x14ac:dyDescent="0.25">
      <c r="A63" s="44" t="s">
        <v>1645</v>
      </c>
      <c r="B63" s="20">
        <v>750334848154.88</v>
      </c>
      <c r="C63" s="20">
        <v>952249973314.37012</v>
      </c>
      <c r="D63" s="44">
        <f t="shared" si="0"/>
        <v>26.910002335092386</v>
      </c>
      <c r="E63" s="39">
        <v>30</v>
      </c>
      <c r="F63" s="39">
        <v>6</v>
      </c>
      <c r="G63" s="39">
        <v>3</v>
      </c>
      <c r="H63" s="44">
        <f t="shared" si="1"/>
        <v>76.923076923076934</v>
      </c>
      <c r="I63" s="44">
        <f t="shared" si="2"/>
        <v>15.384615384615385</v>
      </c>
      <c r="J63" s="44"/>
      <c r="K63" s="44"/>
      <c r="L63" s="8"/>
    </row>
    <row r="64" spans="1:12" x14ac:dyDescent="0.25">
      <c r="A64" s="51" t="s">
        <v>2577</v>
      </c>
      <c r="B64" s="20">
        <v>695890636603.20007</v>
      </c>
      <c r="C64" s="20">
        <v>791767325142.40002</v>
      </c>
      <c r="D64" s="44">
        <f t="shared" si="0"/>
        <v>13.777551169131375</v>
      </c>
      <c r="E64" s="39">
        <v>3</v>
      </c>
      <c r="F64" s="39">
        <v>1</v>
      </c>
      <c r="G64" s="39">
        <v>0</v>
      </c>
      <c r="H64" s="44">
        <f t="shared" si="1"/>
        <v>75</v>
      </c>
      <c r="I64" s="44">
        <f t="shared" si="2"/>
        <v>25</v>
      </c>
      <c r="J64" s="44"/>
      <c r="K64" s="44"/>
      <c r="L64" s="8"/>
    </row>
    <row r="65" spans="1:12" x14ac:dyDescent="0.25">
      <c r="A65" s="44" t="s">
        <v>1584</v>
      </c>
      <c r="B65" s="20">
        <v>640972895497.90002</v>
      </c>
      <c r="C65" s="20">
        <v>703225593784.30005</v>
      </c>
      <c r="D65" s="44">
        <f t="shared" si="0"/>
        <v>9.7122200835095978</v>
      </c>
      <c r="E65" s="39">
        <v>3</v>
      </c>
      <c r="F65" s="39">
        <v>0</v>
      </c>
      <c r="G65" s="39">
        <v>1</v>
      </c>
      <c r="H65" s="44">
        <f t="shared" si="1"/>
        <v>75</v>
      </c>
      <c r="I65" s="44">
        <f t="shared" si="2"/>
        <v>0</v>
      </c>
      <c r="J65" s="44"/>
      <c r="K65" s="44"/>
      <c r="L65" s="8"/>
    </row>
    <row r="66" spans="1:12" x14ac:dyDescent="0.25">
      <c r="A66" s="44" t="s">
        <v>677</v>
      </c>
      <c r="B66" s="20">
        <v>312668598998.5</v>
      </c>
      <c r="C66" s="20">
        <v>334836258213.45001</v>
      </c>
      <c r="D66" s="44">
        <f t="shared" si="0"/>
        <v>7.0898258686528228</v>
      </c>
      <c r="E66" s="39">
        <v>6</v>
      </c>
      <c r="F66" s="39">
        <v>2</v>
      </c>
      <c r="G66" s="39">
        <v>0</v>
      </c>
      <c r="H66" s="44">
        <f t="shared" si="1"/>
        <v>75</v>
      </c>
      <c r="I66" s="44">
        <f t="shared" si="2"/>
        <v>25</v>
      </c>
      <c r="J66" s="44"/>
      <c r="K66" s="44"/>
      <c r="L66" s="8"/>
    </row>
    <row r="67" spans="1:12" x14ac:dyDescent="0.25">
      <c r="A67" s="44" t="s">
        <v>1333</v>
      </c>
      <c r="B67" s="20">
        <v>178510347962.28</v>
      </c>
      <c r="C67" s="20">
        <v>190031975228.17001</v>
      </c>
      <c r="D67" s="44">
        <f t="shared" si="0"/>
        <v>6.4543189778133119</v>
      </c>
      <c r="E67" s="39">
        <v>3</v>
      </c>
      <c r="F67" s="39">
        <v>1</v>
      </c>
      <c r="G67" s="39">
        <v>0</v>
      </c>
      <c r="H67" s="44">
        <f t="shared" si="1"/>
        <v>75</v>
      </c>
      <c r="I67" s="44">
        <f t="shared" si="2"/>
        <v>25</v>
      </c>
      <c r="J67" s="44"/>
      <c r="K67" s="44"/>
      <c r="L67" s="8"/>
    </row>
    <row r="68" spans="1:12" x14ac:dyDescent="0.25">
      <c r="A68" s="44" t="s">
        <v>4033</v>
      </c>
      <c r="B68" s="20">
        <v>3568141926347.5</v>
      </c>
      <c r="C68" s="20">
        <v>3785866111550.2002</v>
      </c>
      <c r="D68" s="44">
        <f t="shared" si="0"/>
        <v>6.1018925170830247</v>
      </c>
      <c r="E68" s="39">
        <v>3</v>
      </c>
      <c r="F68" s="39">
        <v>1</v>
      </c>
      <c r="G68" s="39">
        <v>0</v>
      </c>
      <c r="H68" s="44">
        <f t="shared" si="1"/>
        <v>75</v>
      </c>
      <c r="I68" s="44">
        <f t="shared" si="2"/>
        <v>25</v>
      </c>
      <c r="J68" s="44"/>
      <c r="K68" s="44"/>
      <c r="L68" s="8"/>
    </row>
    <row r="69" spans="1:12" x14ac:dyDescent="0.25">
      <c r="A69" s="44" t="s">
        <v>767</v>
      </c>
      <c r="B69" s="20">
        <v>954888832956.92993</v>
      </c>
      <c r="C69" s="20">
        <v>996468598164.61011</v>
      </c>
      <c r="D69" s="44">
        <f t="shared" si="0"/>
        <v>4.3544089921884783</v>
      </c>
      <c r="E69" s="39">
        <v>3</v>
      </c>
      <c r="F69" s="39">
        <v>0</v>
      </c>
      <c r="G69" s="39">
        <v>1</v>
      </c>
      <c r="H69" s="44">
        <f t="shared" si="1"/>
        <v>75</v>
      </c>
      <c r="I69" s="44">
        <f t="shared" si="2"/>
        <v>0</v>
      </c>
      <c r="J69" s="44"/>
      <c r="K69" s="44"/>
      <c r="L69" s="8"/>
    </row>
    <row r="70" spans="1:12" x14ac:dyDescent="0.25">
      <c r="A70" s="44" t="s">
        <v>108</v>
      </c>
      <c r="B70" s="52">
        <v>4177399336610.4502</v>
      </c>
      <c r="C70" s="52">
        <v>4325017553434.8003</v>
      </c>
      <c r="D70" s="44">
        <f t="shared" si="0"/>
        <v>3.5337348653894272</v>
      </c>
      <c r="E70" s="39">
        <v>12</v>
      </c>
      <c r="F70" s="39">
        <v>4</v>
      </c>
      <c r="G70" s="39">
        <v>0</v>
      </c>
      <c r="H70" s="44">
        <f t="shared" si="1"/>
        <v>75</v>
      </c>
      <c r="I70" s="44">
        <f t="shared" si="2"/>
        <v>25</v>
      </c>
      <c r="J70" s="44"/>
      <c r="K70" s="44"/>
      <c r="L70" s="8"/>
    </row>
    <row r="71" spans="1:12" x14ac:dyDescent="0.25">
      <c r="A71" s="44" t="s">
        <v>3672</v>
      </c>
      <c r="B71" s="20">
        <v>11029817043.880001</v>
      </c>
      <c r="C71" s="20">
        <v>11126162200.700001</v>
      </c>
      <c r="D71" s="44">
        <f t="shared" si="0"/>
        <v>0.87349732490311549</v>
      </c>
      <c r="E71" s="39">
        <v>3</v>
      </c>
      <c r="F71" s="39">
        <v>1</v>
      </c>
      <c r="G71" s="39">
        <v>0</v>
      </c>
      <c r="H71" s="44">
        <f t="shared" si="1"/>
        <v>75</v>
      </c>
      <c r="I71" s="44">
        <f t="shared" si="2"/>
        <v>25</v>
      </c>
      <c r="J71" s="44"/>
      <c r="K71" s="44"/>
      <c r="L71" s="8"/>
    </row>
    <row r="72" spans="1:12" x14ac:dyDescent="0.25">
      <c r="A72" s="44" t="s">
        <v>3951</v>
      </c>
      <c r="B72" s="20">
        <v>1435427726141.5098</v>
      </c>
      <c r="C72" s="20">
        <v>1445846548953.7002</v>
      </c>
      <c r="D72" s="44">
        <f t="shared" si="0"/>
        <v>0.7258340230195125</v>
      </c>
      <c r="E72" s="39">
        <v>15</v>
      </c>
      <c r="F72" s="39">
        <v>5</v>
      </c>
      <c r="G72" s="39">
        <v>0</v>
      </c>
      <c r="H72" s="44">
        <f t="shared" si="1"/>
        <v>75</v>
      </c>
      <c r="I72" s="44">
        <f t="shared" si="2"/>
        <v>25</v>
      </c>
      <c r="J72" s="44"/>
      <c r="K72" s="44"/>
      <c r="L72" s="8"/>
    </row>
    <row r="73" spans="1:12" x14ac:dyDescent="0.25">
      <c r="A73" s="44" t="s">
        <v>2627</v>
      </c>
      <c r="B73" s="20">
        <v>633939327105.46997</v>
      </c>
      <c r="C73" s="20">
        <v>623542439722.14001</v>
      </c>
      <c r="D73" s="44">
        <f t="shared" si="0"/>
        <v>-1.6400445498154435</v>
      </c>
      <c r="E73" s="39">
        <v>9</v>
      </c>
      <c r="F73" s="39">
        <v>3</v>
      </c>
      <c r="G73" s="39">
        <v>0</v>
      </c>
      <c r="H73" s="44">
        <f t="shared" si="1"/>
        <v>75</v>
      </c>
      <c r="I73" s="44">
        <f t="shared" si="2"/>
        <v>25</v>
      </c>
      <c r="J73" s="44"/>
      <c r="K73" s="44"/>
      <c r="L73" s="8"/>
    </row>
    <row r="74" spans="1:12" x14ac:dyDescent="0.25">
      <c r="A74" s="44" t="s">
        <v>3814</v>
      </c>
      <c r="B74" s="20">
        <v>4717815406.71</v>
      </c>
      <c r="C74" s="20">
        <v>4488539924.6700001</v>
      </c>
      <c r="D74" s="44">
        <f t="shared" si="0"/>
        <v>-4.8597806881954027</v>
      </c>
      <c r="E74" s="39">
        <v>3</v>
      </c>
      <c r="F74" s="39">
        <v>1</v>
      </c>
      <c r="G74" s="39">
        <v>0</v>
      </c>
      <c r="H74" s="44">
        <f t="shared" si="1"/>
        <v>75</v>
      </c>
      <c r="I74" s="44">
        <f t="shared" si="2"/>
        <v>25</v>
      </c>
      <c r="J74" s="44"/>
      <c r="K74" s="44"/>
      <c r="L74" s="8"/>
    </row>
    <row r="75" spans="1:12" x14ac:dyDescent="0.25">
      <c r="A75" s="44" t="s">
        <v>1136</v>
      </c>
      <c r="B75" s="20">
        <v>8690427091669.541</v>
      </c>
      <c r="C75" s="20">
        <v>8787948850246.7881</v>
      </c>
      <c r="D75" s="44">
        <f t="shared" si="0"/>
        <v>1.122174520867097</v>
      </c>
      <c r="E75" s="39">
        <v>32</v>
      </c>
      <c r="F75" s="39">
        <v>10</v>
      </c>
      <c r="G75" s="39">
        <v>1</v>
      </c>
      <c r="H75" s="44">
        <f t="shared" si="1"/>
        <v>74.418604651162795</v>
      </c>
      <c r="I75" s="44">
        <f t="shared" si="2"/>
        <v>23.255813953488371</v>
      </c>
      <c r="J75" s="44"/>
      <c r="K75" s="44"/>
      <c r="L75" s="8"/>
    </row>
    <row r="76" spans="1:12" x14ac:dyDescent="0.25">
      <c r="A76" s="44" t="s">
        <v>1337</v>
      </c>
      <c r="B76" s="20">
        <v>1357726601322.3096</v>
      </c>
      <c r="C76" s="20">
        <v>1627030740027.3303</v>
      </c>
      <c r="D76" s="44">
        <f t="shared" si="0"/>
        <v>19.834931306696177</v>
      </c>
      <c r="E76" s="39">
        <v>44</v>
      </c>
      <c r="F76" s="39">
        <v>14</v>
      </c>
      <c r="G76" s="39">
        <v>2</v>
      </c>
      <c r="H76" s="44">
        <f t="shared" si="1"/>
        <v>73.333333333333329</v>
      </c>
      <c r="I76" s="44">
        <f t="shared" si="2"/>
        <v>23.333333333333332</v>
      </c>
      <c r="J76" s="44"/>
      <c r="K76" s="44"/>
      <c r="L76" s="8"/>
    </row>
    <row r="77" spans="1:12" x14ac:dyDescent="0.25">
      <c r="A77" s="44" t="s">
        <v>1695</v>
      </c>
      <c r="B77" s="20">
        <v>296592297421.14001</v>
      </c>
      <c r="C77" s="20">
        <v>305022037198.38</v>
      </c>
      <c r="D77" s="44">
        <f t="shared" si="0"/>
        <v>2.8421978084179162</v>
      </c>
      <c r="E77" s="39">
        <v>16</v>
      </c>
      <c r="F77" s="39">
        <v>6</v>
      </c>
      <c r="G77" s="39">
        <v>0</v>
      </c>
      <c r="H77" s="44">
        <f t="shared" si="1"/>
        <v>72.727272727272734</v>
      </c>
      <c r="I77" s="44">
        <f t="shared" si="2"/>
        <v>27.27272727272727</v>
      </c>
      <c r="J77" s="70" t="s">
        <v>4372</v>
      </c>
      <c r="K77" s="67"/>
      <c r="L77" s="67"/>
    </row>
    <row r="78" spans="1:12" x14ac:dyDescent="0.25">
      <c r="A78" s="44" t="s">
        <v>1685</v>
      </c>
      <c r="B78" s="20">
        <v>373360464409.25</v>
      </c>
      <c r="C78" s="20">
        <v>401592497662.71997</v>
      </c>
      <c r="D78" s="44">
        <f t="shared" si="0"/>
        <v>7.5616022435959138</v>
      </c>
      <c r="E78" s="39">
        <v>39</v>
      </c>
      <c r="F78" s="39">
        <v>14</v>
      </c>
      <c r="G78" s="39">
        <v>1</v>
      </c>
      <c r="H78" s="44">
        <f t="shared" si="1"/>
        <v>72.222222222222214</v>
      </c>
      <c r="I78" s="44">
        <f t="shared" si="2"/>
        <v>25.925925925925924</v>
      </c>
      <c r="J78" s="44"/>
      <c r="K78" s="44"/>
      <c r="L78" s="8"/>
    </row>
    <row r="79" spans="1:12" x14ac:dyDescent="0.25">
      <c r="A79" s="44" t="s">
        <v>9</v>
      </c>
      <c r="B79" s="20">
        <v>4709930257948.1396</v>
      </c>
      <c r="C79" s="20">
        <v>5016645981365.1904</v>
      </c>
      <c r="D79" s="44">
        <f t="shared" si="0"/>
        <v>6.5121075391606791</v>
      </c>
      <c r="E79" s="39">
        <v>5</v>
      </c>
      <c r="F79" s="39">
        <v>2</v>
      </c>
      <c r="G79" s="39">
        <v>0</v>
      </c>
      <c r="H79" s="44">
        <f t="shared" si="1"/>
        <v>71.428571428571431</v>
      </c>
      <c r="I79" s="44">
        <f t="shared" si="2"/>
        <v>28.571428571428569</v>
      </c>
      <c r="J79" s="44"/>
      <c r="K79" s="44"/>
      <c r="L79" s="8"/>
    </row>
    <row r="80" spans="1:12" x14ac:dyDescent="0.25">
      <c r="A80" s="44" t="s">
        <v>3262</v>
      </c>
      <c r="B80" s="20">
        <v>1884066896363.95</v>
      </c>
      <c r="C80" s="20">
        <v>1995216848144.25</v>
      </c>
      <c r="D80" s="44">
        <f t="shared" si="0"/>
        <v>5.8994694930847578</v>
      </c>
      <c r="E80" s="39">
        <v>5</v>
      </c>
      <c r="F80" s="39">
        <v>2</v>
      </c>
      <c r="G80" s="39">
        <v>0</v>
      </c>
      <c r="H80" s="44">
        <f t="shared" si="1"/>
        <v>71.428571428571431</v>
      </c>
      <c r="I80" s="44">
        <f t="shared" si="2"/>
        <v>28.571428571428569</v>
      </c>
      <c r="J80" s="44"/>
      <c r="K80" s="44"/>
      <c r="L80" s="8"/>
    </row>
    <row r="81" spans="1:13" x14ac:dyDescent="0.25">
      <c r="A81" s="44" t="s">
        <v>1351</v>
      </c>
      <c r="B81" s="20">
        <v>214920966657.21002</v>
      </c>
      <c r="C81" s="20">
        <v>224471835970.25</v>
      </c>
      <c r="D81" s="44">
        <f t="shared" si="0"/>
        <v>4.4438983602159281</v>
      </c>
      <c r="E81" s="39">
        <v>5</v>
      </c>
      <c r="F81" s="39">
        <v>2</v>
      </c>
      <c r="G81" s="39">
        <v>0</v>
      </c>
      <c r="H81" s="44">
        <f t="shared" si="1"/>
        <v>71.428571428571431</v>
      </c>
      <c r="I81" s="44">
        <f t="shared" si="2"/>
        <v>28.571428571428569</v>
      </c>
      <c r="J81" s="44"/>
      <c r="K81" s="44"/>
      <c r="L81" s="8"/>
    </row>
    <row r="82" spans="1:13" x14ac:dyDescent="0.25">
      <c r="A82" s="44" t="s">
        <v>3402</v>
      </c>
      <c r="B82" s="20">
        <v>8259116105110.2305</v>
      </c>
      <c r="C82" s="20">
        <v>8541326262825.5596</v>
      </c>
      <c r="D82" s="44">
        <f t="shared" si="0"/>
        <v>3.4169535108086797</v>
      </c>
      <c r="E82" s="39">
        <v>5</v>
      </c>
      <c r="F82" s="39">
        <v>2</v>
      </c>
      <c r="G82" s="39">
        <v>0</v>
      </c>
      <c r="H82" s="44">
        <f t="shared" si="1"/>
        <v>71.428571428571431</v>
      </c>
      <c r="I82" s="44">
        <f t="shared" si="2"/>
        <v>28.571428571428569</v>
      </c>
      <c r="J82" s="44"/>
      <c r="K82" s="44"/>
      <c r="L82" s="8"/>
    </row>
    <row r="83" spans="1:13" x14ac:dyDescent="0.25">
      <c r="A83" s="44" t="s">
        <v>204</v>
      </c>
      <c r="B83" s="20">
        <v>1607561250745.1204</v>
      </c>
      <c r="C83" s="20">
        <v>1566077744678.8003</v>
      </c>
      <c r="D83" s="44">
        <f t="shared" si="0"/>
        <v>-2.5805241353691537</v>
      </c>
      <c r="E83" s="39">
        <v>10</v>
      </c>
      <c r="F83" s="39">
        <v>4</v>
      </c>
      <c r="G83" s="39">
        <v>0</v>
      </c>
      <c r="H83" s="44">
        <f t="shared" si="1"/>
        <v>71.428571428571431</v>
      </c>
      <c r="I83" s="44">
        <f t="shared" si="2"/>
        <v>28.571428571428569</v>
      </c>
      <c r="J83" s="44"/>
      <c r="K83" s="44"/>
      <c r="L83" s="8"/>
    </row>
    <row r="84" spans="1:13" x14ac:dyDescent="0.25">
      <c r="A84" s="44" t="s">
        <v>2297</v>
      </c>
      <c r="B84" s="20">
        <v>1810755929624.8596</v>
      </c>
      <c r="C84" s="20">
        <v>1952791541894.47</v>
      </c>
      <c r="D84" s="44">
        <f t="shared" si="0"/>
        <v>7.8439954245537864</v>
      </c>
      <c r="E84" s="39">
        <v>79</v>
      </c>
      <c r="F84" s="39">
        <v>25</v>
      </c>
      <c r="G84" s="39">
        <v>8</v>
      </c>
      <c r="H84" s="44">
        <f t="shared" si="1"/>
        <v>70.535714285714292</v>
      </c>
      <c r="I84" s="44">
        <f t="shared" si="2"/>
        <v>22.321428571428573</v>
      </c>
      <c r="J84" s="44"/>
      <c r="K84" s="44"/>
      <c r="L84" s="8"/>
      <c r="M84" s="8"/>
    </row>
    <row r="85" spans="1:13" x14ac:dyDescent="0.25">
      <c r="A85" s="44" t="s">
        <v>56</v>
      </c>
      <c r="B85" s="20">
        <v>19240450459.110004</v>
      </c>
      <c r="C85" s="20">
        <v>22856806882.34</v>
      </c>
      <c r="D85" s="44">
        <f t="shared" si="0"/>
        <v>18.795591251439316</v>
      </c>
      <c r="E85" s="39">
        <v>7</v>
      </c>
      <c r="F85" s="39">
        <v>3</v>
      </c>
      <c r="G85" s="39">
        <v>0</v>
      </c>
      <c r="H85" s="44">
        <f t="shared" si="1"/>
        <v>70</v>
      </c>
      <c r="I85" s="44">
        <f t="shared" si="2"/>
        <v>30</v>
      </c>
      <c r="J85" s="44"/>
      <c r="K85" s="44"/>
      <c r="L85" s="8"/>
    </row>
    <row r="86" spans="1:13" x14ac:dyDescent="0.25">
      <c r="A86" s="44" t="s">
        <v>3369</v>
      </c>
      <c r="B86" s="20">
        <v>58887065447.279999</v>
      </c>
      <c r="C86" s="20">
        <v>61830600268.699997</v>
      </c>
      <c r="D86" s="44">
        <f t="shared" si="0"/>
        <v>4.9986101346063263</v>
      </c>
      <c r="E86" s="39">
        <v>14</v>
      </c>
      <c r="F86" s="39">
        <v>4</v>
      </c>
      <c r="G86" s="39">
        <v>2</v>
      </c>
      <c r="H86" s="44">
        <f t="shared" si="1"/>
        <v>70</v>
      </c>
      <c r="I86" s="44">
        <f t="shared" si="2"/>
        <v>20</v>
      </c>
      <c r="J86" s="44"/>
      <c r="K86" s="44"/>
      <c r="L86" s="8"/>
    </row>
    <row r="87" spans="1:13" x14ac:dyDescent="0.25">
      <c r="A87" s="44" t="s">
        <v>2755</v>
      </c>
      <c r="B87" s="20">
        <v>4522178860422.7598</v>
      </c>
      <c r="C87" s="20">
        <v>4305345593361.7104</v>
      </c>
      <c r="D87" s="44">
        <f t="shared" si="0"/>
        <v>-4.7948848056128961</v>
      </c>
      <c r="E87" s="39">
        <v>29</v>
      </c>
      <c r="F87" s="39">
        <v>13</v>
      </c>
      <c r="G87" s="39">
        <v>0</v>
      </c>
      <c r="H87" s="44">
        <f t="shared" si="1"/>
        <v>69.047619047619051</v>
      </c>
      <c r="I87" s="44">
        <f t="shared" si="2"/>
        <v>30.952380952380953</v>
      </c>
      <c r="J87" s="44"/>
      <c r="K87" s="44"/>
      <c r="L87" s="8"/>
    </row>
    <row r="88" spans="1:13" x14ac:dyDescent="0.25">
      <c r="A88" s="44" t="s">
        <v>1793</v>
      </c>
      <c r="B88" s="20">
        <v>1290311776477.9797</v>
      </c>
      <c r="C88" s="20">
        <v>1518253223435.8594</v>
      </c>
      <c r="D88" s="44">
        <f t="shared" si="0"/>
        <v>17.665610057444102</v>
      </c>
      <c r="E88" s="39">
        <v>156</v>
      </c>
      <c r="F88" s="39">
        <v>60</v>
      </c>
      <c r="G88" s="39">
        <v>11</v>
      </c>
      <c r="H88" s="44">
        <f t="shared" si="1"/>
        <v>68.722466960352421</v>
      </c>
      <c r="I88" s="44">
        <f t="shared" si="2"/>
        <v>26.431718061674008</v>
      </c>
      <c r="J88" s="70" t="s">
        <v>4373</v>
      </c>
      <c r="K88" s="67"/>
      <c r="L88" s="8"/>
    </row>
    <row r="89" spans="1:13" x14ac:dyDescent="0.25">
      <c r="A89" s="44" t="s">
        <v>13</v>
      </c>
      <c r="B89" s="20">
        <v>10360582401136.416</v>
      </c>
      <c r="C89" s="20">
        <v>10296333701151.738</v>
      </c>
      <c r="D89" s="44">
        <f t="shared" si="0"/>
        <v>-0.62012633553911523</v>
      </c>
      <c r="E89" s="39">
        <v>189</v>
      </c>
      <c r="F89" s="39">
        <v>66</v>
      </c>
      <c r="G89" s="39">
        <v>22</v>
      </c>
      <c r="H89" s="44">
        <f t="shared" si="1"/>
        <v>68.231046931407946</v>
      </c>
      <c r="I89" s="44">
        <f t="shared" si="2"/>
        <v>23.826714801444044</v>
      </c>
      <c r="J89" s="44"/>
      <c r="K89" s="44"/>
      <c r="L89" s="8"/>
    </row>
    <row r="90" spans="1:13" x14ac:dyDescent="0.25">
      <c r="A90" s="44" t="s">
        <v>376</v>
      </c>
      <c r="B90" s="20">
        <v>5927934594681.0215</v>
      </c>
      <c r="C90" s="20">
        <v>6106009650620.3311</v>
      </c>
      <c r="D90" s="44">
        <f t="shared" si="0"/>
        <v>3.0039983251348894</v>
      </c>
      <c r="E90" s="39">
        <v>74</v>
      </c>
      <c r="F90" s="39">
        <v>34</v>
      </c>
      <c r="G90" s="39">
        <v>1</v>
      </c>
      <c r="H90" s="44">
        <f t="shared" si="1"/>
        <v>67.889908256880744</v>
      </c>
      <c r="I90" s="44">
        <f t="shared" si="2"/>
        <v>31.192660550458719</v>
      </c>
      <c r="J90" s="44"/>
      <c r="K90" s="44"/>
      <c r="L90" s="8"/>
    </row>
    <row r="91" spans="1:13" x14ac:dyDescent="0.25">
      <c r="A91" s="44" t="s">
        <v>15</v>
      </c>
      <c r="B91" s="20">
        <v>15119992491516.658</v>
      </c>
      <c r="C91" s="20">
        <v>16155091707842.27</v>
      </c>
      <c r="D91" s="44">
        <f t="shared" si="0"/>
        <v>6.8458976874913935</v>
      </c>
      <c r="E91" s="39">
        <v>111</v>
      </c>
      <c r="F91" s="39">
        <v>52</v>
      </c>
      <c r="G91" s="39">
        <v>1</v>
      </c>
      <c r="H91" s="44">
        <f t="shared" si="1"/>
        <v>67.682926829268297</v>
      </c>
      <c r="I91" s="44">
        <f t="shared" si="2"/>
        <v>31.707317073170731</v>
      </c>
      <c r="J91" s="70" t="s">
        <v>4374</v>
      </c>
      <c r="K91" s="67"/>
      <c r="L91" s="8"/>
    </row>
    <row r="92" spans="1:13" x14ac:dyDescent="0.25">
      <c r="A92" s="44" t="s">
        <v>3110</v>
      </c>
      <c r="B92" s="20">
        <v>1551861213078.3899</v>
      </c>
      <c r="C92" s="20">
        <v>1613063626689.2595</v>
      </c>
      <c r="D92" s="44">
        <f t="shared" si="0"/>
        <v>3.9438071584677257</v>
      </c>
      <c r="E92" s="39">
        <v>27</v>
      </c>
      <c r="F92" s="39">
        <v>12</v>
      </c>
      <c r="G92" s="39">
        <v>1</v>
      </c>
      <c r="H92" s="44">
        <f t="shared" si="1"/>
        <v>67.5</v>
      </c>
      <c r="I92" s="44">
        <f t="shared" si="2"/>
        <v>30</v>
      </c>
      <c r="J92" s="70" t="s">
        <v>4375</v>
      </c>
      <c r="K92" s="67"/>
      <c r="L92" s="8"/>
    </row>
    <row r="93" spans="1:13" x14ac:dyDescent="0.25">
      <c r="A93" s="44" t="s">
        <v>3690</v>
      </c>
      <c r="B93" s="20">
        <v>193521166723.04999</v>
      </c>
      <c r="C93" s="20">
        <v>239801679052.50003</v>
      </c>
      <c r="D93" s="44">
        <f t="shared" si="0"/>
        <v>23.914961403515374</v>
      </c>
      <c r="E93" s="39">
        <v>2</v>
      </c>
      <c r="F93" s="39">
        <v>1</v>
      </c>
      <c r="G93" s="39">
        <v>0</v>
      </c>
      <c r="H93" s="44">
        <f t="shared" si="1"/>
        <v>66.666666666666657</v>
      </c>
      <c r="I93" s="44">
        <f t="shared" si="2"/>
        <v>33.333333333333329</v>
      </c>
      <c r="J93" s="44"/>
      <c r="K93" s="44"/>
      <c r="L93" s="8"/>
    </row>
    <row r="94" spans="1:13" x14ac:dyDescent="0.25">
      <c r="A94" s="44" t="s">
        <v>52</v>
      </c>
      <c r="B94" s="20">
        <v>779368321405.1001</v>
      </c>
      <c r="C94" s="20">
        <v>943739126576.58008</v>
      </c>
      <c r="D94" s="44">
        <f t="shared" si="0"/>
        <v>21.090259978124426</v>
      </c>
      <c r="E94" s="39">
        <v>2</v>
      </c>
      <c r="F94" s="39">
        <v>1</v>
      </c>
      <c r="G94" s="39">
        <v>0</v>
      </c>
      <c r="H94" s="44">
        <f t="shared" si="1"/>
        <v>66.666666666666657</v>
      </c>
      <c r="I94" s="44">
        <f t="shared" si="2"/>
        <v>33.333333333333329</v>
      </c>
      <c r="J94" s="44"/>
      <c r="K94" s="44"/>
      <c r="L94" s="8"/>
    </row>
    <row r="95" spans="1:13" x14ac:dyDescent="0.25">
      <c r="A95" s="44" t="s">
        <v>3312</v>
      </c>
      <c r="B95" s="20">
        <v>237516204588.89999</v>
      </c>
      <c r="C95" s="20">
        <v>278556839541.84998</v>
      </c>
      <c r="D95" s="44">
        <f t="shared" si="0"/>
        <v>17.279088399035476</v>
      </c>
      <c r="E95" s="39">
        <v>8</v>
      </c>
      <c r="F95" s="39">
        <v>4</v>
      </c>
      <c r="G95" s="39">
        <v>0</v>
      </c>
      <c r="H95" s="44">
        <f t="shared" si="1"/>
        <v>66.666666666666657</v>
      </c>
      <c r="I95" s="44">
        <f t="shared" si="2"/>
        <v>33.333333333333329</v>
      </c>
      <c r="J95" s="44"/>
      <c r="K95" s="44"/>
      <c r="L95" s="8"/>
    </row>
    <row r="96" spans="1:13" x14ac:dyDescent="0.25">
      <c r="A96" s="44" t="s">
        <v>324</v>
      </c>
      <c r="B96" s="20">
        <v>430533924873.09998</v>
      </c>
      <c r="C96" s="20">
        <v>482374034928.20001</v>
      </c>
      <c r="D96" s="44">
        <f t="shared" si="0"/>
        <v>12.04088854795355</v>
      </c>
      <c r="E96" s="39">
        <v>4</v>
      </c>
      <c r="F96" s="39">
        <v>2</v>
      </c>
      <c r="G96" s="39">
        <v>0</v>
      </c>
      <c r="H96" s="44">
        <f t="shared" si="1"/>
        <v>66.666666666666657</v>
      </c>
      <c r="I96" s="44">
        <f t="shared" si="2"/>
        <v>33.333333333333329</v>
      </c>
      <c r="J96" s="44"/>
      <c r="K96" s="44"/>
      <c r="L96" s="8"/>
    </row>
    <row r="97" spans="1:12" x14ac:dyDescent="0.25">
      <c r="A97" s="44" t="s">
        <v>1606</v>
      </c>
      <c r="B97" s="20">
        <v>269787008487.97</v>
      </c>
      <c r="C97" s="20">
        <v>297739954302.60999</v>
      </c>
      <c r="D97" s="44">
        <f t="shared" si="0"/>
        <v>10.361116338145106</v>
      </c>
      <c r="E97" s="39">
        <v>6</v>
      </c>
      <c r="F97" s="39">
        <v>2</v>
      </c>
      <c r="G97" s="39">
        <v>1</v>
      </c>
      <c r="H97" s="44">
        <f t="shared" si="1"/>
        <v>66.666666666666657</v>
      </c>
      <c r="I97" s="44">
        <f t="shared" si="2"/>
        <v>22.222222222222221</v>
      </c>
      <c r="J97" s="44"/>
      <c r="K97" s="44"/>
      <c r="L97" s="8"/>
    </row>
    <row r="98" spans="1:12" x14ac:dyDescent="0.25">
      <c r="A98" s="44" t="s">
        <v>985</v>
      </c>
      <c r="B98" s="20">
        <v>3084194005693.8696</v>
      </c>
      <c r="C98" s="20">
        <v>3369709569091.8501</v>
      </c>
      <c r="D98" s="44">
        <f t="shared" si="0"/>
        <v>9.257380141160942</v>
      </c>
      <c r="E98" s="39">
        <v>16</v>
      </c>
      <c r="F98" s="39">
        <v>8</v>
      </c>
      <c r="G98" s="39">
        <v>0</v>
      </c>
      <c r="H98" s="44">
        <f t="shared" si="1"/>
        <v>66.666666666666657</v>
      </c>
      <c r="I98" s="44">
        <f t="shared" si="2"/>
        <v>33.333333333333329</v>
      </c>
      <c r="J98" s="44"/>
      <c r="K98" s="44"/>
      <c r="L98" s="8"/>
    </row>
    <row r="99" spans="1:12" x14ac:dyDescent="0.25">
      <c r="A99" s="44" t="s">
        <v>2892</v>
      </c>
      <c r="B99" s="20">
        <v>3330663349019.6499</v>
      </c>
      <c r="C99" s="20">
        <v>3586009202469.5</v>
      </c>
      <c r="D99" s="44">
        <f t="shared" si="0"/>
        <v>7.6665164470918024</v>
      </c>
      <c r="E99" s="39">
        <v>2</v>
      </c>
      <c r="F99" s="39">
        <v>1</v>
      </c>
      <c r="G99" s="39">
        <v>0</v>
      </c>
      <c r="H99" s="44">
        <f t="shared" si="1"/>
        <v>66.666666666666657</v>
      </c>
      <c r="I99" s="44">
        <f t="shared" si="2"/>
        <v>33.333333333333329</v>
      </c>
      <c r="J99" s="44"/>
      <c r="K99" s="44"/>
      <c r="L99" s="8"/>
    </row>
    <row r="100" spans="1:12" x14ac:dyDescent="0.25">
      <c r="A100" s="44" t="s">
        <v>4057</v>
      </c>
      <c r="B100" s="20">
        <v>11514627262.6</v>
      </c>
      <c r="C100" s="20">
        <v>12122056245.4</v>
      </c>
      <c r="D100" s="44">
        <f t="shared" si="0"/>
        <v>5.2752813351844612</v>
      </c>
      <c r="E100" s="39">
        <v>2</v>
      </c>
      <c r="F100" s="39">
        <v>1</v>
      </c>
      <c r="G100" s="39">
        <v>0</v>
      </c>
      <c r="H100" s="44">
        <f t="shared" si="1"/>
        <v>66.666666666666657</v>
      </c>
      <c r="I100" s="44">
        <f t="shared" si="2"/>
        <v>33.333333333333329</v>
      </c>
      <c r="J100" s="44"/>
      <c r="K100" s="44"/>
      <c r="L100" s="8"/>
    </row>
    <row r="101" spans="1:12" x14ac:dyDescent="0.25">
      <c r="A101" s="44" t="s">
        <v>2671</v>
      </c>
      <c r="B101" s="20">
        <v>494086075886.32001</v>
      </c>
      <c r="C101" s="20">
        <v>512732516923.57001</v>
      </c>
      <c r="D101" s="44">
        <f t="shared" si="0"/>
        <v>3.7739256269873502</v>
      </c>
      <c r="E101" s="39">
        <v>8</v>
      </c>
      <c r="F101" s="39">
        <v>4</v>
      </c>
      <c r="G101" s="39">
        <v>0</v>
      </c>
      <c r="H101" s="44">
        <f t="shared" si="1"/>
        <v>66.666666666666657</v>
      </c>
      <c r="I101" s="44">
        <f t="shared" si="2"/>
        <v>33.333333333333329</v>
      </c>
      <c r="J101" s="44"/>
      <c r="K101" s="44"/>
      <c r="L101" s="8"/>
    </row>
    <row r="102" spans="1:12" x14ac:dyDescent="0.25">
      <c r="A102" s="44" t="s">
        <v>850</v>
      </c>
      <c r="B102" s="20">
        <v>504025703777.53003</v>
      </c>
      <c r="C102" s="20">
        <v>518212360560.65002</v>
      </c>
      <c r="D102" s="44">
        <f t="shared" si="0"/>
        <v>2.8146693069014175</v>
      </c>
      <c r="E102" s="39">
        <v>4</v>
      </c>
      <c r="F102" s="39">
        <v>2</v>
      </c>
      <c r="G102" s="39">
        <v>0</v>
      </c>
      <c r="H102" s="44">
        <f t="shared" si="1"/>
        <v>66.666666666666657</v>
      </c>
      <c r="I102" s="44">
        <f t="shared" si="2"/>
        <v>33.333333333333329</v>
      </c>
      <c r="J102" s="44"/>
      <c r="K102" s="44"/>
      <c r="L102" s="8"/>
    </row>
    <row r="103" spans="1:12" x14ac:dyDescent="0.25">
      <c r="A103" s="44" t="s">
        <v>2522</v>
      </c>
      <c r="B103" s="20">
        <v>363579147883.11005</v>
      </c>
      <c r="C103" s="20">
        <v>372130478851.97998</v>
      </c>
      <c r="D103" s="44">
        <f t="shared" si="0"/>
        <v>2.3519860857419603</v>
      </c>
      <c r="E103" s="39">
        <v>8</v>
      </c>
      <c r="F103" s="39">
        <v>4</v>
      </c>
      <c r="G103" s="39">
        <v>0</v>
      </c>
      <c r="H103" s="44">
        <f t="shared" si="1"/>
        <v>66.666666666666657</v>
      </c>
      <c r="I103" s="44">
        <f t="shared" si="2"/>
        <v>33.333333333333329</v>
      </c>
      <c r="J103" s="44"/>
      <c r="K103" s="44"/>
      <c r="L103" s="8"/>
    </row>
    <row r="104" spans="1:12" x14ac:dyDescent="0.25">
      <c r="A104" s="44" t="s">
        <v>3639</v>
      </c>
      <c r="B104" s="20">
        <v>3764943047.5200005</v>
      </c>
      <c r="C104" s="20">
        <v>3790294010.1799998</v>
      </c>
      <c r="D104" s="44">
        <f t="shared" si="0"/>
        <v>0.67334252709873688</v>
      </c>
      <c r="E104" s="39">
        <v>2</v>
      </c>
      <c r="F104" s="39">
        <v>1</v>
      </c>
      <c r="G104" s="39">
        <v>0</v>
      </c>
      <c r="H104" s="44">
        <f t="shared" si="1"/>
        <v>66.666666666666657</v>
      </c>
      <c r="I104" s="44">
        <f t="shared" si="2"/>
        <v>33.333333333333329</v>
      </c>
      <c r="J104" s="44"/>
      <c r="K104" s="44"/>
      <c r="L104" s="8"/>
    </row>
    <row r="105" spans="1:12" x14ac:dyDescent="0.25">
      <c r="A105" s="44" t="s">
        <v>41</v>
      </c>
      <c r="B105" s="20">
        <v>497824546719.90002</v>
      </c>
      <c r="C105" s="20">
        <v>498664642880</v>
      </c>
      <c r="D105" s="44">
        <f t="shared" si="0"/>
        <v>0.16875346256733581</v>
      </c>
      <c r="E105" s="39">
        <v>2</v>
      </c>
      <c r="F105" s="39">
        <v>1</v>
      </c>
      <c r="G105" s="39">
        <v>0</v>
      </c>
      <c r="H105" s="44">
        <f t="shared" si="1"/>
        <v>66.666666666666657</v>
      </c>
      <c r="I105" s="44">
        <f t="shared" si="2"/>
        <v>33.333333333333329</v>
      </c>
      <c r="J105" s="44"/>
      <c r="K105" s="44"/>
      <c r="L105" s="8"/>
    </row>
    <row r="106" spans="1:12" x14ac:dyDescent="0.25">
      <c r="A106" s="44" t="s">
        <v>3232</v>
      </c>
      <c r="B106" s="20">
        <v>1131223107633.21</v>
      </c>
      <c r="C106" s="20">
        <v>1124829430469.4399</v>
      </c>
      <c r="D106" s="44">
        <f t="shared" si="0"/>
        <v>-0.56520036769290594</v>
      </c>
      <c r="E106" s="39">
        <v>22</v>
      </c>
      <c r="F106" s="39">
        <v>11</v>
      </c>
      <c r="G106" s="39">
        <v>0</v>
      </c>
      <c r="H106" s="44">
        <f t="shared" si="1"/>
        <v>66.666666666666657</v>
      </c>
      <c r="I106" s="44">
        <f t="shared" si="2"/>
        <v>33.333333333333329</v>
      </c>
      <c r="J106" s="44"/>
      <c r="K106" s="44"/>
      <c r="L106" s="8"/>
    </row>
    <row r="107" spans="1:12" x14ac:dyDescent="0.25">
      <c r="A107" s="44" t="s">
        <v>96</v>
      </c>
      <c r="B107" s="20">
        <v>30294715457.139999</v>
      </c>
      <c r="C107" s="20">
        <v>29486516276.299999</v>
      </c>
      <c r="D107" s="44">
        <f t="shared" si="0"/>
        <v>-2.6677893112526991</v>
      </c>
      <c r="E107" s="39">
        <v>2</v>
      </c>
      <c r="F107" s="39">
        <v>1</v>
      </c>
      <c r="G107" s="39">
        <v>0</v>
      </c>
      <c r="H107" s="44">
        <f t="shared" si="1"/>
        <v>66.666666666666657</v>
      </c>
      <c r="I107" s="44">
        <f t="shared" si="2"/>
        <v>33.333333333333329</v>
      </c>
      <c r="J107" s="44"/>
      <c r="K107" s="44"/>
      <c r="L107" s="8"/>
    </row>
    <row r="108" spans="1:12" x14ac:dyDescent="0.25">
      <c r="A108" s="44" t="s">
        <v>4036</v>
      </c>
      <c r="B108" s="20">
        <v>176497722909.03003</v>
      </c>
      <c r="C108" s="20">
        <v>183788348726.70999</v>
      </c>
      <c r="D108" s="44">
        <f t="shared" si="0"/>
        <v>4.1307194775751732</v>
      </c>
      <c r="E108" s="39">
        <v>17</v>
      </c>
      <c r="F108" s="39">
        <v>8</v>
      </c>
      <c r="G108" s="39">
        <v>1</v>
      </c>
      <c r="H108" s="44">
        <f t="shared" si="1"/>
        <v>65.384615384615387</v>
      </c>
      <c r="I108" s="44">
        <f t="shared" si="2"/>
        <v>30.76923076923077</v>
      </c>
      <c r="J108" s="44"/>
      <c r="K108" s="44"/>
      <c r="L108" s="8"/>
    </row>
    <row r="109" spans="1:12" x14ac:dyDescent="0.25">
      <c r="A109" s="44" t="s">
        <v>1807</v>
      </c>
      <c r="B109" s="20">
        <v>1925021485326.98</v>
      </c>
      <c r="C109" s="20">
        <v>1920245188098.8801</v>
      </c>
      <c r="D109" s="44">
        <f t="shared" si="0"/>
        <v>-0.24811656724384881</v>
      </c>
      <c r="E109" s="39">
        <v>13</v>
      </c>
      <c r="F109" s="39">
        <v>7</v>
      </c>
      <c r="G109" s="39">
        <v>0</v>
      </c>
      <c r="H109" s="44">
        <f t="shared" si="1"/>
        <v>65</v>
      </c>
      <c r="I109" s="44">
        <f t="shared" si="2"/>
        <v>35</v>
      </c>
      <c r="J109" s="70" t="s">
        <v>4376</v>
      </c>
      <c r="K109" s="67"/>
      <c r="L109" s="8"/>
    </row>
    <row r="110" spans="1:12" x14ac:dyDescent="0.25">
      <c r="A110" s="44" t="s">
        <v>4094</v>
      </c>
      <c r="B110" s="20">
        <v>51416761852.539993</v>
      </c>
      <c r="C110" s="20">
        <v>50363721434.420006</v>
      </c>
      <c r="D110" s="44">
        <f t="shared" si="0"/>
        <v>-2.048048885575565</v>
      </c>
      <c r="E110" s="39">
        <v>13</v>
      </c>
      <c r="F110" s="39">
        <v>5</v>
      </c>
      <c r="G110" s="39">
        <v>2</v>
      </c>
      <c r="H110" s="44">
        <f t="shared" si="1"/>
        <v>65</v>
      </c>
      <c r="I110" s="44">
        <f t="shared" si="2"/>
        <v>25</v>
      </c>
      <c r="J110" s="44"/>
      <c r="K110" s="44"/>
      <c r="L110" s="8"/>
    </row>
    <row r="111" spans="1:12" x14ac:dyDescent="0.25">
      <c r="A111" s="44" t="s">
        <v>356</v>
      </c>
      <c r="B111" s="20">
        <v>4130304420409.0508</v>
      </c>
      <c r="C111" s="20">
        <v>4186819202561.1201</v>
      </c>
      <c r="D111" s="44">
        <f t="shared" si="0"/>
        <v>1.3682958058203445</v>
      </c>
      <c r="E111" s="39">
        <v>50</v>
      </c>
      <c r="F111" s="39">
        <v>21</v>
      </c>
      <c r="G111" s="39">
        <v>6</v>
      </c>
      <c r="H111" s="44">
        <f t="shared" si="1"/>
        <v>64.935064935064929</v>
      </c>
      <c r="I111" s="44">
        <f t="shared" si="2"/>
        <v>27.27272727272727</v>
      </c>
      <c r="J111" s="70" t="s">
        <v>4377</v>
      </c>
      <c r="K111" s="67"/>
      <c r="L111" s="67"/>
    </row>
    <row r="112" spans="1:12" x14ac:dyDescent="0.25">
      <c r="A112" s="44" t="s">
        <v>1907</v>
      </c>
      <c r="B112" s="20">
        <v>1018164749801.14</v>
      </c>
      <c r="C112" s="20">
        <v>1052957415591.1399</v>
      </c>
      <c r="D112" s="44">
        <f t="shared" si="0"/>
        <v>3.4171941030953299</v>
      </c>
      <c r="E112" s="39">
        <v>9</v>
      </c>
      <c r="F112" s="39">
        <v>5</v>
      </c>
      <c r="G112" s="39">
        <v>0</v>
      </c>
      <c r="H112" s="44">
        <f t="shared" si="1"/>
        <v>64.285714285714292</v>
      </c>
      <c r="I112" s="44">
        <f t="shared" si="2"/>
        <v>35.714285714285715</v>
      </c>
      <c r="J112" s="44"/>
      <c r="K112" s="44"/>
      <c r="L112" s="8"/>
    </row>
    <row r="113" spans="1:12" x14ac:dyDescent="0.25">
      <c r="A113" s="44" t="s">
        <v>3561</v>
      </c>
      <c r="B113" s="20">
        <v>395937958342.34998</v>
      </c>
      <c r="C113" s="20">
        <v>417448986049.15997</v>
      </c>
      <c r="D113" s="44">
        <f t="shared" si="0"/>
        <v>5.4329288853407594</v>
      </c>
      <c r="E113" s="39">
        <v>31</v>
      </c>
      <c r="F113" s="39">
        <v>16</v>
      </c>
      <c r="G113" s="39">
        <v>2</v>
      </c>
      <c r="H113" s="44">
        <f t="shared" si="1"/>
        <v>63.265306122448983</v>
      </c>
      <c r="I113" s="44">
        <f t="shared" si="2"/>
        <v>32.653061224489797</v>
      </c>
      <c r="J113" s="44"/>
      <c r="K113" s="44"/>
      <c r="L113" s="8"/>
    </row>
    <row r="114" spans="1:12" x14ac:dyDescent="0.25">
      <c r="A114" s="44" t="s">
        <v>206</v>
      </c>
      <c r="B114" s="20">
        <v>1228686812595.4099</v>
      </c>
      <c r="C114" s="20">
        <v>1224972871165.8899</v>
      </c>
      <c r="D114" s="44">
        <f t="shared" si="0"/>
        <v>-0.3022691699339472</v>
      </c>
      <c r="E114" s="39">
        <v>22</v>
      </c>
      <c r="F114" s="39">
        <v>13</v>
      </c>
      <c r="G114" s="39">
        <v>0</v>
      </c>
      <c r="H114" s="44">
        <f t="shared" si="1"/>
        <v>62.857142857142854</v>
      </c>
      <c r="I114" s="44">
        <f t="shared" si="2"/>
        <v>37.142857142857146</v>
      </c>
      <c r="J114" s="44"/>
      <c r="K114" s="44"/>
      <c r="L114" s="8"/>
    </row>
    <row r="115" spans="1:12" x14ac:dyDescent="0.25">
      <c r="A115" s="44" t="s">
        <v>2951</v>
      </c>
      <c r="B115" s="20">
        <v>405544468261.38</v>
      </c>
      <c r="C115" s="20">
        <v>486481323966.03003</v>
      </c>
      <c r="D115" s="44">
        <f t="shared" si="0"/>
        <v>19.957578524406085</v>
      </c>
      <c r="E115" s="39">
        <v>130</v>
      </c>
      <c r="F115" s="39">
        <v>48</v>
      </c>
      <c r="G115" s="39">
        <v>30</v>
      </c>
      <c r="H115" s="44">
        <f t="shared" si="1"/>
        <v>62.5</v>
      </c>
      <c r="I115" s="44">
        <f t="shared" si="2"/>
        <v>23.076923076923077</v>
      </c>
      <c r="J115" s="44"/>
      <c r="K115" s="44"/>
      <c r="L115" s="8"/>
    </row>
    <row r="116" spans="1:12" x14ac:dyDescent="0.25">
      <c r="A116" s="44" t="s">
        <v>1171</v>
      </c>
      <c r="B116" s="20">
        <v>889044663342.29016</v>
      </c>
      <c r="C116" s="20">
        <v>850049149532.03003</v>
      </c>
      <c r="D116" s="44">
        <f t="shared" si="0"/>
        <v>-4.3862266338408364</v>
      </c>
      <c r="E116" s="39">
        <v>77</v>
      </c>
      <c r="F116" s="39">
        <v>27</v>
      </c>
      <c r="G116" s="39">
        <v>21</v>
      </c>
      <c r="H116" s="44">
        <f t="shared" si="1"/>
        <v>61.6</v>
      </c>
      <c r="I116" s="44">
        <f t="shared" si="2"/>
        <v>21.6</v>
      </c>
      <c r="J116" s="44"/>
      <c r="K116" s="44"/>
      <c r="L116" s="8"/>
    </row>
    <row r="117" spans="1:12" x14ac:dyDescent="0.25">
      <c r="A117" s="44" t="s">
        <v>2753</v>
      </c>
      <c r="B117" s="20">
        <v>1919528670849.0303</v>
      </c>
      <c r="C117" s="20">
        <v>1883568767012.25</v>
      </c>
      <c r="D117" s="44">
        <f t="shared" si="0"/>
        <v>-1.873371540779059</v>
      </c>
      <c r="E117" s="39">
        <v>38</v>
      </c>
      <c r="F117" s="39">
        <v>24</v>
      </c>
      <c r="G117" s="39">
        <v>0</v>
      </c>
      <c r="H117" s="44">
        <f t="shared" si="1"/>
        <v>61.29032258064516</v>
      </c>
      <c r="I117" s="44">
        <f t="shared" si="2"/>
        <v>38.70967741935484</v>
      </c>
      <c r="J117" s="70" t="s">
        <v>4378</v>
      </c>
      <c r="K117" s="67"/>
      <c r="L117" s="8"/>
    </row>
    <row r="118" spans="1:12" x14ac:dyDescent="0.25">
      <c r="A118" s="44" t="s">
        <v>3431</v>
      </c>
      <c r="B118" s="20">
        <v>4684681338510.8203</v>
      </c>
      <c r="C118" s="20">
        <v>4696961383153.6104</v>
      </c>
      <c r="D118" s="44">
        <f t="shared" si="0"/>
        <v>0.26213190941806203</v>
      </c>
      <c r="E118" s="39">
        <v>11</v>
      </c>
      <c r="F118" s="39">
        <v>6</v>
      </c>
      <c r="G118" s="39">
        <v>1</v>
      </c>
      <c r="H118" s="44">
        <f t="shared" si="1"/>
        <v>61.111111111111114</v>
      </c>
      <c r="I118" s="44">
        <f t="shared" si="2"/>
        <v>33.333333333333329</v>
      </c>
      <c r="J118" s="44"/>
      <c r="K118" s="44"/>
      <c r="L118" s="8"/>
    </row>
    <row r="119" spans="1:12" x14ac:dyDescent="0.25">
      <c r="A119" s="44" t="s">
        <v>1968</v>
      </c>
      <c r="B119" s="20">
        <v>33906690184758.402</v>
      </c>
      <c r="C119" s="20">
        <v>34511528760244.023</v>
      </c>
      <c r="D119" s="44">
        <f t="shared" si="0"/>
        <v>1.7838325480601043</v>
      </c>
      <c r="E119" s="39">
        <v>43</v>
      </c>
      <c r="F119" s="39">
        <v>26</v>
      </c>
      <c r="G119" s="39">
        <v>2</v>
      </c>
      <c r="H119" s="44">
        <f t="shared" si="1"/>
        <v>60.563380281690137</v>
      </c>
      <c r="I119" s="44">
        <f t="shared" si="2"/>
        <v>36.619718309859159</v>
      </c>
      <c r="J119" s="44"/>
      <c r="K119" s="44"/>
      <c r="L119" s="8"/>
    </row>
    <row r="120" spans="1:12" x14ac:dyDescent="0.25">
      <c r="A120" s="44" t="s">
        <v>2261</v>
      </c>
      <c r="B120" s="20">
        <v>131156819718.03</v>
      </c>
      <c r="C120" s="20">
        <v>145040219277.95001</v>
      </c>
      <c r="D120" s="44">
        <f t="shared" si="0"/>
        <v>10.585343247699591</v>
      </c>
      <c r="E120" s="39">
        <v>9</v>
      </c>
      <c r="F120" s="39">
        <v>6</v>
      </c>
      <c r="G120" s="39">
        <v>0</v>
      </c>
      <c r="H120" s="44">
        <f t="shared" si="1"/>
        <v>60</v>
      </c>
      <c r="I120" s="44">
        <f t="shared" si="2"/>
        <v>40</v>
      </c>
      <c r="J120" s="44"/>
      <c r="K120" s="44"/>
      <c r="L120" s="8"/>
    </row>
    <row r="121" spans="1:12" x14ac:dyDescent="0.25">
      <c r="A121" s="44" t="s">
        <v>3707</v>
      </c>
      <c r="B121" s="20">
        <v>222839763553.43997</v>
      </c>
      <c r="C121" s="20">
        <v>218892508606.37</v>
      </c>
      <c r="D121" s="44">
        <f t="shared" si="0"/>
        <v>-1.7713422793698899</v>
      </c>
      <c r="E121" s="39">
        <v>6</v>
      </c>
      <c r="F121" s="39">
        <v>4</v>
      </c>
      <c r="G121" s="39">
        <v>0</v>
      </c>
      <c r="H121" s="44">
        <f t="shared" si="1"/>
        <v>60</v>
      </c>
      <c r="I121" s="44">
        <f t="shared" si="2"/>
        <v>40</v>
      </c>
      <c r="J121" s="44"/>
      <c r="K121" s="44"/>
      <c r="L121" s="8"/>
    </row>
    <row r="122" spans="1:12" x14ac:dyDescent="0.25">
      <c r="A122" s="44" t="s">
        <v>3744</v>
      </c>
      <c r="B122" s="20">
        <v>1587928370506.3301</v>
      </c>
      <c r="C122" s="20">
        <v>1539404770756.3503</v>
      </c>
      <c r="D122" s="44">
        <f t="shared" si="0"/>
        <v>-3.0557801378979961</v>
      </c>
      <c r="E122" s="39">
        <v>33</v>
      </c>
      <c r="F122" s="39">
        <v>21</v>
      </c>
      <c r="G122" s="39">
        <v>2</v>
      </c>
      <c r="H122" s="44">
        <f t="shared" si="1"/>
        <v>58.928571428571431</v>
      </c>
      <c r="I122" s="44">
        <f t="shared" si="2"/>
        <v>37.5</v>
      </c>
      <c r="J122" s="44"/>
      <c r="K122" s="44"/>
      <c r="L122" s="8"/>
    </row>
    <row r="123" spans="1:12" x14ac:dyDescent="0.25">
      <c r="A123" s="44" t="s">
        <v>2346</v>
      </c>
      <c r="B123" s="20">
        <v>42461834838.130005</v>
      </c>
      <c r="C123" s="20">
        <v>43490850619.619995</v>
      </c>
      <c r="D123" s="44">
        <f t="shared" si="0"/>
        <v>2.4233898167913166</v>
      </c>
      <c r="E123" s="39">
        <v>14</v>
      </c>
      <c r="F123" s="39">
        <v>6</v>
      </c>
      <c r="G123" s="39">
        <v>4</v>
      </c>
      <c r="H123" s="44">
        <f t="shared" si="1"/>
        <v>58.333333333333336</v>
      </c>
      <c r="I123" s="44">
        <f t="shared" si="2"/>
        <v>25</v>
      </c>
      <c r="J123" s="44"/>
      <c r="K123" s="44"/>
      <c r="L123" s="8"/>
    </row>
    <row r="124" spans="1:12" x14ac:dyDescent="0.25">
      <c r="A124" s="44" t="s">
        <v>3140</v>
      </c>
      <c r="B124" s="20">
        <v>2713843450378.8906</v>
      </c>
      <c r="C124" s="20">
        <v>2554054210356.7002</v>
      </c>
      <c r="D124" s="44">
        <f t="shared" si="0"/>
        <v>-5.8879313764352039</v>
      </c>
      <c r="E124" s="39">
        <v>7</v>
      </c>
      <c r="F124" s="39">
        <v>5</v>
      </c>
      <c r="G124" s="39">
        <v>0</v>
      </c>
      <c r="H124" s="44">
        <f t="shared" si="1"/>
        <v>58.333333333333336</v>
      </c>
      <c r="I124" s="44">
        <f t="shared" si="2"/>
        <v>41.666666666666671</v>
      </c>
      <c r="J124" s="44"/>
      <c r="K124" s="44"/>
      <c r="L124" s="8"/>
    </row>
    <row r="125" spans="1:12" x14ac:dyDescent="0.25">
      <c r="A125" s="44" t="s">
        <v>2265</v>
      </c>
      <c r="B125" s="20">
        <v>140346416587.44</v>
      </c>
      <c r="C125" s="20">
        <v>145603998613.09998</v>
      </c>
      <c r="D125" s="44">
        <f t="shared" si="0"/>
        <v>3.7461462526079834</v>
      </c>
      <c r="E125" s="39">
        <v>4</v>
      </c>
      <c r="F125" s="39">
        <v>3</v>
      </c>
      <c r="G125" s="39">
        <v>0</v>
      </c>
      <c r="H125" s="44">
        <f t="shared" si="1"/>
        <v>57.142857142857139</v>
      </c>
      <c r="I125" s="44">
        <f t="shared" si="2"/>
        <v>42.857142857142854</v>
      </c>
      <c r="J125" s="70" t="s">
        <v>4379</v>
      </c>
      <c r="K125" s="67"/>
      <c r="L125" s="8"/>
    </row>
    <row r="126" spans="1:12" x14ac:dyDescent="0.25">
      <c r="A126" s="44" t="s">
        <v>2422</v>
      </c>
      <c r="B126" s="20">
        <v>532722204014.45001</v>
      </c>
      <c r="C126" s="20">
        <v>536264180509.62994</v>
      </c>
      <c r="D126" s="44">
        <f t="shared" si="0"/>
        <v>0.66488246003049201</v>
      </c>
      <c r="E126" s="39">
        <v>20</v>
      </c>
      <c r="F126" s="39">
        <v>15</v>
      </c>
      <c r="G126" s="39">
        <v>0</v>
      </c>
      <c r="H126" s="44">
        <f t="shared" si="1"/>
        <v>57.142857142857139</v>
      </c>
      <c r="I126" s="44">
        <f t="shared" si="2"/>
        <v>42.857142857142854</v>
      </c>
      <c r="J126" s="44"/>
      <c r="K126" s="44"/>
      <c r="L126" s="8"/>
    </row>
    <row r="127" spans="1:12" x14ac:dyDescent="0.25">
      <c r="A127" s="44" t="s">
        <v>295</v>
      </c>
      <c r="B127" s="20">
        <v>101465137443.35001</v>
      </c>
      <c r="C127" s="20">
        <v>101037112355.35001</v>
      </c>
      <c r="D127" s="44">
        <f t="shared" si="0"/>
        <v>-0.42184448647593353</v>
      </c>
      <c r="E127" s="39">
        <v>4</v>
      </c>
      <c r="F127" s="39">
        <v>3</v>
      </c>
      <c r="G127" s="39">
        <v>0</v>
      </c>
      <c r="H127" s="44">
        <f t="shared" si="1"/>
        <v>57.142857142857139</v>
      </c>
      <c r="I127" s="44">
        <f t="shared" si="2"/>
        <v>42.857142857142854</v>
      </c>
      <c r="J127" s="44"/>
      <c r="K127" s="44"/>
      <c r="L127" s="8"/>
    </row>
    <row r="128" spans="1:12" x14ac:dyDescent="0.25">
      <c r="A128" s="44" t="s">
        <v>3772</v>
      </c>
      <c r="B128" s="20">
        <v>860568542715.97998</v>
      </c>
      <c r="C128" s="20">
        <v>770741819483.44995</v>
      </c>
      <c r="D128" s="44">
        <f t="shared" si="0"/>
        <v>-10.438067251335287</v>
      </c>
      <c r="E128" s="39">
        <v>4</v>
      </c>
      <c r="F128" s="39">
        <v>3</v>
      </c>
      <c r="G128" s="39">
        <v>0</v>
      </c>
      <c r="H128" s="44">
        <f t="shared" si="1"/>
        <v>57.142857142857139</v>
      </c>
      <c r="I128" s="44">
        <f t="shared" si="2"/>
        <v>42.857142857142854</v>
      </c>
      <c r="J128" s="44"/>
      <c r="K128" s="44"/>
      <c r="L128" s="8"/>
    </row>
    <row r="129" spans="1:12" x14ac:dyDescent="0.25">
      <c r="A129" s="44" t="s">
        <v>2929</v>
      </c>
      <c r="B129" s="20">
        <v>441522933901.14996</v>
      </c>
      <c r="C129" s="20">
        <v>435411808193.06006</v>
      </c>
      <c r="D129" s="44">
        <f t="shared" si="0"/>
        <v>-1.3841015355859385</v>
      </c>
      <c r="E129" s="39">
        <v>35</v>
      </c>
      <c r="F129" s="39">
        <v>27</v>
      </c>
      <c r="G129" s="39">
        <v>0</v>
      </c>
      <c r="H129" s="44">
        <f t="shared" si="1"/>
        <v>56.451612903225815</v>
      </c>
      <c r="I129" s="44">
        <f t="shared" si="2"/>
        <v>43.548387096774192</v>
      </c>
      <c r="J129" s="44"/>
      <c r="K129" s="44"/>
      <c r="L129" s="8"/>
    </row>
    <row r="130" spans="1:12" x14ac:dyDescent="0.25">
      <c r="A130" s="44" t="s">
        <v>2444</v>
      </c>
      <c r="B130" s="20">
        <v>1454301951321.78</v>
      </c>
      <c r="C130" s="20">
        <v>1380185449191.7402</v>
      </c>
      <c r="D130" s="44">
        <f t="shared" si="0"/>
        <v>-5.0963626957027106</v>
      </c>
      <c r="E130" s="39">
        <v>9</v>
      </c>
      <c r="F130" s="39">
        <v>7</v>
      </c>
      <c r="G130" s="39">
        <v>0</v>
      </c>
      <c r="H130" s="44">
        <f t="shared" si="1"/>
        <v>56.25</v>
      </c>
      <c r="I130" s="44">
        <f t="shared" si="2"/>
        <v>43.75</v>
      </c>
      <c r="J130" s="44"/>
      <c r="K130" s="44"/>
      <c r="L130" s="8"/>
    </row>
    <row r="131" spans="1:12" x14ac:dyDescent="0.25">
      <c r="A131" s="44" t="s">
        <v>1501</v>
      </c>
      <c r="B131" s="20">
        <v>797217480845.63</v>
      </c>
      <c r="C131" s="20">
        <v>763811997177.90002</v>
      </c>
      <c r="D131" s="44">
        <f t="shared" si="0"/>
        <v>-4.1902598061818574</v>
      </c>
      <c r="E131" s="39">
        <v>5</v>
      </c>
      <c r="F131" s="39">
        <v>4</v>
      </c>
      <c r="G131" s="39">
        <v>0</v>
      </c>
      <c r="H131" s="44">
        <f t="shared" si="1"/>
        <v>55.555555555555557</v>
      </c>
      <c r="I131" s="44">
        <f t="shared" si="2"/>
        <v>44.444444444444443</v>
      </c>
      <c r="J131" s="44"/>
      <c r="K131" s="44"/>
      <c r="L131" s="8"/>
    </row>
    <row r="132" spans="1:12" x14ac:dyDescent="0.25">
      <c r="A132" s="44" t="s">
        <v>1633</v>
      </c>
      <c r="B132" s="20">
        <v>1348427923545.0701</v>
      </c>
      <c r="C132" s="20">
        <v>1287068976020.03</v>
      </c>
      <c r="D132" s="44">
        <f t="shared" si="0"/>
        <v>-4.5504061769742172</v>
      </c>
      <c r="E132" s="39">
        <v>40</v>
      </c>
      <c r="F132" s="39">
        <v>30</v>
      </c>
      <c r="G132" s="39">
        <v>2</v>
      </c>
      <c r="H132" s="44">
        <f t="shared" si="1"/>
        <v>55.555555555555557</v>
      </c>
      <c r="I132" s="44">
        <f t="shared" si="2"/>
        <v>41.666666666666671</v>
      </c>
      <c r="J132" s="44"/>
      <c r="K132" s="44"/>
      <c r="L132" s="8"/>
    </row>
    <row r="133" spans="1:12" x14ac:dyDescent="0.25">
      <c r="A133" s="44" t="s">
        <v>3023</v>
      </c>
      <c r="B133" s="20">
        <v>40983998103.730011</v>
      </c>
      <c r="C133" s="20">
        <v>43417743138.180008</v>
      </c>
      <c r="D133" s="44">
        <f t="shared" si="0"/>
        <v>5.9382811513171978</v>
      </c>
      <c r="E133" s="39">
        <v>6</v>
      </c>
      <c r="F133" s="39">
        <v>5</v>
      </c>
      <c r="G133" s="39">
        <v>0</v>
      </c>
      <c r="H133" s="44">
        <f t="shared" si="1"/>
        <v>54.54545454545454</v>
      </c>
      <c r="I133" s="44">
        <f t="shared" si="2"/>
        <v>45.454545454545453</v>
      </c>
      <c r="J133" s="44"/>
      <c r="K133" s="44"/>
      <c r="L133" s="8"/>
    </row>
    <row r="134" spans="1:12" x14ac:dyDescent="0.25">
      <c r="A134" s="44" t="s">
        <v>1046</v>
      </c>
      <c r="B134" s="20">
        <v>1298121491795.1101</v>
      </c>
      <c r="C134" s="20">
        <v>1382536031201.0198</v>
      </c>
      <c r="D134" s="44">
        <f t="shared" si="0"/>
        <v>6.502822728031167</v>
      </c>
      <c r="E134" s="39">
        <v>13</v>
      </c>
      <c r="F134" s="39">
        <v>11</v>
      </c>
      <c r="G134" s="39">
        <v>0</v>
      </c>
      <c r="H134" s="44">
        <f t="shared" si="1"/>
        <v>54.166666666666664</v>
      </c>
      <c r="I134" s="44">
        <f t="shared" si="2"/>
        <v>45.833333333333329</v>
      </c>
      <c r="J134" s="70" t="s">
        <v>4380</v>
      </c>
      <c r="K134" s="67"/>
      <c r="L134" s="67"/>
    </row>
    <row r="135" spans="1:12" x14ac:dyDescent="0.25">
      <c r="A135" s="44" t="s">
        <v>1001</v>
      </c>
      <c r="B135" s="20">
        <v>1499230377279.71</v>
      </c>
      <c r="C135" s="20">
        <v>1325395361794.52</v>
      </c>
      <c r="D135" s="44">
        <f t="shared" si="0"/>
        <v>-11.594950190417446</v>
      </c>
      <c r="E135" s="39">
        <v>7</v>
      </c>
      <c r="F135" s="39">
        <v>6</v>
      </c>
      <c r="G135" s="39">
        <v>0</v>
      </c>
      <c r="H135" s="44">
        <f t="shared" si="1"/>
        <v>53.846153846153847</v>
      </c>
      <c r="I135" s="44">
        <f t="shared" si="2"/>
        <v>46.153846153846153</v>
      </c>
      <c r="J135" s="44"/>
      <c r="K135" s="44"/>
      <c r="L135" s="8"/>
    </row>
    <row r="136" spans="1:12" x14ac:dyDescent="0.25">
      <c r="A136" s="44" t="s">
        <v>1376</v>
      </c>
      <c r="B136" s="20">
        <v>1122396803233.8899</v>
      </c>
      <c r="C136" s="20">
        <v>1188259150673.3799</v>
      </c>
      <c r="D136" s="44">
        <f t="shared" si="0"/>
        <v>5.8680091790822138</v>
      </c>
      <c r="E136" s="39">
        <v>10</v>
      </c>
      <c r="F136" s="39">
        <v>8</v>
      </c>
      <c r="G136" s="39">
        <v>1</v>
      </c>
      <c r="H136" s="44">
        <f t="shared" si="1"/>
        <v>52.631578947368418</v>
      </c>
      <c r="I136" s="44">
        <f t="shared" si="2"/>
        <v>42.105263157894733</v>
      </c>
      <c r="J136" s="70" t="s">
        <v>4381</v>
      </c>
      <c r="K136" s="67"/>
      <c r="L136" s="8"/>
    </row>
    <row r="137" spans="1:12" x14ac:dyDescent="0.25">
      <c r="A137" s="44" t="s">
        <v>262</v>
      </c>
      <c r="B137" s="20">
        <v>18880417949.450001</v>
      </c>
      <c r="C137" s="20">
        <v>22494897474.940002</v>
      </c>
      <c r="D137" s="44">
        <f t="shared" si="0"/>
        <v>19.144065217027116</v>
      </c>
      <c r="E137" s="39">
        <v>4</v>
      </c>
      <c r="F137" s="39">
        <v>4</v>
      </c>
      <c r="G137" s="39">
        <v>0</v>
      </c>
      <c r="H137" s="44">
        <f t="shared" si="1"/>
        <v>50</v>
      </c>
      <c r="I137" s="44">
        <f t="shared" si="2"/>
        <v>50</v>
      </c>
      <c r="J137" s="44"/>
      <c r="K137" s="44"/>
      <c r="L137" s="8"/>
    </row>
    <row r="138" spans="1:12" x14ac:dyDescent="0.25">
      <c r="A138" s="44" t="s">
        <v>2721</v>
      </c>
      <c r="B138" s="20">
        <v>7216482428230.9307</v>
      </c>
      <c r="C138" s="20">
        <v>8073570612780.791</v>
      </c>
      <c r="D138" s="44">
        <f t="shared" si="0"/>
        <v>11.876813850428364</v>
      </c>
      <c r="E138" s="39">
        <v>4</v>
      </c>
      <c r="F138" s="39">
        <v>4</v>
      </c>
      <c r="G138" s="39">
        <v>0</v>
      </c>
      <c r="H138" s="44">
        <f t="shared" si="1"/>
        <v>50</v>
      </c>
      <c r="I138" s="44">
        <f t="shared" si="2"/>
        <v>50</v>
      </c>
      <c r="J138" s="44"/>
      <c r="K138" s="44"/>
      <c r="L138" s="8"/>
    </row>
    <row r="139" spans="1:12" x14ac:dyDescent="0.25">
      <c r="A139" s="44" t="s">
        <v>4053</v>
      </c>
      <c r="B139" s="20">
        <v>27919905730.049999</v>
      </c>
      <c r="C139" s="20">
        <v>29929898691.099998</v>
      </c>
      <c r="D139" s="44">
        <f t="shared" si="0"/>
        <v>7.1991394974040253</v>
      </c>
      <c r="E139" s="39">
        <v>2</v>
      </c>
      <c r="F139" s="39">
        <v>2</v>
      </c>
      <c r="G139" s="39">
        <v>0</v>
      </c>
      <c r="H139" s="44">
        <f t="shared" si="1"/>
        <v>50</v>
      </c>
      <c r="I139" s="44">
        <f t="shared" si="2"/>
        <v>50</v>
      </c>
      <c r="J139" s="44"/>
      <c r="K139" s="44"/>
      <c r="L139" s="8"/>
    </row>
    <row r="140" spans="1:12" x14ac:dyDescent="0.25">
      <c r="A140" s="44" t="s">
        <v>2825</v>
      </c>
      <c r="B140" s="20">
        <v>2617775838</v>
      </c>
      <c r="C140" s="20">
        <v>2786866793</v>
      </c>
      <c r="D140" s="44">
        <f t="shared" si="0"/>
        <v>6.4593366836629809</v>
      </c>
      <c r="E140" s="39">
        <v>1</v>
      </c>
      <c r="F140" s="39">
        <v>1</v>
      </c>
      <c r="G140" s="39">
        <v>0</v>
      </c>
      <c r="H140" s="44">
        <f t="shared" si="1"/>
        <v>50</v>
      </c>
      <c r="I140" s="44">
        <f t="shared" si="2"/>
        <v>50</v>
      </c>
      <c r="J140" s="44"/>
      <c r="K140" s="44"/>
      <c r="L140" s="8"/>
    </row>
    <row r="141" spans="1:12" x14ac:dyDescent="0.25">
      <c r="A141" s="44" t="s">
        <v>1598</v>
      </c>
      <c r="B141" s="20">
        <v>2356792124538.25</v>
      </c>
      <c r="C141" s="20">
        <v>2506481465314.25</v>
      </c>
      <c r="D141" s="44">
        <f t="shared" si="0"/>
        <v>6.3514019423892805</v>
      </c>
      <c r="E141" s="39">
        <v>2</v>
      </c>
      <c r="F141" s="39">
        <v>1</v>
      </c>
      <c r="G141" s="39">
        <v>1</v>
      </c>
      <c r="H141" s="44">
        <f t="shared" si="1"/>
        <v>50</v>
      </c>
      <c r="I141" s="44">
        <f t="shared" si="2"/>
        <v>25</v>
      </c>
      <c r="J141" s="44"/>
      <c r="K141" s="44"/>
      <c r="L141" s="8"/>
    </row>
    <row r="142" spans="1:12" x14ac:dyDescent="0.25">
      <c r="A142" s="44" t="s">
        <v>4177</v>
      </c>
      <c r="B142" s="20">
        <v>102346313356.45001</v>
      </c>
      <c r="C142" s="20">
        <v>108520298985.45</v>
      </c>
      <c r="D142" s="44">
        <f t="shared" si="0"/>
        <v>6.0324455532631962</v>
      </c>
      <c r="E142" s="39">
        <v>1</v>
      </c>
      <c r="F142" s="39">
        <v>1</v>
      </c>
      <c r="G142" s="39">
        <v>0</v>
      </c>
      <c r="H142" s="44">
        <f t="shared" si="1"/>
        <v>50</v>
      </c>
      <c r="I142" s="44">
        <f t="shared" si="2"/>
        <v>50</v>
      </c>
      <c r="J142" s="70" t="s">
        <v>4382</v>
      </c>
      <c r="K142" s="67"/>
      <c r="L142" s="8"/>
    </row>
    <row r="143" spans="1:12" x14ac:dyDescent="0.25">
      <c r="A143" s="44" t="s">
        <v>876</v>
      </c>
      <c r="B143" s="20">
        <v>1011869056.71</v>
      </c>
      <c r="C143" s="20">
        <v>1072206205.75</v>
      </c>
      <c r="D143" s="44">
        <f t="shared" si="0"/>
        <v>5.962940425926325</v>
      </c>
      <c r="E143" s="39">
        <v>2</v>
      </c>
      <c r="F143" s="39">
        <v>2</v>
      </c>
      <c r="G143" s="39">
        <v>0</v>
      </c>
      <c r="H143" s="44">
        <f t="shared" si="1"/>
        <v>50</v>
      </c>
      <c r="I143" s="44">
        <f t="shared" si="2"/>
        <v>50</v>
      </c>
      <c r="J143" s="44"/>
      <c r="K143" s="44"/>
      <c r="L143" s="8"/>
    </row>
    <row r="144" spans="1:12" x14ac:dyDescent="0.25">
      <c r="A144" s="44" t="s">
        <v>2681</v>
      </c>
      <c r="B144" s="20">
        <v>507929911900.82007</v>
      </c>
      <c r="C144" s="20">
        <v>535524410799.60004</v>
      </c>
      <c r="D144" s="44">
        <f t="shared" si="0"/>
        <v>5.4327375199293542</v>
      </c>
      <c r="E144" s="39">
        <v>54</v>
      </c>
      <c r="F144" s="39">
        <v>23</v>
      </c>
      <c r="G144" s="39">
        <v>31</v>
      </c>
      <c r="H144" s="44">
        <f t="shared" si="1"/>
        <v>50</v>
      </c>
      <c r="I144" s="44">
        <f t="shared" si="2"/>
        <v>21.296296296296298</v>
      </c>
      <c r="J144" s="44"/>
      <c r="K144" s="44"/>
      <c r="L144" s="8"/>
    </row>
    <row r="145" spans="1:12" x14ac:dyDescent="0.25">
      <c r="A145" s="44" t="s">
        <v>758</v>
      </c>
      <c r="B145" s="20">
        <v>81696497117.600006</v>
      </c>
      <c r="C145" s="20">
        <v>83347896634.699997</v>
      </c>
      <c r="D145" s="44">
        <f t="shared" si="0"/>
        <v>2.0213835052472859</v>
      </c>
      <c r="E145" s="39">
        <v>1</v>
      </c>
      <c r="F145" s="39">
        <v>1</v>
      </c>
      <c r="G145" s="39">
        <v>0</v>
      </c>
      <c r="H145" s="44">
        <f t="shared" si="1"/>
        <v>50</v>
      </c>
      <c r="I145" s="44">
        <f t="shared" si="2"/>
        <v>50</v>
      </c>
      <c r="J145" s="44"/>
      <c r="K145" s="44"/>
      <c r="L145" s="8"/>
    </row>
    <row r="146" spans="1:12" x14ac:dyDescent="0.25">
      <c r="A146" s="44" t="s">
        <v>4068</v>
      </c>
      <c r="B146" s="20">
        <v>54132002078.099998</v>
      </c>
      <c r="C146" s="20">
        <v>55116608782.599998</v>
      </c>
      <c r="D146" s="44">
        <f t="shared" si="0"/>
        <v>1.8188994803470222</v>
      </c>
      <c r="E146" s="39">
        <v>1</v>
      </c>
      <c r="F146" s="39">
        <v>1</v>
      </c>
      <c r="G146" s="39">
        <v>0</v>
      </c>
      <c r="H146" s="44">
        <f t="shared" si="1"/>
        <v>50</v>
      </c>
      <c r="I146" s="44">
        <f t="shared" si="2"/>
        <v>50</v>
      </c>
      <c r="J146" s="44"/>
      <c r="K146" s="44"/>
      <c r="L146" s="8"/>
    </row>
    <row r="147" spans="1:12" x14ac:dyDescent="0.25">
      <c r="A147" s="44" t="s">
        <v>659</v>
      </c>
      <c r="B147" s="20">
        <v>78701331437.200012</v>
      </c>
      <c r="C147" s="20">
        <v>79901935850.050003</v>
      </c>
      <c r="D147" s="44">
        <f t="shared" si="0"/>
        <v>1.5255198240299366</v>
      </c>
      <c r="E147" s="39">
        <v>1</v>
      </c>
      <c r="F147" s="39">
        <v>1</v>
      </c>
      <c r="G147" s="39">
        <v>0</v>
      </c>
      <c r="H147" s="44">
        <f t="shared" si="1"/>
        <v>50</v>
      </c>
      <c r="I147" s="44">
        <f t="shared" si="2"/>
        <v>50</v>
      </c>
      <c r="J147" s="44"/>
      <c r="K147" s="44"/>
      <c r="L147" s="8"/>
    </row>
    <row r="148" spans="1:12" x14ac:dyDescent="0.25">
      <c r="A148" s="44" t="s">
        <v>1271</v>
      </c>
      <c r="B148" s="20">
        <v>965246827020.18005</v>
      </c>
      <c r="C148" s="20">
        <v>978353877848.50989</v>
      </c>
      <c r="D148" s="44">
        <f t="shared" si="0"/>
        <v>1.3578962873975662</v>
      </c>
      <c r="E148" s="39">
        <v>8</v>
      </c>
      <c r="F148" s="39">
        <v>8</v>
      </c>
      <c r="G148" s="39">
        <v>0</v>
      </c>
      <c r="H148" s="44">
        <f t="shared" si="1"/>
        <v>50</v>
      </c>
      <c r="I148" s="44">
        <f t="shared" si="2"/>
        <v>50</v>
      </c>
      <c r="J148" s="44"/>
      <c r="K148" s="44"/>
      <c r="L148" s="8"/>
    </row>
    <row r="149" spans="1:12" x14ac:dyDescent="0.25">
      <c r="A149" s="44" t="s">
        <v>110</v>
      </c>
      <c r="B149" s="20">
        <v>509393828911.16998</v>
      </c>
      <c r="C149" s="20">
        <v>512000979097.82996</v>
      </c>
      <c r="D149" s="44">
        <f t="shared" si="0"/>
        <v>0.51181424640199513</v>
      </c>
      <c r="E149" s="39">
        <v>11</v>
      </c>
      <c r="F149" s="39">
        <v>10</v>
      </c>
      <c r="G149" s="39">
        <v>1</v>
      </c>
      <c r="H149" s="44">
        <f t="shared" si="1"/>
        <v>50</v>
      </c>
      <c r="I149" s="44">
        <f t="shared" si="2"/>
        <v>45.454545454545453</v>
      </c>
      <c r="J149" s="44"/>
      <c r="K149" s="44"/>
      <c r="L149" s="8"/>
    </row>
    <row r="150" spans="1:12" x14ac:dyDescent="0.25">
      <c r="A150" s="44" t="s">
        <v>1616</v>
      </c>
      <c r="B150" s="20">
        <v>699901167980.80005</v>
      </c>
      <c r="C150" s="20">
        <v>702753720532.15002</v>
      </c>
      <c r="D150" s="44">
        <f t="shared" si="0"/>
        <v>0.40756505087418682</v>
      </c>
      <c r="E150" s="39">
        <v>2</v>
      </c>
      <c r="F150" s="39">
        <v>2</v>
      </c>
      <c r="G150" s="39">
        <v>0</v>
      </c>
      <c r="H150" s="44">
        <f t="shared" si="1"/>
        <v>50</v>
      </c>
      <c r="I150" s="44">
        <f t="shared" si="2"/>
        <v>50</v>
      </c>
      <c r="J150" s="44"/>
      <c r="K150" s="44"/>
      <c r="L150" s="8"/>
    </row>
    <row r="151" spans="1:12" x14ac:dyDescent="0.25">
      <c r="A151" s="44" t="s">
        <v>2816</v>
      </c>
      <c r="B151" s="20">
        <v>420306935419.25</v>
      </c>
      <c r="C151" s="20">
        <v>419747203194.79999</v>
      </c>
      <c r="D151" s="44">
        <f t="shared" si="0"/>
        <v>-0.13317225515008158</v>
      </c>
      <c r="E151" s="39">
        <v>1</v>
      </c>
      <c r="F151" s="39">
        <v>1</v>
      </c>
      <c r="G151" s="39">
        <v>0</v>
      </c>
      <c r="H151" s="44">
        <f t="shared" si="1"/>
        <v>50</v>
      </c>
      <c r="I151" s="44">
        <f t="shared" si="2"/>
        <v>50</v>
      </c>
      <c r="J151" s="44"/>
      <c r="K151" s="44"/>
      <c r="L151" s="8"/>
    </row>
    <row r="152" spans="1:12" x14ac:dyDescent="0.25">
      <c r="A152" s="44" t="s">
        <v>4082</v>
      </c>
      <c r="B152" s="20">
        <v>1344843542132</v>
      </c>
      <c r="C152" s="20">
        <v>1340380158696.5</v>
      </c>
      <c r="D152" s="44">
        <f t="shared" si="0"/>
        <v>-0.33188867668755978</v>
      </c>
      <c r="E152" s="39">
        <v>1</v>
      </c>
      <c r="F152" s="39">
        <v>1</v>
      </c>
      <c r="G152" s="39">
        <v>0</v>
      </c>
      <c r="H152" s="44">
        <f t="shared" si="1"/>
        <v>50</v>
      </c>
      <c r="I152" s="44">
        <f t="shared" si="2"/>
        <v>50</v>
      </c>
      <c r="J152" s="44"/>
      <c r="K152" s="44"/>
      <c r="L152" s="8"/>
    </row>
    <row r="153" spans="1:12" x14ac:dyDescent="0.25">
      <c r="A153" s="44" t="s">
        <v>815</v>
      </c>
      <c r="B153" s="20">
        <v>39387233386.5</v>
      </c>
      <c r="C153" s="20">
        <v>39140043802.900002</v>
      </c>
      <c r="D153" s="44">
        <f t="shared" si="0"/>
        <v>-0.62758808463232374</v>
      </c>
      <c r="E153" s="39">
        <v>2</v>
      </c>
      <c r="F153" s="39">
        <v>2</v>
      </c>
      <c r="G153" s="39">
        <v>0</v>
      </c>
      <c r="H153" s="44">
        <f t="shared" si="1"/>
        <v>50</v>
      </c>
      <c r="I153" s="44">
        <f t="shared" si="2"/>
        <v>50</v>
      </c>
      <c r="J153" s="44"/>
      <c r="K153" s="44"/>
      <c r="L153" s="8"/>
    </row>
    <row r="154" spans="1:12" x14ac:dyDescent="0.25">
      <c r="A154" s="44" t="s">
        <v>3900</v>
      </c>
      <c r="B154" s="20">
        <v>273291270168.27002</v>
      </c>
      <c r="C154" s="20">
        <v>269058180588.50998</v>
      </c>
      <c r="D154" s="44">
        <f t="shared" si="0"/>
        <v>-1.5489296738800533</v>
      </c>
      <c r="E154" s="39">
        <v>2</v>
      </c>
      <c r="F154" s="39">
        <v>2</v>
      </c>
      <c r="G154" s="39">
        <v>0</v>
      </c>
      <c r="H154" s="44">
        <f t="shared" si="1"/>
        <v>50</v>
      </c>
      <c r="I154" s="44">
        <f t="shared" si="2"/>
        <v>50</v>
      </c>
      <c r="J154" s="44"/>
      <c r="K154" s="44"/>
      <c r="L154" s="8"/>
    </row>
    <row r="155" spans="1:12" x14ac:dyDescent="0.25">
      <c r="A155" s="44" t="s">
        <v>3874</v>
      </c>
      <c r="B155" s="20">
        <v>312165488344</v>
      </c>
      <c r="C155" s="20">
        <v>306062245885.5</v>
      </c>
      <c r="D155" s="44">
        <f t="shared" si="0"/>
        <v>-1.9551304312584201</v>
      </c>
      <c r="E155" s="39">
        <v>1</v>
      </c>
      <c r="F155" s="39">
        <v>1</v>
      </c>
      <c r="G155" s="39">
        <v>0</v>
      </c>
      <c r="H155" s="44">
        <f t="shared" si="1"/>
        <v>50</v>
      </c>
      <c r="I155" s="44">
        <f t="shared" si="2"/>
        <v>50</v>
      </c>
      <c r="J155" s="44"/>
      <c r="K155" s="44"/>
      <c r="L155" s="8"/>
    </row>
    <row r="156" spans="1:12" x14ac:dyDescent="0.25">
      <c r="A156" s="44" t="s">
        <v>831</v>
      </c>
      <c r="B156" s="20">
        <v>244928972176.09998</v>
      </c>
      <c r="C156" s="20">
        <v>233244328962.59998</v>
      </c>
      <c r="D156" s="44">
        <f t="shared" si="0"/>
        <v>-4.7706251774489665</v>
      </c>
      <c r="E156" s="39">
        <v>3</v>
      </c>
      <c r="F156" s="39">
        <v>3</v>
      </c>
      <c r="G156" s="39">
        <v>0</v>
      </c>
      <c r="H156" s="44">
        <f t="shared" si="1"/>
        <v>50</v>
      </c>
      <c r="I156" s="44">
        <f t="shared" si="2"/>
        <v>50</v>
      </c>
      <c r="J156" s="44"/>
      <c r="K156" s="44"/>
      <c r="L156" s="8"/>
    </row>
    <row r="157" spans="1:12" x14ac:dyDescent="0.25">
      <c r="A157" s="44" t="s">
        <v>4235</v>
      </c>
      <c r="B157" s="20">
        <v>547544130</v>
      </c>
      <c r="C157" s="20">
        <v>511380950</v>
      </c>
      <c r="D157" s="44">
        <f t="shared" si="0"/>
        <v>-6.6046146819252725</v>
      </c>
      <c r="E157" s="44">
        <v>1</v>
      </c>
      <c r="F157" s="44">
        <v>1</v>
      </c>
      <c r="G157" s="44">
        <v>0</v>
      </c>
      <c r="H157" s="44">
        <f t="shared" si="1"/>
        <v>50</v>
      </c>
      <c r="I157" s="44">
        <f t="shared" si="2"/>
        <v>50</v>
      </c>
      <c r="J157" s="44"/>
      <c r="K157" s="44"/>
      <c r="L157" s="8"/>
    </row>
    <row r="158" spans="1:12" x14ac:dyDescent="0.25">
      <c r="A158" s="44" t="s">
        <v>1760</v>
      </c>
      <c r="B158" s="20">
        <v>300861121657.65997</v>
      </c>
      <c r="C158" s="20">
        <v>323268616520.63995</v>
      </c>
      <c r="D158" s="44">
        <f t="shared" si="0"/>
        <v>7.4477867859831806</v>
      </c>
      <c r="E158" s="39">
        <v>4</v>
      </c>
      <c r="F158" s="39">
        <v>5</v>
      </c>
      <c r="G158" s="39">
        <v>0</v>
      </c>
      <c r="H158" s="44">
        <f t="shared" si="1"/>
        <v>44.444444444444443</v>
      </c>
      <c r="I158" s="44">
        <f t="shared" si="2"/>
        <v>55.555555555555557</v>
      </c>
      <c r="J158" s="44"/>
      <c r="K158" s="44"/>
      <c r="L158" s="8"/>
    </row>
    <row r="159" spans="1:12" x14ac:dyDescent="0.25">
      <c r="A159" s="44" t="s">
        <v>2834</v>
      </c>
      <c r="B159" s="20">
        <v>28176704513.549999</v>
      </c>
      <c r="C159" s="20">
        <v>27611857244.200001</v>
      </c>
      <c r="D159" s="44">
        <f t="shared" si="0"/>
        <v>-2.0046605133626145</v>
      </c>
      <c r="E159" s="39">
        <v>4</v>
      </c>
      <c r="F159" s="39">
        <v>5</v>
      </c>
      <c r="G159" s="39">
        <v>0</v>
      </c>
      <c r="H159" s="44">
        <f t="shared" si="1"/>
        <v>44.444444444444443</v>
      </c>
      <c r="I159" s="44">
        <f t="shared" si="2"/>
        <v>55.555555555555557</v>
      </c>
      <c r="J159" s="44"/>
      <c r="K159" s="44"/>
      <c r="L159" s="8"/>
    </row>
    <row r="160" spans="1:12" x14ac:dyDescent="0.25">
      <c r="A160" s="44" t="s">
        <v>3361</v>
      </c>
      <c r="B160" s="20">
        <v>181137415346.64999</v>
      </c>
      <c r="C160" s="20">
        <v>177096468245.25</v>
      </c>
      <c r="D160" s="44">
        <f t="shared" si="0"/>
        <v>-2.2308737781571355</v>
      </c>
      <c r="E160" s="39">
        <v>4</v>
      </c>
      <c r="F160" s="39">
        <v>4</v>
      </c>
      <c r="G160" s="39">
        <v>1</v>
      </c>
      <c r="H160" s="44">
        <f t="shared" si="1"/>
        <v>44.444444444444443</v>
      </c>
      <c r="I160" s="44">
        <f t="shared" si="2"/>
        <v>44.444444444444443</v>
      </c>
      <c r="J160" s="44"/>
      <c r="K160" s="44"/>
      <c r="L160" s="8"/>
    </row>
    <row r="161" spans="1:12" x14ac:dyDescent="0.25">
      <c r="A161" s="44" t="s">
        <v>1868</v>
      </c>
      <c r="B161" s="20">
        <v>5419856652121.0098</v>
      </c>
      <c r="C161" s="20">
        <v>5200667596350.7793</v>
      </c>
      <c r="D161" s="44">
        <f t="shared" si="0"/>
        <v>-4.0441854801538506</v>
      </c>
      <c r="E161" s="39">
        <v>42</v>
      </c>
      <c r="F161" s="39">
        <v>48</v>
      </c>
      <c r="G161" s="39">
        <v>5</v>
      </c>
      <c r="H161" s="44">
        <f t="shared" si="1"/>
        <v>44.210526315789473</v>
      </c>
      <c r="I161" s="44">
        <f t="shared" si="2"/>
        <v>50.526315789473685</v>
      </c>
      <c r="J161" s="44"/>
      <c r="K161" s="44"/>
      <c r="L161" s="8"/>
    </row>
    <row r="162" spans="1:12" x14ac:dyDescent="0.25">
      <c r="A162" s="44" t="s">
        <v>2228</v>
      </c>
      <c r="B162" s="20">
        <v>5999006734236.6406</v>
      </c>
      <c r="C162" s="20">
        <v>5822413914540.9492</v>
      </c>
      <c r="D162" s="44">
        <f t="shared" si="0"/>
        <v>-2.9437009744941123</v>
      </c>
      <c r="E162" s="39">
        <v>7</v>
      </c>
      <c r="F162" s="39">
        <v>9</v>
      </c>
      <c r="G162" s="39">
        <v>0</v>
      </c>
      <c r="H162" s="44">
        <f t="shared" si="1"/>
        <v>43.75</v>
      </c>
      <c r="I162" s="44">
        <f t="shared" si="2"/>
        <v>56.25</v>
      </c>
      <c r="J162" s="44"/>
      <c r="K162" s="44"/>
      <c r="L162" s="8"/>
    </row>
    <row r="163" spans="1:12" x14ac:dyDescent="0.25">
      <c r="A163" s="44" t="s">
        <v>711</v>
      </c>
      <c r="B163" s="20">
        <v>444176750184.26996</v>
      </c>
      <c r="C163" s="20">
        <v>432415284716.94006</v>
      </c>
      <c r="D163" s="44">
        <f t="shared" si="0"/>
        <v>-2.6479246071413161</v>
      </c>
      <c r="E163" s="39">
        <v>10</v>
      </c>
      <c r="F163" s="39">
        <v>13</v>
      </c>
      <c r="G163" s="39">
        <v>0</v>
      </c>
      <c r="H163" s="44">
        <f t="shared" si="1"/>
        <v>43.478260869565219</v>
      </c>
      <c r="I163" s="44">
        <f t="shared" si="2"/>
        <v>56.521739130434781</v>
      </c>
      <c r="J163" s="44"/>
      <c r="K163" s="44"/>
      <c r="L163" s="8"/>
    </row>
    <row r="164" spans="1:12" x14ac:dyDescent="0.25">
      <c r="A164" s="44" t="s">
        <v>3183</v>
      </c>
      <c r="B164" s="20">
        <v>4402429463495.8008</v>
      </c>
      <c r="C164" s="20">
        <v>3951346254871.2998</v>
      </c>
      <c r="D164" s="44">
        <f t="shared" si="0"/>
        <v>-10.246233639057854</v>
      </c>
      <c r="E164" s="39">
        <v>3</v>
      </c>
      <c r="F164" s="39">
        <v>4</v>
      </c>
      <c r="G164" s="39">
        <v>0</v>
      </c>
      <c r="H164" s="44">
        <f t="shared" si="1"/>
        <v>42.857142857142854</v>
      </c>
      <c r="I164" s="44">
        <f t="shared" si="2"/>
        <v>57.142857142857139</v>
      </c>
      <c r="J164" s="44"/>
      <c r="K164" s="44"/>
      <c r="L164" s="8"/>
    </row>
    <row r="165" spans="1:12" x14ac:dyDescent="0.25">
      <c r="A165" s="44" t="s">
        <v>3503</v>
      </c>
      <c r="B165" s="20">
        <v>1806991249792.3196</v>
      </c>
      <c r="C165" s="20">
        <v>1775662404843.4897</v>
      </c>
      <c r="D165" s="44">
        <f t="shared" si="0"/>
        <v>-1.7337574242504223</v>
      </c>
      <c r="E165" s="39">
        <v>11</v>
      </c>
      <c r="F165" s="39">
        <v>15</v>
      </c>
      <c r="G165" s="39">
        <v>0</v>
      </c>
      <c r="H165" s="44">
        <f t="shared" si="1"/>
        <v>42.307692307692307</v>
      </c>
      <c r="I165" s="44">
        <f t="shared" si="2"/>
        <v>57.692307692307686</v>
      </c>
      <c r="J165" s="44"/>
      <c r="K165" s="44"/>
      <c r="L165" s="8"/>
    </row>
    <row r="166" spans="1:12" x14ac:dyDescent="0.25">
      <c r="A166" s="44" t="s">
        <v>2501</v>
      </c>
      <c r="B166" s="20">
        <v>267023018934.25</v>
      </c>
      <c r="C166" s="20">
        <v>283743999588.08002</v>
      </c>
      <c r="D166" s="44">
        <f t="shared" si="0"/>
        <v>6.2619997034590051</v>
      </c>
      <c r="E166" s="39">
        <v>2</v>
      </c>
      <c r="F166" s="39">
        <v>3</v>
      </c>
      <c r="G166" s="39">
        <v>0</v>
      </c>
      <c r="H166" s="44">
        <f t="shared" si="1"/>
        <v>40</v>
      </c>
      <c r="I166" s="44">
        <f t="shared" si="2"/>
        <v>60</v>
      </c>
      <c r="J166" s="44"/>
      <c r="K166" s="44"/>
      <c r="L166" s="8"/>
    </row>
    <row r="167" spans="1:12" x14ac:dyDescent="0.25">
      <c r="A167" s="44" t="s">
        <v>3974</v>
      </c>
      <c r="B167" s="20">
        <v>334952460798.04999</v>
      </c>
      <c r="C167" s="20">
        <v>327859824553.75</v>
      </c>
      <c r="D167" s="44">
        <f t="shared" si="0"/>
        <v>-2.117505340131324</v>
      </c>
      <c r="E167" s="39">
        <v>4</v>
      </c>
      <c r="F167" s="39">
        <v>6</v>
      </c>
      <c r="G167" s="39">
        <v>0</v>
      </c>
      <c r="H167" s="44">
        <f t="shared" si="1"/>
        <v>40</v>
      </c>
      <c r="I167" s="44">
        <f t="shared" si="2"/>
        <v>60</v>
      </c>
      <c r="J167" s="44"/>
      <c r="K167" s="44"/>
      <c r="L167" s="8"/>
    </row>
    <row r="168" spans="1:12" x14ac:dyDescent="0.25">
      <c r="A168" s="44" t="s">
        <v>1563</v>
      </c>
      <c r="B168" s="20">
        <v>51332181123.959999</v>
      </c>
      <c r="C168" s="20">
        <v>49811712425.539993</v>
      </c>
      <c r="D168" s="44">
        <f t="shared" si="0"/>
        <v>-2.9620184943014358</v>
      </c>
      <c r="E168" s="39">
        <v>2</v>
      </c>
      <c r="F168" s="39">
        <v>3</v>
      </c>
      <c r="G168" s="39">
        <v>0</v>
      </c>
      <c r="H168" s="44">
        <f t="shared" si="1"/>
        <v>40</v>
      </c>
      <c r="I168" s="44">
        <f t="shared" si="2"/>
        <v>60</v>
      </c>
      <c r="J168" s="44"/>
      <c r="K168" s="44"/>
      <c r="L168" s="8"/>
    </row>
    <row r="169" spans="1:12" x14ac:dyDescent="0.25">
      <c r="A169" s="44" t="s">
        <v>3618</v>
      </c>
      <c r="B169" s="20">
        <v>210100349691.14999</v>
      </c>
      <c r="C169" s="20">
        <v>203714832050.04999</v>
      </c>
      <c r="D169" s="44">
        <f t="shared" si="0"/>
        <v>-3.039270353660426</v>
      </c>
      <c r="E169" s="39">
        <v>2</v>
      </c>
      <c r="F169" s="39">
        <v>3</v>
      </c>
      <c r="G169" s="39">
        <v>0</v>
      </c>
      <c r="H169" s="44">
        <f t="shared" si="1"/>
        <v>40</v>
      </c>
      <c r="I169" s="44">
        <f t="shared" si="2"/>
        <v>60</v>
      </c>
      <c r="J169" s="44"/>
      <c r="K169" s="44"/>
      <c r="L169" s="8"/>
    </row>
    <row r="170" spans="1:12" x14ac:dyDescent="0.25">
      <c r="A170" s="44" t="s">
        <v>680</v>
      </c>
      <c r="B170" s="20">
        <v>28143877130594.051</v>
      </c>
      <c r="C170" s="20">
        <v>26898720660173.809</v>
      </c>
      <c r="D170" s="44">
        <f t="shared" si="0"/>
        <v>-4.4242535050960834</v>
      </c>
      <c r="E170" s="39">
        <v>8</v>
      </c>
      <c r="F170" s="39">
        <v>12</v>
      </c>
      <c r="G170" s="39">
        <v>0</v>
      </c>
      <c r="H170" s="44">
        <f t="shared" si="1"/>
        <v>40</v>
      </c>
      <c r="I170" s="44">
        <f t="shared" si="2"/>
        <v>60</v>
      </c>
      <c r="J170" s="44"/>
      <c r="K170" s="44"/>
      <c r="L170" s="8"/>
    </row>
    <row r="171" spans="1:12" x14ac:dyDescent="0.25">
      <c r="A171" s="44" t="s">
        <v>3454</v>
      </c>
      <c r="B171" s="20">
        <v>45877398498.300003</v>
      </c>
      <c r="C171" s="20">
        <v>41403921380.120003</v>
      </c>
      <c r="D171" s="44">
        <f t="shared" si="0"/>
        <v>-9.7509389473027017</v>
      </c>
      <c r="E171" s="39">
        <v>2</v>
      </c>
      <c r="F171" s="39">
        <v>3</v>
      </c>
      <c r="G171" s="39">
        <v>0</v>
      </c>
      <c r="H171" s="44">
        <f t="shared" si="1"/>
        <v>40</v>
      </c>
      <c r="I171" s="44">
        <f t="shared" si="2"/>
        <v>60</v>
      </c>
      <c r="J171" s="44"/>
      <c r="K171" s="44"/>
      <c r="L171" s="8"/>
    </row>
    <row r="172" spans="1:12" x14ac:dyDescent="0.25">
      <c r="A172" s="44" t="s">
        <v>2594</v>
      </c>
      <c r="B172" s="20">
        <v>7330539180</v>
      </c>
      <c r="C172" s="20">
        <v>6073121792</v>
      </c>
      <c r="D172" s="44">
        <f t="shared" si="0"/>
        <v>-17.153136449098142</v>
      </c>
      <c r="E172" s="39">
        <v>3</v>
      </c>
      <c r="F172" s="39">
        <v>4</v>
      </c>
      <c r="G172" s="39">
        <v>1</v>
      </c>
      <c r="H172" s="44">
        <f t="shared" si="1"/>
        <v>37.5</v>
      </c>
      <c r="I172" s="44">
        <f t="shared" si="2"/>
        <v>50</v>
      </c>
      <c r="J172" s="44"/>
      <c r="K172" s="44"/>
      <c r="L172" s="8"/>
    </row>
    <row r="173" spans="1:12" x14ac:dyDescent="0.25">
      <c r="A173" s="44" t="s">
        <v>3085</v>
      </c>
      <c r="B173" s="20">
        <v>9719045527695.8496</v>
      </c>
      <c r="C173" s="20">
        <v>10062227339102.449</v>
      </c>
      <c r="D173" s="44">
        <f t="shared" si="0"/>
        <v>3.5310238071079367</v>
      </c>
      <c r="E173" s="39">
        <v>2</v>
      </c>
      <c r="F173" s="39">
        <v>4</v>
      </c>
      <c r="G173" s="39">
        <v>0</v>
      </c>
      <c r="H173" s="44">
        <f t="shared" si="1"/>
        <v>33.333333333333329</v>
      </c>
      <c r="I173" s="44">
        <f t="shared" si="2"/>
        <v>66.666666666666657</v>
      </c>
      <c r="J173" s="44"/>
      <c r="K173" s="44"/>
      <c r="L173" s="8"/>
    </row>
    <row r="174" spans="1:12" x14ac:dyDescent="0.25">
      <c r="A174" s="44" t="s">
        <v>935</v>
      </c>
      <c r="B174" s="20">
        <v>3816572774171.6001</v>
      </c>
      <c r="C174" s="20">
        <v>3794842721566.5996</v>
      </c>
      <c r="D174" s="44">
        <f t="shared" si="0"/>
        <v>-0.56936036310003468</v>
      </c>
      <c r="E174" s="39">
        <v>4</v>
      </c>
      <c r="F174" s="39">
        <v>8</v>
      </c>
      <c r="G174" s="39">
        <v>0</v>
      </c>
      <c r="H174" s="44">
        <f t="shared" si="1"/>
        <v>33.333333333333329</v>
      </c>
      <c r="I174" s="44">
        <f t="shared" si="2"/>
        <v>66.666666666666657</v>
      </c>
      <c r="J174" s="44"/>
      <c r="K174" s="44"/>
      <c r="L174" s="8"/>
    </row>
    <row r="175" spans="1:12" x14ac:dyDescent="0.25">
      <c r="A175" s="44" t="s">
        <v>1672</v>
      </c>
      <c r="B175" s="20">
        <v>494136444912.40002</v>
      </c>
      <c r="C175" s="20">
        <v>487848925741.45001</v>
      </c>
      <c r="D175" s="44">
        <f t="shared" si="0"/>
        <v>-1.2724257106890096</v>
      </c>
      <c r="E175" s="39">
        <v>1</v>
      </c>
      <c r="F175" s="39">
        <v>2</v>
      </c>
      <c r="G175" s="39">
        <v>0</v>
      </c>
      <c r="H175" s="44">
        <f t="shared" si="1"/>
        <v>33.333333333333329</v>
      </c>
      <c r="I175" s="44">
        <f t="shared" si="2"/>
        <v>66.666666666666657</v>
      </c>
      <c r="J175" s="44"/>
      <c r="K175" s="44"/>
      <c r="L175" s="8"/>
    </row>
    <row r="176" spans="1:12" x14ac:dyDescent="0.25">
      <c r="A176" s="44" t="s">
        <v>2867</v>
      </c>
      <c r="B176" s="20">
        <v>5290380031.5</v>
      </c>
      <c r="C176" s="20">
        <v>5162108181.0699997</v>
      </c>
      <c r="D176" s="44">
        <f t="shared" si="0"/>
        <v>-2.4246245008155101</v>
      </c>
      <c r="E176" s="39">
        <v>2</v>
      </c>
      <c r="F176" s="39">
        <v>3</v>
      </c>
      <c r="G176" s="39">
        <v>1</v>
      </c>
      <c r="H176" s="44">
        <f t="shared" si="1"/>
        <v>33.333333333333329</v>
      </c>
      <c r="I176" s="44">
        <f t="shared" si="2"/>
        <v>50</v>
      </c>
      <c r="J176" s="44"/>
      <c r="K176" s="44"/>
      <c r="L176" s="8"/>
    </row>
    <row r="177" spans="1:12" x14ac:dyDescent="0.25">
      <c r="A177" s="44" t="s">
        <v>1538</v>
      </c>
      <c r="B177" s="20">
        <v>1502784759.8999999</v>
      </c>
      <c r="C177" s="20">
        <v>1464248057.3500001</v>
      </c>
      <c r="D177" s="44">
        <f t="shared" si="0"/>
        <v>-2.5643527654994367</v>
      </c>
      <c r="E177" s="39">
        <v>2</v>
      </c>
      <c r="F177" s="39">
        <v>4</v>
      </c>
      <c r="G177" s="39">
        <v>0</v>
      </c>
      <c r="H177" s="44">
        <f t="shared" si="1"/>
        <v>33.333333333333329</v>
      </c>
      <c r="I177" s="44">
        <f t="shared" si="2"/>
        <v>66.666666666666657</v>
      </c>
      <c r="J177" s="44"/>
      <c r="K177" s="44"/>
      <c r="L177" s="8"/>
    </row>
    <row r="178" spans="1:12" x14ac:dyDescent="0.25">
      <c r="A178" s="44" t="s">
        <v>959</v>
      </c>
      <c r="B178" s="20">
        <v>278977231158.27002</v>
      </c>
      <c r="C178" s="20">
        <v>286408925056.78003</v>
      </c>
      <c r="D178" s="44">
        <f t="shared" si="0"/>
        <v>2.6639069674807416</v>
      </c>
      <c r="E178" s="39">
        <v>3</v>
      </c>
      <c r="F178" s="39">
        <v>6</v>
      </c>
      <c r="G178" s="39">
        <v>1</v>
      </c>
      <c r="H178" s="44">
        <f t="shared" si="1"/>
        <v>30</v>
      </c>
      <c r="I178" s="44">
        <f t="shared" si="2"/>
        <v>60</v>
      </c>
      <c r="J178" s="44"/>
      <c r="K178" s="44"/>
      <c r="L178" s="8"/>
    </row>
    <row r="179" spans="1:12" x14ac:dyDescent="0.25">
      <c r="A179" s="44" t="s">
        <v>3190</v>
      </c>
      <c r="B179" s="20">
        <v>118570538547.86</v>
      </c>
      <c r="C179" s="20">
        <v>114533363059.99001</v>
      </c>
      <c r="D179" s="44">
        <f t="shared" si="0"/>
        <v>-3.4048723547295214</v>
      </c>
      <c r="E179" s="39">
        <v>3</v>
      </c>
      <c r="F179" s="39">
        <v>7</v>
      </c>
      <c r="G179" s="39">
        <v>0</v>
      </c>
      <c r="H179" s="44">
        <f t="shared" si="1"/>
        <v>30</v>
      </c>
      <c r="I179" s="44">
        <f t="shared" si="2"/>
        <v>70</v>
      </c>
      <c r="J179" s="44"/>
      <c r="K179" s="44"/>
      <c r="L179" s="8"/>
    </row>
    <row r="180" spans="1:12" x14ac:dyDescent="0.25">
      <c r="A180" s="44" t="s">
        <v>893</v>
      </c>
      <c r="B180" s="20">
        <v>1651090002581.97</v>
      </c>
      <c r="C180" s="20">
        <v>1649472399345.3796</v>
      </c>
      <c r="D180" s="44">
        <f t="shared" si="0"/>
        <v>-9.7971838849531437E-2</v>
      </c>
      <c r="E180" s="39">
        <v>4</v>
      </c>
      <c r="F180" s="39">
        <v>10</v>
      </c>
      <c r="G180" s="39">
        <v>0</v>
      </c>
      <c r="H180" s="44">
        <f t="shared" si="1"/>
        <v>28.571428571428569</v>
      </c>
      <c r="I180" s="44">
        <f t="shared" si="2"/>
        <v>71.428571428571431</v>
      </c>
      <c r="J180" s="44"/>
      <c r="K180" s="44"/>
      <c r="L180" s="8"/>
    </row>
    <row r="181" spans="1:12" x14ac:dyDescent="0.25">
      <c r="A181" s="44" t="s">
        <v>1970</v>
      </c>
      <c r="B181" s="20">
        <v>912637281789.63</v>
      </c>
      <c r="C181" s="20">
        <v>887375585235.5</v>
      </c>
      <c r="D181" s="44">
        <f t="shared" si="0"/>
        <v>-2.7679886695613889</v>
      </c>
      <c r="E181" s="39">
        <v>2</v>
      </c>
      <c r="F181" s="39">
        <v>5</v>
      </c>
      <c r="G181" s="39">
        <v>0</v>
      </c>
      <c r="H181" s="44">
        <f t="shared" si="1"/>
        <v>28.571428571428569</v>
      </c>
      <c r="I181" s="44">
        <f t="shared" si="2"/>
        <v>71.428571428571431</v>
      </c>
      <c r="J181" s="44"/>
      <c r="K181" s="44"/>
      <c r="L181" s="8"/>
    </row>
    <row r="182" spans="1:12" x14ac:dyDescent="0.25">
      <c r="A182" s="44" t="s">
        <v>67</v>
      </c>
      <c r="B182" s="20">
        <v>878333403288.8501</v>
      </c>
      <c r="C182" s="20">
        <v>808520784104</v>
      </c>
      <c r="D182" s="44">
        <f t="shared" si="0"/>
        <v>-7.9483051564977787</v>
      </c>
      <c r="E182" s="39">
        <v>2</v>
      </c>
      <c r="F182" s="39">
        <v>5</v>
      </c>
      <c r="G182" s="39">
        <v>0</v>
      </c>
      <c r="H182" s="44">
        <f t="shared" si="1"/>
        <v>28.571428571428569</v>
      </c>
      <c r="I182" s="44">
        <f t="shared" si="2"/>
        <v>71.428571428571431</v>
      </c>
      <c r="J182" s="44"/>
      <c r="K182" s="44"/>
      <c r="L182" s="8"/>
    </row>
    <row r="183" spans="1:12" x14ac:dyDescent="0.25">
      <c r="A183" s="44" t="s">
        <v>183</v>
      </c>
      <c r="B183" s="20">
        <v>1198873237893.97</v>
      </c>
      <c r="C183" s="20">
        <v>1194673053202.6699</v>
      </c>
      <c r="D183" s="44">
        <f t="shared" si="0"/>
        <v>-0.35034435322606799</v>
      </c>
      <c r="E183" s="39">
        <v>1</v>
      </c>
      <c r="F183" s="39">
        <v>4</v>
      </c>
      <c r="G183" s="39">
        <v>0</v>
      </c>
      <c r="H183" s="44">
        <f t="shared" si="1"/>
        <v>20</v>
      </c>
      <c r="I183" s="44">
        <f t="shared" si="2"/>
        <v>80</v>
      </c>
      <c r="J183" s="44"/>
      <c r="K183" s="44"/>
      <c r="L183" s="8"/>
    </row>
    <row r="184" spans="1:12" x14ac:dyDescent="0.25">
      <c r="A184" s="44" t="s">
        <v>3663</v>
      </c>
      <c r="B184" s="20">
        <v>88466205318.099991</v>
      </c>
      <c r="C184" s="20">
        <v>85941475445.100006</v>
      </c>
      <c r="D184" s="44">
        <f t="shared" si="0"/>
        <v>-2.8538919058659231</v>
      </c>
      <c r="E184" s="39">
        <v>0</v>
      </c>
      <c r="F184" s="39">
        <v>2</v>
      </c>
      <c r="G184" s="39">
        <v>0</v>
      </c>
      <c r="H184" s="44">
        <f t="shared" si="1"/>
        <v>0</v>
      </c>
      <c r="I184" s="44">
        <f t="shared" si="2"/>
        <v>100</v>
      </c>
      <c r="J184" s="44"/>
      <c r="K184" s="44"/>
      <c r="L184" s="8"/>
    </row>
    <row r="185" spans="1:12" x14ac:dyDescent="0.25">
      <c r="A185" s="44" t="s">
        <v>3883</v>
      </c>
      <c r="B185" s="20">
        <v>658147594882.75</v>
      </c>
      <c r="C185" s="20">
        <v>625362758641.44995</v>
      </c>
      <c r="D185" s="44">
        <f t="shared" si="0"/>
        <v>-4.9813805438490917</v>
      </c>
      <c r="E185" s="39">
        <v>0</v>
      </c>
      <c r="F185" s="39">
        <v>4</v>
      </c>
      <c r="G185" s="39">
        <v>0</v>
      </c>
      <c r="H185" s="44">
        <f t="shared" si="1"/>
        <v>0</v>
      </c>
      <c r="I185" s="44">
        <f t="shared" si="2"/>
        <v>100</v>
      </c>
      <c r="J185" s="44"/>
      <c r="K185" s="44"/>
      <c r="L185" s="8"/>
    </row>
    <row r="186" spans="1:12" x14ac:dyDescent="0.25">
      <c r="A186" s="44" t="s">
        <v>3118</v>
      </c>
      <c r="B186" s="20">
        <v>11188524389074.398</v>
      </c>
      <c r="C186" s="20">
        <v>10505738318878.449</v>
      </c>
      <c r="D186" s="44">
        <f t="shared" si="0"/>
        <v>-6.1025569275488216</v>
      </c>
      <c r="E186" s="39">
        <v>0</v>
      </c>
      <c r="F186" s="39">
        <v>3</v>
      </c>
      <c r="G186" s="39">
        <v>0</v>
      </c>
      <c r="H186" s="44">
        <f t="shared" si="1"/>
        <v>0</v>
      </c>
      <c r="I186" s="44">
        <f t="shared" si="2"/>
        <v>100</v>
      </c>
      <c r="J186" s="44"/>
      <c r="K186" s="44"/>
      <c r="L186" s="8"/>
    </row>
    <row r="187" spans="1:12" x14ac:dyDescent="0.25">
      <c r="A187" s="44" t="s">
        <v>4261</v>
      </c>
      <c r="B187" s="20">
        <v>38594326173.899994</v>
      </c>
      <c r="C187" s="20">
        <v>36005346463</v>
      </c>
      <c r="D187" s="44">
        <f t="shared" si="0"/>
        <v>-6.7081873621383012</v>
      </c>
      <c r="E187" s="44">
        <v>0</v>
      </c>
      <c r="F187" s="44">
        <v>1</v>
      </c>
      <c r="G187" s="44">
        <v>0</v>
      </c>
      <c r="H187" s="44">
        <f t="shared" si="1"/>
        <v>0</v>
      </c>
      <c r="I187" s="44">
        <f t="shared" si="2"/>
        <v>100</v>
      </c>
      <c r="J187" s="44"/>
      <c r="K187" s="44"/>
      <c r="L187" s="8"/>
    </row>
    <row r="188" spans="1:12" x14ac:dyDescent="0.25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</row>
    <row r="189" spans="1:12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</row>
    <row r="190" spans="1:12" x14ac:dyDescent="0.25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</row>
    <row r="191" spans="1:12" x14ac:dyDescent="0.25">
      <c r="A191" s="44"/>
      <c r="B191" s="20"/>
      <c r="C191" s="44"/>
      <c r="D191" s="44"/>
      <c r="E191" s="44"/>
      <c r="F191" s="44"/>
      <c r="G191" s="44"/>
      <c r="H191" s="44"/>
      <c r="I191" s="44"/>
      <c r="J191" s="44"/>
      <c r="K191" s="44"/>
    </row>
    <row r="192" spans="1:12" x14ac:dyDescent="0.25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</row>
    <row r="193" spans="1:11" x14ac:dyDescent="0.25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</row>
    <row r="194" spans="1:11" x14ac:dyDescent="0.25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</row>
    <row r="195" spans="1:11" x14ac:dyDescent="0.2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</row>
    <row r="196" spans="1:11" x14ac:dyDescent="0.25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</row>
    <row r="197" spans="1:11" x14ac:dyDescent="0.25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</row>
    <row r="198" spans="1:11" x14ac:dyDescent="0.25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</row>
    <row r="199" spans="1:11" x14ac:dyDescent="0.25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</row>
    <row r="200" spans="1:11" x14ac:dyDescent="0.25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</row>
    <row r="201" spans="1:11" x14ac:dyDescent="0.25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</row>
    <row r="202" spans="1:11" x14ac:dyDescent="0.25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</row>
    <row r="203" spans="1:11" x14ac:dyDescent="0.25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</row>
    <row r="204" spans="1:11" x14ac:dyDescent="0.25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</row>
    <row r="205" spans="1:11" x14ac:dyDescent="0.2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</row>
    <row r="206" spans="1:11" x14ac:dyDescent="0.25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</row>
    <row r="207" spans="1:11" x14ac:dyDescent="0.25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</row>
    <row r="208" spans="1:11" x14ac:dyDescent="0.25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</row>
    <row r="209" spans="1:11" x14ac:dyDescent="0.25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</row>
    <row r="210" spans="1:11" x14ac:dyDescent="0.25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</row>
    <row r="211" spans="1:11" x14ac:dyDescent="0.25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</row>
    <row r="212" spans="1:11" x14ac:dyDescent="0.25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</row>
    <row r="213" spans="1:11" x14ac:dyDescent="0.25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</row>
    <row r="214" spans="1:11" x14ac:dyDescent="0.25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</row>
    <row r="215" spans="1:11" x14ac:dyDescent="0.2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</row>
    <row r="216" spans="1:11" x14ac:dyDescent="0.25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</row>
    <row r="217" spans="1:11" x14ac:dyDescent="0.25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</row>
    <row r="218" spans="1:11" x14ac:dyDescent="0.25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</row>
    <row r="219" spans="1:11" x14ac:dyDescent="0.25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</row>
    <row r="220" spans="1:11" x14ac:dyDescent="0.25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</row>
    <row r="221" spans="1:11" x14ac:dyDescent="0.25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</row>
    <row r="222" spans="1:11" x14ac:dyDescent="0.25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</row>
    <row r="223" spans="1:11" x14ac:dyDescent="0.25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</row>
    <row r="224" spans="1:11" x14ac:dyDescent="0.25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</row>
    <row r="225" spans="1:11" x14ac:dyDescent="0.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</row>
    <row r="226" spans="1:11" x14ac:dyDescent="0.25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</row>
    <row r="227" spans="1:11" x14ac:dyDescent="0.25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</row>
    <row r="228" spans="1:11" x14ac:dyDescent="0.25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</row>
    <row r="229" spans="1:11" x14ac:dyDescent="0.25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</row>
    <row r="230" spans="1:11" x14ac:dyDescent="0.25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</row>
    <row r="231" spans="1:11" x14ac:dyDescent="0.25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</row>
    <row r="232" spans="1:11" x14ac:dyDescent="0.25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</row>
    <row r="233" spans="1:11" x14ac:dyDescent="0.25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</row>
    <row r="234" spans="1:11" x14ac:dyDescent="0.25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</row>
    <row r="235" spans="1:11" x14ac:dyDescent="0.2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</row>
    <row r="236" spans="1:11" x14ac:dyDescent="0.25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</row>
    <row r="237" spans="1:11" x14ac:dyDescent="0.25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</row>
    <row r="238" spans="1:11" x14ac:dyDescent="0.25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</row>
    <row r="239" spans="1:11" x14ac:dyDescent="0.25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</row>
    <row r="240" spans="1:11" x14ac:dyDescent="0.25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</row>
    <row r="241" spans="1:11" x14ac:dyDescent="0.25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</row>
    <row r="242" spans="1:11" x14ac:dyDescent="0.25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</row>
    <row r="243" spans="1:11" x14ac:dyDescent="0.25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</row>
    <row r="244" spans="1:11" x14ac:dyDescent="0.25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</row>
    <row r="245" spans="1:11" x14ac:dyDescent="0.2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</row>
    <row r="246" spans="1:11" x14ac:dyDescent="0.25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</row>
    <row r="247" spans="1:11" x14ac:dyDescent="0.25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</row>
    <row r="248" spans="1:11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</row>
    <row r="249" spans="1:11" x14ac:dyDescent="0.25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</row>
    <row r="250" spans="1:11" x14ac:dyDescent="0.25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</row>
    <row r="251" spans="1:11" x14ac:dyDescent="0.25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</row>
    <row r="252" spans="1:11" x14ac:dyDescent="0.25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</row>
    <row r="253" spans="1:11" x14ac:dyDescent="0.25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</row>
    <row r="254" spans="1:11" x14ac:dyDescent="0.25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</row>
    <row r="255" spans="1:11" x14ac:dyDescent="0.2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</row>
    <row r="256" spans="1:11" x14ac:dyDescent="0.25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</row>
    <row r="257" spans="1:11" x14ac:dyDescent="0.25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</row>
    <row r="258" spans="1:11" x14ac:dyDescent="0.25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</row>
    <row r="259" spans="1:11" x14ac:dyDescent="0.25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</row>
    <row r="260" spans="1:11" x14ac:dyDescent="0.25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</row>
    <row r="261" spans="1:11" x14ac:dyDescent="0.25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</row>
    <row r="262" spans="1:11" x14ac:dyDescent="0.25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</row>
    <row r="263" spans="1:11" x14ac:dyDescent="0.25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</row>
    <row r="264" spans="1:11" x14ac:dyDescent="0.25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</row>
    <row r="265" spans="1:11" x14ac:dyDescent="0.2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</row>
    <row r="266" spans="1:11" x14ac:dyDescent="0.25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</row>
    <row r="267" spans="1:11" x14ac:dyDescent="0.25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</row>
    <row r="268" spans="1:11" x14ac:dyDescent="0.25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</row>
    <row r="269" spans="1:11" x14ac:dyDescent="0.25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</row>
    <row r="270" spans="1:11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</row>
    <row r="271" spans="1:11" x14ac:dyDescent="0.25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</row>
    <row r="272" spans="1:11" x14ac:dyDescent="0.25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</row>
    <row r="273" spans="1:11" x14ac:dyDescent="0.25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</row>
    <row r="274" spans="1:11" x14ac:dyDescent="0.25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</row>
    <row r="275" spans="1:11" x14ac:dyDescent="0.2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</row>
    <row r="276" spans="1:11" x14ac:dyDescent="0.25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</row>
    <row r="277" spans="1:11" x14ac:dyDescent="0.25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</row>
    <row r="278" spans="1:11" x14ac:dyDescent="0.25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</row>
    <row r="279" spans="1:11" x14ac:dyDescent="0.25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</row>
    <row r="280" spans="1:11" x14ac:dyDescent="0.25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</row>
    <row r="281" spans="1:11" x14ac:dyDescent="0.25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</row>
    <row r="282" spans="1:11" x14ac:dyDescent="0.25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</row>
    <row r="283" spans="1:11" x14ac:dyDescent="0.25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</row>
    <row r="284" spans="1:11" x14ac:dyDescent="0.25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</row>
    <row r="285" spans="1:11" x14ac:dyDescent="0.2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</row>
    <row r="286" spans="1:11" x14ac:dyDescent="0.25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</row>
    <row r="287" spans="1:11" x14ac:dyDescent="0.25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</row>
    <row r="288" spans="1:11" x14ac:dyDescent="0.25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</row>
    <row r="289" spans="1:11" x14ac:dyDescent="0.25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</row>
    <row r="290" spans="1:11" x14ac:dyDescent="0.25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</row>
    <row r="291" spans="1:11" x14ac:dyDescent="0.25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</row>
    <row r="292" spans="1:11" x14ac:dyDescent="0.25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</row>
    <row r="293" spans="1:11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</row>
    <row r="294" spans="1:11" x14ac:dyDescent="0.25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</row>
    <row r="295" spans="1:11" x14ac:dyDescent="0.2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</row>
    <row r="296" spans="1:11" x14ac:dyDescent="0.25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</row>
    <row r="297" spans="1:11" x14ac:dyDescent="0.25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</row>
    <row r="298" spans="1:11" x14ac:dyDescent="0.25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</row>
    <row r="299" spans="1:11" x14ac:dyDescent="0.25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</row>
    <row r="300" spans="1:11" x14ac:dyDescent="0.25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</row>
    <row r="301" spans="1:11" x14ac:dyDescent="0.25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</row>
    <row r="302" spans="1:11" x14ac:dyDescent="0.25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</row>
    <row r="303" spans="1:11" x14ac:dyDescent="0.25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</row>
    <row r="304" spans="1:11" x14ac:dyDescent="0.25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</row>
    <row r="305" spans="1:11" x14ac:dyDescent="0.2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</row>
    <row r="306" spans="1:11" x14ac:dyDescent="0.25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</row>
    <row r="307" spans="1:11" x14ac:dyDescent="0.25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</row>
    <row r="308" spans="1:11" x14ac:dyDescent="0.25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</row>
    <row r="309" spans="1:11" x14ac:dyDescent="0.25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</row>
    <row r="310" spans="1:11" x14ac:dyDescent="0.25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</row>
    <row r="311" spans="1:11" x14ac:dyDescent="0.25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</row>
    <row r="312" spans="1:11" x14ac:dyDescent="0.25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</row>
    <row r="313" spans="1:11" x14ac:dyDescent="0.25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</row>
    <row r="314" spans="1:11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</row>
    <row r="315" spans="1:11" x14ac:dyDescent="0.2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</row>
    <row r="316" spans="1:11" x14ac:dyDescent="0.25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</row>
    <row r="317" spans="1:11" x14ac:dyDescent="0.25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</row>
    <row r="318" spans="1:11" x14ac:dyDescent="0.25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</row>
    <row r="319" spans="1:11" x14ac:dyDescent="0.25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</row>
    <row r="320" spans="1:11" x14ac:dyDescent="0.25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</row>
    <row r="321" spans="1:11" x14ac:dyDescent="0.25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</row>
    <row r="322" spans="1:11" x14ac:dyDescent="0.25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</row>
    <row r="323" spans="1:11" x14ac:dyDescent="0.25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</row>
    <row r="324" spans="1:11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</row>
    <row r="325" spans="1:11" x14ac:dyDescent="0.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</row>
    <row r="326" spans="1:11" x14ac:dyDescent="0.25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</row>
    <row r="327" spans="1:11" x14ac:dyDescent="0.25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</row>
    <row r="328" spans="1:11" x14ac:dyDescent="0.25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</row>
    <row r="329" spans="1:11" x14ac:dyDescent="0.25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</row>
    <row r="330" spans="1:11" x14ac:dyDescent="0.25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</row>
    <row r="331" spans="1:11" x14ac:dyDescent="0.25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</row>
    <row r="332" spans="1:11" x14ac:dyDescent="0.25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</row>
    <row r="333" spans="1:11" x14ac:dyDescent="0.25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</row>
    <row r="334" spans="1:11" x14ac:dyDescent="0.25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</row>
    <row r="335" spans="1:11" x14ac:dyDescent="0.2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</row>
    <row r="336" spans="1:11" x14ac:dyDescent="0.25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</row>
    <row r="337" spans="1:11" x14ac:dyDescent="0.25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</row>
    <row r="338" spans="1:11" x14ac:dyDescent="0.25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</row>
    <row r="339" spans="1:11" x14ac:dyDescent="0.25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</row>
    <row r="340" spans="1:11" x14ac:dyDescent="0.25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</row>
    <row r="341" spans="1:11" x14ac:dyDescent="0.25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</row>
    <row r="342" spans="1:11" x14ac:dyDescent="0.25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</row>
    <row r="343" spans="1:11" x14ac:dyDescent="0.25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</row>
    <row r="344" spans="1:11" x14ac:dyDescent="0.25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</row>
    <row r="345" spans="1:11" x14ac:dyDescent="0.2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</row>
    <row r="346" spans="1:11" x14ac:dyDescent="0.25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</row>
    <row r="347" spans="1:11" x14ac:dyDescent="0.25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</row>
    <row r="348" spans="1:11" x14ac:dyDescent="0.25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</row>
    <row r="349" spans="1:11" x14ac:dyDescent="0.25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</row>
    <row r="350" spans="1:11" x14ac:dyDescent="0.25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</row>
    <row r="351" spans="1:11" x14ac:dyDescent="0.25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</row>
    <row r="352" spans="1:11" x14ac:dyDescent="0.25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</row>
    <row r="353" spans="1:11" x14ac:dyDescent="0.25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</row>
    <row r="354" spans="1:11" x14ac:dyDescent="0.25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</row>
    <row r="355" spans="1:11" x14ac:dyDescent="0.2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</row>
    <row r="356" spans="1:11" x14ac:dyDescent="0.25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</row>
    <row r="357" spans="1:11" x14ac:dyDescent="0.25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</row>
    <row r="358" spans="1:11" x14ac:dyDescent="0.25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</row>
    <row r="359" spans="1:11" x14ac:dyDescent="0.25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</row>
    <row r="360" spans="1:11" x14ac:dyDescent="0.25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</row>
    <row r="361" spans="1:11" x14ac:dyDescent="0.25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</row>
    <row r="362" spans="1:11" x14ac:dyDescent="0.25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</row>
    <row r="363" spans="1:11" x14ac:dyDescent="0.25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</row>
    <row r="364" spans="1:11" x14ac:dyDescent="0.25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</row>
    <row r="365" spans="1:11" x14ac:dyDescent="0.2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</row>
    <row r="366" spans="1:11" x14ac:dyDescent="0.25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</row>
    <row r="367" spans="1:11" x14ac:dyDescent="0.25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</row>
    <row r="368" spans="1:11" x14ac:dyDescent="0.25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</row>
    <row r="369" spans="1:11" x14ac:dyDescent="0.25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</row>
    <row r="370" spans="1:11" x14ac:dyDescent="0.25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</row>
    <row r="371" spans="1:11" x14ac:dyDescent="0.25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</row>
    <row r="372" spans="1:11" x14ac:dyDescent="0.25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</row>
    <row r="373" spans="1:11" x14ac:dyDescent="0.25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</row>
    <row r="374" spans="1:11" x14ac:dyDescent="0.25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</row>
    <row r="375" spans="1:11" x14ac:dyDescent="0.2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</row>
    <row r="376" spans="1:11" x14ac:dyDescent="0.25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</row>
    <row r="377" spans="1:11" x14ac:dyDescent="0.25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</row>
    <row r="378" spans="1:11" x14ac:dyDescent="0.25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</row>
    <row r="379" spans="1:11" x14ac:dyDescent="0.25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</row>
    <row r="380" spans="1:11" x14ac:dyDescent="0.25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</row>
    <row r="381" spans="1:11" x14ac:dyDescent="0.25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</row>
    <row r="382" spans="1:11" x14ac:dyDescent="0.25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</row>
    <row r="383" spans="1:11" x14ac:dyDescent="0.25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</row>
    <row r="384" spans="1:11" x14ac:dyDescent="0.25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</row>
    <row r="385" spans="1:11" x14ac:dyDescent="0.2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</row>
    <row r="386" spans="1:11" x14ac:dyDescent="0.25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</row>
    <row r="387" spans="1:11" x14ac:dyDescent="0.25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</row>
    <row r="388" spans="1:11" x14ac:dyDescent="0.25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</row>
    <row r="389" spans="1:11" x14ac:dyDescent="0.25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</row>
    <row r="390" spans="1:11" x14ac:dyDescent="0.25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</row>
    <row r="391" spans="1:11" x14ac:dyDescent="0.25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</row>
    <row r="392" spans="1:11" x14ac:dyDescent="0.25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</row>
    <row r="393" spans="1:11" x14ac:dyDescent="0.25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</row>
    <row r="394" spans="1:11" x14ac:dyDescent="0.25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</row>
    <row r="395" spans="1:11" x14ac:dyDescent="0.2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</row>
    <row r="396" spans="1:11" x14ac:dyDescent="0.25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</row>
    <row r="397" spans="1:11" x14ac:dyDescent="0.25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</row>
    <row r="398" spans="1:11" x14ac:dyDescent="0.25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</row>
    <row r="399" spans="1:11" x14ac:dyDescent="0.25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</row>
    <row r="400" spans="1:11" x14ac:dyDescent="0.25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</row>
    <row r="401" spans="1:11" x14ac:dyDescent="0.25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</row>
    <row r="402" spans="1:11" x14ac:dyDescent="0.25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</row>
    <row r="403" spans="1:11" x14ac:dyDescent="0.25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</row>
    <row r="404" spans="1:11" x14ac:dyDescent="0.25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</row>
    <row r="405" spans="1:11" x14ac:dyDescent="0.2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</row>
    <row r="406" spans="1:11" x14ac:dyDescent="0.25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</row>
    <row r="407" spans="1:11" x14ac:dyDescent="0.25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</row>
    <row r="408" spans="1:11" x14ac:dyDescent="0.25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</row>
    <row r="409" spans="1:11" x14ac:dyDescent="0.25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</row>
    <row r="410" spans="1:11" x14ac:dyDescent="0.25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</row>
    <row r="411" spans="1:11" x14ac:dyDescent="0.25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</row>
    <row r="412" spans="1:11" x14ac:dyDescent="0.25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</row>
    <row r="413" spans="1:11" x14ac:dyDescent="0.25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</row>
    <row r="414" spans="1:11" x14ac:dyDescent="0.25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</row>
    <row r="415" spans="1:11" x14ac:dyDescent="0.2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</row>
    <row r="416" spans="1:11" x14ac:dyDescent="0.25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</row>
    <row r="417" spans="1:11" x14ac:dyDescent="0.25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</row>
    <row r="418" spans="1:11" x14ac:dyDescent="0.25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</row>
    <row r="419" spans="1:11" x14ac:dyDescent="0.25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</row>
    <row r="420" spans="1:11" x14ac:dyDescent="0.25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</row>
    <row r="421" spans="1:11" x14ac:dyDescent="0.25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</row>
    <row r="422" spans="1:11" x14ac:dyDescent="0.25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</row>
    <row r="423" spans="1:11" x14ac:dyDescent="0.25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</row>
    <row r="424" spans="1:11" x14ac:dyDescent="0.25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</row>
    <row r="425" spans="1:11" x14ac:dyDescent="0.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</row>
    <row r="426" spans="1:11" x14ac:dyDescent="0.25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</row>
    <row r="427" spans="1:11" x14ac:dyDescent="0.25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</row>
    <row r="428" spans="1:11" x14ac:dyDescent="0.25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</row>
    <row r="429" spans="1:11" x14ac:dyDescent="0.25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</row>
    <row r="430" spans="1:11" x14ac:dyDescent="0.25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</row>
    <row r="431" spans="1:11" x14ac:dyDescent="0.25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</row>
    <row r="432" spans="1:11" x14ac:dyDescent="0.25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</row>
    <row r="433" spans="1:11" x14ac:dyDescent="0.25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</row>
    <row r="434" spans="1:11" x14ac:dyDescent="0.25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</row>
    <row r="435" spans="1:11" x14ac:dyDescent="0.2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</row>
    <row r="436" spans="1:11" x14ac:dyDescent="0.25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</row>
    <row r="437" spans="1:11" x14ac:dyDescent="0.25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</row>
    <row r="438" spans="1:11" x14ac:dyDescent="0.25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</row>
    <row r="439" spans="1:11" x14ac:dyDescent="0.25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</row>
    <row r="440" spans="1:11" x14ac:dyDescent="0.25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</row>
    <row r="441" spans="1:11" x14ac:dyDescent="0.25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</row>
    <row r="442" spans="1:11" x14ac:dyDescent="0.25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</row>
    <row r="443" spans="1:11" x14ac:dyDescent="0.25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</row>
    <row r="444" spans="1:11" x14ac:dyDescent="0.25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</row>
    <row r="445" spans="1:11" x14ac:dyDescent="0.2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</row>
    <row r="446" spans="1:11" x14ac:dyDescent="0.25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</row>
    <row r="447" spans="1:11" x14ac:dyDescent="0.25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</row>
    <row r="448" spans="1:11" x14ac:dyDescent="0.25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</row>
    <row r="449" spans="1:11" x14ac:dyDescent="0.25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</row>
    <row r="450" spans="1:11" x14ac:dyDescent="0.25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</row>
    <row r="451" spans="1:11" x14ac:dyDescent="0.25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</row>
    <row r="452" spans="1:11" x14ac:dyDescent="0.25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</row>
    <row r="453" spans="1:11" x14ac:dyDescent="0.25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</row>
    <row r="454" spans="1:11" x14ac:dyDescent="0.25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</row>
    <row r="455" spans="1:11" x14ac:dyDescent="0.2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</row>
    <row r="456" spans="1:11" x14ac:dyDescent="0.25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</row>
    <row r="457" spans="1:11" x14ac:dyDescent="0.25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</row>
    <row r="458" spans="1:11" x14ac:dyDescent="0.25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</row>
    <row r="459" spans="1:11" x14ac:dyDescent="0.25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</row>
    <row r="460" spans="1:11" x14ac:dyDescent="0.25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</row>
    <row r="461" spans="1:11" x14ac:dyDescent="0.25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</row>
    <row r="462" spans="1:11" x14ac:dyDescent="0.25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</row>
    <row r="463" spans="1:11" x14ac:dyDescent="0.25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</row>
    <row r="464" spans="1:11" x14ac:dyDescent="0.25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</row>
    <row r="465" spans="1:11" x14ac:dyDescent="0.2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</row>
    <row r="466" spans="1:11" x14ac:dyDescent="0.25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</row>
    <row r="467" spans="1:11" x14ac:dyDescent="0.25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</row>
    <row r="468" spans="1:11" x14ac:dyDescent="0.25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</row>
    <row r="469" spans="1:11" x14ac:dyDescent="0.25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</row>
    <row r="470" spans="1:11" x14ac:dyDescent="0.25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</row>
    <row r="471" spans="1:11" x14ac:dyDescent="0.25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</row>
    <row r="472" spans="1:11" x14ac:dyDescent="0.25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</row>
    <row r="473" spans="1:11" x14ac:dyDescent="0.25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</row>
    <row r="474" spans="1:11" x14ac:dyDescent="0.25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</row>
    <row r="475" spans="1:11" x14ac:dyDescent="0.2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</row>
    <row r="476" spans="1:11" x14ac:dyDescent="0.25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</row>
    <row r="477" spans="1:11" x14ac:dyDescent="0.25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</row>
    <row r="478" spans="1:11" x14ac:dyDescent="0.25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</row>
    <row r="479" spans="1:11" x14ac:dyDescent="0.25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</row>
    <row r="480" spans="1:11" x14ac:dyDescent="0.25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</row>
    <row r="481" spans="1:11" x14ac:dyDescent="0.25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</row>
    <row r="482" spans="1:11" x14ac:dyDescent="0.25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</row>
    <row r="483" spans="1:11" x14ac:dyDescent="0.25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</row>
    <row r="484" spans="1:11" x14ac:dyDescent="0.25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</row>
    <row r="485" spans="1:11" x14ac:dyDescent="0.2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</row>
    <row r="486" spans="1:11" x14ac:dyDescent="0.25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</row>
    <row r="487" spans="1:11" x14ac:dyDescent="0.25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</row>
    <row r="488" spans="1:11" x14ac:dyDescent="0.25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</row>
    <row r="489" spans="1:11" x14ac:dyDescent="0.25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</row>
    <row r="490" spans="1:11" x14ac:dyDescent="0.25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</row>
    <row r="491" spans="1:11" x14ac:dyDescent="0.25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</row>
    <row r="492" spans="1:11" x14ac:dyDescent="0.25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</row>
    <row r="493" spans="1:11" x14ac:dyDescent="0.25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</row>
    <row r="494" spans="1:11" x14ac:dyDescent="0.25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</row>
    <row r="495" spans="1:11" x14ac:dyDescent="0.2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</row>
    <row r="496" spans="1:11" x14ac:dyDescent="0.25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</row>
    <row r="497" spans="1:11" x14ac:dyDescent="0.25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</row>
    <row r="498" spans="1:11" x14ac:dyDescent="0.25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</row>
    <row r="499" spans="1:11" x14ac:dyDescent="0.25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</row>
    <row r="500" spans="1:11" x14ac:dyDescent="0.25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</row>
    <row r="501" spans="1:11" x14ac:dyDescent="0.25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</row>
    <row r="502" spans="1:11" x14ac:dyDescent="0.25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</row>
    <row r="503" spans="1:11" x14ac:dyDescent="0.25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</row>
    <row r="504" spans="1:11" x14ac:dyDescent="0.25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</row>
    <row r="505" spans="1:11" x14ac:dyDescent="0.2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</row>
    <row r="506" spans="1:11" x14ac:dyDescent="0.25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</row>
    <row r="507" spans="1:11" x14ac:dyDescent="0.25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</row>
    <row r="508" spans="1:11" x14ac:dyDescent="0.25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</row>
    <row r="509" spans="1:11" x14ac:dyDescent="0.25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</row>
    <row r="510" spans="1:11" x14ac:dyDescent="0.25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</row>
    <row r="511" spans="1:11" x14ac:dyDescent="0.25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</row>
    <row r="512" spans="1:11" x14ac:dyDescent="0.25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</row>
    <row r="513" spans="1:11" x14ac:dyDescent="0.25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</row>
    <row r="514" spans="1:11" x14ac:dyDescent="0.25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</row>
    <row r="515" spans="1:11" x14ac:dyDescent="0.2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</row>
    <row r="516" spans="1:11" x14ac:dyDescent="0.25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</row>
    <row r="517" spans="1:11" x14ac:dyDescent="0.25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</row>
    <row r="518" spans="1:11" x14ac:dyDescent="0.25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</row>
    <row r="519" spans="1:11" x14ac:dyDescent="0.25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</row>
    <row r="520" spans="1:11" x14ac:dyDescent="0.25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</row>
    <row r="521" spans="1:11" x14ac:dyDescent="0.25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</row>
    <row r="522" spans="1:11" x14ac:dyDescent="0.25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</row>
    <row r="523" spans="1:11" x14ac:dyDescent="0.25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</row>
    <row r="524" spans="1:11" x14ac:dyDescent="0.25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</row>
    <row r="525" spans="1:11" x14ac:dyDescent="0.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</row>
    <row r="526" spans="1:11" x14ac:dyDescent="0.25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</row>
    <row r="527" spans="1:11" x14ac:dyDescent="0.25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</row>
    <row r="528" spans="1:11" x14ac:dyDescent="0.25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</row>
    <row r="529" spans="1:11" x14ac:dyDescent="0.25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</row>
    <row r="530" spans="1:11" x14ac:dyDescent="0.25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</row>
    <row r="531" spans="1:11" x14ac:dyDescent="0.25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</row>
    <row r="532" spans="1:11" x14ac:dyDescent="0.25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</row>
    <row r="533" spans="1:11" x14ac:dyDescent="0.25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</row>
    <row r="534" spans="1:11" x14ac:dyDescent="0.25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</row>
    <row r="535" spans="1:11" x14ac:dyDescent="0.2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</row>
    <row r="536" spans="1:11" x14ac:dyDescent="0.25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</row>
    <row r="537" spans="1:11" x14ac:dyDescent="0.25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</row>
    <row r="538" spans="1:11" x14ac:dyDescent="0.25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</row>
    <row r="539" spans="1:11" x14ac:dyDescent="0.25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</row>
    <row r="540" spans="1:11" x14ac:dyDescent="0.25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</row>
    <row r="541" spans="1:11" x14ac:dyDescent="0.25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</row>
    <row r="542" spans="1:11" x14ac:dyDescent="0.25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</row>
    <row r="543" spans="1:11" x14ac:dyDescent="0.25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</row>
    <row r="544" spans="1:11" x14ac:dyDescent="0.25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</row>
    <row r="545" spans="1:11" x14ac:dyDescent="0.2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</row>
    <row r="546" spans="1:11" x14ac:dyDescent="0.25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</row>
    <row r="547" spans="1:11" x14ac:dyDescent="0.25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</row>
    <row r="548" spans="1:11" x14ac:dyDescent="0.25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</row>
    <row r="549" spans="1:11" x14ac:dyDescent="0.25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</row>
    <row r="550" spans="1:11" x14ac:dyDescent="0.25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</row>
    <row r="551" spans="1:11" x14ac:dyDescent="0.25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</row>
    <row r="552" spans="1:11" x14ac:dyDescent="0.25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</row>
    <row r="553" spans="1:11" x14ac:dyDescent="0.25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</row>
    <row r="554" spans="1:11" x14ac:dyDescent="0.25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</row>
    <row r="555" spans="1:11" x14ac:dyDescent="0.2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</row>
    <row r="556" spans="1:11" x14ac:dyDescent="0.25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</row>
    <row r="557" spans="1:11" x14ac:dyDescent="0.25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</row>
    <row r="558" spans="1:11" x14ac:dyDescent="0.25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</row>
    <row r="559" spans="1:11" x14ac:dyDescent="0.25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</row>
    <row r="560" spans="1:11" x14ac:dyDescent="0.25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</row>
    <row r="561" spans="1:11" x14ac:dyDescent="0.25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</row>
    <row r="562" spans="1:11" x14ac:dyDescent="0.25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</row>
    <row r="563" spans="1:11" x14ac:dyDescent="0.25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</row>
    <row r="564" spans="1:11" x14ac:dyDescent="0.25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</row>
    <row r="565" spans="1:11" x14ac:dyDescent="0.2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</row>
    <row r="566" spans="1:11" x14ac:dyDescent="0.25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</row>
    <row r="567" spans="1:11" x14ac:dyDescent="0.25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</row>
    <row r="568" spans="1:11" x14ac:dyDescent="0.25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</row>
    <row r="569" spans="1:11" x14ac:dyDescent="0.25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</row>
    <row r="570" spans="1:11" x14ac:dyDescent="0.25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</row>
    <row r="571" spans="1:11" x14ac:dyDescent="0.25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</row>
    <row r="572" spans="1:11" x14ac:dyDescent="0.25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</row>
    <row r="573" spans="1:11" x14ac:dyDescent="0.25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</row>
    <row r="574" spans="1:11" x14ac:dyDescent="0.25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</row>
    <row r="575" spans="1:11" x14ac:dyDescent="0.2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</row>
    <row r="576" spans="1:11" x14ac:dyDescent="0.25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</row>
    <row r="577" spans="1:11" x14ac:dyDescent="0.25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</row>
    <row r="578" spans="1:11" x14ac:dyDescent="0.25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</row>
    <row r="579" spans="1:11" x14ac:dyDescent="0.25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</row>
    <row r="580" spans="1:11" x14ac:dyDescent="0.25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</row>
    <row r="581" spans="1:11" x14ac:dyDescent="0.25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</row>
    <row r="582" spans="1:11" x14ac:dyDescent="0.25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</row>
    <row r="583" spans="1:11" x14ac:dyDescent="0.25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</row>
    <row r="584" spans="1:11" x14ac:dyDescent="0.25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</row>
    <row r="585" spans="1:11" x14ac:dyDescent="0.2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</row>
    <row r="586" spans="1:11" x14ac:dyDescent="0.25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</row>
    <row r="587" spans="1:11" x14ac:dyDescent="0.25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</row>
    <row r="588" spans="1:11" x14ac:dyDescent="0.25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</row>
    <row r="589" spans="1:11" x14ac:dyDescent="0.25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</row>
    <row r="590" spans="1:11" x14ac:dyDescent="0.25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</row>
    <row r="591" spans="1:11" x14ac:dyDescent="0.25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</row>
    <row r="592" spans="1:11" x14ac:dyDescent="0.25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</row>
    <row r="593" spans="1:11" x14ac:dyDescent="0.25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</row>
    <row r="594" spans="1:11" x14ac:dyDescent="0.25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</row>
    <row r="595" spans="1:11" x14ac:dyDescent="0.2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</row>
    <row r="596" spans="1:11" x14ac:dyDescent="0.25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</row>
    <row r="597" spans="1:11" x14ac:dyDescent="0.25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</row>
    <row r="598" spans="1:11" x14ac:dyDescent="0.25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</row>
    <row r="599" spans="1:11" x14ac:dyDescent="0.25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</row>
    <row r="600" spans="1:11" x14ac:dyDescent="0.25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</row>
    <row r="601" spans="1:11" x14ac:dyDescent="0.25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</row>
    <row r="602" spans="1:11" x14ac:dyDescent="0.25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</row>
    <row r="603" spans="1:11" x14ac:dyDescent="0.25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</row>
    <row r="604" spans="1:11" x14ac:dyDescent="0.25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</row>
    <row r="605" spans="1:11" x14ac:dyDescent="0.2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</row>
    <row r="606" spans="1:11" x14ac:dyDescent="0.25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</row>
    <row r="607" spans="1:11" x14ac:dyDescent="0.25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</row>
    <row r="608" spans="1:11" x14ac:dyDescent="0.25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</row>
    <row r="609" spans="1:11" x14ac:dyDescent="0.25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</row>
    <row r="610" spans="1:11" x14ac:dyDescent="0.25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</row>
    <row r="611" spans="1:11" x14ac:dyDescent="0.25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</row>
    <row r="612" spans="1:11" x14ac:dyDescent="0.25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</row>
    <row r="613" spans="1:11" x14ac:dyDescent="0.25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</row>
    <row r="614" spans="1:11" x14ac:dyDescent="0.25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</row>
    <row r="615" spans="1:11" x14ac:dyDescent="0.2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</row>
    <row r="616" spans="1:11" x14ac:dyDescent="0.25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</row>
    <row r="617" spans="1:11" x14ac:dyDescent="0.25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</row>
    <row r="618" spans="1:11" x14ac:dyDescent="0.25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</row>
    <row r="619" spans="1:11" x14ac:dyDescent="0.25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</row>
    <row r="620" spans="1:11" x14ac:dyDescent="0.25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</row>
    <row r="621" spans="1:11" x14ac:dyDescent="0.25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</row>
    <row r="622" spans="1:11" x14ac:dyDescent="0.25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</row>
    <row r="623" spans="1:11" x14ac:dyDescent="0.25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</row>
    <row r="624" spans="1:11" x14ac:dyDescent="0.25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</row>
    <row r="625" spans="1:11" x14ac:dyDescent="0.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</row>
    <row r="626" spans="1:11" x14ac:dyDescent="0.25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</row>
    <row r="627" spans="1:11" x14ac:dyDescent="0.25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</row>
    <row r="628" spans="1:11" x14ac:dyDescent="0.25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</row>
    <row r="629" spans="1:11" x14ac:dyDescent="0.25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</row>
    <row r="630" spans="1:11" x14ac:dyDescent="0.25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</row>
    <row r="631" spans="1:11" x14ac:dyDescent="0.25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</row>
    <row r="632" spans="1:11" x14ac:dyDescent="0.25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</row>
    <row r="633" spans="1:11" x14ac:dyDescent="0.25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</row>
    <row r="634" spans="1:11" x14ac:dyDescent="0.25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</row>
    <row r="635" spans="1:11" x14ac:dyDescent="0.2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</row>
    <row r="636" spans="1:11" x14ac:dyDescent="0.25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</row>
    <row r="637" spans="1:11" x14ac:dyDescent="0.25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</row>
    <row r="638" spans="1:11" x14ac:dyDescent="0.25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</row>
    <row r="639" spans="1:11" x14ac:dyDescent="0.25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</row>
    <row r="640" spans="1:11" x14ac:dyDescent="0.25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</row>
    <row r="641" spans="1:11" x14ac:dyDescent="0.25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</row>
    <row r="642" spans="1:11" x14ac:dyDescent="0.25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</row>
    <row r="643" spans="1:11" x14ac:dyDescent="0.25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</row>
    <row r="644" spans="1:11" x14ac:dyDescent="0.25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</row>
    <row r="645" spans="1:11" x14ac:dyDescent="0.2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</row>
    <row r="646" spans="1:11" x14ac:dyDescent="0.25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</row>
    <row r="647" spans="1:11" x14ac:dyDescent="0.25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</row>
    <row r="648" spans="1:11" x14ac:dyDescent="0.25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</row>
    <row r="649" spans="1:11" x14ac:dyDescent="0.25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</row>
    <row r="650" spans="1:11" x14ac:dyDescent="0.25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</row>
    <row r="651" spans="1:11" x14ac:dyDescent="0.25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</row>
    <row r="652" spans="1:11" x14ac:dyDescent="0.25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</row>
    <row r="653" spans="1:11" x14ac:dyDescent="0.25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</row>
    <row r="654" spans="1:11" x14ac:dyDescent="0.25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</row>
    <row r="655" spans="1:11" x14ac:dyDescent="0.2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</row>
    <row r="656" spans="1:11" x14ac:dyDescent="0.25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</row>
    <row r="657" spans="1:11" x14ac:dyDescent="0.25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</row>
    <row r="658" spans="1:11" x14ac:dyDescent="0.25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</row>
    <row r="659" spans="1:11" x14ac:dyDescent="0.25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</row>
    <row r="660" spans="1:11" x14ac:dyDescent="0.25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</row>
    <row r="661" spans="1:11" x14ac:dyDescent="0.25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</row>
    <row r="662" spans="1:11" x14ac:dyDescent="0.25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</row>
    <row r="663" spans="1:11" x14ac:dyDescent="0.25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</row>
    <row r="664" spans="1:11" x14ac:dyDescent="0.25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</row>
    <row r="665" spans="1:11" x14ac:dyDescent="0.2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</row>
    <row r="666" spans="1:11" x14ac:dyDescent="0.25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</row>
    <row r="667" spans="1:11" x14ac:dyDescent="0.25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</row>
    <row r="668" spans="1:11" x14ac:dyDescent="0.25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</row>
    <row r="669" spans="1:11" x14ac:dyDescent="0.25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</row>
    <row r="670" spans="1:11" x14ac:dyDescent="0.25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</row>
    <row r="671" spans="1:11" x14ac:dyDescent="0.25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</row>
    <row r="672" spans="1:11" x14ac:dyDescent="0.25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</row>
    <row r="673" spans="1:11" x14ac:dyDescent="0.25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</row>
    <row r="674" spans="1:11" x14ac:dyDescent="0.25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</row>
    <row r="675" spans="1:11" x14ac:dyDescent="0.2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</row>
    <row r="676" spans="1:11" x14ac:dyDescent="0.25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</row>
    <row r="677" spans="1:11" x14ac:dyDescent="0.25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</row>
    <row r="678" spans="1:11" x14ac:dyDescent="0.25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</row>
    <row r="679" spans="1:11" x14ac:dyDescent="0.25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</row>
    <row r="680" spans="1:11" x14ac:dyDescent="0.25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</row>
    <row r="681" spans="1:11" x14ac:dyDescent="0.25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</row>
    <row r="682" spans="1:11" x14ac:dyDescent="0.25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</row>
    <row r="683" spans="1:11" x14ac:dyDescent="0.25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</row>
    <row r="684" spans="1:11" x14ac:dyDescent="0.25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</row>
    <row r="685" spans="1:11" x14ac:dyDescent="0.2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</row>
    <row r="686" spans="1:11" x14ac:dyDescent="0.25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</row>
    <row r="687" spans="1:11" x14ac:dyDescent="0.25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</row>
    <row r="688" spans="1:11" x14ac:dyDescent="0.25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</row>
    <row r="689" spans="1:11" x14ac:dyDescent="0.25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</row>
    <row r="690" spans="1:11" x14ac:dyDescent="0.25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</row>
    <row r="691" spans="1:11" x14ac:dyDescent="0.25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</row>
    <row r="692" spans="1:11" x14ac:dyDescent="0.25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</row>
    <row r="693" spans="1:11" x14ac:dyDescent="0.25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</row>
    <row r="694" spans="1:11" x14ac:dyDescent="0.25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</row>
    <row r="695" spans="1:11" x14ac:dyDescent="0.2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</row>
    <row r="696" spans="1:11" x14ac:dyDescent="0.25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</row>
    <row r="697" spans="1:11" x14ac:dyDescent="0.25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</row>
    <row r="698" spans="1:11" x14ac:dyDescent="0.25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</row>
    <row r="699" spans="1:11" x14ac:dyDescent="0.25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</row>
    <row r="700" spans="1:11" x14ac:dyDescent="0.25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</row>
    <row r="701" spans="1:11" x14ac:dyDescent="0.25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</row>
    <row r="702" spans="1:11" x14ac:dyDescent="0.25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</row>
    <row r="703" spans="1:11" x14ac:dyDescent="0.25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</row>
    <row r="704" spans="1:11" x14ac:dyDescent="0.25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</row>
    <row r="705" spans="1:11" x14ac:dyDescent="0.2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</row>
    <row r="706" spans="1:11" x14ac:dyDescent="0.25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</row>
    <row r="707" spans="1:11" x14ac:dyDescent="0.25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</row>
    <row r="708" spans="1:11" x14ac:dyDescent="0.25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</row>
    <row r="709" spans="1:11" x14ac:dyDescent="0.25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</row>
    <row r="710" spans="1:11" x14ac:dyDescent="0.25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</row>
    <row r="711" spans="1:11" x14ac:dyDescent="0.25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</row>
    <row r="712" spans="1:11" x14ac:dyDescent="0.25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</row>
    <row r="713" spans="1:11" x14ac:dyDescent="0.25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</row>
    <row r="714" spans="1:11" x14ac:dyDescent="0.25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</row>
    <row r="715" spans="1:11" x14ac:dyDescent="0.2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</row>
    <row r="716" spans="1:11" x14ac:dyDescent="0.25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</row>
    <row r="717" spans="1:11" x14ac:dyDescent="0.25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</row>
    <row r="718" spans="1:11" x14ac:dyDescent="0.25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</row>
    <row r="719" spans="1:11" x14ac:dyDescent="0.25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</row>
    <row r="720" spans="1:11" x14ac:dyDescent="0.25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</row>
    <row r="721" spans="1:11" x14ac:dyDescent="0.25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</row>
    <row r="722" spans="1:11" x14ac:dyDescent="0.25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</row>
    <row r="723" spans="1:11" x14ac:dyDescent="0.25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</row>
    <row r="724" spans="1:11" x14ac:dyDescent="0.25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</row>
    <row r="725" spans="1:11" x14ac:dyDescent="0.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</row>
    <row r="726" spans="1:11" x14ac:dyDescent="0.25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</row>
    <row r="727" spans="1:11" x14ac:dyDescent="0.25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</row>
    <row r="728" spans="1:11" x14ac:dyDescent="0.25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</row>
    <row r="729" spans="1:11" x14ac:dyDescent="0.25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</row>
    <row r="730" spans="1:11" x14ac:dyDescent="0.25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</row>
    <row r="731" spans="1:11" x14ac:dyDescent="0.25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</row>
    <row r="732" spans="1:11" x14ac:dyDescent="0.25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</row>
    <row r="733" spans="1:11" x14ac:dyDescent="0.25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</row>
    <row r="734" spans="1:11" x14ac:dyDescent="0.25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</row>
    <row r="735" spans="1:11" x14ac:dyDescent="0.2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</row>
    <row r="736" spans="1:11" x14ac:dyDescent="0.25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</row>
    <row r="737" spans="1:11" x14ac:dyDescent="0.25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</row>
    <row r="738" spans="1:11" x14ac:dyDescent="0.25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</row>
    <row r="739" spans="1:11" x14ac:dyDescent="0.25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</row>
    <row r="740" spans="1:11" x14ac:dyDescent="0.25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</row>
    <row r="741" spans="1:11" x14ac:dyDescent="0.25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</row>
    <row r="742" spans="1:11" x14ac:dyDescent="0.25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</row>
    <row r="743" spans="1:11" x14ac:dyDescent="0.25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</row>
    <row r="744" spans="1:11" x14ac:dyDescent="0.25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</row>
    <row r="745" spans="1:11" x14ac:dyDescent="0.2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</row>
    <row r="746" spans="1:11" x14ac:dyDescent="0.25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</row>
    <row r="747" spans="1:11" x14ac:dyDescent="0.25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</row>
    <row r="748" spans="1:11" x14ac:dyDescent="0.25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</row>
    <row r="749" spans="1:11" x14ac:dyDescent="0.25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</row>
    <row r="750" spans="1:11" x14ac:dyDescent="0.25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</row>
    <row r="751" spans="1:11" x14ac:dyDescent="0.25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</row>
    <row r="752" spans="1:11" x14ac:dyDescent="0.25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</row>
    <row r="753" spans="1:11" x14ac:dyDescent="0.25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</row>
    <row r="754" spans="1:11" x14ac:dyDescent="0.25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</row>
    <row r="755" spans="1:11" x14ac:dyDescent="0.2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</row>
    <row r="756" spans="1:11" x14ac:dyDescent="0.25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</row>
    <row r="757" spans="1:11" x14ac:dyDescent="0.25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</row>
    <row r="758" spans="1:11" x14ac:dyDescent="0.25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</row>
    <row r="759" spans="1:11" x14ac:dyDescent="0.25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</row>
    <row r="760" spans="1:11" x14ac:dyDescent="0.25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</row>
    <row r="761" spans="1:11" x14ac:dyDescent="0.25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</row>
    <row r="762" spans="1:11" x14ac:dyDescent="0.25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</row>
    <row r="763" spans="1:11" x14ac:dyDescent="0.25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</row>
    <row r="764" spans="1:11" x14ac:dyDescent="0.25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</row>
    <row r="765" spans="1:11" x14ac:dyDescent="0.2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</row>
    <row r="766" spans="1:11" x14ac:dyDescent="0.25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</row>
    <row r="767" spans="1:11" x14ac:dyDescent="0.25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</row>
    <row r="768" spans="1:11" x14ac:dyDescent="0.25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</row>
    <row r="769" spans="1:11" x14ac:dyDescent="0.25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</row>
    <row r="770" spans="1:11" x14ac:dyDescent="0.25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</row>
    <row r="771" spans="1:11" x14ac:dyDescent="0.25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</row>
    <row r="772" spans="1:11" x14ac:dyDescent="0.25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</row>
    <row r="773" spans="1:11" x14ac:dyDescent="0.25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</row>
    <row r="774" spans="1:11" x14ac:dyDescent="0.25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</row>
    <row r="775" spans="1:11" x14ac:dyDescent="0.2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</row>
    <row r="776" spans="1:11" x14ac:dyDescent="0.25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</row>
    <row r="777" spans="1:11" x14ac:dyDescent="0.25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</row>
    <row r="778" spans="1:11" x14ac:dyDescent="0.25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</row>
    <row r="779" spans="1:11" x14ac:dyDescent="0.25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</row>
    <row r="780" spans="1:11" x14ac:dyDescent="0.25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</row>
    <row r="781" spans="1:11" x14ac:dyDescent="0.25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</row>
    <row r="782" spans="1:11" x14ac:dyDescent="0.25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</row>
    <row r="783" spans="1:11" x14ac:dyDescent="0.25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</row>
    <row r="784" spans="1:11" x14ac:dyDescent="0.25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</row>
    <row r="785" spans="1:11" x14ac:dyDescent="0.2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</row>
    <row r="786" spans="1:11" x14ac:dyDescent="0.25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</row>
    <row r="787" spans="1:11" x14ac:dyDescent="0.25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</row>
    <row r="788" spans="1:11" x14ac:dyDescent="0.25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</row>
    <row r="789" spans="1:11" x14ac:dyDescent="0.25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</row>
    <row r="790" spans="1:11" x14ac:dyDescent="0.25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</row>
    <row r="791" spans="1:11" x14ac:dyDescent="0.25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</row>
    <row r="792" spans="1:11" x14ac:dyDescent="0.25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</row>
    <row r="793" spans="1:11" x14ac:dyDescent="0.25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</row>
    <row r="794" spans="1:11" x14ac:dyDescent="0.25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</row>
    <row r="795" spans="1:11" x14ac:dyDescent="0.2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</row>
    <row r="796" spans="1:11" x14ac:dyDescent="0.25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</row>
    <row r="797" spans="1:11" x14ac:dyDescent="0.25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</row>
    <row r="798" spans="1:11" x14ac:dyDescent="0.25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</row>
    <row r="799" spans="1:11" x14ac:dyDescent="0.25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</row>
    <row r="800" spans="1:11" x14ac:dyDescent="0.25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</row>
    <row r="801" spans="1:11" x14ac:dyDescent="0.25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</row>
    <row r="802" spans="1:11" x14ac:dyDescent="0.25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</row>
    <row r="803" spans="1:11" x14ac:dyDescent="0.25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</row>
    <row r="804" spans="1:11" x14ac:dyDescent="0.25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</row>
    <row r="805" spans="1:11" x14ac:dyDescent="0.2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</row>
    <row r="806" spans="1:11" x14ac:dyDescent="0.25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</row>
    <row r="807" spans="1:11" x14ac:dyDescent="0.25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</row>
    <row r="808" spans="1:11" x14ac:dyDescent="0.25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</row>
    <row r="809" spans="1:11" x14ac:dyDescent="0.25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</row>
    <row r="810" spans="1:11" x14ac:dyDescent="0.25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</row>
    <row r="811" spans="1:11" x14ac:dyDescent="0.25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</row>
    <row r="812" spans="1:11" x14ac:dyDescent="0.25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</row>
    <row r="813" spans="1:11" x14ac:dyDescent="0.25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</row>
    <row r="814" spans="1:11" x14ac:dyDescent="0.25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</row>
    <row r="815" spans="1:11" x14ac:dyDescent="0.2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</row>
    <row r="816" spans="1:11" x14ac:dyDescent="0.25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</row>
    <row r="817" spans="1:11" x14ac:dyDescent="0.25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</row>
    <row r="818" spans="1:11" x14ac:dyDescent="0.25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</row>
    <row r="819" spans="1:11" x14ac:dyDescent="0.25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</row>
    <row r="820" spans="1:11" x14ac:dyDescent="0.25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</row>
    <row r="821" spans="1:11" x14ac:dyDescent="0.25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</row>
    <row r="822" spans="1:11" x14ac:dyDescent="0.25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</row>
    <row r="823" spans="1:11" x14ac:dyDescent="0.25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</row>
    <row r="824" spans="1:11" x14ac:dyDescent="0.25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</row>
    <row r="825" spans="1:11" x14ac:dyDescent="0.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</row>
    <row r="826" spans="1:11" x14ac:dyDescent="0.25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</row>
    <row r="827" spans="1:11" x14ac:dyDescent="0.25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</row>
    <row r="828" spans="1:11" x14ac:dyDescent="0.25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</row>
    <row r="829" spans="1:11" x14ac:dyDescent="0.25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</row>
    <row r="830" spans="1:11" x14ac:dyDescent="0.25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</row>
    <row r="831" spans="1:11" x14ac:dyDescent="0.25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</row>
    <row r="832" spans="1:11" x14ac:dyDescent="0.25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</row>
    <row r="833" spans="1:11" x14ac:dyDescent="0.25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</row>
    <row r="834" spans="1:11" x14ac:dyDescent="0.25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</row>
    <row r="835" spans="1:11" x14ac:dyDescent="0.2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</row>
    <row r="836" spans="1:11" x14ac:dyDescent="0.25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</row>
    <row r="837" spans="1:11" x14ac:dyDescent="0.25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</row>
    <row r="838" spans="1:11" x14ac:dyDescent="0.25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</row>
    <row r="839" spans="1:11" x14ac:dyDescent="0.25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</row>
    <row r="840" spans="1:11" x14ac:dyDescent="0.25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</row>
    <row r="841" spans="1:11" x14ac:dyDescent="0.25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</row>
    <row r="842" spans="1:11" x14ac:dyDescent="0.25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</row>
    <row r="843" spans="1:11" x14ac:dyDescent="0.25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</row>
    <row r="844" spans="1:11" x14ac:dyDescent="0.25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</row>
    <row r="845" spans="1:11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</row>
    <row r="846" spans="1:11" x14ac:dyDescent="0.25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</row>
    <row r="847" spans="1:11" x14ac:dyDescent="0.25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</row>
    <row r="848" spans="1:11" x14ac:dyDescent="0.25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</row>
    <row r="849" spans="1:11" x14ac:dyDescent="0.25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</row>
    <row r="850" spans="1:11" x14ac:dyDescent="0.25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</row>
    <row r="851" spans="1:11" x14ac:dyDescent="0.25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</row>
    <row r="852" spans="1:11" x14ac:dyDescent="0.25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</row>
    <row r="853" spans="1:11" x14ac:dyDescent="0.25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</row>
    <row r="854" spans="1:11" x14ac:dyDescent="0.25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</row>
    <row r="855" spans="1:11" x14ac:dyDescent="0.2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</row>
    <row r="856" spans="1:11" x14ac:dyDescent="0.25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</row>
    <row r="857" spans="1:11" x14ac:dyDescent="0.25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</row>
    <row r="858" spans="1:11" x14ac:dyDescent="0.25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</row>
    <row r="859" spans="1:11" x14ac:dyDescent="0.25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</row>
    <row r="860" spans="1:11" x14ac:dyDescent="0.25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</row>
    <row r="861" spans="1:11" x14ac:dyDescent="0.25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</row>
    <row r="862" spans="1:11" x14ac:dyDescent="0.25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</row>
    <row r="863" spans="1:11" x14ac:dyDescent="0.25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</row>
    <row r="864" spans="1:11" x14ac:dyDescent="0.25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</row>
    <row r="865" spans="1:11" x14ac:dyDescent="0.2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</row>
    <row r="866" spans="1:11" x14ac:dyDescent="0.25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</row>
    <row r="867" spans="1:11" x14ac:dyDescent="0.25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</row>
    <row r="868" spans="1:11" x14ac:dyDescent="0.25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</row>
    <row r="869" spans="1:11" x14ac:dyDescent="0.25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</row>
    <row r="870" spans="1:11" x14ac:dyDescent="0.25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</row>
    <row r="871" spans="1:11" x14ac:dyDescent="0.25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</row>
    <row r="872" spans="1:11" x14ac:dyDescent="0.25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</row>
    <row r="873" spans="1:11" x14ac:dyDescent="0.25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</row>
    <row r="874" spans="1:11" x14ac:dyDescent="0.25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</row>
    <row r="875" spans="1:11" x14ac:dyDescent="0.2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</row>
    <row r="876" spans="1:11" x14ac:dyDescent="0.25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</row>
    <row r="877" spans="1:11" x14ac:dyDescent="0.25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</row>
    <row r="878" spans="1:11" x14ac:dyDescent="0.25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</row>
    <row r="879" spans="1:11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</row>
    <row r="880" spans="1:11" x14ac:dyDescent="0.25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</row>
    <row r="881" spans="1:11" x14ac:dyDescent="0.25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</row>
    <row r="882" spans="1:11" x14ac:dyDescent="0.25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</row>
    <row r="883" spans="1:11" x14ac:dyDescent="0.25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</row>
    <row r="884" spans="1:11" x14ac:dyDescent="0.25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</row>
    <row r="885" spans="1:11" x14ac:dyDescent="0.2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</row>
    <row r="886" spans="1:11" x14ac:dyDescent="0.25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</row>
    <row r="887" spans="1:11" x14ac:dyDescent="0.25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</row>
    <row r="888" spans="1:11" x14ac:dyDescent="0.25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</row>
    <row r="889" spans="1:11" x14ac:dyDescent="0.25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</row>
    <row r="890" spans="1:11" x14ac:dyDescent="0.25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</row>
    <row r="891" spans="1:11" x14ac:dyDescent="0.25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</row>
    <row r="892" spans="1:11" x14ac:dyDescent="0.25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</row>
    <row r="893" spans="1:11" x14ac:dyDescent="0.25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</row>
    <row r="894" spans="1:11" x14ac:dyDescent="0.25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</row>
    <row r="895" spans="1:11" x14ac:dyDescent="0.2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</row>
    <row r="896" spans="1:11" x14ac:dyDescent="0.25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</row>
    <row r="897" spans="1:11" x14ac:dyDescent="0.25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</row>
    <row r="898" spans="1:11" x14ac:dyDescent="0.25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</row>
    <row r="899" spans="1:11" x14ac:dyDescent="0.25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</row>
    <row r="900" spans="1:11" x14ac:dyDescent="0.25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</row>
    <row r="901" spans="1:11" x14ac:dyDescent="0.25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</row>
    <row r="902" spans="1:11" x14ac:dyDescent="0.25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</row>
    <row r="903" spans="1:11" x14ac:dyDescent="0.25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</row>
    <row r="904" spans="1:11" x14ac:dyDescent="0.25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</row>
    <row r="905" spans="1:11" x14ac:dyDescent="0.2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</row>
    <row r="906" spans="1:11" x14ac:dyDescent="0.25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</row>
    <row r="907" spans="1:11" x14ac:dyDescent="0.25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</row>
    <row r="908" spans="1:11" x14ac:dyDescent="0.25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</row>
    <row r="909" spans="1:11" x14ac:dyDescent="0.25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</row>
    <row r="910" spans="1:11" x14ac:dyDescent="0.25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</row>
    <row r="911" spans="1:11" x14ac:dyDescent="0.25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</row>
    <row r="912" spans="1:11" x14ac:dyDescent="0.25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</row>
    <row r="913" spans="1:11" x14ac:dyDescent="0.25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</row>
    <row r="914" spans="1:11" x14ac:dyDescent="0.25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</row>
    <row r="915" spans="1:11" x14ac:dyDescent="0.2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</row>
    <row r="916" spans="1:11" x14ac:dyDescent="0.25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</row>
    <row r="917" spans="1:11" x14ac:dyDescent="0.25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</row>
    <row r="918" spans="1:11" x14ac:dyDescent="0.25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</row>
    <row r="919" spans="1:11" x14ac:dyDescent="0.25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</row>
    <row r="920" spans="1:11" x14ac:dyDescent="0.25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</row>
    <row r="921" spans="1:11" x14ac:dyDescent="0.25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</row>
    <row r="922" spans="1:11" x14ac:dyDescent="0.25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</row>
    <row r="923" spans="1:11" x14ac:dyDescent="0.25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</row>
    <row r="924" spans="1:11" x14ac:dyDescent="0.25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</row>
    <row r="925" spans="1:11" x14ac:dyDescent="0.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</row>
    <row r="926" spans="1:11" x14ac:dyDescent="0.25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</row>
    <row r="927" spans="1:11" x14ac:dyDescent="0.25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</row>
    <row r="928" spans="1:11" x14ac:dyDescent="0.25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</row>
    <row r="929" spans="1:11" x14ac:dyDescent="0.25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</row>
    <row r="930" spans="1:11" x14ac:dyDescent="0.25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</row>
    <row r="931" spans="1:11" x14ac:dyDescent="0.25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</row>
    <row r="932" spans="1:11" x14ac:dyDescent="0.25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</row>
    <row r="933" spans="1:11" x14ac:dyDescent="0.25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</row>
    <row r="934" spans="1:11" x14ac:dyDescent="0.25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</row>
    <row r="935" spans="1:11" x14ac:dyDescent="0.2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</row>
    <row r="936" spans="1:11" x14ac:dyDescent="0.25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</row>
    <row r="937" spans="1:11" x14ac:dyDescent="0.25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</row>
    <row r="938" spans="1:11" x14ac:dyDescent="0.25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</row>
    <row r="939" spans="1:11" x14ac:dyDescent="0.25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</row>
    <row r="940" spans="1:11" x14ac:dyDescent="0.25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</row>
    <row r="941" spans="1:11" x14ac:dyDescent="0.25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</row>
    <row r="942" spans="1:11" x14ac:dyDescent="0.25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</row>
    <row r="943" spans="1:11" x14ac:dyDescent="0.25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</row>
    <row r="944" spans="1:11" x14ac:dyDescent="0.25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</row>
    <row r="945" spans="1:11" x14ac:dyDescent="0.2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</row>
    <row r="946" spans="1:11" x14ac:dyDescent="0.25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</row>
    <row r="947" spans="1:11" x14ac:dyDescent="0.25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</row>
    <row r="948" spans="1:11" x14ac:dyDescent="0.25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</row>
    <row r="949" spans="1:11" x14ac:dyDescent="0.25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</row>
    <row r="950" spans="1:11" x14ac:dyDescent="0.25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</row>
    <row r="951" spans="1:11" x14ac:dyDescent="0.25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</row>
    <row r="952" spans="1:11" x14ac:dyDescent="0.25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</row>
    <row r="953" spans="1:11" x14ac:dyDescent="0.25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</row>
    <row r="954" spans="1:11" x14ac:dyDescent="0.25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</row>
    <row r="955" spans="1:11" x14ac:dyDescent="0.2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</row>
    <row r="956" spans="1:11" x14ac:dyDescent="0.25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</row>
    <row r="957" spans="1:11" x14ac:dyDescent="0.25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</row>
    <row r="958" spans="1:11" x14ac:dyDescent="0.25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</row>
    <row r="959" spans="1:11" x14ac:dyDescent="0.25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</row>
    <row r="960" spans="1:11" x14ac:dyDescent="0.25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</row>
    <row r="961" spans="1:11" x14ac:dyDescent="0.25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</row>
    <row r="962" spans="1:11" x14ac:dyDescent="0.25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</row>
    <row r="963" spans="1:11" x14ac:dyDescent="0.25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</row>
    <row r="964" spans="1:11" x14ac:dyDescent="0.25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</row>
    <row r="965" spans="1:11" x14ac:dyDescent="0.2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</row>
    <row r="966" spans="1:11" x14ac:dyDescent="0.25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</row>
    <row r="967" spans="1:11" x14ac:dyDescent="0.25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</row>
    <row r="968" spans="1:11" x14ac:dyDescent="0.25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</row>
    <row r="969" spans="1:11" x14ac:dyDescent="0.25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</row>
    <row r="970" spans="1:11" x14ac:dyDescent="0.25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</row>
    <row r="971" spans="1:11" x14ac:dyDescent="0.25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</row>
    <row r="972" spans="1:11" x14ac:dyDescent="0.25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</row>
    <row r="973" spans="1:11" x14ac:dyDescent="0.25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</row>
    <row r="974" spans="1:11" x14ac:dyDescent="0.25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</row>
    <row r="975" spans="1:11" x14ac:dyDescent="0.2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</row>
    <row r="976" spans="1:11" x14ac:dyDescent="0.25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</row>
    <row r="977" spans="1:11" x14ac:dyDescent="0.25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</row>
    <row r="978" spans="1:11" x14ac:dyDescent="0.25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</row>
    <row r="979" spans="1:11" x14ac:dyDescent="0.25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</row>
    <row r="980" spans="1:11" x14ac:dyDescent="0.25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</row>
    <row r="981" spans="1:11" x14ac:dyDescent="0.25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</row>
    <row r="982" spans="1:11" x14ac:dyDescent="0.25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</row>
    <row r="983" spans="1:11" x14ac:dyDescent="0.25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</row>
    <row r="984" spans="1:11" x14ac:dyDescent="0.25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</row>
    <row r="985" spans="1:11" x14ac:dyDescent="0.2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</row>
    <row r="986" spans="1:11" x14ac:dyDescent="0.25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</row>
    <row r="987" spans="1:11" x14ac:dyDescent="0.25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</row>
    <row r="988" spans="1:11" x14ac:dyDescent="0.25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</row>
    <row r="989" spans="1:11" x14ac:dyDescent="0.25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</row>
    <row r="990" spans="1:11" x14ac:dyDescent="0.25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</row>
    <row r="991" spans="1:11" x14ac:dyDescent="0.25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</row>
    <row r="992" spans="1:11" x14ac:dyDescent="0.25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</row>
    <row r="993" spans="1:11" x14ac:dyDescent="0.25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</row>
    <row r="994" spans="1:11" x14ac:dyDescent="0.25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</row>
    <row r="995" spans="1:11" x14ac:dyDescent="0.2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</row>
    <row r="996" spans="1:11" x14ac:dyDescent="0.25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</row>
    <row r="997" spans="1:11" x14ac:dyDescent="0.25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</row>
    <row r="998" spans="1:11" x14ac:dyDescent="0.25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</row>
    <row r="999" spans="1:11" x14ac:dyDescent="0.25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</row>
    <row r="1000" spans="1:11" x14ac:dyDescent="0.25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</row>
    <row r="1001" spans="1:11" x14ac:dyDescent="0.25">
      <c r="A1001" s="44"/>
      <c r="B1001" s="44"/>
      <c r="C1001" s="44"/>
      <c r="D1001" s="44"/>
      <c r="E1001" s="44"/>
      <c r="F1001" s="44"/>
      <c r="G1001" s="44"/>
      <c r="H1001" s="44"/>
      <c r="I1001" s="44"/>
      <c r="J1001" s="44"/>
      <c r="K1001" s="44"/>
    </row>
    <row r="1002" spans="1:11" x14ac:dyDescent="0.25">
      <c r="A1002" s="44"/>
      <c r="B1002" s="44"/>
      <c r="C1002" s="44"/>
      <c r="D1002" s="44"/>
      <c r="E1002" s="44"/>
      <c r="F1002" s="44"/>
      <c r="G1002" s="44"/>
      <c r="H1002" s="44"/>
      <c r="I1002" s="44"/>
      <c r="J1002" s="44"/>
      <c r="K1002" s="44"/>
    </row>
  </sheetData>
  <mergeCells count="15">
    <mergeCell ref="J134:L134"/>
    <mergeCell ref="J136:K136"/>
    <mergeCell ref="J142:K142"/>
    <mergeCell ref="J25:K25"/>
    <mergeCell ref="J26:K26"/>
    <mergeCell ref="J44:K44"/>
    <mergeCell ref="J53:K53"/>
    <mergeCell ref="J77:L77"/>
    <mergeCell ref="J88:K88"/>
    <mergeCell ref="J91:K91"/>
    <mergeCell ref="J92:K92"/>
    <mergeCell ref="J109:K109"/>
    <mergeCell ref="J111:L111"/>
    <mergeCell ref="J117:K117"/>
    <mergeCell ref="J125:K1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W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3" x14ac:dyDescent="0.25">
      <c r="A1" s="50" t="s">
        <v>0</v>
      </c>
      <c r="B1" s="50" t="s">
        <v>4354</v>
      </c>
      <c r="C1" s="50" t="s">
        <v>4355</v>
      </c>
      <c r="D1" s="50" t="s">
        <v>6</v>
      </c>
      <c r="E1" s="50" t="s">
        <v>4356</v>
      </c>
      <c r="F1" s="50" t="s">
        <v>4357</v>
      </c>
      <c r="G1" s="50" t="s">
        <v>4358</v>
      </c>
      <c r="H1" s="50" t="s">
        <v>4359</v>
      </c>
      <c r="I1" s="50" t="s">
        <v>4360</v>
      </c>
      <c r="J1" s="50"/>
      <c r="K1" s="50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</row>
    <row r="2" spans="1:23" x14ac:dyDescent="0.25">
      <c r="A2" s="44" t="s">
        <v>2749</v>
      </c>
      <c r="B2" s="20">
        <v>20213151531.98</v>
      </c>
      <c r="C2" s="20">
        <v>30946150736.299999</v>
      </c>
      <c r="D2" s="44">
        <f t="shared" ref="D2:D187" si="0">((C2-B2)/B2)*100</f>
        <v>53.099088419432817</v>
      </c>
      <c r="E2" s="39">
        <v>2</v>
      </c>
      <c r="F2" s="39">
        <v>0</v>
      </c>
      <c r="G2" s="39">
        <v>0</v>
      </c>
      <c r="H2" s="44">
        <f t="shared" ref="H2:H187" si="1">(E2/(E2+F2+G2))*100</f>
        <v>100</v>
      </c>
      <c r="I2" s="44">
        <f t="shared" ref="I2:I187" si="2">(F2/(E2+F2+G2))*100</f>
        <v>0</v>
      </c>
      <c r="J2" s="44"/>
      <c r="K2" s="44"/>
      <c r="L2" s="8"/>
    </row>
    <row r="3" spans="1:23" x14ac:dyDescent="0.25">
      <c r="A3" s="44" t="s">
        <v>4261</v>
      </c>
      <c r="B3" s="20">
        <v>32499958073.000004</v>
      </c>
      <c r="C3" s="20">
        <v>42064660680</v>
      </c>
      <c r="D3" s="44">
        <f t="shared" si="0"/>
        <v>29.429892141756532</v>
      </c>
      <c r="E3" s="44">
        <v>1</v>
      </c>
      <c r="F3" s="44">
        <v>0</v>
      </c>
      <c r="G3" s="44">
        <v>0</v>
      </c>
      <c r="H3" s="44">
        <f t="shared" si="1"/>
        <v>100</v>
      </c>
      <c r="I3" s="44">
        <f t="shared" si="2"/>
        <v>0</v>
      </c>
      <c r="J3" s="44"/>
      <c r="K3" s="44"/>
      <c r="L3" s="8"/>
    </row>
    <row r="4" spans="1:23" x14ac:dyDescent="0.25">
      <c r="A4" s="44" t="s">
        <v>2892</v>
      </c>
      <c r="B4" s="20">
        <v>2698017018106.5503</v>
      </c>
      <c r="C4" s="20">
        <v>3253197787675.5498</v>
      </c>
      <c r="D4" s="44">
        <f t="shared" si="0"/>
        <v>20.577363517099741</v>
      </c>
      <c r="E4" s="39">
        <v>3</v>
      </c>
      <c r="F4" s="39">
        <v>0</v>
      </c>
      <c r="G4" s="39">
        <v>0</v>
      </c>
      <c r="H4" s="44">
        <f t="shared" si="1"/>
        <v>100</v>
      </c>
      <c r="I4" s="44">
        <f t="shared" si="2"/>
        <v>0</v>
      </c>
      <c r="J4" s="44"/>
      <c r="K4" s="44"/>
      <c r="L4" s="8"/>
    </row>
    <row r="5" spans="1:23" x14ac:dyDescent="0.25">
      <c r="A5" s="44" t="s">
        <v>4191</v>
      </c>
      <c r="B5" s="20">
        <v>9080077946.1999989</v>
      </c>
      <c r="C5" s="20">
        <v>10940831877.949999</v>
      </c>
      <c r="D5" s="44">
        <f t="shared" si="0"/>
        <v>20.492708793636769</v>
      </c>
      <c r="E5" s="39">
        <v>1</v>
      </c>
      <c r="F5" s="39">
        <v>0</v>
      </c>
      <c r="G5" s="39">
        <v>0</v>
      </c>
      <c r="H5" s="44">
        <f t="shared" si="1"/>
        <v>100</v>
      </c>
      <c r="I5" s="44">
        <f t="shared" si="2"/>
        <v>0</v>
      </c>
      <c r="J5" s="44"/>
      <c r="K5" s="44"/>
      <c r="L5" s="8"/>
    </row>
    <row r="6" spans="1:23" x14ac:dyDescent="0.25">
      <c r="A6" s="44" t="s">
        <v>2247</v>
      </c>
      <c r="B6" s="20">
        <v>188408652493.73999</v>
      </c>
      <c r="C6" s="20">
        <v>226554703010.56</v>
      </c>
      <c r="D6" s="44">
        <f t="shared" si="0"/>
        <v>20.246443043844518</v>
      </c>
      <c r="E6" s="39">
        <v>3</v>
      </c>
      <c r="F6" s="39">
        <v>0</v>
      </c>
      <c r="G6" s="39">
        <v>0</v>
      </c>
      <c r="H6" s="44">
        <f t="shared" si="1"/>
        <v>100</v>
      </c>
      <c r="I6" s="44">
        <f t="shared" si="2"/>
        <v>0</v>
      </c>
      <c r="J6" s="44"/>
      <c r="K6" s="44"/>
      <c r="L6" s="8"/>
    </row>
    <row r="7" spans="1:23" x14ac:dyDescent="0.25">
      <c r="A7" s="44" t="s">
        <v>4051</v>
      </c>
      <c r="B7" s="20">
        <v>46161078848.400002</v>
      </c>
      <c r="C7" s="20">
        <v>54297898509.099998</v>
      </c>
      <c r="D7" s="44">
        <f t="shared" si="0"/>
        <v>17.627013630731096</v>
      </c>
      <c r="E7" s="39">
        <v>1</v>
      </c>
      <c r="F7" s="39">
        <v>0</v>
      </c>
      <c r="G7" s="39">
        <v>0</v>
      </c>
      <c r="H7" s="44">
        <f t="shared" si="1"/>
        <v>100</v>
      </c>
      <c r="I7" s="44">
        <f t="shared" si="2"/>
        <v>0</v>
      </c>
      <c r="J7" s="44"/>
      <c r="K7" s="44"/>
      <c r="L7" s="8"/>
    </row>
    <row r="8" spans="1:23" x14ac:dyDescent="0.25">
      <c r="A8" s="44" t="s">
        <v>4033</v>
      </c>
      <c r="B8" s="20">
        <v>3088317719853.5</v>
      </c>
      <c r="C8" s="20">
        <v>3546989100465.5498</v>
      </c>
      <c r="D8" s="44">
        <f t="shared" si="0"/>
        <v>14.851819735496893</v>
      </c>
      <c r="E8" s="39">
        <v>4</v>
      </c>
      <c r="F8" s="39">
        <v>0</v>
      </c>
      <c r="G8" s="39">
        <v>0</v>
      </c>
      <c r="H8" s="44">
        <f t="shared" si="1"/>
        <v>100</v>
      </c>
      <c r="I8" s="44">
        <f t="shared" si="2"/>
        <v>0</v>
      </c>
      <c r="J8" s="44"/>
      <c r="K8" s="44"/>
      <c r="L8" s="8"/>
    </row>
    <row r="9" spans="1:23" x14ac:dyDescent="0.25">
      <c r="A9" s="44" t="s">
        <v>342</v>
      </c>
      <c r="B9" s="20">
        <v>1356456466710.1499</v>
      </c>
      <c r="C9" s="20">
        <v>1554140241457.8501</v>
      </c>
      <c r="D9" s="44">
        <f t="shared" si="0"/>
        <v>14.573543611550463</v>
      </c>
      <c r="E9" s="39">
        <v>3</v>
      </c>
      <c r="F9" s="39">
        <v>0</v>
      </c>
      <c r="G9" s="39">
        <v>0</v>
      </c>
      <c r="H9" s="44">
        <f t="shared" si="1"/>
        <v>100</v>
      </c>
      <c r="I9" s="44">
        <f t="shared" si="2"/>
        <v>0</v>
      </c>
      <c r="J9" s="44"/>
      <c r="K9" s="44"/>
      <c r="L9" s="8"/>
    </row>
    <row r="10" spans="1:23" x14ac:dyDescent="0.25">
      <c r="A10" s="44" t="s">
        <v>2998</v>
      </c>
      <c r="B10" s="20">
        <v>13315644217.4</v>
      </c>
      <c r="C10" s="20">
        <v>15227006405.390001</v>
      </c>
      <c r="D10" s="44">
        <f t="shared" si="0"/>
        <v>14.354259972584432</v>
      </c>
      <c r="E10" s="39">
        <v>5</v>
      </c>
      <c r="F10" s="39">
        <v>0</v>
      </c>
      <c r="G10" s="39">
        <v>0</v>
      </c>
      <c r="H10" s="44">
        <f t="shared" si="1"/>
        <v>100</v>
      </c>
      <c r="I10" s="44">
        <f t="shared" si="2"/>
        <v>0</v>
      </c>
      <c r="J10" s="44"/>
      <c r="K10" s="44"/>
      <c r="L10" s="8"/>
    </row>
    <row r="11" spans="1:23" x14ac:dyDescent="0.25">
      <c r="A11" s="44" t="s">
        <v>3690</v>
      </c>
      <c r="B11" s="20">
        <v>169610286497</v>
      </c>
      <c r="C11" s="20">
        <v>191727740774.65002</v>
      </c>
      <c r="D11" s="44">
        <f t="shared" si="0"/>
        <v>13.040160909132847</v>
      </c>
      <c r="E11" s="39">
        <v>3</v>
      </c>
      <c r="F11" s="39">
        <v>0</v>
      </c>
      <c r="G11" s="39">
        <v>0</v>
      </c>
      <c r="H11" s="44">
        <f t="shared" si="1"/>
        <v>100</v>
      </c>
      <c r="I11" s="44">
        <f t="shared" si="2"/>
        <v>0</v>
      </c>
      <c r="J11" s="44"/>
      <c r="K11" s="44"/>
      <c r="L11" s="8"/>
    </row>
    <row r="12" spans="1:23" x14ac:dyDescent="0.25">
      <c r="A12" s="44" t="s">
        <v>4145</v>
      </c>
      <c r="B12" s="20">
        <v>11574437892249.27</v>
      </c>
      <c r="C12" s="20">
        <v>12837121935515.939</v>
      </c>
      <c r="D12" s="44">
        <f t="shared" si="0"/>
        <v>10.909247213743454</v>
      </c>
      <c r="E12" s="39">
        <v>12</v>
      </c>
      <c r="F12" s="39">
        <v>0</v>
      </c>
      <c r="G12" s="39">
        <v>0</v>
      </c>
      <c r="H12" s="44">
        <f t="shared" si="1"/>
        <v>100</v>
      </c>
      <c r="I12" s="44">
        <f t="shared" si="2"/>
        <v>0</v>
      </c>
      <c r="J12" s="44"/>
      <c r="K12" s="44"/>
      <c r="L12" s="8"/>
    </row>
    <row r="13" spans="1:23" x14ac:dyDescent="0.25">
      <c r="A13" s="44" t="s">
        <v>1970</v>
      </c>
      <c r="B13" s="20">
        <v>822910526578.29993</v>
      </c>
      <c r="C13" s="20">
        <v>909189200018.60999</v>
      </c>
      <c r="D13" s="44">
        <f t="shared" si="0"/>
        <v>10.484575254986806</v>
      </c>
      <c r="E13" s="39">
        <v>7</v>
      </c>
      <c r="F13" s="39">
        <v>0</v>
      </c>
      <c r="G13" s="39">
        <v>0</v>
      </c>
      <c r="H13" s="44">
        <f t="shared" si="1"/>
        <v>100</v>
      </c>
      <c r="I13" s="44">
        <f t="shared" si="2"/>
        <v>0</v>
      </c>
      <c r="J13" s="44"/>
      <c r="K13" s="44"/>
      <c r="L13" s="8"/>
    </row>
    <row r="14" spans="1:23" x14ac:dyDescent="0.25">
      <c r="A14" s="44" t="s">
        <v>3874</v>
      </c>
      <c r="B14" s="20">
        <v>287555178540</v>
      </c>
      <c r="C14" s="20">
        <v>313887240275.70001</v>
      </c>
      <c r="D14" s="44">
        <f t="shared" si="0"/>
        <v>9.1572204922183733</v>
      </c>
      <c r="E14" s="39">
        <v>2</v>
      </c>
      <c r="F14" s="39">
        <v>0</v>
      </c>
      <c r="G14" s="39">
        <v>0</v>
      </c>
      <c r="H14" s="44">
        <f t="shared" si="1"/>
        <v>100</v>
      </c>
      <c r="I14" s="44">
        <f t="shared" si="2"/>
        <v>0</v>
      </c>
      <c r="J14" s="44"/>
      <c r="K14" s="44"/>
      <c r="L14" s="8"/>
    </row>
    <row r="15" spans="1:23" x14ac:dyDescent="0.25">
      <c r="A15" s="44" t="s">
        <v>3131</v>
      </c>
      <c r="B15" s="20">
        <v>887944190263.70007</v>
      </c>
      <c r="C15" s="20">
        <v>959321949672.92004</v>
      </c>
      <c r="D15" s="44">
        <f t="shared" si="0"/>
        <v>8.0385411821910022</v>
      </c>
      <c r="E15" s="39">
        <v>2</v>
      </c>
      <c r="F15" s="39">
        <v>0</v>
      </c>
      <c r="G15" s="39">
        <v>0</v>
      </c>
      <c r="H15" s="44">
        <f t="shared" si="1"/>
        <v>100</v>
      </c>
      <c r="I15" s="44">
        <f t="shared" si="2"/>
        <v>0</v>
      </c>
      <c r="J15" s="44"/>
      <c r="K15" s="44"/>
      <c r="L15" s="8"/>
    </row>
    <row r="16" spans="1:23" x14ac:dyDescent="0.25">
      <c r="A16" s="44" t="s">
        <v>350</v>
      </c>
      <c r="B16" s="20">
        <v>1133026195631.0601</v>
      </c>
      <c r="C16" s="20">
        <v>1213035507943.97</v>
      </c>
      <c r="D16" s="44">
        <f t="shared" si="0"/>
        <v>7.0615589137678532</v>
      </c>
      <c r="E16" s="39">
        <v>6</v>
      </c>
      <c r="F16" s="39">
        <v>0</v>
      </c>
      <c r="G16" s="39">
        <v>0</v>
      </c>
      <c r="H16" s="44">
        <f t="shared" si="1"/>
        <v>100</v>
      </c>
      <c r="I16" s="44">
        <f t="shared" si="2"/>
        <v>0</v>
      </c>
      <c r="J16" s="44"/>
      <c r="K16" s="44"/>
      <c r="L16" s="8"/>
    </row>
    <row r="17" spans="1:12" x14ac:dyDescent="0.25">
      <c r="A17" s="44" t="s">
        <v>3639</v>
      </c>
      <c r="B17" s="20">
        <v>3525200836.4499998</v>
      </c>
      <c r="C17" s="20">
        <v>3771262284.5999999</v>
      </c>
      <c r="D17" s="44">
        <f t="shared" si="0"/>
        <v>6.9800689255989328</v>
      </c>
      <c r="E17" s="39">
        <v>3</v>
      </c>
      <c r="F17" s="39">
        <v>0</v>
      </c>
      <c r="G17" s="39">
        <v>0</v>
      </c>
      <c r="H17" s="44">
        <f t="shared" si="1"/>
        <v>100</v>
      </c>
      <c r="I17" s="44">
        <f t="shared" si="2"/>
        <v>0</v>
      </c>
      <c r="J17" s="44"/>
      <c r="K17" s="44"/>
      <c r="L17" s="8"/>
    </row>
    <row r="18" spans="1:12" x14ac:dyDescent="0.25">
      <c r="A18" s="44" t="s">
        <v>4210</v>
      </c>
      <c r="B18" s="20">
        <v>30796728986.299999</v>
      </c>
      <c r="C18" s="20">
        <v>32906988875.700001</v>
      </c>
      <c r="D18" s="44">
        <f t="shared" si="0"/>
        <v>6.8522208652053784</v>
      </c>
      <c r="E18" s="39">
        <v>1</v>
      </c>
      <c r="F18" s="39">
        <v>0</v>
      </c>
      <c r="G18" s="39">
        <v>0</v>
      </c>
      <c r="H18" s="44">
        <f t="shared" si="1"/>
        <v>100</v>
      </c>
      <c r="I18" s="44">
        <f t="shared" si="2"/>
        <v>0</v>
      </c>
      <c r="J18" s="44"/>
      <c r="K18" s="44"/>
      <c r="L18" s="8"/>
    </row>
    <row r="19" spans="1:12" x14ac:dyDescent="0.25">
      <c r="A19" s="44" t="s">
        <v>4082</v>
      </c>
      <c r="B19" s="20">
        <v>1269355753922.75</v>
      </c>
      <c r="C19" s="20">
        <v>1343143514390</v>
      </c>
      <c r="D19" s="44">
        <f t="shared" si="0"/>
        <v>5.8130087045511241</v>
      </c>
      <c r="E19" s="39">
        <v>2</v>
      </c>
      <c r="F19" s="39">
        <v>0</v>
      </c>
      <c r="G19" s="39">
        <v>0</v>
      </c>
      <c r="H19" s="44">
        <f t="shared" si="1"/>
        <v>100</v>
      </c>
      <c r="I19" s="44">
        <f t="shared" si="2"/>
        <v>0</v>
      </c>
      <c r="J19" s="44"/>
      <c r="K19" s="44"/>
      <c r="L19" s="8"/>
    </row>
    <row r="20" spans="1:12" x14ac:dyDescent="0.25">
      <c r="A20" s="44" t="s">
        <v>758</v>
      </c>
      <c r="B20" s="20">
        <v>79207397706.799988</v>
      </c>
      <c r="C20" s="20">
        <v>83390201216.5</v>
      </c>
      <c r="D20" s="44">
        <f t="shared" si="0"/>
        <v>5.2808243053046509</v>
      </c>
      <c r="E20" s="39">
        <v>2</v>
      </c>
      <c r="F20" s="39">
        <v>0</v>
      </c>
      <c r="G20" s="39">
        <v>0</v>
      </c>
      <c r="H20" s="44">
        <f t="shared" si="1"/>
        <v>100</v>
      </c>
      <c r="I20" s="44">
        <f t="shared" si="2"/>
        <v>0</v>
      </c>
      <c r="J20" s="44"/>
      <c r="K20" s="44"/>
      <c r="L20" s="8"/>
    </row>
    <row r="21" spans="1:12" x14ac:dyDescent="0.25">
      <c r="A21" s="44" t="s">
        <v>3068</v>
      </c>
      <c r="B21" s="20">
        <v>4792191492.7000008</v>
      </c>
      <c r="C21" s="20">
        <v>5001150660.9400005</v>
      </c>
      <c r="D21" s="44">
        <f t="shared" si="0"/>
        <v>4.3604093984622612</v>
      </c>
      <c r="E21" s="39">
        <v>4</v>
      </c>
      <c r="F21" s="39">
        <v>0</v>
      </c>
      <c r="G21" s="39">
        <v>0</v>
      </c>
      <c r="H21" s="44">
        <f t="shared" si="1"/>
        <v>100</v>
      </c>
      <c r="I21" s="44">
        <f t="shared" si="2"/>
        <v>0</v>
      </c>
      <c r="J21" s="44"/>
      <c r="K21" s="44"/>
      <c r="L21" s="8"/>
    </row>
    <row r="22" spans="1:12" x14ac:dyDescent="0.25">
      <c r="A22" s="51" t="s">
        <v>2577</v>
      </c>
      <c r="B22" s="20">
        <v>667219380559.3501</v>
      </c>
      <c r="C22" s="20">
        <v>694813959145.8999</v>
      </c>
      <c r="D22" s="44">
        <f t="shared" si="0"/>
        <v>4.1357579516674772</v>
      </c>
      <c r="E22" s="39">
        <v>4</v>
      </c>
      <c r="F22" s="39">
        <v>0</v>
      </c>
      <c r="G22" s="39">
        <v>0</v>
      </c>
      <c r="H22" s="44">
        <f t="shared" si="1"/>
        <v>100</v>
      </c>
      <c r="I22" s="44">
        <f t="shared" si="2"/>
        <v>0</v>
      </c>
      <c r="J22" s="44"/>
      <c r="K22" s="44"/>
      <c r="L22" s="8"/>
    </row>
    <row r="23" spans="1:12" x14ac:dyDescent="0.25">
      <c r="A23" s="44" t="s">
        <v>3118</v>
      </c>
      <c r="B23" s="20">
        <v>10787569116218.051</v>
      </c>
      <c r="C23" s="20">
        <v>11154694781106.4</v>
      </c>
      <c r="D23" s="44">
        <f t="shared" si="0"/>
        <v>3.4032288547418181</v>
      </c>
      <c r="E23" s="39">
        <v>3</v>
      </c>
      <c r="F23" s="39">
        <v>0</v>
      </c>
      <c r="G23" s="39">
        <v>0</v>
      </c>
      <c r="H23" s="44">
        <f t="shared" si="1"/>
        <v>100</v>
      </c>
      <c r="I23" s="44">
        <f t="shared" si="2"/>
        <v>0</v>
      </c>
      <c r="J23" s="44"/>
      <c r="K23" s="44"/>
      <c r="L23" s="8"/>
    </row>
    <row r="24" spans="1:12" x14ac:dyDescent="0.25">
      <c r="A24" s="44" t="s">
        <v>3867</v>
      </c>
      <c r="B24" s="20">
        <v>7456684615.5999994</v>
      </c>
      <c r="C24" s="20">
        <v>7574393897.4000006</v>
      </c>
      <c r="D24" s="44">
        <f t="shared" si="0"/>
        <v>1.5785739623980291</v>
      </c>
      <c r="E24" s="39">
        <v>1</v>
      </c>
      <c r="F24" s="39">
        <v>0</v>
      </c>
      <c r="G24" s="39">
        <v>0</v>
      </c>
      <c r="H24" s="44">
        <f t="shared" si="1"/>
        <v>100</v>
      </c>
      <c r="I24" s="44">
        <f t="shared" si="2"/>
        <v>0</v>
      </c>
      <c r="J24" s="44"/>
      <c r="K24" s="44"/>
      <c r="L24" s="8"/>
    </row>
    <row r="25" spans="1:12" x14ac:dyDescent="0.25">
      <c r="A25" s="44" t="s">
        <v>4077</v>
      </c>
      <c r="B25" s="20">
        <v>4350989857.5</v>
      </c>
      <c r="C25" s="20">
        <v>4387541827.5</v>
      </c>
      <c r="D25" s="44">
        <f t="shared" si="0"/>
        <v>0.84008400840084008</v>
      </c>
      <c r="E25" s="39">
        <v>1</v>
      </c>
      <c r="F25" s="39">
        <v>0</v>
      </c>
      <c r="G25" s="39">
        <v>0</v>
      </c>
      <c r="H25" s="44">
        <f t="shared" si="1"/>
        <v>100</v>
      </c>
      <c r="I25" s="44">
        <f t="shared" si="2"/>
        <v>0</v>
      </c>
      <c r="J25" s="44"/>
      <c r="K25" s="44"/>
      <c r="L25" s="8"/>
    </row>
    <row r="26" spans="1:12" x14ac:dyDescent="0.25">
      <c r="A26" s="44" t="s">
        <v>4177</v>
      </c>
      <c r="B26" s="20">
        <v>57782168037.000008</v>
      </c>
      <c r="C26" s="20">
        <v>57862672625</v>
      </c>
      <c r="D26" s="44">
        <f t="shared" si="0"/>
        <v>0.13932427725529853</v>
      </c>
      <c r="E26" s="39">
        <v>1</v>
      </c>
      <c r="F26" s="39">
        <v>0</v>
      </c>
      <c r="G26" s="39">
        <v>0</v>
      </c>
      <c r="H26" s="44">
        <f t="shared" si="1"/>
        <v>100</v>
      </c>
      <c r="I26" s="44">
        <f t="shared" si="2"/>
        <v>0</v>
      </c>
      <c r="J26" s="44"/>
      <c r="K26" s="44"/>
      <c r="L26" s="8"/>
    </row>
    <row r="27" spans="1:12" x14ac:dyDescent="0.25">
      <c r="A27" s="44" t="s">
        <v>2228</v>
      </c>
      <c r="B27" s="20">
        <v>5412297157126.7695</v>
      </c>
      <c r="C27" s="20">
        <v>5991347327896.5898</v>
      </c>
      <c r="D27" s="44">
        <f t="shared" si="0"/>
        <v>10.69878748263743</v>
      </c>
      <c r="E27" s="39">
        <v>15</v>
      </c>
      <c r="F27" s="39">
        <v>1</v>
      </c>
      <c r="G27" s="39">
        <v>0</v>
      </c>
      <c r="H27" s="44">
        <f t="shared" si="1"/>
        <v>93.75</v>
      </c>
      <c r="I27" s="44">
        <f t="shared" si="2"/>
        <v>6.25</v>
      </c>
      <c r="J27" s="44"/>
      <c r="K27" s="44"/>
      <c r="L27" s="8"/>
    </row>
    <row r="28" spans="1:12" x14ac:dyDescent="0.25">
      <c r="A28" s="44" t="s">
        <v>2261</v>
      </c>
      <c r="B28" s="20">
        <v>108840873271.48001</v>
      </c>
      <c r="C28" s="20">
        <v>130234519650.97</v>
      </c>
      <c r="D28" s="44">
        <f t="shared" si="0"/>
        <v>19.655893724895211</v>
      </c>
      <c r="E28" s="39">
        <v>14</v>
      </c>
      <c r="F28" s="39">
        <v>1</v>
      </c>
      <c r="G28" s="39">
        <v>0</v>
      </c>
      <c r="H28" s="44">
        <f t="shared" si="1"/>
        <v>93.333333333333329</v>
      </c>
      <c r="I28" s="44">
        <f t="shared" si="2"/>
        <v>6.666666666666667</v>
      </c>
      <c r="J28" s="44"/>
      <c r="K28" s="44"/>
      <c r="L28" s="8"/>
    </row>
    <row r="29" spans="1:12" x14ac:dyDescent="0.25">
      <c r="A29" s="44" t="s">
        <v>3190</v>
      </c>
      <c r="B29" s="20">
        <v>101897948089.86</v>
      </c>
      <c r="C29" s="20">
        <v>117421704462.67999</v>
      </c>
      <c r="D29" s="44">
        <f t="shared" si="0"/>
        <v>15.234611357561558</v>
      </c>
      <c r="E29" s="39">
        <v>9</v>
      </c>
      <c r="F29" s="39">
        <v>1</v>
      </c>
      <c r="G29" s="39">
        <v>0</v>
      </c>
      <c r="H29" s="44">
        <f t="shared" si="1"/>
        <v>90</v>
      </c>
      <c r="I29" s="44">
        <f t="shared" si="2"/>
        <v>10</v>
      </c>
      <c r="J29" s="44"/>
      <c r="K29" s="44"/>
      <c r="L29" s="8"/>
    </row>
    <row r="30" spans="1:12" x14ac:dyDescent="0.25">
      <c r="A30" s="44" t="s">
        <v>680</v>
      </c>
      <c r="B30" s="20">
        <v>26273813281805.559</v>
      </c>
      <c r="C30" s="20">
        <v>28114852027509.891</v>
      </c>
      <c r="D30" s="44">
        <f t="shared" si="0"/>
        <v>7.0071242645970964</v>
      </c>
      <c r="E30" s="39">
        <v>18</v>
      </c>
      <c r="F30" s="39">
        <v>2</v>
      </c>
      <c r="G30" s="39">
        <v>0</v>
      </c>
      <c r="H30" s="44">
        <f t="shared" si="1"/>
        <v>90</v>
      </c>
      <c r="I30" s="44">
        <f t="shared" si="2"/>
        <v>10</v>
      </c>
      <c r="J30" s="44"/>
      <c r="K30" s="44"/>
      <c r="L30" s="8"/>
    </row>
    <row r="31" spans="1:12" x14ac:dyDescent="0.25">
      <c r="A31" s="44" t="s">
        <v>11</v>
      </c>
      <c r="B31" s="20">
        <v>3879270235836.4502</v>
      </c>
      <c r="C31" s="20">
        <v>4562717411161.21</v>
      </c>
      <c r="D31" s="44">
        <f t="shared" si="0"/>
        <v>17.617931563805957</v>
      </c>
      <c r="E31" s="39">
        <v>8</v>
      </c>
      <c r="F31" s="39">
        <v>0</v>
      </c>
      <c r="G31" s="39">
        <v>1</v>
      </c>
      <c r="H31" s="44">
        <f t="shared" si="1"/>
        <v>88.888888888888886</v>
      </c>
      <c r="I31" s="44">
        <f t="shared" si="2"/>
        <v>0</v>
      </c>
      <c r="J31" s="70" t="s">
        <v>4383</v>
      </c>
      <c r="K31" s="67"/>
      <c r="L31" s="8"/>
    </row>
    <row r="32" spans="1:12" x14ac:dyDescent="0.25">
      <c r="A32" s="44" t="s">
        <v>2721</v>
      </c>
      <c r="B32" s="20">
        <v>7067750259737.3008</v>
      </c>
      <c r="C32" s="20">
        <v>7303665379548.8086</v>
      </c>
      <c r="D32" s="44">
        <f t="shared" si="0"/>
        <v>3.3379096762295122</v>
      </c>
      <c r="E32" s="39">
        <v>7</v>
      </c>
      <c r="F32" s="39">
        <v>1</v>
      </c>
      <c r="G32" s="39">
        <v>0</v>
      </c>
      <c r="H32" s="44">
        <f t="shared" si="1"/>
        <v>87.5</v>
      </c>
      <c r="I32" s="44">
        <f t="shared" si="2"/>
        <v>12.5</v>
      </c>
      <c r="J32" s="44"/>
      <c r="K32" s="44"/>
      <c r="L32" s="8"/>
    </row>
    <row r="33" spans="1:12" x14ac:dyDescent="0.25">
      <c r="A33" s="44" t="s">
        <v>1935</v>
      </c>
      <c r="B33" s="20">
        <v>527527065993.45007</v>
      </c>
      <c r="C33" s="20">
        <v>536058355848.20001</v>
      </c>
      <c r="D33" s="44">
        <f t="shared" si="0"/>
        <v>1.6172231539785802</v>
      </c>
      <c r="E33" s="39">
        <v>7</v>
      </c>
      <c r="F33" s="39">
        <v>1</v>
      </c>
      <c r="G33" s="39">
        <v>0</v>
      </c>
      <c r="H33" s="44">
        <f t="shared" si="1"/>
        <v>87.5</v>
      </c>
      <c r="I33" s="44">
        <f t="shared" si="2"/>
        <v>12.5</v>
      </c>
      <c r="J33" s="44"/>
      <c r="K33" s="44"/>
      <c r="L33" s="8"/>
    </row>
    <row r="34" spans="1:12" x14ac:dyDescent="0.25">
      <c r="A34" s="44" t="s">
        <v>2594</v>
      </c>
      <c r="B34" s="20">
        <v>5488420723.25</v>
      </c>
      <c r="C34" s="20">
        <v>5453571613.25</v>
      </c>
      <c r="D34" s="44">
        <f t="shared" si="0"/>
        <v>-0.63495697136286411</v>
      </c>
      <c r="E34" s="39">
        <v>7</v>
      </c>
      <c r="F34" s="39">
        <v>1</v>
      </c>
      <c r="G34" s="39">
        <v>0</v>
      </c>
      <c r="H34" s="44">
        <f t="shared" si="1"/>
        <v>87.5</v>
      </c>
      <c r="I34" s="44">
        <f t="shared" si="2"/>
        <v>12.5</v>
      </c>
      <c r="J34" s="44"/>
      <c r="K34" s="44"/>
      <c r="L34" s="8"/>
    </row>
    <row r="35" spans="1:12" x14ac:dyDescent="0.25">
      <c r="A35" s="44" t="s">
        <v>3262</v>
      </c>
      <c r="B35" s="20">
        <v>1488721276884.2</v>
      </c>
      <c r="C35" s="20">
        <v>1864789980639.4001</v>
      </c>
      <c r="D35" s="44">
        <f t="shared" si="0"/>
        <v>25.261189558752616</v>
      </c>
      <c r="E35" s="39">
        <v>6</v>
      </c>
      <c r="F35" s="39">
        <v>1</v>
      </c>
      <c r="G35" s="39">
        <v>0</v>
      </c>
      <c r="H35" s="44">
        <f t="shared" si="1"/>
        <v>85.714285714285708</v>
      </c>
      <c r="I35" s="44">
        <f t="shared" si="2"/>
        <v>14.285714285714285</v>
      </c>
      <c r="J35" s="44"/>
      <c r="K35" s="44"/>
      <c r="L35" s="8"/>
    </row>
    <row r="36" spans="1:12" x14ac:dyDescent="0.25">
      <c r="A36" s="44" t="s">
        <v>204</v>
      </c>
      <c r="B36" s="20">
        <v>1326114786811.53</v>
      </c>
      <c r="C36" s="20">
        <v>1612723610660.8899</v>
      </c>
      <c r="D36" s="44">
        <f t="shared" si="0"/>
        <v>21.612670841147423</v>
      </c>
      <c r="E36" s="39">
        <v>12</v>
      </c>
      <c r="F36" s="39">
        <v>2</v>
      </c>
      <c r="G36" s="39">
        <v>0</v>
      </c>
      <c r="H36" s="44">
        <f t="shared" si="1"/>
        <v>85.714285714285708</v>
      </c>
      <c r="I36" s="44">
        <f t="shared" si="2"/>
        <v>14.285714285714285</v>
      </c>
      <c r="J36" s="44"/>
      <c r="K36" s="44"/>
      <c r="L36" s="8"/>
    </row>
    <row r="37" spans="1:12" x14ac:dyDescent="0.25">
      <c r="A37" s="44" t="s">
        <v>3287</v>
      </c>
      <c r="B37" s="20">
        <v>266242954676.05005</v>
      </c>
      <c r="C37" s="20">
        <v>309440198203.99005</v>
      </c>
      <c r="D37" s="44">
        <f t="shared" si="0"/>
        <v>16.224746146052976</v>
      </c>
      <c r="E37" s="39">
        <v>6</v>
      </c>
      <c r="F37" s="39">
        <v>1</v>
      </c>
      <c r="G37" s="39">
        <v>0</v>
      </c>
      <c r="H37" s="44">
        <f t="shared" si="1"/>
        <v>85.714285714285708</v>
      </c>
      <c r="I37" s="44">
        <f t="shared" si="2"/>
        <v>14.285714285714285</v>
      </c>
      <c r="J37" s="70" t="s">
        <v>4384</v>
      </c>
      <c r="K37" s="67"/>
      <c r="L37" s="8"/>
    </row>
    <row r="38" spans="1:12" x14ac:dyDescent="0.25">
      <c r="A38" s="44" t="s">
        <v>9</v>
      </c>
      <c r="B38" s="20">
        <v>4369377200230.77</v>
      </c>
      <c r="C38" s="20">
        <v>4778967596739.0703</v>
      </c>
      <c r="D38" s="44">
        <f t="shared" si="0"/>
        <v>9.3741139237570899</v>
      </c>
      <c r="E38" s="39">
        <v>6</v>
      </c>
      <c r="F38" s="39">
        <v>1</v>
      </c>
      <c r="G38" s="39">
        <v>0</v>
      </c>
      <c r="H38" s="44">
        <f t="shared" si="1"/>
        <v>85.714285714285708</v>
      </c>
      <c r="I38" s="44">
        <f t="shared" si="2"/>
        <v>14.285714285714285</v>
      </c>
      <c r="J38" s="44"/>
      <c r="K38" s="44"/>
      <c r="L38" s="8"/>
    </row>
    <row r="39" spans="1:12" x14ac:dyDescent="0.25">
      <c r="A39" s="44" t="s">
        <v>3772</v>
      </c>
      <c r="B39" s="20">
        <v>813341830594.55005</v>
      </c>
      <c r="C39" s="20">
        <v>858871894347.01001</v>
      </c>
      <c r="D39" s="44">
        <f t="shared" si="0"/>
        <v>5.5979001742942005</v>
      </c>
      <c r="E39" s="39">
        <v>6</v>
      </c>
      <c r="F39" s="39">
        <v>1</v>
      </c>
      <c r="G39" s="39">
        <v>0</v>
      </c>
      <c r="H39" s="44">
        <f t="shared" si="1"/>
        <v>85.714285714285708</v>
      </c>
      <c r="I39" s="44">
        <f t="shared" si="2"/>
        <v>14.285714285714285</v>
      </c>
      <c r="J39" s="70" t="s">
        <v>4385</v>
      </c>
      <c r="K39" s="67"/>
      <c r="L39" s="8"/>
    </row>
    <row r="40" spans="1:12" x14ac:dyDescent="0.25">
      <c r="A40" s="44" t="s">
        <v>1538</v>
      </c>
      <c r="B40" s="20">
        <v>1207002024.02</v>
      </c>
      <c r="C40" s="20">
        <v>1481031906.8299999</v>
      </c>
      <c r="D40" s="44">
        <f t="shared" si="0"/>
        <v>22.703349071224032</v>
      </c>
      <c r="E40" s="39">
        <v>5</v>
      </c>
      <c r="F40" s="39">
        <v>1</v>
      </c>
      <c r="G40" s="39">
        <v>0</v>
      </c>
      <c r="H40" s="44">
        <f t="shared" si="1"/>
        <v>83.333333333333343</v>
      </c>
      <c r="I40" s="44">
        <f t="shared" si="2"/>
        <v>16.666666666666664</v>
      </c>
      <c r="J40" s="44"/>
      <c r="K40" s="44"/>
      <c r="L40" s="8"/>
    </row>
    <row r="41" spans="1:12" x14ac:dyDescent="0.25">
      <c r="A41" s="44" t="s">
        <v>324</v>
      </c>
      <c r="B41" s="20">
        <v>370044039660.95001</v>
      </c>
      <c r="C41" s="20">
        <v>416592695069.84998</v>
      </c>
      <c r="D41" s="44">
        <f t="shared" si="0"/>
        <v>12.57922042239886</v>
      </c>
      <c r="E41" s="39">
        <v>5</v>
      </c>
      <c r="F41" s="39">
        <v>1</v>
      </c>
      <c r="G41" s="39">
        <v>0</v>
      </c>
      <c r="H41" s="44">
        <f t="shared" si="1"/>
        <v>83.333333333333343</v>
      </c>
      <c r="I41" s="44">
        <f t="shared" si="2"/>
        <v>16.666666666666664</v>
      </c>
      <c r="J41" s="44"/>
      <c r="K41" s="44"/>
      <c r="L41" s="8"/>
    </row>
    <row r="42" spans="1:12" x14ac:dyDescent="0.25">
      <c r="A42" s="44" t="s">
        <v>3536</v>
      </c>
      <c r="B42" s="20">
        <v>2817806684447.8496</v>
      </c>
      <c r="C42" s="20">
        <v>3020655300615.1001</v>
      </c>
      <c r="D42" s="44">
        <f t="shared" si="0"/>
        <v>7.1988123701608284</v>
      </c>
      <c r="E42" s="39">
        <v>5</v>
      </c>
      <c r="F42" s="39">
        <v>1</v>
      </c>
      <c r="G42" s="39">
        <v>0</v>
      </c>
      <c r="H42" s="44">
        <f t="shared" si="1"/>
        <v>83.333333333333343</v>
      </c>
      <c r="I42" s="44">
        <f t="shared" si="2"/>
        <v>16.666666666666664</v>
      </c>
      <c r="J42" s="44"/>
      <c r="K42" s="44"/>
      <c r="L42" s="8"/>
    </row>
    <row r="43" spans="1:12" x14ac:dyDescent="0.25">
      <c r="A43" s="44" t="s">
        <v>850</v>
      </c>
      <c r="B43" s="20">
        <v>474789757882.34998</v>
      </c>
      <c r="C43" s="20">
        <v>503417260273.79999</v>
      </c>
      <c r="D43" s="44">
        <f t="shared" si="0"/>
        <v>6.0295113608039825</v>
      </c>
      <c r="E43" s="39">
        <v>5</v>
      </c>
      <c r="F43" s="39">
        <v>1</v>
      </c>
      <c r="G43" s="39">
        <v>0</v>
      </c>
      <c r="H43" s="44">
        <f t="shared" si="1"/>
        <v>83.333333333333343</v>
      </c>
      <c r="I43" s="44">
        <f t="shared" si="2"/>
        <v>16.666666666666664</v>
      </c>
      <c r="J43" s="44"/>
      <c r="K43" s="44"/>
      <c r="L43" s="8"/>
    </row>
    <row r="44" spans="1:12" x14ac:dyDescent="0.25">
      <c r="A44" s="44" t="s">
        <v>1376</v>
      </c>
      <c r="B44" s="20">
        <v>991367901010.61975</v>
      </c>
      <c r="C44" s="20">
        <v>1039520650708.77</v>
      </c>
      <c r="D44" s="44">
        <f t="shared" si="0"/>
        <v>4.8572028254155111</v>
      </c>
      <c r="E44" s="39">
        <v>15</v>
      </c>
      <c r="F44" s="39">
        <v>2</v>
      </c>
      <c r="G44" s="39">
        <v>1</v>
      </c>
      <c r="H44" s="44">
        <f t="shared" si="1"/>
        <v>83.333333333333343</v>
      </c>
      <c r="I44" s="44">
        <f t="shared" si="2"/>
        <v>11.111111111111111</v>
      </c>
      <c r="J44" s="44"/>
      <c r="K44" s="44"/>
      <c r="L44" s="8"/>
    </row>
    <row r="45" spans="1:12" x14ac:dyDescent="0.25">
      <c r="A45" s="44" t="s">
        <v>3976</v>
      </c>
      <c r="B45" s="20">
        <v>1443151697915.9299</v>
      </c>
      <c r="C45" s="20">
        <v>1540785095429.0002</v>
      </c>
      <c r="D45" s="44">
        <f t="shared" si="0"/>
        <v>6.7652900006328993</v>
      </c>
      <c r="E45" s="39">
        <v>14</v>
      </c>
      <c r="F45" s="39">
        <v>3</v>
      </c>
      <c r="G45" s="39">
        <v>0</v>
      </c>
      <c r="H45" s="44">
        <f t="shared" si="1"/>
        <v>82.35294117647058</v>
      </c>
      <c r="I45" s="44">
        <f t="shared" si="2"/>
        <v>17.647058823529413</v>
      </c>
      <c r="J45" s="44"/>
      <c r="K45" s="44"/>
      <c r="L45" s="8"/>
    </row>
    <row r="46" spans="1:12" x14ac:dyDescent="0.25">
      <c r="A46" s="44" t="s">
        <v>3023</v>
      </c>
      <c r="B46" s="20">
        <v>38900481361.339996</v>
      </c>
      <c r="C46" s="20">
        <v>40997652379.049995</v>
      </c>
      <c r="D46" s="44">
        <f t="shared" si="0"/>
        <v>5.3911184240362786</v>
      </c>
      <c r="E46" s="39">
        <v>9</v>
      </c>
      <c r="F46" s="39">
        <v>2</v>
      </c>
      <c r="G46" s="39">
        <v>0</v>
      </c>
      <c r="H46" s="44">
        <f t="shared" si="1"/>
        <v>81.818181818181827</v>
      </c>
      <c r="I46" s="44">
        <f t="shared" si="2"/>
        <v>18.181818181818183</v>
      </c>
      <c r="J46" s="44"/>
      <c r="K46" s="44"/>
      <c r="L46" s="8"/>
    </row>
    <row r="47" spans="1:12" x14ac:dyDescent="0.25">
      <c r="A47" s="44" t="s">
        <v>3793</v>
      </c>
      <c r="B47" s="20">
        <v>1414910572117.5398</v>
      </c>
      <c r="C47" s="20">
        <v>1607847414393.9199</v>
      </c>
      <c r="D47" s="44">
        <f t="shared" si="0"/>
        <v>13.635974320810462</v>
      </c>
      <c r="E47" s="39">
        <v>4</v>
      </c>
      <c r="F47" s="39">
        <v>1</v>
      </c>
      <c r="G47" s="39">
        <v>0</v>
      </c>
      <c r="H47" s="44">
        <f t="shared" si="1"/>
        <v>80</v>
      </c>
      <c r="I47" s="44">
        <f t="shared" si="2"/>
        <v>20</v>
      </c>
      <c r="J47" s="44"/>
      <c r="K47" s="44"/>
      <c r="L47" s="8"/>
    </row>
    <row r="48" spans="1:12" x14ac:dyDescent="0.25">
      <c r="A48" s="44" t="s">
        <v>3951</v>
      </c>
      <c r="B48" s="20">
        <v>1247487092981.25</v>
      </c>
      <c r="C48" s="20">
        <v>1398282746968.3101</v>
      </c>
      <c r="D48" s="44">
        <f t="shared" si="0"/>
        <v>12.087953040595229</v>
      </c>
      <c r="E48" s="39">
        <v>16</v>
      </c>
      <c r="F48" s="39">
        <v>4</v>
      </c>
      <c r="G48" s="39">
        <v>0</v>
      </c>
      <c r="H48" s="44">
        <f t="shared" si="1"/>
        <v>80</v>
      </c>
      <c r="I48" s="44">
        <f t="shared" si="2"/>
        <v>20</v>
      </c>
      <c r="J48" s="44"/>
      <c r="K48" s="44"/>
      <c r="L48" s="8"/>
    </row>
    <row r="49" spans="1:12" x14ac:dyDescent="0.25">
      <c r="A49" s="44" t="s">
        <v>3974</v>
      </c>
      <c r="B49" s="20">
        <v>297632713236.34003</v>
      </c>
      <c r="C49" s="20">
        <v>329517235321.91003</v>
      </c>
      <c r="D49" s="44">
        <f t="shared" si="0"/>
        <v>10.712707530993608</v>
      </c>
      <c r="E49" s="39">
        <v>8</v>
      </c>
      <c r="F49" s="39">
        <v>2</v>
      </c>
      <c r="G49" s="39">
        <v>0</v>
      </c>
      <c r="H49" s="44">
        <f t="shared" si="1"/>
        <v>80</v>
      </c>
      <c r="I49" s="44">
        <f t="shared" si="2"/>
        <v>20</v>
      </c>
      <c r="J49" s="44"/>
      <c r="K49" s="44"/>
      <c r="L49" s="8"/>
    </row>
    <row r="50" spans="1:12" x14ac:dyDescent="0.25">
      <c r="A50" s="44" t="s">
        <v>56</v>
      </c>
      <c r="B50" s="20">
        <v>16484387826.5</v>
      </c>
      <c r="C50" s="20">
        <v>18070327974.770004</v>
      </c>
      <c r="D50" s="44">
        <f t="shared" si="0"/>
        <v>9.6208616599063266</v>
      </c>
      <c r="E50" s="39">
        <v>8</v>
      </c>
      <c r="F50" s="39">
        <v>2</v>
      </c>
      <c r="G50" s="39">
        <v>0</v>
      </c>
      <c r="H50" s="44">
        <f t="shared" si="1"/>
        <v>80</v>
      </c>
      <c r="I50" s="44">
        <f t="shared" si="2"/>
        <v>20</v>
      </c>
      <c r="J50" s="44"/>
      <c r="K50" s="44"/>
      <c r="L50" s="8"/>
    </row>
    <row r="51" spans="1:12" x14ac:dyDescent="0.25">
      <c r="A51" s="44" t="s">
        <v>183</v>
      </c>
      <c r="B51" s="20">
        <v>1102828193349.2</v>
      </c>
      <c r="C51" s="20">
        <v>1190846043009.1101</v>
      </c>
      <c r="D51" s="44">
        <f t="shared" si="0"/>
        <v>7.9811026042603315</v>
      </c>
      <c r="E51" s="39">
        <v>4</v>
      </c>
      <c r="F51" s="39">
        <v>1</v>
      </c>
      <c r="G51" s="39">
        <v>0</v>
      </c>
      <c r="H51" s="44">
        <f t="shared" si="1"/>
        <v>80</v>
      </c>
      <c r="I51" s="44">
        <f t="shared" si="2"/>
        <v>20</v>
      </c>
      <c r="J51" s="44"/>
      <c r="K51" s="44"/>
      <c r="L51" s="8"/>
    </row>
    <row r="52" spans="1:12" x14ac:dyDescent="0.25">
      <c r="A52" s="44" t="s">
        <v>4200</v>
      </c>
      <c r="B52" s="20">
        <v>216255136589.5</v>
      </c>
      <c r="C52" s="20">
        <v>230012238917.29999</v>
      </c>
      <c r="D52" s="44">
        <f t="shared" si="0"/>
        <v>6.3615147111691526</v>
      </c>
      <c r="E52" s="39">
        <v>4</v>
      </c>
      <c r="F52" s="39">
        <v>1</v>
      </c>
      <c r="G52" s="39">
        <v>0</v>
      </c>
      <c r="H52" s="44">
        <f t="shared" si="1"/>
        <v>80</v>
      </c>
      <c r="I52" s="44">
        <f t="shared" si="2"/>
        <v>20</v>
      </c>
      <c r="J52" s="70" t="s">
        <v>4386</v>
      </c>
      <c r="K52" s="67"/>
      <c r="L52" s="8"/>
    </row>
    <row r="53" spans="1:12" x14ac:dyDescent="0.25">
      <c r="A53" s="44" t="s">
        <v>893</v>
      </c>
      <c r="B53" s="20">
        <v>1568900266399.4302</v>
      </c>
      <c r="C53" s="20">
        <v>1658181956264.9099</v>
      </c>
      <c r="D53" s="44">
        <f t="shared" si="0"/>
        <v>5.6907180002192241</v>
      </c>
      <c r="E53" s="39">
        <v>12</v>
      </c>
      <c r="F53" s="39">
        <v>3</v>
      </c>
      <c r="G53" s="39">
        <v>0</v>
      </c>
      <c r="H53" s="44">
        <f t="shared" si="1"/>
        <v>80</v>
      </c>
      <c r="I53" s="44">
        <f t="shared" si="2"/>
        <v>20</v>
      </c>
      <c r="J53" s="44"/>
      <c r="K53" s="44"/>
      <c r="L53" s="8"/>
    </row>
    <row r="54" spans="1:12" x14ac:dyDescent="0.25">
      <c r="A54" s="44" t="s">
        <v>3454</v>
      </c>
      <c r="B54" s="20">
        <v>46674780145.630005</v>
      </c>
      <c r="C54" s="20">
        <v>45907458415.790001</v>
      </c>
      <c r="D54" s="44">
        <f t="shared" si="0"/>
        <v>-1.6439750277256433</v>
      </c>
      <c r="E54" s="39">
        <v>4</v>
      </c>
      <c r="F54" s="39">
        <v>1</v>
      </c>
      <c r="G54" s="39">
        <v>0</v>
      </c>
      <c r="H54" s="44">
        <f t="shared" si="1"/>
        <v>80</v>
      </c>
      <c r="I54" s="44">
        <f t="shared" si="2"/>
        <v>20</v>
      </c>
      <c r="J54" s="44"/>
      <c r="K54" s="44"/>
      <c r="L54" s="8"/>
    </row>
    <row r="55" spans="1:12" x14ac:dyDescent="0.25">
      <c r="A55" s="44" t="s">
        <v>1760</v>
      </c>
      <c r="B55" s="20">
        <v>267655033289.12997</v>
      </c>
      <c r="C55" s="20">
        <v>289497741553.09003</v>
      </c>
      <c r="D55" s="44">
        <f t="shared" si="0"/>
        <v>8.1607687311319204</v>
      </c>
      <c r="E55" s="39">
        <v>7</v>
      </c>
      <c r="F55" s="39">
        <v>1</v>
      </c>
      <c r="G55" s="39">
        <v>1</v>
      </c>
      <c r="H55" s="44">
        <f t="shared" si="1"/>
        <v>77.777777777777786</v>
      </c>
      <c r="I55" s="44">
        <f t="shared" si="2"/>
        <v>11.111111111111111</v>
      </c>
      <c r="J55" s="44"/>
      <c r="K55" s="44"/>
      <c r="L55" s="8"/>
    </row>
    <row r="56" spans="1:12" x14ac:dyDescent="0.25">
      <c r="A56" s="44" t="s">
        <v>3209</v>
      </c>
      <c r="B56" s="20">
        <v>392735521092.17993</v>
      </c>
      <c r="C56" s="20">
        <v>407472706060.54999</v>
      </c>
      <c r="D56" s="44">
        <f t="shared" si="0"/>
        <v>3.7524451384959026</v>
      </c>
      <c r="E56" s="39">
        <v>35</v>
      </c>
      <c r="F56" s="39">
        <v>7</v>
      </c>
      <c r="G56" s="39">
        <v>3</v>
      </c>
      <c r="H56" s="44">
        <f t="shared" si="1"/>
        <v>77.777777777777786</v>
      </c>
      <c r="I56" s="44">
        <f t="shared" si="2"/>
        <v>15.555555555555555</v>
      </c>
      <c r="J56" s="44"/>
      <c r="K56" s="44"/>
      <c r="L56" s="8"/>
    </row>
    <row r="57" spans="1:12" x14ac:dyDescent="0.25">
      <c r="A57" s="44" t="s">
        <v>4066</v>
      </c>
      <c r="B57" s="20">
        <v>93492884837.419998</v>
      </c>
      <c r="C57" s="20">
        <v>94412821536.160004</v>
      </c>
      <c r="D57" s="44">
        <f t="shared" si="0"/>
        <v>0.98396439508710731</v>
      </c>
      <c r="E57" s="39">
        <v>7</v>
      </c>
      <c r="F57" s="39">
        <v>2</v>
      </c>
      <c r="G57" s="39">
        <v>0</v>
      </c>
      <c r="H57" s="44">
        <f t="shared" si="1"/>
        <v>77.777777777777786</v>
      </c>
      <c r="I57" s="44">
        <f t="shared" si="2"/>
        <v>22.222222222222221</v>
      </c>
      <c r="J57" s="44"/>
      <c r="K57" s="44"/>
      <c r="L57" s="8"/>
    </row>
    <row r="58" spans="1:12" x14ac:dyDescent="0.25">
      <c r="A58" s="44" t="s">
        <v>1136</v>
      </c>
      <c r="B58" s="20">
        <v>7820561309085.8711</v>
      </c>
      <c r="C58" s="20">
        <v>8644603354070.4893</v>
      </c>
      <c r="D58" s="44">
        <f t="shared" si="0"/>
        <v>10.536865736571263</v>
      </c>
      <c r="E58" s="39">
        <v>33</v>
      </c>
      <c r="F58" s="39">
        <v>9</v>
      </c>
      <c r="G58" s="39">
        <v>1</v>
      </c>
      <c r="H58" s="44">
        <f t="shared" si="1"/>
        <v>76.744186046511629</v>
      </c>
      <c r="I58" s="44">
        <f t="shared" si="2"/>
        <v>20.930232558139537</v>
      </c>
      <c r="J58" s="44"/>
      <c r="K58" s="44"/>
      <c r="L58" s="8"/>
    </row>
    <row r="59" spans="1:12" x14ac:dyDescent="0.25">
      <c r="A59" s="44" t="s">
        <v>3475</v>
      </c>
      <c r="B59" s="20">
        <v>9667593733002.6699</v>
      </c>
      <c r="C59" s="20">
        <v>11763224458205.77</v>
      </c>
      <c r="D59" s="44">
        <f t="shared" si="0"/>
        <v>21.676859651736883</v>
      </c>
      <c r="E59" s="39">
        <v>26</v>
      </c>
      <c r="F59" s="39">
        <v>8</v>
      </c>
      <c r="G59" s="39">
        <v>0</v>
      </c>
      <c r="H59" s="44">
        <f t="shared" si="1"/>
        <v>76.470588235294116</v>
      </c>
      <c r="I59" s="44">
        <f t="shared" si="2"/>
        <v>23.52941176470588</v>
      </c>
      <c r="J59" s="44"/>
      <c r="K59" s="44"/>
      <c r="L59" s="8"/>
    </row>
    <row r="60" spans="1:12" x14ac:dyDescent="0.25">
      <c r="A60" s="44" t="s">
        <v>3814</v>
      </c>
      <c r="B60" s="20">
        <v>3430475090.6300001</v>
      </c>
      <c r="C60" s="20">
        <v>4679165507.0900002</v>
      </c>
      <c r="D60" s="44">
        <f t="shared" si="0"/>
        <v>36.399926641959098</v>
      </c>
      <c r="E60" s="39">
        <v>3</v>
      </c>
      <c r="F60" s="39">
        <v>1</v>
      </c>
      <c r="G60" s="39">
        <v>0</v>
      </c>
      <c r="H60" s="44">
        <f t="shared" si="1"/>
        <v>75</v>
      </c>
      <c r="I60" s="44">
        <f t="shared" si="2"/>
        <v>25</v>
      </c>
      <c r="J60" s="44"/>
      <c r="K60" s="44"/>
      <c r="L60" s="8"/>
    </row>
    <row r="61" spans="1:12" x14ac:dyDescent="0.25">
      <c r="A61" s="44" t="s">
        <v>876</v>
      </c>
      <c r="B61" s="20">
        <v>793709695.25</v>
      </c>
      <c r="C61" s="20">
        <v>1014366758.9</v>
      </c>
      <c r="D61" s="44">
        <f t="shared" si="0"/>
        <v>27.800726760745707</v>
      </c>
      <c r="E61" s="39">
        <v>3</v>
      </c>
      <c r="F61" s="39">
        <v>1</v>
      </c>
      <c r="G61" s="39">
        <v>0</v>
      </c>
      <c r="H61" s="44">
        <f t="shared" si="1"/>
        <v>75</v>
      </c>
      <c r="I61" s="44">
        <f t="shared" si="2"/>
        <v>25</v>
      </c>
      <c r="J61" s="44"/>
      <c r="K61" s="44"/>
      <c r="L61" s="8"/>
    </row>
    <row r="62" spans="1:12" x14ac:dyDescent="0.25">
      <c r="A62" s="44" t="s">
        <v>2787</v>
      </c>
      <c r="B62" s="20">
        <v>715890950380.78003</v>
      </c>
      <c r="C62" s="20">
        <v>873562405921.03992</v>
      </c>
      <c r="D62" s="44">
        <f t="shared" si="0"/>
        <v>22.024507427617987</v>
      </c>
      <c r="E62" s="39">
        <v>6</v>
      </c>
      <c r="F62" s="39">
        <v>2</v>
      </c>
      <c r="G62" s="39">
        <v>0</v>
      </c>
      <c r="H62" s="44">
        <f t="shared" si="1"/>
        <v>75</v>
      </c>
      <c r="I62" s="44">
        <f t="shared" si="2"/>
        <v>25</v>
      </c>
      <c r="J62" s="44"/>
      <c r="K62" s="44"/>
      <c r="L62" s="8"/>
    </row>
    <row r="63" spans="1:12" x14ac:dyDescent="0.25">
      <c r="A63" s="44" t="s">
        <v>3519</v>
      </c>
      <c r="B63" s="20">
        <v>11610787835.5</v>
      </c>
      <c r="C63" s="20">
        <v>13877596753.619999</v>
      </c>
      <c r="D63" s="44">
        <f t="shared" si="0"/>
        <v>19.523299798737408</v>
      </c>
      <c r="E63" s="39">
        <v>3</v>
      </c>
      <c r="F63" s="39">
        <v>1</v>
      </c>
      <c r="G63" s="39">
        <v>0</v>
      </c>
      <c r="H63" s="44">
        <f t="shared" si="1"/>
        <v>75</v>
      </c>
      <c r="I63" s="44">
        <f t="shared" si="2"/>
        <v>25</v>
      </c>
      <c r="J63" s="44"/>
      <c r="K63" s="44"/>
      <c r="L63" s="8"/>
    </row>
    <row r="64" spans="1:12" x14ac:dyDescent="0.25">
      <c r="A64" s="44" t="s">
        <v>2627</v>
      </c>
      <c r="B64" s="20">
        <v>548690779144.12</v>
      </c>
      <c r="C64" s="20">
        <v>636695306432.31995</v>
      </c>
      <c r="D64" s="44">
        <f t="shared" si="0"/>
        <v>16.039002409603924</v>
      </c>
      <c r="E64" s="39">
        <v>9</v>
      </c>
      <c r="F64" s="39">
        <v>3</v>
      </c>
      <c r="G64" s="39">
        <v>0</v>
      </c>
      <c r="H64" s="44">
        <f t="shared" si="1"/>
        <v>75</v>
      </c>
      <c r="I64" s="44">
        <f t="shared" si="2"/>
        <v>25</v>
      </c>
      <c r="J64" s="44"/>
      <c r="K64" s="44"/>
      <c r="L64" s="8"/>
    </row>
    <row r="65" spans="1:12" x14ac:dyDescent="0.25">
      <c r="A65" s="44" t="s">
        <v>2575</v>
      </c>
      <c r="B65" s="20">
        <v>1033187950538.8899</v>
      </c>
      <c r="C65" s="20">
        <v>1175830624791.4299</v>
      </c>
      <c r="D65" s="44">
        <f t="shared" si="0"/>
        <v>13.806072184459808</v>
      </c>
      <c r="E65" s="39">
        <v>18</v>
      </c>
      <c r="F65" s="39">
        <v>6</v>
      </c>
      <c r="G65" s="39">
        <v>0</v>
      </c>
      <c r="H65" s="44">
        <f t="shared" si="1"/>
        <v>75</v>
      </c>
      <c r="I65" s="44">
        <f t="shared" si="2"/>
        <v>25</v>
      </c>
      <c r="J65" s="44"/>
      <c r="K65" s="44"/>
      <c r="L65" s="8"/>
    </row>
    <row r="66" spans="1:12" x14ac:dyDescent="0.25">
      <c r="A66" s="44" t="s">
        <v>2286</v>
      </c>
      <c r="B66" s="20">
        <v>850484160270.0802</v>
      </c>
      <c r="C66" s="20">
        <v>928297382396.77991</v>
      </c>
      <c r="D66" s="44">
        <f t="shared" si="0"/>
        <v>9.1492852849827688</v>
      </c>
      <c r="E66" s="39">
        <v>24</v>
      </c>
      <c r="F66" s="39">
        <v>8</v>
      </c>
      <c r="G66" s="39">
        <v>0</v>
      </c>
      <c r="H66" s="44">
        <f t="shared" si="1"/>
        <v>75</v>
      </c>
      <c r="I66" s="44">
        <f t="shared" si="2"/>
        <v>25</v>
      </c>
      <c r="J66" s="44"/>
      <c r="K66" s="44"/>
      <c r="L66" s="8"/>
    </row>
    <row r="67" spans="1:12" x14ac:dyDescent="0.25">
      <c r="A67" s="44" t="s">
        <v>1598</v>
      </c>
      <c r="B67" s="20">
        <v>2139334014335</v>
      </c>
      <c r="C67" s="20">
        <v>2320815865408.5</v>
      </c>
      <c r="D67" s="44">
        <f t="shared" si="0"/>
        <v>8.4831003413888411</v>
      </c>
      <c r="E67" s="39">
        <v>3</v>
      </c>
      <c r="F67" s="39">
        <v>0</v>
      </c>
      <c r="G67" s="39">
        <v>1</v>
      </c>
      <c r="H67" s="44">
        <f t="shared" si="1"/>
        <v>75</v>
      </c>
      <c r="I67" s="44">
        <f t="shared" si="2"/>
        <v>0</v>
      </c>
      <c r="J67" s="44"/>
      <c r="K67" s="44"/>
      <c r="L67" s="8"/>
    </row>
    <row r="68" spans="1:12" x14ac:dyDescent="0.25">
      <c r="A68" s="44" t="s">
        <v>3883</v>
      </c>
      <c r="B68" s="20">
        <v>603849136079</v>
      </c>
      <c r="C68" s="20">
        <v>654287782415.84998</v>
      </c>
      <c r="D68" s="44">
        <f t="shared" si="0"/>
        <v>8.3528555930982105</v>
      </c>
      <c r="E68" s="39">
        <v>3</v>
      </c>
      <c r="F68" s="39">
        <v>1</v>
      </c>
      <c r="G68" s="39">
        <v>0</v>
      </c>
      <c r="H68" s="44">
        <f t="shared" si="1"/>
        <v>75</v>
      </c>
      <c r="I68" s="44">
        <f t="shared" si="2"/>
        <v>25</v>
      </c>
      <c r="J68" s="44"/>
      <c r="K68" s="44"/>
      <c r="L68" s="8"/>
    </row>
    <row r="69" spans="1:12" x14ac:dyDescent="0.25">
      <c r="A69" s="44" t="s">
        <v>833</v>
      </c>
      <c r="B69" s="20">
        <v>375952222415.70001</v>
      </c>
      <c r="C69" s="20">
        <v>406369966747.76001</v>
      </c>
      <c r="D69" s="44">
        <f t="shared" si="0"/>
        <v>8.090853709178587</v>
      </c>
      <c r="E69" s="39">
        <v>3</v>
      </c>
      <c r="F69" s="39">
        <v>1</v>
      </c>
      <c r="G69" s="39">
        <v>0</v>
      </c>
      <c r="H69" s="44">
        <f t="shared" si="1"/>
        <v>75</v>
      </c>
      <c r="I69" s="44">
        <f t="shared" si="2"/>
        <v>25</v>
      </c>
      <c r="J69" s="44"/>
      <c r="K69" s="44"/>
      <c r="L69" s="8"/>
    </row>
    <row r="70" spans="1:12" x14ac:dyDescent="0.25">
      <c r="A70" s="44" t="s">
        <v>2522</v>
      </c>
      <c r="B70" s="20">
        <v>343648212878.78998</v>
      </c>
      <c r="C70" s="20">
        <v>361642697743.32007</v>
      </c>
      <c r="D70" s="44">
        <f t="shared" si="0"/>
        <v>5.2363097464665183</v>
      </c>
      <c r="E70" s="39">
        <v>9</v>
      </c>
      <c r="F70" s="39">
        <v>3</v>
      </c>
      <c r="G70" s="39">
        <v>0</v>
      </c>
      <c r="H70" s="44">
        <f t="shared" si="1"/>
        <v>75</v>
      </c>
      <c r="I70" s="44">
        <f t="shared" si="2"/>
        <v>25</v>
      </c>
      <c r="J70" s="44"/>
      <c r="K70" s="44"/>
      <c r="L70" s="8"/>
    </row>
    <row r="71" spans="1:12" x14ac:dyDescent="0.25">
      <c r="A71" s="44" t="s">
        <v>262</v>
      </c>
      <c r="B71" s="20">
        <v>18101355347.669998</v>
      </c>
      <c r="C71" s="20">
        <v>18645686939.700001</v>
      </c>
      <c r="D71" s="44">
        <f t="shared" si="0"/>
        <v>3.0071316847556875</v>
      </c>
      <c r="E71" s="39">
        <v>6</v>
      </c>
      <c r="F71" s="39">
        <v>2</v>
      </c>
      <c r="G71" s="39">
        <v>0</v>
      </c>
      <c r="H71" s="44">
        <f t="shared" si="1"/>
        <v>75</v>
      </c>
      <c r="I71" s="44">
        <f t="shared" si="2"/>
        <v>25</v>
      </c>
      <c r="J71" s="44"/>
      <c r="K71" s="44"/>
      <c r="L71" s="8"/>
    </row>
    <row r="72" spans="1:12" x14ac:dyDescent="0.25">
      <c r="A72" s="44" t="s">
        <v>935</v>
      </c>
      <c r="B72" s="20">
        <v>3752231040481</v>
      </c>
      <c r="C72" s="20">
        <v>3821763417833.0996</v>
      </c>
      <c r="D72" s="44">
        <f t="shared" si="0"/>
        <v>1.853094241851009</v>
      </c>
      <c r="E72" s="39">
        <v>9</v>
      </c>
      <c r="F72" s="39">
        <v>3</v>
      </c>
      <c r="G72" s="39">
        <v>0</v>
      </c>
      <c r="H72" s="44">
        <f t="shared" si="1"/>
        <v>75</v>
      </c>
      <c r="I72" s="44">
        <f t="shared" si="2"/>
        <v>25</v>
      </c>
      <c r="J72" s="44"/>
      <c r="K72" s="44"/>
      <c r="L72" s="8"/>
    </row>
    <row r="73" spans="1:12" x14ac:dyDescent="0.25">
      <c r="A73" s="44" t="s">
        <v>3672</v>
      </c>
      <c r="B73" s="20">
        <v>11520539463.32</v>
      </c>
      <c r="C73" s="20">
        <v>11071761341.6</v>
      </c>
      <c r="D73" s="44">
        <f t="shared" si="0"/>
        <v>-3.8954609994510623</v>
      </c>
      <c r="E73" s="39">
        <v>3</v>
      </c>
      <c r="F73" s="39">
        <v>1</v>
      </c>
      <c r="G73" s="39">
        <v>0</v>
      </c>
      <c r="H73" s="44">
        <f t="shared" si="1"/>
        <v>75</v>
      </c>
      <c r="I73" s="44">
        <f t="shared" si="2"/>
        <v>25</v>
      </c>
      <c r="J73" s="44"/>
      <c r="K73" s="44"/>
      <c r="L73" s="8"/>
    </row>
    <row r="74" spans="1:12" x14ac:dyDescent="0.25">
      <c r="A74" s="44" t="s">
        <v>3683</v>
      </c>
      <c r="B74" s="20">
        <v>6084291185903.9297</v>
      </c>
      <c r="C74" s="20">
        <v>6674332221407.832</v>
      </c>
      <c r="D74" s="44">
        <f t="shared" si="0"/>
        <v>9.6977777275175114</v>
      </c>
      <c r="E74" s="39">
        <v>27</v>
      </c>
      <c r="F74" s="39">
        <v>10</v>
      </c>
      <c r="G74" s="39">
        <v>0</v>
      </c>
      <c r="H74" s="44">
        <f t="shared" si="1"/>
        <v>72.972972972972968</v>
      </c>
      <c r="I74" s="44">
        <f t="shared" si="2"/>
        <v>27.027027027027028</v>
      </c>
      <c r="J74" s="44"/>
      <c r="K74" s="44"/>
      <c r="L74" s="8"/>
    </row>
    <row r="75" spans="1:12" x14ac:dyDescent="0.25">
      <c r="A75" s="44" t="s">
        <v>3431</v>
      </c>
      <c r="B75" s="20">
        <v>4456010621709.25</v>
      </c>
      <c r="C75" s="20">
        <v>4690229728725.5996</v>
      </c>
      <c r="D75" s="44">
        <f t="shared" si="0"/>
        <v>5.256251093192124</v>
      </c>
      <c r="E75" s="39">
        <v>13</v>
      </c>
      <c r="F75" s="39">
        <v>3</v>
      </c>
      <c r="G75" s="39">
        <v>2</v>
      </c>
      <c r="H75" s="44">
        <f t="shared" si="1"/>
        <v>72.222222222222214</v>
      </c>
      <c r="I75" s="44">
        <f t="shared" si="2"/>
        <v>16.666666666666664</v>
      </c>
      <c r="J75" s="70" t="s">
        <v>4387</v>
      </c>
      <c r="K75" s="67"/>
      <c r="L75" s="8"/>
    </row>
    <row r="76" spans="1:12" x14ac:dyDescent="0.25">
      <c r="A76" s="44" t="s">
        <v>2753</v>
      </c>
      <c r="B76" s="20">
        <v>1651738593573.1096</v>
      </c>
      <c r="C76" s="20">
        <v>1799571919824.3997</v>
      </c>
      <c r="D76" s="44">
        <f t="shared" si="0"/>
        <v>8.9501648037109103</v>
      </c>
      <c r="E76" s="39">
        <v>43</v>
      </c>
      <c r="F76" s="39">
        <v>17</v>
      </c>
      <c r="G76" s="39">
        <v>1</v>
      </c>
      <c r="H76" s="44">
        <f t="shared" si="1"/>
        <v>70.491803278688522</v>
      </c>
      <c r="I76" s="44">
        <f t="shared" si="2"/>
        <v>27.868852459016392</v>
      </c>
      <c r="J76" s="70" t="s">
        <v>4388</v>
      </c>
      <c r="K76" s="67"/>
      <c r="L76" s="8"/>
    </row>
    <row r="77" spans="1:12" x14ac:dyDescent="0.25">
      <c r="A77" s="44" t="s">
        <v>1633</v>
      </c>
      <c r="B77" s="20">
        <v>1238148455202.5601</v>
      </c>
      <c r="C77" s="20">
        <v>1322226977486.5701</v>
      </c>
      <c r="D77" s="44">
        <f t="shared" si="0"/>
        <v>6.7906656855824963</v>
      </c>
      <c r="E77" s="39">
        <v>50</v>
      </c>
      <c r="F77" s="39">
        <v>21</v>
      </c>
      <c r="G77" s="39">
        <v>1</v>
      </c>
      <c r="H77" s="44">
        <f t="shared" si="1"/>
        <v>69.444444444444443</v>
      </c>
      <c r="I77" s="44">
        <f t="shared" si="2"/>
        <v>29.166666666666668</v>
      </c>
      <c r="J77" s="44"/>
      <c r="K77" s="44"/>
      <c r="L77" s="8"/>
    </row>
    <row r="78" spans="1:12" x14ac:dyDescent="0.25">
      <c r="A78" s="44" t="s">
        <v>1001</v>
      </c>
      <c r="B78" s="20">
        <v>1432058402994.96</v>
      </c>
      <c r="C78" s="20">
        <v>1510218613357.8999</v>
      </c>
      <c r="D78" s="44">
        <f t="shared" si="0"/>
        <v>5.4578926529447571</v>
      </c>
      <c r="E78" s="39">
        <v>9</v>
      </c>
      <c r="F78" s="39">
        <v>4</v>
      </c>
      <c r="G78" s="39">
        <v>0</v>
      </c>
      <c r="H78" s="44">
        <f t="shared" si="1"/>
        <v>69.230769230769226</v>
      </c>
      <c r="I78" s="44">
        <f t="shared" si="2"/>
        <v>30.76923076923077</v>
      </c>
      <c r="J78" s="44"/>
      <c r="K78" s="44"/>
      <c r="L78" s="8"/>
    </row>
    <row r="79" spans="1:12" x14ac:dyDescent="0.25">
      <c r="A79" s="44" t="s">
        <v>108</v>
      </c>
      <c r="B79" s="52">
        <v>3558725193382.2495</v>
      </c>
      <c r="C79" s="52">
        <v>4151687703910.6001</v>
      </c>
      <c r="D79" s="44">
        <f t="shared" si="0"/>
        <v>16.662216898090769</v>
      </c>
      <c r="E79" s="39">
        <v>11</v>
      </c>
      <c r="F79" s="39">
        <v>5</v>
      </c>
      <c r="G79" s="39">
        <v>0</v>
      </c>
      <c r="H79" s="44">
        <f t="shared" si="1"/>
        <v>68.75</v>
      </c>
      <c r="I79" s="44">
        <f t="shared" si="2"/>
        <v>31.25</v>
      </c>
      <c r="J79" s="44"/>
      <c r="K79" s="44"/>
      <c r="L79" s="8"/>
    </row>
    <row r="80" spans="1:12" x14ac:dyDescent="0.25">
      <c r="A80" s="44" t="s">
        <v>1046</v>
      </c>
      <c r="B80" s="20">
        <v>1162583510223.3499</v>
      </c>
      <c r="C80" s="20">
        <v>1195530420416.3997</v>
      </c>
      <c r="D80" s="44">
        <f t="shared" si="0"/>
        <v>2.833939231317689</v>
      </c>
      <c r="E80" s="39">
        <v>15</v>
      </c>
      <c r="F80" s="39">
        <v>7</v>
      </c>
      <c r="G80" s="39">
        <v>0</v>
      </c>
      <c r="H80" s="44">
        <f t="shared" si="1"/>
        <v>68.181818181818173</v>
      </c>
      <c r="I80" s="44">
        <f t="shared" si="2"/>
        <v>31.818181818181817</v>
      </c>
      <c r="J80" s="44"/>
      <c r="K80" s="44"/>
      <c r="L80" s="8"/>
    </row>
    <row r="81" spans="1:12" x14ac:dyDescent="0.25">
      <c r="A81" s="44" t="s">
        <v>1868</v>
      </c>
      <c r="B81" s="20">
        <v>4968379656304.249</v>
      </c>
      <c r="C81" s="20">
        <v>5392386666395.6992</v>
      </c>
      <c r="D81" s="44">
        <f t="shared" si="0"/>
        <v>8.5341105032792441</v>
      </c>
      <c r="E81" s="39">
        <v>64</v>
      </c>
      <c r="F81" s="39">
        <v>28</v>
      </c>
      <c r="G81" s="39">
        <v>3</v>
      </c>
      <c r="H81" s="44">
        <f t="shared" si="1"/>
        <v>67.368421052631575</v>
      </c>
      <c r="I81" s="44">
        <f t="shared" si="2"/>
        <v>29.473684210526311</v>
      </c>
      <c r="J81" s="44"/>
      <c r="K81" s="44"/>
      <c r="L81" s="8"/>
    </row>
    <row r="82" spans="1:12" x14ac:dyDescent="0.25">
      <c r="A82" s="44" t="s">
        <v>4194</v>
      </c>
      <c r="B82" s="20">
        <v>6525498000</v>
      </c>
      <c r="C82" s="20">
        <v>7480190590</v>
      </c>
      <c r="D82" s="44">
        <f t="shared" si="0"/>
        <v>14.630187458489758</v>
      </c>
      <c r="E82" s="39">
        <v>2</v>
      </c>
      <c r="F82" s="39">
        <v>1</v>
      </c>
      <c r="G82" s="39">
        <v>0</v>
      </c>
      <c r="H82" s="44">
        <f t="shared" si="1"/>
        <v>66.666666666666657</v>
      </c>
      <c r="I82" s="44">
        <f t="shared" si="2"/>
        <v>33.333333333333329</v>
      </c>
      <c r="J82" s="44"/>
      <c r="K82" s="44"/>
      <c r="L82" s="8"/>
    </row>
    <row r="83" spans="1:12" x14ac:dyDescent="0.25">
      <c r="A83" s="44" t="s">
        <v>1606</v>
      </c>
      <c r="B83" s="20">
        <v>239500524951.12003</v>
      </c>
      <c r="C83" s="20">
        <v>269861458099.32999</v>
      </c>
      <c r="D83" s="44">
        <f t="shared" si="0"/>
        <v>12.67677102353173</v>
      </c>
      <c r="E83" s="39">
        <v>6</v>
      </c>
      <c r="F83" s="39">
        <v>2</v>
      </c>
      <c r="G83" s="39">
        <v>1</v>
      </c>
      <c r="H83" s="44">
        <f t="shared" si="1"/>
        <v>66.666666666666657</v>
      </c>
      <c r="I83" s="44">
        <f t="shared" si="2"/>
        <v>22.222222222222221</v>
      </c>
      <c r="J83" s="44"/>
      <c r="K83" s="44"/>
      <c r="L83" s="8"/>
    </row>
    <row r="84" spans="1:12" x14ac:dyDescent="0.25">
      <c r="A84" s="44" t="s">
        <v>2757</v>
      </c>
      <c r="B84" s="20">
        <v>656410214783.23999</v>
      </c>
      <c r="C84" s="20">
        <v>713686793750.38989</v>
      </c>
      <c r="D84" s="44">
        <f t="shared" si="0"/>
        <v>8.7257293803789739</v>
      </c>
      <c r="E84" s="39">
        <v>4</v>
      </c>
      <c r="F84" s="39">
        <v>2</v>
      </c>
      <c r="G84" s="39">
        <v>0</v>
      </c>
      <c r="H84" s="44">
        <f t="shared" si="1"/>
        <v>66.666666666666657</v>
      </c>
      <c r="I84" s="44">
        <f t="shared" si="2"/>
        <v>33.333333333333329</v>
      </c>
      <c r="J84" s="44"/>
      <c r="K84" s="44"/>
      <c r="L84" s="8"/>
    </row>
    <row r="85" spans="1:12" x14ac:dyDescent="0.25">
      <c r="A85" s="44" t="s">
        <v>2321</v>
      </c>
      <c r="B85" s="20">
        <v>227879829647.70001</v>
      </c>
      <c r="C85" s="20">
        <v>245206567838.84998</v>
      </c>
      <c r="D85" s="44">
        <f t="shared" si="0"/>
        <v>7.6034540739901955</v>
      </c>
      <c r="E85" s="39">
        <v>4</v>
      </c>
      <c r="F85" s="39">
        <v>2</v>
      </c>
      <c r="G85" s="39">
        <v>0</v>
      </c>
      <c r="H85" s="44">
        <f t="shared" si="1"/>
        <v>66.666666666666657</v>
      </c>
      <c r="I85" s="44">
        <f t="shared" si="2"/>
        <v>33.333333333333329</v>
      </c>
      <c r="J85" s="44"/>
      <c r="K85" s="44"/>
      <c r="L85" s="8"/>
    </row>
    <row r="86" spans="1:12" x14ac:dyDescent="0.25">
      <c r="A86" s="44" t="s">
        <v>2834</v>
      </c>
      <c r="B86" s="20">
        <v>26744792168.299999</v>
      </c>
      <c r="C86" s="20">
        <v>27968052731.849998</v>
      </c>
      <c r="D86" s="44">
        <f t="shared" si="0"/>
        <v>4.5738271430648938</v>
      </c>
      <c r="E86" s="39">
        <v>6</v>
      </c>
      <c r="F86" s="39">
        <v>3</v>
      </c>
      <c r="G86" s="39">
        <v>0</v>
      </c>
      <c r="H86" s="44">
        <f t="shared" si="1"/>
        <v>66.666666666666657</v>
      </c>
      <c r="I86" s="44">
        <f t="shared" si="2"/>
        <v>33.333333333333329</v>
      </c>
      <c r="J86" s="44"/>
      <c r="K86" s="44"/>
      <c r="L86" s="8"/>
    </row>
    <row r="87" spans="1:12" x14ac:dyDescent="0.25">
      <c r="A87" s="44" t="s">
        <v>41</v>
      </c>
      <c r="B87" s="20">
        <v>478385532070.19995</v>
      </c>
      <c r="C87" s="20">
        <v>495283527136.29999</v>
      </c>
      <c r="D87" s="44">
        <f t="shared" si="0"/>
        <v>3.5322964289857253</v>
      </c>
      <c r="E87" s="39">
        <v>2</v>
      </c>
      <c r="F87" s="39">
        <v>1</v>
      </c>
      <c r="G87" s="39">
        <v>0</v>
      </c>
      <c r="H87" s="44">
        <f t="shared" si="1"/>
        <v>66.666666666666657</v>
      </c>
      <c r="I87" s="44">
        <f t="shared" si="2"/>
        <v>33.333333333333329</v>
      </c>
      <c r="J87" s="44"/>
      <c r="K87" s="44"/>
      <c r="L87" s="8"/>
    </row>
    <row r="88" spans="1:12" x14ac:dyDescent="0.25">
      <c r="A88" s="44" t="s">
        <v>1501</v>
      </c>
      <c r="B88" s="20">
        <v>772553601167</v>
      </c>
      <c r="C88" s="20">
        <v>799423414337.45996</v>
      </c>
      <c r="D88" s="44">
        <f t="shared" si="0"/>
        <v>3.4780516367888392</v>
      </c>
      <c r="E88" s="39">
        <v>6</v>
      </c>
      <c r="F88" s="39">
        <v>3</v>
      </c>
      <c r="G88" s="39">
        <v>0</v>
      </c>
      <c r="H88" s="44">
        <f t="shared" si="1"/>
        <v>66.666666666666657</v>
      </c>
      <c r="I88" s="44">
        <f t="shared" si="2"/>
        <v>33.333333333333329</v>
      </c>
      <c r="J88" s="44"/>
      <c r="K88" s="44"/>
      <c r="L88" s="8"/>
    </row>
    <row r="89" spans="1:12" x14ac:dyDescent="0.25">
      <c r="A89" s="44" t="s">
        <v>3611</v>
      </c>
      <c r="B89" s="20">
        <v>204126006226.56</v>
      </c>
      <c r="C89" s="20">
        <v>210683492436.88998</v>
      </c>
      <c r="D89" s="44">
        <f t="shared" si="0"/>
        <v>3.2124697541242324</v>
      </c>
      <c r="E89" s="39">
        <v>8</v>
      </c>
      <c r="F89" s="39">
        <v>3</v>
      </c>
      <c r="G89" s="39">
        <v>1</v>
      </c>
      <c r="H89" s="44">
        <f t="shared" si="1"/>
        <v>66.666666666666657</v>
      </c>
      <c r="I89" s="44">
        <f t="shared" si="2"/>
        <v>25</v>
      </c>
      <c r="J89" s="44"/>
      <c r="K89" s="44"/>
      <c r="L89" s="8"/>
    </row>
    <row r="90" spans="1:12" x14ac:dyDescent="0.25">
      <c r="A90" s="44" t="s">
        <v>4057</v>
      </c>
      <c r="B90" s="20">
        <v>12110949911.299999</v>
      </c>
      <c r="C90" s="20">
        <v>11647143794.4</v>
      </c>
      <c r="D90" s="44">
        <f t="shared" si="0"/>
        <v>-3.829642763754229</v>
      </c>
      <c r="E90" s="39">
        <v>2</v>
      </c>
      <c r="F90" s="39">
        <v>1</v>
      </c>
      <c r="G90" s="39">
        <v>0</v>
      </c>
      <c r="H90" s="44">
        <f t="shared" si="1"/>
        <v>66.666666666666657</v>
      </c>
      <c r="I90" s="44">
        <f t="shared" si="2"/>
        <v>33.333333333333329</v>
      </c>
      <c r="J90" s="44"/>
      <c r="K90" s="44"/>
      <c r="L90" s="8"/>
    </row>
    <row r="91" spans="1:12" x14ac:dyDescent="0.25">
      <c r="A91" s="44" t="s">
        <v>1672</v>
      </c>
      <c r="B91" s="20">
        <v>512657023150.70001</v>
      </c>
      <c r="C91" s="20">
        <v>491692854917.79999</v>
      </c>
      <c r="D91" s="44">
        <f t="shared" si="0"/>
        <v>-4.0893164993737781</v>
      </c>
      <c r="E91" s="39">
        <v>2</v>
      </c>
      <c r="F91" s="39">
        <v>1</v>
      </c>
      <c r="G91" s="39">
        <v>0</v>
      </c>
      <c r="H91" s="44">
        <f t="shared" si="1"/>
        <v>66.666666666666657</v>
      </c>
      <c r="I91" s="44">
        <f t="shared" si="2"/>
        <v>33.333333333333329</v>
      </c>
      <c r="J91" s="44"/>
      <c r="K91" s="44"/>
      <c r="L91" s="8"/>
    </row>
    <row r="92" spans="1:12" x14ac:dyDescent="0.25">
      <c r="A92" s="44" t="s">
        <v>96</v>
      </c>
      <c r="B92" s="20">
        <v>32664411078.860001</v>
      </c>
      <c r="C92" s="20">
        <v>30417366079.380001</v>
      </c>
      <c r="D92" s="44">
        <f t="shared" si="0"/>
        <v>-6.8791841801619347</v>
      </c>
      <c r="E92" s="39">
        <v>2</v>
      </c>
      <c r="F92" s="39">
        <v>1</v>
      </c>
      <c r="G92" s="39">
        <v>0</v>
      </c>
      <c r="H92" s="44">
        <f t="shared" si="1"/>
        <v>66.666666666666657</v>
      </c>
      <c r="I92" s="44">
        <f t="shared" si="2"/>
        <v>33.333333333333329</v>
      </c>
      <c r="J92" s="44"/>
      <c r="K92" s="44"/>
      <c r="L92" s="8"/>
    </row>
    <row r="93" spans="1:12" x14ac:dyDescent="0.25">
      <c r="A93" s="44" t="s">
        <v>1968</v>
      </c>
      <c r="B93" s="20">
        <v>31055384599882.98</v>
      </c>
      <c r="C93" s="20">
        <v>33747530350209.734</v>
      </c>
      <c r="D93" s="44">
        <f t="shared" si="0"/>
        <v>8.6688533567119244</v>
      </c>
      <c r="E93" s="39">
        <v>47</v>
      </c>
      <c r="F93" s="39">
        <v>21</v>
      </c>
      <c r="G93" s="39">
        <v>3</v>
      </c>
      <c r="H93" s="44">
        <f t="shared" si="1"/>
        <v>66.197183098591552</v>
      </c>
      <c r="I93" s="44">
        <f t="shared" si="2"/>
        <v>29.577464788732392</v>
      </c>
      <c r="J93" s="44"/>
      <c r="K93" s="44"/>
      <c r="L93" s="8"/>
    </row>
    <row r="94" spans="1:12" x14ac:dyDescent="0.25">
      <c r="A94" s="44" t="s">
        <v>807</v>
      </c>
      <c r="B94" s="20">
        <v>5181697780753.5391</v>
      </c>
      <c r="C94" s="20">
        <v>5602809943848.541</v>
      </c>
      <c r="D94" s="44">
        <f t="shared" si="0"/>
        <v>8.1269147857126178</v>
      </c>
      <c r="E94" s="39">
        <v>19</v>
      </c>
      <c r="F94" s="39">
        <v>10</v>
      </c>
      <c r="G94" s="39">
        <v>0</v>
      </c>
      <c r="H94" s="44">
        <f t="shared" si="1"/>
        <v>65.517241379310349</v>
      </c>
      <c r="I94" s="44">
        <f t="shared" si="2"/>
        <v>34.482758620689658</v>
      </c>
      <c r="J94" s="44"/>
      <c r="K94" s="44"/>
      <c r="L94" s="8"/>
    </row>
    <row r="95" spans="1:12" x14ac:dyDescent="0.25">
      <c r="A95" s="44" t="s">
        <v>3503</v>
      </c>
      <c r="B95" s="20">
        <v>1817732254711.3298</v>
      </c>
      <c r="C95" s="20">
        <v>1806972806135.4194</v>
      </c>
      <c r="D95" s="44">
        <f t="shared" si="0"/>
        <v>-0.59191602877834648</v>
      </c>
      <c r="E95" s="39">
        <v>17</v>
      </c>
      <c r="F95" s="39">
        <v>9</v>
      </c>
      <c r="G95" s="39">
        <v>0</v>
      </c>
      <c r="H95" s="44">
        <f t="shared" si="1"/>
        <v>65.384615384615387</v>
      </c>
      <c r="I95" s="44">
        <f t="shared" si="2"/>
        <v>34.615384615384613</v>
      </c>
      <c r="J95" s="44"/>
      <c r="K95" s="44"/>
      <c r="L95" s="8"/>
    </row>
    <row r="96" spans="1:12" x14ac:dyDescent="0.25">
      <c r="A96" s="44" t="s">
        <v>3561</v>
      </c>
      <c r="B96" s="20">
        <v>375572579535.4599</v>
      </c>
      <c r="C96" s="20">
        <v>392262443100.93994</v>
      </c>
      <c r="D96" s="44">
        <f t="shared" si="0"/>
        <v>4.4438450714702027</v>
      </c>
      <c r="E96" s="39">
        <v>32</v>
      </c>
      <c r="F96" s="39">
        <v>16</v>
      </c>
      <c r="G96" s="39">
        <v>1</v>
      </c>
      <c r="H96" s="44">
        <f t="shared" si="1"/>
        <v>65.306122448979593</v>
      </c>
      <c r="I96" s="44">
        <f t="shared" si="2"/>
        <v>32.653061224489797</v>
      </c>
      <c r="J96" s="44"/>
      <c r="K96" s="44"/>
      <c r="L96" s="8"/>
    </row>
    <row r="97" spans="1:12" x14ac:dyDescent="0.25">
      <c r="A97" s="44" t="s">
        <v>376</v>
      </c>
      <c r="B97" s="20">
        <v>5507836240956.4404</v>
      </c>
      <c r="C97" s="20">
        <v>5855055331136.2207</v>
      </c>
      <c r="D97" s="44">
        <f t="shared" si="0"/>
        <v>6.3040924782376138</v>
      </c>
      <c r="E97" s="39">
        <v>71</v>
      </c>
      <c r="F97" s="39">
        <v>35</v>
      </c>
      <c r="G97" s="39">
        <v>3</v>
      </c>
      <c r="H97" s="44">
        <f t="shared" si="1"/>
        <v>65.137614678899084</v>
      </c>
      <c r="I97" s="44">
        <f t="shared" si="2"/>
        <v>32.11009174311927</v>
      </c>
      <c r="J97" s="70" t="s">
        <v>4389</v>
      </c>
      <c r="K97" s="67"/>
      <c r="L97" s="8"/>
    </row>
    <row r="98" spans="1:12" x14ac:dyDescent="0.25">
      <c r="A98" s="44" t="s">
        <v>15</v>
      </c>
      <c r="B98" s="20">
        <v>14419720059629.592</v>
      </c>
      <c r="C98" s="20">
        <v>15038844078914.771</v>
      </c>
      <c r="D98" s="44">
        <f t="shared" si="0"/>
        <v>4.2935925019690258</v>
      </c>
      <c r="E98" s="39">
        <v>106</v>
      </c>
      <c r="F98" s="39">
        <v>55</v>
      </c>
      <c r="G98" s="39">
        <v>2</v>
      </c>
      <c r="H98" s="44">
        <f t="shared" si="1"/>
        <v>65.030674846625772</v>
      </c>
      <c r="I98" s="44">
        <f t="shared" si="2"/>
        <v>33.742331288343557</v>
      </c>
      <c r="J98" s="44"/>
      <c r="K98" s="44"/>
      <c r="L98" s="8"/>
    </row>
    <row r="99" spans="1:12" x14ac:dyDescent="0.25">
      <c r="A99" s="44" t="s">
        <v>1645</v>
      </c>
      <c r="B99" s="20">
        <v>709312751213.34998</v>
      </c>
      <c r="C99" s="20">
        <v>740494684413.80017</v>
      </c>
      <c r="D99" s="44">
        <f t="shared" si="0"/>
        <v>4.3960767865952501</v>
      </c>
      <c r="E99" s="39">
        <v>25</v>
      </c>
      <c r="F99" s="39">
        <v>11</v>
      </c>
      <c r="G99" s="39">
        <v>3</v>
      </c>
      <c r="H99" s="44">
        <f t="shared" si="1"/>
        <v>64.102564102564102</v>
      </c>
      <c r="I99" s="44">
        <f t="shared" si="2"/>
        <v>28.205128205128204</v>
      </c>
      <c r="J99" s="44"/>
      <c r="K99" s="44"/>
      <c r="L99" s="8"/>
    </row>
    <row r="100" spans="1:12" x14ac:dyDescent="0.25">
      <c r="A100" s="44" t="s">
        <v>788</v>
      </c>
      <c r="B100" s="20">
        <v>19367831762484.84</v>
      </c>
      <c r="C100" s="20">
        <v>21039657190642.102</v>
      </c>
      <c r="D100" s="44">
        <f t="shared" si="0"/>
        <v>8.6319700039710128</v>
      </c>
      <c r="E100" s="39">
        <v>7</v>
      </c>
      <c r="F100" s="39">
        <v>4</v>
      </c>
      <c r="G100" s="39">
        <v>0</v>
      </c>
      <c r="H100" s="44">
        <f t="shared" si="1"/>
        <v>63.636363636363633</v>
      </c>
      <c r="I100" s="44">
        <f t="shared" si="2"/>
        <v>36.363636363636367</v>
      </c>
      <c r="J100" s="44"/>
      <c r="K100" s="44"/>
      <c r="L100" s="8"/>
    </row>
    <row r="101" spans="1:12" x14ac:dyDescent="0.25">
      <c r="A101" s="44" t="s">
        <v>3872</v>
      </c>
      <c r="B101" s="20">
        <v>765878120147.74988</v>
      </c>
      <c r="C101" s="20">
        <v>800088249175.66003</v>
      </c>
      <c r="D101" s="44">
        <f t="shared" si="0"/>
        <v>4.4667850050750229</v>
      </c>
      <c r="E101" s="39">
        <v>14</v>
      </c>
      <c r="F101" s="39">
        <v>8</v>
      </c>
      <c r="G101" s="39">
        <v>0</v>
      </c>
      <c r="H101" s="44">
        <f t="shared" si="1"/>
        <v>63.636363636363633</v>
      </c>
      <c r="I101" s="44">
        <f t="shared" si="2"/>
        <v>36.363636363636367</v>
      </c>
      <c r="J101" s="44"/>
      <c r="K101" s="44"/>
      <c r="L101" s="8"/>
    </row>
    <row r="102" spans="1:12" x14ac:dyDescent="0.25">
      <c r="A102" s="44" t="s">
        <v>858</v>
      </c>
      <c r="B102" s="20">
        <v>5709790555569.332</v>
      </c>
      <c r="C102" s="20">
        <v>6189028437667.0879</v>
      </c>
      <c r="D102" s="44">
        <f t="shared" si="0"/>
        <v>8.3932655223282584</v>
      </c>
      <c r="E102" s="39">
        <v>98</v>
      </c>
      <c r="F102" s="39">
        <v>49</v>
      </c>
      <c r="G102" s="39">
        <v>8</v>
      </c>
      <c r="H102" s="44">
        <f t="shared" si="1"/>
        <v>63.225806451612897</v>
      </c>
      <c r="I102" s="44">
        <f t="shared" si="2"/>
        <v>31.612903225806448</v>
      </c>
      <c r="J102" s="44"/>
      <c r="K102" s="44"/>
      <c r="L102" s="8"/>
    </row>
    <row r="103" spans="1:12" x14ac:dyDescent="0.25">
      <c r="A103" s="44" t="s">
        <v>1685</v>
      </c>
      <c r="B103" s="20">
        <v>350709060047.64001</v>
      </c>
      <c r="C103" s="20">
        <v>373254045763.58002</v>
      </c>
      <c r="D103" s="44">
        <f t="shared" si="0"/>
        <v>6.4284012830685109</v>
      </c>
      <c r="E103" s="39">
        <v>34</v>
      </c>
      <c r="F103" s="39">
        <v>18</v>
      </c>
      <c r="G103" s="39">
        <v>2</v>
      </c>
      <c r="H103" s="44">
        <f t="shared" si="1"/>
        <v>62.962962962962962</v>
      </c>
      <c r="I103" s="44">
        <f t="shared" si="2"/>
        <v>33.333333333333329</v>
      </c>
      <c r="J103" s="44"/>
      <c r="K103" s="44"/>
      <c r="L103" s="8"/>
    </row>
    <row r="104" spans="1:12" x14ac:dyDescent="0.25">
      <c r="A104" s="44" t="s">
        <v>1064</v>
      </c>
      <c r="B104" s="20">
        <v>1380336225011.1106</v>
      </c>
      <c r="C104" s="20">
        <v>1431902786856.47</v>
      </c>
      <c r="D104" s="44">
        <f t="shared" si="0"/>
        <v>3.735797185569357</v>
      </c>
      <c r="E104" s="39">
        <v>32</v>
      </c>
      <c r="F104" s="39">
        <v>17</v>
      </c>
      <c r="G104" s="39">
        <v>2</v>
      </c>
      <c r="H104" s="44">
        <f t="shared" si="1"/>
        <v>62.745098039215684</v>
      </c>
      <c r="I104" s="44">
        <f t="shared" si="2"/>
        <v>33.333333333333329</v>
      </c>
      <c r="J104" s="44"/>
      <c r="K104" s="44"/>
      <c r="L104" s="8"/>
    </row>
    <row r="105" spans="1:12" x14ac:dyDescent="0.25">
      <c r="A105" s="44" t="s">
        <v>2346</v>
      </c>
      <c r="B105" s="20">
        <v>39286028653.57</v>
      </c>
      <c r="C105" s="20">
        <v>42252922675.18</v>
      </c>
      <c r="D105" s="44">
        <f t="shared" si="0"/>
        <v>7.5520334411312229</v>
      </c>
      <c r="E105" s="39">
        <v>15</v>
      </c>
      <c r="F105" s="39">
        <v>5</v>
      </c>
      <c r="G105" s="39">
        <v>4</v>
      </c>
      <c r="H105" s="44">
        <f t="shared" si="1"/>
        <v>62.5</v>
      </c>
      <c r="I105" s="44">
        <f t="shared" si="2"/>
        <v>20.833333333333336</v>
      </c>
      <c r="J105" s="44"/>
      <c r="K105" s="44"/>
      <c r="L105" s="8"/>
    </row>
    <row r="106" spans="1:12" x14ac:dyDescent="0.25">
      <c r="A106" s="44" t="s">
        <v>3918</v>
      </c>
      <c r="B106" s="20">
        <v>72687519031.029999</v>
      </c>
      <c r="C106" s="20">
        <v>73622684461.610001</v>
      </c>
      <c r="D106" s="44">
        <f t="shared" si="0"/>
        <v>1.2865557155428344</v>
      </c>
      <c r="E106" s="39">
        <v>5</v>
      </c>
      <c r="F106" s="39">
        <v>3</v>
      </c>
      <c r="G106" s="39">
        <v>0</v>
      </c>
      <c r="H106" s="44">
        <f t="shared" si="1"/>
        <v>62.5</v>
      </c>
      <c r="I106" s="44">
        <f t="shared" si="2"/>
        <v>37.5</v>
      </c>
      <c r="J106" s="44"/>
      <c r="K106" s="44"/>
      <c r="L106" s="8"/>
    </row>
    <row r="107" spans="1:12" x14ac:dyDescent="0.25">
      <c r="A107" s="44" t="s">
        <v>677</v>
      </c>
      <c r="B107" s="20">
        <v>327207006051.58997</v>
      </c>
      <c r="C107" s="20">
        <v>308873619744.31995</v>
      </c>
      <c r="D107" s="44">
        <f t="shared" si="0"/>
        <v>-5.6029932025292384</v>
      </c>
      <c r="E107" s="39">
        <v>5</v>
      </c>
      <c r="F107" s="39">
        <v>3</v>
      </c>
      <c r="G107" s="39">
        <v>0</v>
      </c>
      <c r="H107" s="44">
        <f t="shared" si="1"/>
        <v>62.5</v>
      </c>
      <c r="I107" s="44">
        <f t="shared" si="2"/>
        <v>37.5</v>
      </c>
      <c r="J107" s="44"/>
      <c r="K107" s="44"/>
      <c r="L107" s="8"/>
    </row>
    <row r="108" spans="1:12" x14ac:dyDescent="0.25">
      <c r="A108" s="44" t="s">
        <v>4036</v>
      </c>
      <c r="B108" s="20">
        <v>180082132538.32999</v>
      </c>
      <c r="C108" s="20">
        <v>176360744783.75998</v>
      </c>
      <c r="D108" s="44">
        <f t="shared" si="0"/>
        <v>-2.0664947166693066</v>
      </c>
      <c r="E108" s="39">
        <v>16</v>
      </c>
      <c r="F108" s="39">
        <v>10</v>
      </c>
      <c r="G108" s="39">
        <v>0</v>
      </c>
      <c r="H108" s="44">
        <f t="shared" si="1"/>
        <v>61.53846153846154</v>
      </c>
      <c r="I108" s="44">
        <f t="shared" si="2"/>
        <v>38.461538461538467</v>
      </c>
      <c r="J108" s="44"/>
      <c r="K108" s="44"/>
      <c r="L108" s="8"/>
    </row>
    <row r="109" spans="1:12" x14ac:dyDescent="0.25">
      <c r="A109" s="44" t="s">
        <v>2501</v>
      </c>
      <c r="B109" s="20">
        <v>173179669775.90002</v>
      </c>
      <c r="C109" s="20">
        <v>269262852023.20001</v>
      </c>
      <c r="D109" s="44">
        <f t="shared" si="0"/>
        <v>55.481790888985216</v>
      </c>
      <c r="E109" s="39">
        <v>3</v>
      </c>
      <c r="F109" s="39">
        <v>1</v>
      </c>
      <c r="G109" s="39">
        <v>1</v>
      </c>
      <c r="H109" s="44">
        <f t="shared" si="1"/>
        <v>60</v>
      </c>
      <c r="I109" s="44">
        <f t="shared" si="2"/>
        <v>20</v>
      </c>
      <c r="J109" s="44"/>
      <c r="K109" s="44"/>
      <c r="L109" s="8"/>
    </row>
    <row r="110" spans="1:12" x14ac:dyDescent="0.25">
      <c r="A110" s="44" t="s">
        <v>4016</v>
      </c>
      <c r="B110" s="20">
        <v>2279289544140.8198</v>
      </c>
      <c r="C110" s="20">
        <v>2675415105167.3403</v>
      </c>
      <c r="D110" s="44">
        <f t="shared" si="0"/>
        <v>17.3793435785641</v>
      </c>
      <c r="E110" s="39">
        <v>3</v>
      </c>
      <c r="F110" s="39">
        <v>2</v>
      </c>
      <c r="G110" s="39">
        <v>0</v>
      </c>
      <c r="H110" s="44">
        <f t="shared" si="1"/>
        <v>60</v>
      </c>
      <c r="I110" s="44">
        <f t="shared" si="2"/>
        <v>40</v>
      </c>
      <c r="J110" s="44"/>
      <c r="K110" s="44"/>
      <c r="L110" s="8"/>
    </row>
    <row r="111" spans="1:12" x14ac:dyDescent="0.25">
      <c r="A111" s="44" t="s">
        <v>356</v>
      </c>
      <c r="B111" s="20">
        <v>3915149128832.1597</v>
      </c>
      <c r="C111" s="20">
        <v>4104221470139.5205</v>
      </c>
      <c r="D111" s="44">
        <f t="shared" si="0"/>
        <v>4.8292500511662189</v>
      </c>
      <c r="E111" s="39">
        <v>45</v>
      </c>
      <c r="F111" s="39">
        <v>21</v>
      </c>
      <c r="G111" s="39">
        <v>9</v>
      </c>
      <c r="H111" s="44">
        <f t="shared" si="1"/>
        <v>60</v>
      </c>
      <c r="I111" s="44">
        <f t="shared" si="2"/>
        <v>28.000000000000004</v>
      </c>
      <c r="J111" s="44"/>
      <c r="K111" s="44"/>
      <c r="L111" s="8"/>
    </row>
    <row r="112" spans="1:12" x14ac:dyDescent="0.25">
      <c r="A112" s="44" t="s">
        <v>1695</v>
      </c>
      <c r="B112" s="20">
        <v>203037801201.39999</v>
      </c>
      <c r="C112" s="20">
        <v>212817953246.18002</v>
      </c>
      <c r="D112" s="44">
        <f t="shared" si="0"/>
        <v>4.8169119183273512</v>
      </c>
      <c r="E112" s="39">
        <v>12</v>
      </c>
      <c r="F112" s="39">
        <v>8</v>
      </c>
      <c r="G112" s="39">
        <v>0</v>
      </c>
      <c r="H112" s="44">
        <f t="shared" si="1"/>
        <v>60</v>
      </c>
      <c r="I112" s="44">
        <f t="shared" si="2"/>
        <v>40</v>
      </c>
      <c r="J112" s="44"/>
      <c r="K112" s="44"/>
      <c r="L112" s="8"/>
    </row>
    <row r="113" spans="1:13" x14ac:dyDescent="0.25">
      <c r="A113" s="44" t="s">
        <v>1315</v>
      </c>
      <c r="B113" s="20">
        <v>157980456698.75</v>
      </c>
      <c r="C113" s="20">
        <v>161133461894.59</v>
      </c>
      <c r="D113" s="44">
        <f t="shared" si="0"/>
        <v>1.9958197752601787</v>
      </c>
      <c r="E113" s="39">
        <v>3</v>
      </c>
      <c r="F113" s="39">
        <v>2</v>
      </c>
      <c r="G113" s="39">
        <v>0</v>
      </c>
      <c r="H113" s="44">
        <f t="shared" si="1"/>
        <v>60</v>
      </c>
      <c r="I113" s="44">
        <f t="shared" si="2"/>
        <v>40</v>
      </c>
      <c r="J113" s="44"/>
      <c r="K113" s="44"/>
      <c r="L113" s="8"/>
    </row>
    <row r="114" spans="1:13" x14ac:dyDescent="0.25">
      <c r="A114" s="44" t="s">
        <v>1478</v>
      </c>
      <c r="B114" s="20">
        <v>601831344523.31006</v>
      </c>
      <c r="C114" s="20">
        <v>635638453177.64001</v>
      </c>
      <c r="D114" s="44">
        <f t="shared" si="0"/>
        <v>5.6173725350093564</v>
      </c>
      <c r="E114" s="39">
        <v>27</v>
      </c>
      <c r="F114" s="39">
        <v>19</v>
      </c>
      <c r="G114" s="39">
        <v>0</v>
      </c>
      <c r="H114" s="44">
        <f t="shared" si="1"/>
        <v>58.695652173913047</v>
      </c>
      <c r="I114" s="44">
        <f t="shared" si="2"/>
        <v>41.304347826086953</v>
      </c>
      <c r="J114" s="44"/>
      <c r="K114" s="44"/>
      <c r="L114" s="8"/>
      <c r="M114" s="8"/>
    </row>
    <row r="115" spans="1:13" x14ac:dyDescent="0.25">
      <c r="A115" s="44" t="s">
        <v>1337</v>
      </c>
      <c r="B115" s="20">
        <v>1282908633630.0801</v>
      </c>
      <c r="C115" s="20">
        <v>1347426545994.7305</v>
      </c>
      <c r="D115" s="44">
        <f t="shared" si="0"/>
        <v>5.0290340772041127</v>
      </c>
      <c r="E115" s="39">
        <v>35</v>
      </c>
      <c r="F115" s="39">
        <v>23</v>
      </c>
      <c r="G115" s="39">
        <v>2</v>
      </c>
      <c r="H115" s="44">
        <f t="shared" si="1"/>
        <v>58.333333333333336</v>
      </c>
      <c r="I115" s="44">
        <f t="shared" si="2"/>
        <v>38.333333333333336</v>
      </c>
      <c r="J115" s="44"/>
      <c r="K115" s="44"/>
      <c r="L115" s="8"/>
    </row>
    <row r="116" spans="1:13" x14ac:dyDescent="0.25">
      <c r="A116" s="44" t="s">
        <v>1907</v>
      </c>
      <c r="B116" s="20">
        <v>915119370676.81995</v>
      </c>
      <c r="C116" s="20">
        <v>1003413496680.0299</v>
      </c>
      <c r="D116" s="44">
        <f t="shared" si="0"/>
        <v>9.6483725328541414</v>
      </c>
      <c r="E116" s="39">
        <v>8</v>
      </c>
      <c r="F116" s="39">
        <v>6</v>
      </c>
      <c r="G116" s="39">
        <v>0</v>
      </c>
      <c r="H116" s="44">
        <f t="shared" si="1"/>
        <v>57.142857142857139</v>
      </c>
      <c r="I116" s="44">
        <f t="shared" si="2"/>
        <v>42.857142857142854</v>
      </c>
      <c r="J116" s="44"/>
      <c r="K116" s="44"/>
      <c r="L116" s="8"/>
    </row>
    <row r="117" spans="1:13" x14ac:dyDescent="0.25">
      <c r="A117" s="44" t="s">
        <v>4111</v>
      </c>
      <c r="B117" s="20">
        <v>51715807882.970001</v>
      </c>
      <c r="C117" s="20">
        <v>55170540286.599998</v>
      </c>
      <c r="D117" s="44">
        <f t="shared" si="0"/>
        <v>6.6802251478848884</v>
      </c>
      <c r="E117" s="39">
        <v>4</v>
      </c>
      <c r="F117" s="39">
        <v>3</v>
      </c>
      <c r="G117" s="39">
        <v>0</v>
      </c>
      <c r="H117" s="44">
        <f t="shared" si="1"/>
        <v>57.142857142857139</v>
      </c>
      <c r="I117" s="44">
        <f t="shared" si="2"/>
        <v>42.857142857142854</v>
      </c>
      <c r="J117" s="44"/>
      <c r="K117" s="44"/>
      <c r="L117" s="8"/>
    </row>
    <row r="118" spans="1:13" x14ac:dyDescent="0.25">
      <c r="A118" s="44" t="s">
        <v>3183</v>
      </c>
      <c r="B118" s="20">
        <v>4157209681857.8496</v>
      </c>
      <c r="C118" s="20">
        <v>4411044456716.6992</v>
      </c>
      <c r="D118" s="44">
        <f t="shared" si="0"/>
        <v>6.1058929975697378</v>
      </c>
      <c r="E118" s="39">
        <v>4</v>
      </c>
      <c r="F118" s="39">
        <v>2</v>
      </c>
      <c r="G118" s="39">
        <v>1</v>
      </c>
      <c r="H118" s="44">
        <f t="shared" si="1"/>
        <v>57.142857142857139</v>
      </c>
      <c r="I118" s="44">
        <f t="shared" si="2"/>
        <v>28.571428571428569</v>
      </c>
      <c r="J118" s="44"/>
      <c r="K118" s="44"/>
      <c r="L118" s="8"/>
    </row>
    <row r="119" spans="1:13" x14ac:dyDescent="0.25">
      <c r="A119" s="44" t="s">
        <v>3402</v>
      </c>
      <c r="B119" s="20">
        <v>7934720503516.7598</v>
      </c>
      <c r="C119" s="20">
        <v>8254078727519.0508</v>
      </c>
      <c r="D119" s="44">
        <f t="shared" si="0"/>
        <v>4.0248200785490527</v>
      </c>
      <c r="E119" s="39">
        <v>4</v>
      </c>
      <c r="F119" s="39">
        <v>3</v>
      </c>
      <c r="G119" s="39">
        <v>0</v>
      </c>
      <c r="H119" s="44">
        <f t="shared" si="1"/>
        <v>57.142857142857139</v>
      </c>
      <c r="I119" s="44">
        <f t="shared" si="2"/>
        <v>42.857142857142854</v>
      </c>
      <c r="J119" s="44"/>
      <c r="K119" s="44"/>
      <c r="L119" s="8"/>
    </row>
    <row r="120" spans="1:13" x14ac:dyDescent="0.25">
      <c r="A120" s="44" t="s">
        <v>3744</v>
      </c>
      <c r="B120" s="20">
        <v>1579255879065.8699</v>
      </c>
      <c r="C120" s="20">
        <v>1589415909633.9097</v>
      </c>
      <c r="D120" s="44">
        <f t="shared" si="0"/>
        <v>0.64334289982504</v>
      </c>
      <c r="E120" s="39">
        <v>32</v>
      </c>
      <c r="F120" s="39">
        <v>23</v>
      </c>
      <c r="G120" s="39">
        <v>1</v>
      </c>
      <c r="H120" s="44">
        <f t="shared" si="1"/>
        <v>57.142857142857139</v>
      </c>
      <c r="I120" s="44">
        <f t="shared" si="2"/>
        <v>41.071428571428569</v>
      </c>
      <c r="J120" s="44"/>
      <c r="K120" s="44"/>
      <c r="L120" s="8"/>
    </row>
    <row r="121" spans="1:13" x14ac:dyDescent="0.25">
      <c r="A121" s="44" t="s">
        <v>1351</v>
      </c>
      <c r="B121" s="20">
        <v>215002273617.80002</v>
      </c>
      <c r="C121" s="20">
        <v>213345549216.20001</v>
      </c>
      <c r="D121" s="44">
        <f t="shared" si="0"/>
        <v>-0.7705613404559114</v>
      </c>
      <c r="E121" s="39">
        <v>4</v>
      </c>
      <c r="F121" s="39">
        <v>3</v>
      </c>
      <c r="G121" s="39">
        <v>0</v>
      </c>
      <c r="H121" s="44">
        <f t="shared" si="1"/>
        <v>57.142857142857139</v>
      </c>
      <c r="I121" s="44">
        <f t="shared" si="2"/>
        <v>42.857142857142854</v>
      </c>
      <c r="J121" s="70" t="s">
        <v>4390</v>
      </c>
      <c r="K121" s="67"/>
      <c r="L121" s="8"/>
    </row>
    <row r="122" spans="1:13" x14ac:dyDescent="0.25">
      <c r="A122" s="44" t="s">
        <v>3652</v>
      </c>
      <c r="B122" s="20">
        <v>167355601507.60001</v>
      </c>
      <c r="C122" s="20">
        <v>159126260784.44</v>
      </c>
      <c r="D122" s="44">
        <f t="shared" si="0"/>
        <v>-4.9172783277208021</v>
      </c>
      <c r="E122" s="39">
        <v>4</v>
      </c>
      <c r="F122" s="39">
        <v>3</v>
      </c>
      <c r="G122" s="39">
        <v>0</v>
      </c>
      <c r="H122" s="44">
        <f t="shared" si="1"/>
        <v>57.142857142857139</v>
      </c>
      <c r="I122" s="44">
        <f t="shared" si="2"/>
        <v>42.857142857142854</v>
      </c>
      <c r="J122" s="44"/>
      <c r="K122" s="44"/>
      <c r="L122" s="8"/>
    </row>
    <row r="123" spans="1:13" x14ac:dyDescent="0.25">
      <c r="A123" s="44" t="s">
        <v>3906</v>
      </c>
      <c r="B123" s="20">
        <v>594352124590.91003</v>
      </c>
      <c r="C123" s="20">
        <v>658619758206.58008</v>
      </c>
      <c r="D123" s="44">
        <f t="shared" si="0"/>
        <v>10.813056933195146</v>
      </c>
      <c r="E123" s="39">
        <v>25</v>
      </c>
      <c r="F123" s="39">
        <v>18</v>
      </c>
      <c r="G123" s="39">
        <v>1</v>
      </c>
      <c r="H123" s="44">
        <f t="shared" si="1"/>
        <v>56.81818181818182</v>
      </c>
      <c r="I123" s="44">
        <f t="shared" si="2"/>
        <v>40.909090909090914</v>
      </c>
      <c r="J123" s="44"/>
      <c r="K123" s="44"/>
      <c r="L123" s="8"/>
    </row>
    <row r="124" spans="1:13" x14ac:dyDescent="0.25">
      <c r="A124" s="44" t="s">
        <v>711</v>
      </c>
      <c r="B124" s="20">
        <v>448710367327.65991</v>
      </c>
      <c r="C124" s="20">
        <v>443351739052.92004</v>
      </c>
      <c r="D124" s="44">
        <f t="shared" si="0"/>
        <v>-1.1942287642368778</v>
      </c>
      <c r="E124" s="39">
        <v>13</v>
      </c>
      <c r="F124" s="39">
        <v>9</v>
      </c>
      <c r="G124" s="39">
        <v>1</v>
      </c>
      <c r="H124" s="44">
        <f t="shared" si="1"/>
        <v>56.521739130434781</v>
      </c>
      <c r="I124" s="44">
        <f t="shared" si="2"/>
        <v>39.130434782608695</v>
      </c>
      <c r="J124" s="44"/>
      <c r="K124" s="44"/>
      <c r="L124" s="8"/>
    </row>
    <row r="125" spans="1:13" x14ac:dyDescent="0.25">
      <c r="A125" s="44" t="s">
        <v>3110</v>
      </c>
      <c r="B125" s="20">
        <v>1485401937487.5803</v>
      </c>
      <c r="C125" s="20">
        <v>1549232254434.0898</v>
      </c>
      <c r="D125" s="44">
        <f t="shared" si="0"/>
        <v>4.2971747468212262</v>
      </c>
      <c r="E125" s="39">
        <v>22</v>
      </c>
      <c r="F125" s="39">
        <v>13</v>
      </c>
      <c r="G125" s="39">
        <v>4</v>
      </c>
      <c r="H125" s="44">
        <f t="shared" si="1"/>
        <v>56.410256410256409</v>
      </c>
      <c r="I125" s="44">
        <f t="shared" si="2"/>
        <v>33.333333333333329</v>
      </c>
      <c r="J125" s="44"/>
      <c r="K125" s="44"/>
      <c r="L125" s="8"/>
    </row>
    <row r="126" spans="1:13" x14ac:dyDescent="0.25">
      <c r="A126" s="44" t="s">
        <v>13</v>
      </c>
      <c r="B126" s="20">
        <v>10085594194565.563</v>
      </c>
      <c r="C126" s="20">
        <v>10393060023242.605</v>
      </c>
      <c r="D126" s="44">
        <f t="shared" si="0"/>
        <v>3.0485643457944729</v>
      </c>
      <c r="E126" s="39">
        <v>156</v>
      </c>
      <c r="F126" s="39">
        <v>90</v>
      </c>
      <c r="G126" s="39">
        <v>31</v>
      </c>
      <c r="H126" s="44">
        <f t="shared" si="1"/>
        <v>56.317689530685925</v>
      </c>
      <c r="I126" s="44">
        <f t="shared" si="2"/>
        <v>32.490974729241877</v>
      </c>
      <c r="J126" s="70" t="s">
        <v>4391</v>
      </c>
      <c r="K126" s="67"/>
      <c r="L126" s="8"/>
    </row>
    <row r="127" spans="1:13" x14ac:dyDescent="0.25">
      <c r="A127" s="44" t="s">
        <v>2444</v>
      </c>
      <c r="B127" s="20">
        <v>1387417242909.5398</v>
      </c>
      <c r="C127" s="20">
        <v>1462145970664.9802</v>
      </c>
      <c r="D127" s="44">
        <f t="shared" si="0"/>
        <v>5.38617550973545</v>
      </c>
      <c r="E127" s="39">
        <v>9</v>
      </c>
      <c r="F127" s="39">
        <v>7</v>
      </c>
      <c r="G127" s="39">
        <v>0</v>
      </c>
      <c r="H127" s="44">
        <f t="shared" si="1"/>
        <v>56.25</v>
      </c>
      <c r="I127" s="44">
        <f t="shared" si="2"/>
        <v>43.75</v>
      </c>
      <c r="J127" s="44"/>
      <c r="K127" s="44"/>
      <c r="L127" s="8"/>
    </row>
    <row r="128" spans="1:13" x14ac:dyDescent="0.25">
      <c r="A128" s="44" t="s">
        <v>1453</v>
      </c>
      <c r="B128" s="20">
        <v>443085852932.45996</v>
      </c>
      <c r="C128" s="20">
        <v>457129856730.68005</v>
      </c>
      <c r="D128" s="44">
        <f t="shared" si="0"/>
        <v>3.1695897545076521</v>
      </c>
      <c r="E128" s="39">
        <v>5</v>
      </c>
      <c r="F128" s="39">
        <v>4</v>
      </c>
      <c r="G128" s="39">
        <v>0</v>
      </c>
      <c r="H128" s="44">
        <f t="shared" si="1"/>
        <v>55.555555555555557</v>
      </c>
      <c r="I128" s="44">
        <f t="shared" si="2"/>
        <v>44.444444444444443</v>
      </c>
      <c r="J128" s="44"/>
      <c r="K128" s="44"/>
      <c r="L128" s="8"/>
    </row>
    <row r="129" spans="1:12" x14ac:dyDescent="0.25">
      <c r="A129" s="44" t="s">
        <v>3847</v>
      </c>
      <c r="B129" s="20">
        <v>1301808223739.7</v>
      </c>
      <c r="C129" s="20">
        <v>1339043595437.5999</v>
      </c>
      <c r="D129" s="44">
        <f t="shared" si="0"/>
        <v>2.8602808784641089</v>
      </c>
      <c r="E129" s="39">
        <v>5</v>
      </c>
      <c r="F129" s="39">
        <v>4</v>
      </c>
      <c r="G129" s="39">
        <v>0</v>
      </c>
      <c r="H129" s="44">
        <f t="shared" si="1"/>
        <v>55.555555555555557</v>
      </c>
      <c r="I129" s="44">
        <f t="shared" si="2"/>
        <v>44.444444444444443</v>
      </c>
      <c r="J129" s="44"/>
      <c r="K129" s="44"/>
      <c r="L129" s="8"/>
    </row>
    <row r="130" spans="1:12" x14ac:dyDescent="0.25">
      <c r="A130" s="44" t="s">
        <v>2297</v>
      </c>
      <c r="B130" s="20">
        <v>1846375719582.7898</v>
      </c>
      <c r="C130" s="20">
        <v>1835803261289.0698</v>
      </c>
      <c r="D130" s="44">
        <f t="shared" si="0"/>
        <v>-0.57260600762822755</v>
      </c>
      <c r="E130" s="39">
        <v>62</v>
      </c>
      <c r="F130" s="39">
        <v>40</v>
      </c>
      <c r="G130" s="39">
        <v>11</v>
      </c>
      <c r="H130" s="44">
        <f t="shared" si="1"/>
        <v>54.86725663716814</v>
      </c>
      <c r="I130" s="44">
        <f t="shared" si="2"/>
        <v>35.398230088495573</v>
      </c>
      <c r="J130" s="44"/>
      <c r="K130" s="44"/>
      <c r="L130" s="8"/>
    </row>
    <row r="131" spans="1:12" x14ac:dyDescent="0.25">
      <c r="A131" s="44" t="s">
        <v>3232</v>
      </c>
      <c r="B131" s="20">
        <v>1023191412798.5699</v>
      </c>
      <c r="C131" s="20">
        <v>1117098319703.4597</v>
      </c>
      <c r="D131" s="44">
        <f t="shared" si="0"/>
        <v>9.1778435325254932</v>
      </c>
      <c r="E131" s="39">
        <v>18</v>
      </c>
      <c r="F131" s="39">
        <v>14</v>
      </c>
      <c r="G131" s="39">
        <v>1</v>
      </c>
      <c r="H131" s="44">
        <f t="shared" si="1"/>
        <v>54.54545454545454</v>
      </c>
      <c r="I131" s="44">
        <f t="shared" si="2"/>
        <v>42.424242424242422</v>
      </c>
      <c r="J131" s="44"/>
      <c r="K131" s="44"/>
      <c r="L131" s="8"/>
    </row>
    <row r="132" spans="1:12" x14ac:dyDescent="0.25">
      <c r="A132" s="44" t="s">
        <v>110</v>
      </c>
      <c r="B132" s="20">
        <v>510890106000.28998</v>
      </c>
      <c r="C132" s="20">
        <v>503553669306.55005</v>
      </c>
      <c r="D132" s="44">
        <f t="shared" si="0"/>
        <v>-1.4360107208135608</v>
      </c>
      <c r="E132" s="39">
        <v>12</v>
      </c>
      <c r="F132" s="39">
        <v>9</v>
      </c>
      <c r="G132" s="39">
        <v>1</v>
      </c>
      <c r="H132" s="44">
        <f t="shared" si="1"/>
        <v>54.54545454545454</v>
      </c>
      <c r="I132" s="44">
        <f t="shared" si="2"/>
        <v>40.909090909090914</v>
      </c>
      <c r="J132" s="44"/>
      <c r="K132" s="44"/>
      <c r="L132" s="8"/>
    </row>
    <row r="133" spans="1:12" x14ac:dyDescent="0.25">
      <c r="A133" s="44" t="s">
        <v>2905</v>
      </c>
      <c r="B133" s="20">
        <v>83318467808.419998</v>
      </c>
      <c r="C133" s="20">
        <v>80971012754.139999</v>
      </c>
      <c r="D133" s="44">
        <f t="shared" si="0"/>
        <v>-2.817448659374854</v>
      </c>
      <c r="E133" s="39">
        <v>6</v>
      </c>
      <c r="F133" s="39">
        <v>5</v>
      </c>
      <c r="G133" s="39">
        <v>0</v>
      </c>
      <c r="H133" s="44">
        <f t="shared" si="1"/>
        <v>54.54545454545454</v>
      </c>
      <c r="I133" s="44">
        <f t="shared" si="2"/>
        <v>45.454545454545453</v>
      </c>
      <c r="J133" s="44"/>
      <c r="K133" s="44"/>
      <c r="L133" s="8"/>
    </row>
    <row r="134" spans="1:12" x14ac:dyDescent="0.25">
      <c r="A134" s="44" t="s">
        <v>1793</v>
      </c>
      <c r="B134" s="20">
        <v>1267468086979.0098</v>
      </c>
      <c r="C134" s="20">
        <v>1280455474032.6501</v>
      </c>
      <c r="D134" s="44">
        <f t="shared" si="0"/>
        <v>1.0246717205003255</v>
      </c>
      <c r="E134" s="39">
        <v>121</v>
      </c>
      <c r="F134" s="39">
        <v>93</v>
      </c>
      <c r="G134" s="39">
        <v>13</v>
      </c>
      <c r="H134" s="44">
        <f t="shared" si="1"/>
        <v>53.303964757709252</v>
      </c>
      <c r="I134" s="44">
        <f t="shared" si="2"/>
        <v>40.969162995594715</v>
      </c>
      <c r="J134" s="44"/>
      <c r="K134" s="44"/>
      <c r="L134" s="8"/>
    </row>
    <row r="135" spans="1:12" x14ac:dyDescent="0.25">
      <c r="A135" s="44" t="s">
        <v>2755</v>
      </c>
      <c r="B135" s="20">
        <v>4144110245468.48</v>
      </c>
      <c r="C135" s="20">
        <v>4451884656820.2402</v>
      </c>
      <c r="D135" s="44">
        <f t="shared" si="0"/>
        <v>7.4267911112718767</v>
      </c>
      <c r="E135" s="39">
        <v>22</v>
      </c>
      <c r="F135" s="39">
        <v>20</v>
      </c>
      <c r="G135" s="39">
        <v>0</v>
      </c>
      <c r="H135" s="44">
        <f t="shared" si="1"/>
        <v>52.380952380952387</v>
      </c>
      <c r="I135" s="44">
        <f t="shared" si="2"/>
        <v>47.619047619047613</v>
      </c>
      <c r="J135" s="44"/>
      <c r="K135" s="44"/>
      <c r="L135" s="8"/>
    </row>
    <row r="136" spans="1:12" x14ac:dyDescent="0.25">
      <c r="A136" s="44" t="s">
        <v>2929</v>
      </c>
      <c r="B136" s="20">
        <v>438034465089.84003</v>
      </c>
      <c r="C136" s="20">
        <v>454880915860.79004</v>
      </c>
      <c r="D136" s="44">
        <f t="shared" si="0"/>
        <v>3.8459190117596882</v>
      </c>
      <c r="E136" s="39">
        <v>33</v>
      </c>
      <c r="F136" s="39">
        <v>30</v>
      </c>
      <c r="G136" s="39">
        <v>0</v>
      </c>
      <c r="H136" s="44">
        <f t="shared" si="1"/>
        <v>52.380952380952387</v>
      </c>
      <c r="I136" s="44">
        <f t="shared" si="2"/>
        <v>47.619047619047613</v>
      </c>
      <c r="J136" s="44"/>
      <c r="K136" s="44"/>
      <c r="L136" s="8"/>
    </row>
    <row r="137" spans="1:12" x14ac:dyDescent="0.25">
      <c r="A137" s="44" t="s">
        <v>206</v>
      </c>
      <c r="B137" s="20">
        <v>1214871281473.2102</v>
      </c>
      <c r="C137" s="20">
        <v>1223419925443.0701</v>
      </c>
      <c r="D137" s="44">
        <f t="shared" si="0"/>
        <v>0.70366664355530528</v>
      </c>
      <c r="E137" s="39">
        <v>18</v>
      </c>
      <c r="F137" s="39">
        <v>17</v>
      </c>
      <c r="G137" s="39">
        <v>0</v>
      </c>
      <c r="H137" s="44">
        <f t="shared" si="1"/>
        <v>51.428571428571423</v>
      </c>
      <c r="I137" s="44">
        <f t="shared" si="2"/>
        <v>48.571428571428569</v>
      </c>
      <c r="J137" s="70" t="s">
        <v>4392</v>
      </c>
      <c r="K137" s="67"/>
      <c r="L137" s="8"/>
    </row>
    <row r="138" spans="1:12" x14ac:dyDescent="0.25">
      <c r="A138" s="44" t="s">
        <v>1171</v>
      </c>
      <c r="B138" s="20">
        <v>834606781961.27014</v>
      </c>
      <c r="C138" s="20">
        <v>893236445988.94971</v>
      </c>
      <c r="D138" s="44">
        <f t="shared" si="0"/>
        <v>7.0248247791497427</v>
      </c>
      <c r="E138" s="39">
        <v>64</v>
      </c>
      <c r="F138" s="39">
        <v>36</v>
      </c>
      <c r="G138" s="39">
        <v>25</v>
      </c>
      <c r="H138" s="44">
        <f t="shared" si="1"/>
        <v>51.2</v>
      </c>
      <c r="I138" s="44">
        <f t="shared" si="2"/>
        <v>28.799999999999997</v>
      </c>
      <c r="J138" s="44"/>
      <c r="K138" s="44"/>
      <c r="L138" s="8"/>
    </row>
    <row r="139" spans="1:12" x14ac:dyDescent="0.25">
      <c r="A139" s="44" t="s">
        <v>1999</v>
      </c>
      <c r="B139" s="20">
        <v>1200428517040.23</v>
      </c>
      <c r="C139" s="20">
        <v>1250092066069.0801</v>
      </c>
      <c r="D139" s="44">
        <f t="shared" si="0"/>
        <v>4.1371517190628122</v>
      </c>
      <c r="E139" s="39">
        <v>29</v>
      </c>
      <c r="F139" s="39">
        <v>23</v>
      </c>
      <c r="G139" s="39">
        <v>5</v>
      </c>
      <c r="H139" s="44">
        <f t="shared" si="1"/>
        <v>50.877192982456144</v>
      </c>
      <c r="I139" s="44">
        <f t="shared" si="2"/>
        <v>40.350877192982452</v>
      </c>
      <c r="J139" s="44"/>
      <c r="K139" s="44"/>
      <c r="L139" s="8"/>
    </row>
    <row r="140" spans="1:12" x14ac:dyDescent="0.25">
      <c r="A140" s="44" t="s">
        <v>2951</v>
      </c>
      <c r="B140" s="20">
        <v>358716779283.37982</v>
      </c>
      <c r="C140" s="20">
        <v>404746520387.82001</v>
      </c>
      <c r="D140" s="44">
        <f t="shared" si="0"/>
        <v>12.831778094237825</v>
      </c>
      <c r="E140" s="39">
        <v>106</v>
      </c>
      <c r="F140" s="39">
        <v>67</v>
      </c>
      <c r="G140" s="39">
        <v>36</v>
      </c>
      <c r="H140" s="44">
        <f t="shared" si="1"/>
        <v>50.717703349282296</v>
      </c>
      <c r="I140" s="44">
        <f t="shared" si="2"/>
        <v>32.057416267942585</v>
      </c>
      <c r="J140" s="44"/>
      <c r="K140" s="44"/>
      <c r="L140" s="8"/>
    </row>
    <row r="141" spans="1:12" x14ac:dyDescent="0.25">
      <c r="A141" s="44" t="s">
        <v>1584</v>
      </c>
      <c r="B141" s="20">
        <v>560314444469.5</v>
      </c>
      <c r="C141" s="20">
        <v>639009997979.40002</v>
      </c>
      <c r="D141" s="44">
        <f t="shared" si="0"/>
        <v>14.044891094037059</v>
      </c>
      <c r="E141" s="39">
        <v>2</v>
      </c>
      <c r="F141" s="39">
        <v>2</v>
      </c>
      <c r="G141" s="39">
        <v>0</v>
      </c>
      <c r="H141" s="44">
        <f t="shared" si="1"/>
        <v>50</v>
      </c>
      <c r="I141" s="44">
        <f t="shared" si="2"/>
        <v>50</v>
      </c>
      <c r="J141" s="44"/>
      <c r="K141" s="44"/>
      <c r="L141" s="8"/>
    </row>
    <row r="142" spans="1:12" x14ac:dyDescent="0.25">
      <c r="A142" s="44" t="s">
        <v>1333</v>
      </c>
      <c r="B142" s="20">
        <v>164550600147.76001</v>
      </c>
      <c r="C142" s="20">
        <v>177495814919.33002</v>
      </c>
      <c r="D142" s="44">
        <f t="shared" si="0"/>
        <v>7.8670115818147801</v>
      </c>
      <c r="E142" s="39">
        <v>2</v>
      </c>
      <c r="F142" s="39">
        <v>2</v>
      </c>
      <c r="G142" s="39">
        <v>0</v>
      </c>
      <c r="H142" s="44">
        <f t="shared" si="1"/>
        <v>50</v>
      </c>
      <c r="I142" s="44">
        <f t="shared" si="2"/>
        <v>50</v>
      </c>
      <c r="J142" s="44"/>
      <c r="K142" s="44"/>
      <c r="L142" s="8"/>
    </row>
    <row r="143" spans="1:12" x14ac:dyDescent="0.25">
      <c r="A143" s="44" t="s">
        <v>2867</v>
      </c>
      <c r="B143" s="20">
        <v>5315890613.4299994</v>
      </c>
      <c r="C143" s="20">
        <v>5694051487.8999996</v>
      </c>
      <c r="D143" s="44">
        <f t="shared" si="0"/>
        <v>7.1137820916521379</v>
      </c>
      <c r="E143" s="39">
        <v>3</v>
      </c>
      <c r="F143" s="39">
        <v>2</v>
      </c>
      <c r="G143" s="39">
        <v>1</v>
      </c>
      <c r="H143" s="44">
        <f t="shared" si="1"/>
        <v>50</v>
      </c>
      <c r="I143" s="44">
        <f t="shared" si="2"/>
        <v>33.333333333333329</v>
      </c>
      <c r="J143" s="44"/>
      <c r="K143" s="44"/>
      <c r="L143" s="8"/>
    </row>
    <row r="144" spans="1:12" x14ac:dyDescent="0.25">
      <c r="A144" s="44" t="s">
        <v>166</v>
      </c>
      <c r="B144" s="20">
        <v>596604098836.69995</v>
      </c>
      <c r="C144" s="20">
        <v>634144973095.40002</v>
      </c>
      <c r="D144" s="44">
        <f t="shared" si="0"/>
        <v>6.2924264737536788</v>
      </c>
      <c r="E144" s="39">
        <v>2</v>
      </c>
      <c r="F144" s="39">
        <v>2</v>
      </c>
      <c r="G144" s="39">
        <v>0</v>
      </c>
      <c r="H144" s="44">
        <f t="shared" si="1"/>
        <v>50</v>
      </c>
      <c r="I144" s="44">
        <f t="shared" si="2"/>
        <v>50</v>
      </c>
      <c r="J144" s="44"/>
      <c r="K144" s="44"/>
      <c r="L144" s="8"/>
    </row>
    <row r="145" spans="1:12" x14ac:dyDescent="0.25">
      <c r="A145" s="44" t="s">
        <v>4068</v>
      </c>
      <c r="B145" s="20">
        <v>51387861937.400002</v>
      </c>
      <c r="C145" s="20">
        <v>53261490297.599998</v>
      </c>
      <c r="D145" s="44">
        <f t="shared" si="0"/>
        <v>3.6460523741626489</v>
      </c>
      <c r="E145" s="39">
        <v>1</v>
      </c>
      <c r="F145" s="39">
        <v>1</v>
      </c>
      <c r="G145" s="39">
        <v>0</v>
      </c>
      <c r="H145" s="44">
        <f t="shared" si="1"/>
        <v>50</v>
      </c>
      <c r="I145" s="44">
        <f t="shared" si="2"/>
        <v>50</v>
      </c>
      <c r="J145" s="44"/>
      <c r="K145" s="44"/>
      <c r="L145" s="8"/>
    </row>
    <row r="146" spans="1:12" x14ac:dyDescent="0.25">
      <c r="A146" s="44" t="s">
        <v>3140</v>
      </c>
      <c r="B146" s="20">
        <v>2654427354764.8188</v>
      </c>
      <c r="C146" s="20">
        <v>2723040694617.27</v>
      </c>
      <c r="D146" s="44">
        <f t="shared" si="0"/>
        <v>2.584864103712881</v>
      </c>
      <c r="E146" s="39">
        <v>6</v>
      </c>
      <c r="F146" s="39">
        <v>6</v>
      </c>
      <c r="G146" s="39">
        <v>0</v>
      </c>
      <c r="H146" s="44">
        <f t="shared" si="1"/>
        <v>50</v>
      </c>
      <c r="I146" s="44">
        <f t="shared" si="2"/>
        <v>50</v>
      </c>
      <c r="J146" s="44"/>
      <c r="K146" s="44"/>
      <c r="L146" s="8"/>
    </row>
    <row r="147" spans="1:12" x14ac:dyDescent="0.25">
      <c r="A147" s="44" t="s">
        <v>668</v>
      </c>
      <c r="B147" s="20">
        <v>57998387625.649994</v>
      </c>
      <c r="C147" s="20">
        <v>58714530689.350006</v>
      </c>
      <c r="D147" s="44">
        <f t="shared" si="0"/>
        <v>1.2347637460585119</v>
      </c>
      <c r="E147" s="39">
        <v>1</v>
      </c>
      <c r="F147" s="39">
        <v>1</v>
      </c>
      <c r="G147" s="39">
        <v>0</v>
      </c>
      <c r="H147" s="44">
        <f t="shared" si="1"/>
        <v>50</v>
      </c>
      <c r="I147" s="44">
        <f t="shared" si="2"/>
        <v>50</v>
      </c>
      <c r="J147" s="44"/>
      <c r="K147" s="44"/>
      <c r="L147" s="8"/>
    </row>
    <row r="148" spans="1:12" x14ac:dyDescent="0.25">
      <c r="A148" s="44" t="s">
        <v>959</v>
      </c>
      <c r="B148" s="20">
        <v>279855581806.89996</v>
      </c>
      <c r="C148" s="20">
        <v>281495486760.45001</v>
      </c>
      <c r="D148" s="44">
        <f t="shared" si="0"/>
        <v>0.58598257821478128</v>
      </c>
      <c r="E148" s="39">
        <v>5</v>
      </c>
      <c r="F148" s="39">
        <v>4</v>
      </c>
      <c r="G148" s="39">
        <v>1</v>
      </c>
      <c r="H148" s="44">
        <f t="shared" si="1"/>
        <v>50</v>
      </c>
      <c r="I148" s="44">
        <f t="shared" si="2"/>
        <v>40</v>
      </c>
      <c r="J148" s="44"/>
      <c r="K148" s="44"/>
      <c r="L148" s="8"/>
    </row>
    <row r="149" spans="1:12" x14ac:dyDescent="0.25">
      <c r="A149" s="44" t="s">
        <v>4245</v>
      </c>
      <c r="B149" s="20">
        <v>1370601000</v>
      </c>
      <c r="C149" s="20">
        <v>1373526600</v>
      </c>
      <c r="D149" s="44">
        <f t="shared" si="0"/>
        <v>0.21345380603107686</v>
      </c>
      <c r="E149" s="44">
        <v>1</v>
      </c>
      <c r="F149" s="44">
        <v>1</v>
      </c>
      <c r="G149" s="44">
        <v>0</v>
      </c>
      <c r="H149" s="44">
        <f t="shared" si="1"/>
        <v>50</v>
      </c>
      <c r="I149" s="44">
        <f t="shared" si="2"/>
        <v>50</v>
      </c>
      <c r="J149" s="44"/>
      <c r="K149" s="44"/>
      <c r="L149" s="8"/>
    </row>
    <row r="150" spans="1:12" x14ac:dyDescent="0.25">
      <c r="A150" s="44" t="s">
        <v>4235</v>
      </c>
      <c r="B150" s="20">
        <v>553472070</v>
      </c>
      <c r="C150" s="20">
        <v>554619300</v>
      </c>
      <c r="D150" s="44">
        <f t="shared" si="0"/>
        <v>0.20727875211480862</v>
      </c>
      <c r="E150" s="44">
        <v>1</v>
      </c>
      <c r="F150" s="44">
        <v>1</v>
      </c>
      <c r="G150" s="44">
        <v>0</v>
      </c>
      <c r="H150" s="44">
        <f t="shared" si="1"/>
        <v>50</v>
      </c>
      <c r="I150" s="44">
        <f t="shared" si="2"/>
        <v>50</v>
      </c>
      <c r="J150" s="44"/>
      <c r="K150" s="44"/>
      <c r="L150" s="8"/>
    </row>
    <row r="151" spans="1:12" x14ac:dyDescent="0.25">
      <c r="A151" s="44" t="s">
        <v>767</v>
      </c>
      <c r="B151" s="20">
        <v>948290721288.77991</v>
      </c>
      <c r="C151" s="20">
        <v>950076251067.28003</v>
      </c>
      <c r="D151" s="44">
        <f t="shared" si="0"/>
        <v>0.18828928074646642</v>
      </c>
      <c r="E151" s="39">
        <v>2</v>
      </c>
      <c r="F151" s="39">
        <v>1</v>
      </c>
      <c r="G151" s="39">
        <v>1</v>
      </c>
      <c r="H151" s="44">
        <f t="shared" si="1"/>
        <v>50</v>
      </c>
      <c r="I151" s="44">
        <f t="shared" si="2"/>
        <v>25</v>
      </c>
      <c r="J151" s="44"/>
      <c r="K151" s="44"/>
      <c r="L151" s="8"/>
    </row>
    <row r="152" spans="1:12" x14ac:dyDescent="0.25">
      <c r="A152" s="44" t="s">
        <v>3900</v>
      </c>
      <c r="B152" s="20">
        <v>272796709491.03</v>
      </c>
      <c r="C152" s="20">
        <v>272081950178.45996</v>
      </c>
      <c r="D152" s="44">
        <f t="shared" si="0"/>
        <v>-0.262011706044255</v>
      </c>
      <c r="E152" s="39">
        <v>2</v>
      </c>
      <c r="F152" s="39">
        <v>2</v>
      </c>
      <c r="G152" s="39">
        <v>0</v>
      </c>
      <c r="H152" s="44">
        <f t="shared" si="1"/>
        <v>50</v>
      </c>
      <c r="I152" s="44">
        <f t="shared" si="2"/>
        <v>50</v>
      </c>
      <c r="J152" s="44"/>
      <c r="K152" s="44"/>
      <c r="L152" s="8"/>
    </row>
    <row r="153" spans="1:12" x14ac:dyDescent="0.25">
      <c r="A153" s="44" t="s">
        <v>3369</v>
      </c>
      <c r="B153" s="20">
        <v>58363253314.330002</v>
      </c>
      <c r="C153" s="20">
        <v>57889673291.330002</v>
      </c>
      <c r="D153" s="44">
        <f t="shared" si="0"/>
        <v>-0.81143527152164641</v>
      </c>
      <c r="E153" s="39">
        <v>10</v>
      </c>
      <c r="F153" s="39">
        <v>8</v>
      </c>
      <c r="G153" s="39">
        <v>2</v>
      </c>
      <c r="H153" s="44">
        <f t="shared" si="1"/>
        <v>50</v>
      </c>
      <c r="I153" s="44">
        <f t="shared" si="2"/>
        <v>40</v>
      </c>
      <c r="J153" s="44"/>
      <c r="K153" s="44"/>
      <c r="L153" s="8"/>
    </row>
    <row r="154" spans="1:12" x14ac:dyDescent="0.25">
      <c r="A154" s="44" t="s">
        <v>2778</v>
      </c>
      <c r="B154" s="20">
        <v>4874027633.8899994</v>
      </c>
      <c r="C154" s="20">
        <v>4801241771.5299997</v>
      </c>
      <c r="D154" s="44">
        <f t="shared" si="0"/>
        <v>-1.4933411918698682</v>
      </c>
      <c r="E154" s="39">
        <v>1</v>
      </c>
      <c r="F154" s="39">
        <v>1</v>
      </c>
      <c r="G154" s="39">
        <v>0</v>
      </c>
      <c r="H154" s="44">
        <f t="shared" si="1"/>
        <v>50</v>
      </c>
      <c r="I154" s="44">
        <f t="shared" si="2"/>
        <v>50</v>
      </c>
      <c r="J154" s="44"/>
      <c r="K154" s="44"/>
      <c r="L154" s="8"/>
    </row>
    <row r="155" spans="1:12" x14ac:dyDescent="0.25">
      <c r="A155" s="44" t="s">
        <v>3707</v>
      </c>
      <c r="B155" s="20">
        <v>235110119519.79999</v>
      </c>
      <c r="C155" s="20">
        <v>223861551768.35999</v>
      </c>
      <c r="D155" s="44">
        <f t="shared" si="0"/>
        <v>-4.7843826435096073</v>
      </c>
      <c r="E155" s="39">
        <v>5</v>
      </c>
      <c r="F155" s="39">
        <v>5</v>
      </c>
      <c r="G155" s="39">
        <v>0</v>
      </c>
      <c r="H155" s="44">
        <f t="shared" si="1"/>
        <v>50</v>
      </c>
      <c r="I155" s="44">
        <f t="shared" si="2"/>
        <v>50</v>
      </c>
      <c r="J155" s="44"/>
      <c r="K155" s="44"/>
      <c r="L155" s="8"/>
    </row>
    <row r="156" spans="1:12" x14ac:dyDescent="0.25">
      <c r="A156" s="44" t="s">
        <v>3663</v>
      </c>
      <c r="B156" s="20">
        <v>94417203580.999985</v>
      </c>
      <c r="C156" s="20">
        <v>89505525230.299988</v>
      </c>
      <c r="D156" s="44">
        <f t="shared" si="0"/>
        <v>-5.2021010625317832</v>
      </c>
      <c r="E156" s="39">
        <v>1</v>
      </c>
      <c r="F156" s="39">
        <v>1</v>
      </c>
      <c r="G156" s="39">
        <v>0</v>
      </c>
      <c r="H156" s="44">
        <f t="shared" si="1"/>
        <v>50</v>
      </c>
      <c r="I156" s="44">
        <f t="shared" si="2"/>
        <v>50</v>
      </c>
      <c r="J156" s="44"/>
      <c r="K156" s="44"/>
      <c r="L156" s="8"/>
    </row>
    <row r="157" spans="1:12" x14ac:dyDescent="0.25">
      <c r="A157" s="44" t="s">
        <v>3501</v>
      </c>
      <c r="B157" s="20">
        <v>46405181711.099998</v>
      </c>
      <c r="C157" s="20">
        <v>42525535916.099998</v>
      </c>
      <c r="D157" s="44">
        <f t="shared" si="0"/>
        <v>-8.3603719497385338</v>
      </c>
      <c r="E157" s="39">
        <v>2</v>
      </c>
      <c r="F157" s="39">
        <v>2</v>
      </c>
      <c r="G157" s="39">
        <v>0</v>
      </c>
      <c r="H157" s="44">
        <f t="shared" si="1"/>
        <v>50</v>
      </c>
      <c r="I157" s="44">
        <f t="shared" si="2"/>
        <v>50</v>
      </c>
      <c r="J157" s="44"/>
      <c r="K157" s="44"/>
      <c r="L157" s="8"/>
    </row>
    <row r="158" spans="1:12" x14ac:dyDescent="0.25">
      <c r="A158" s="44" t="s">
        <v>2825</v>
      </c>
      <c r="B158" s="20">
        <v>2966019561.9000001</v>
      </c>
      <c r="C158" s="20">
        <v>2612206819.5</v>
      </c>
      <c r="D158" s="44">
        <f t="shared" si="0"/>
        <v>-11.928874203828631</v>
      </c>
      <c r="E158" s="39">
        <v>1</v>
      </c>
      <c r="F158" s="39">
        <v>1</v>
      </c>
      <c r="G158" s="39">
        <v>0</v>
      </c>
      <c r="H158" s="44">
        <f t="shared" si="1"/>
        <v>50</v>
      </c>
      <c r="I158" s="44">
        <f t="shared" si="2"/>
        <v>50</v>
      </c>
      <c r="J158" s="44"/>
      <c r="K158" s="44"/>
      <c r="L158" s="8"/>
    </row>
    <row r="159" spans="1:12" x14ac:dyDescent="0.25">
      <c r="A159" s="44" t="s">
        <v>1807</v>
      </c>
      <c r="B159" s="20">
        <v>1875069647075.9897</v>
      </c>
      <c r="C159" s="20">
        <v>1921319758240.9399</v>
      </c>
      <c r="D159" s="44">
        <f t="shared" si="0"/>
        <v>2.4665809740493252</v>
      </c>
      <c r="E159" s="39">
        <v>9</v>
      </c>
      <c r="F159" s="39">
        <v>10</v>
      </c>
      <c r="G159" s="39">
        <v>0</v>
      </c>
      <c r="H159" s="44">
        <f t="shared" si="1"/>
        <v>47.368421052631575</v>
      </c>
      <c r="I159" s="44">
        <f t="shared" si="2"/>
        <v>52.631578947368418</v>
      </c>
      <c r="J159" s="44"/>
      <c r="K159" s="44"/>
      <c r="L159" s="8"/>
    </row>
    <row r="160" spans="1:12" x14ac:dyDescent="0.25">
      <c r="A160" s="44" t="s">
        <v>4094</v>
      </c>
      <c r="B160" s="20">
        <v>50783076493.679993</v>
      </c>
      <c r="C160" s="20">
        <v>49233079895.449997</v>
      </c>
      <c r="D160" s="44">
        <f t="shared" si="0"/>
        <v>-3.0521912126038568</v>
      </c>
      <c r="E160" s="39">
        <v>9</v>
      </c>
      <c r="F160" s="39">
        <v>10</v>
      </c>
      <c r="G160" s="39">
        <v>1</v>
      </c>
      <c r="H160" s="44">
        <f t="shared" si="1"/>
        <v>45</v>
      </c>
      <c r="I160" s="44">
        <f t="shared" si="2"/>
        <v>50</v>
      </c>
      <c r="J160" s="44"/>
      <c r="K160" s="44"/>
      <c r="L160" s="8"/>
    </row>
    <row r="161" spans="1:12" x14ac:dyDescent="0.25">
      <c r="A161" s="44" t="s">
        <v>3361</v>
      </c>
      <c r="B161" s="20">
        <v>189075855361.25</v>
      </c>
      <c r="C161" s="20">
        <v>183189231823.14999</v>
      </c>
      <c r="D161" s="44">
        <f t="shared" si="0"/>
        <v>-3.113366075669985</v>
      </c>
      <c r="E161" s="39">
        <v>4</v>
      </c>
      <c r="F161" s="39">
        <v>4</v>
      </c>
      <c r="G161" s="39">
        <v>1</v>
      </c>
      <c r="H161" s="44">
        <f t="shared" si="1"/>
        <v>44.444444444444443</v>
      </c>
      <c r="I161" s="44">
        <f t="shared" si="2"/>
        <v>44.444444444444443</v>
      </c>
      <c r="J161" s="44"/>
      <c r="K161" s="44"/>
      <c r="L161" s="8"/>
    </row>
    <row r="162" spans="1:12" x14ac:dyDescent="0.25">
      <c r="A162" s="44" t="s">
        <v>67</v>
      </c>
      <c r="B162" s="20">
        <v>904375148686.45007</v>
      </c>
      <c r="C162" s="20">
        <v>881453937735.6499</v>
      </c>
      <c r="D162" s="44">
        <f t="shared" si="0"/>
        <v>-2.5344804071730449</v>
      </c>
      <c r="E162" s="39">
        <v>3</v>
      </c>
      <c r="F162" s="39">
        <v>4</v>
      </c>
      <c r="G162" s="39">
        <v>0</v>
      </c>
      <c r="H162" s="44">
        <f t="shared" si="1"/>
        <v>42.857142857142854</v>
      </c>
      <c r="I162" s="44">
        <f t="shared" si="2"/>
        <v>57.142857142857139</v>
      </c>
      <c r="J162" s="44"/>
      <c r="K162" s="44"/>
      <c r="L162" s="8"/>
    </row>
    <row r="163" spans="1:12" x14ac:dyDescent="0.25">
      <c r="A163" s="44" t="s">
        <v>295</v>
      </c>
      <c r="B163" s="20">
        <v>106110282613.25</v>
      </c>
      <c r="C163" s="20">
        <v>98818119035.150009</v>
      </c>
      <c r="D163" s="44">
        <f t="shared" si="0"/>
        <v>-6.8722496995681528</v>
      </c>
      <c r="E163" s="39">
        <v>3</v>
      </c>
      <c r="F163" s="39">
        <v>4</v>
      </c>
      <c r="G163" s="39">
        <v>0</v>
      </c>
      <c r="H163" s="44">
        <f t="shared" si="1"/>
        <v>42.857142857142854</v>
      </c>
      <c r="I163" s="44">
        <f t="shared" si="2"/>
        <v>57.142857142857139</v>
      </c>
      <c r="J163" s="44"/>
      <c r="K163" s="44"/>
      <c r="L163" s="8"/>
    </row>
    <row r="164" spans="1:12" x14ac:dyDescent="0.25">
      <c r="A164" s="44" t="s">
        <v>2671</v>
      </c>
      <c r="B164" s="20">
        <v>449250219744.13989</v>
      </c>
      <c r="C164" s="20">
        <v>489439863466.33002</v>
      </c>
      <c r="D164" s="44">
        <f t="shared" si="0"/>
        <v>8.9459374655574369</v>
      </c>
      <c r="E164" s="39">
        <v>5</v>
      </c>
      <c r="F164" s="39">
        <v>6</v>
      </c>
      <c r="G164" s="39">
        <v>1</v>
      </c>
      <c r="H164" s="44">
        <f t="shared" si="1"/>
        <v>41.666666666666671</v>
      </c>
      <c r="I164" s="44">
        <f t="shared" si="2"/>
        <v>50</v>
      </c>
      <c r="J164" s="44"/>
      <c r="K164" s="44"/>
      <c r="L164" s="8"/>
    </row>
    <row r="165" spans="1:12" x14ac:dyDescent="0.25">
      <c r="A165" s="44" t="s">
        <v>2681</v>
      </c>
      <c r="B165" s="20">
        <v>490686705907.50989</v>
      </c>
      <c r="C165" s="20">
        <v>507514715667.81006</v>
      </c>
      <c r="D165" s="44">
        <f t="shared" si="0"/>
        <v>3.4294814914900309</v>
      </c>
      <c r="E165" s="39">
        <v>45</v>
      </c>
      <c r="F165" s="39">
        <v>28</v>
      </c>
      <c r="G165" s="39">
        <v>35</v>
      </c>
      <c r="H165" s="44">
        <f t="shared" si="1"/>
        <v>41.666666666666671</v>
      </c>
      <c r="I165" s="44">
        <f t="shared" si="2"/>
        <v>25.925925925925924</v>
      </c>
      <c r="J165" s="70" t="s">
        <v>4393</v>
      </c>
      <c r="K165" s="67"/>
      <c r="L165" s="8"/>
    </row>
    <row r="166" spans="1:12" x14ac:dyDescent="0.25">
      <c r="A166" s="44" t="s">
        <v>985</v>
      </c>
      <c r="B166" s="20">
        <v>2977606022887.0903</v>
      </c>
      <c r="C166" s="20">
        <v>3062111419427.4102</v>
      </c>
      <c r="D166" s="44">
        <f t="shared" si="0"/>
        <v>2.8380314887455556</v>
      </c>
      <c r="E166" s="39">
        <v>10</v>
      </c>
      <c r="F166" s="39">
        <v>14</v>
      </c>
      <c r="G166" s="39">
        <v>0</v>
      </c>
      <c r="H166" s="44">
        <f t="shared" si="1"/>
        <v>41.666666666666671</v>
      </c>
      <c r="I166" s="44">
        <f t="shared" si="2"/>
        <v>58.333333333333336</v>
      </c>
      <c r="J166" s="70" t="s">
        <v>4394</v>
      </c>
      <c r="K166" s="67"/>
      <c r="L166" s="8"/>
    </row>
    <row r="167" spans="1:12" x14ac:dyDescent="0.25">
      <c r="A167" s="44" t="s">
        <v>3831</v>
      </c>
      <c r="B167" s="20">
        <v>3184816839.8499999</v>
      </c>
      <c r="C167" s="20">
        <v>3217164068.4400001</v>
      </c>
      <c r="D167" s="44">
        <f t="shared" si="0"/>
        <v>1.0156699809312633</v>
      </c>
      <c r="E167" s="39">
        <v>7</v>
      </c>
      <c r="F167" s="39">
        <v>8</v>
      </c>
      <c r="G167" s="39">
        <v>2</v>
      </c>
      <c r="H167" s="44">
        <f t="shared" si="1"/>
        <v>41.17647058823529</v>
      </c>
      <c r="I167" s="44">
        <f t="shared" si="2"/>
        <v>47.058823529411761</v>
      </c>
      <c r="J167" s="44"/>
      <c r="K167" s="44"/>
      <c r="L167" s="8"/>
    </row>
    <row r="168" spans="1:12" x14ac:dyDescent="0.25">
      <c r="A168" s="44" t="s">
        <v>3618</v>
      </c>
      <c r="B168" s="20">
        <v>193009329169.79999</v>
      </c>
      <c r="C168" s="20">
        <v>209609943594.64999</v>
      </c>
      <c r="D168" s="44">
        <f t="shared" si="0"/>
        <v>8.6009388749523161</v>
      </c>
      <c r="E168" s="39">
        <v>2</v>
      </c>
      <c r="F168" s="39">
        <v>3</v>
      </c>
      <c r="G168" s="39">
        <v>0</v>
      </c>
      <c r="H168" s="44">
        <f t="shared" si="1"/>
        <v>40</v>
      </c>
      <c r="I168" s="44">
        <f t="shared" si="2"/>
        <v>60</v>
      </c>
      <c r="J168" s="44"/>
      <c r="K168" s="44"/>
      <c r="L168" s="8"/>
    </row>
    <row r="169" spans="1:12" x14ac:dyDescent="0.25">
      <c r="A169" s="44" t="s">
        <v>1563</v>
      </c>
      <c r="B169" s="20">
        <v>52575385936.860001</v>
      </c>
      <c r="C169" s="20">
        <v>51133474009.029999</v>
      </c>
      <c r="D169" s="44">
        <f t="shared" si="0"/>
        <v>-2.742560805091673</v>
      </c>
      <c r="E169" s="39">
        <v>2</v>
      </c>
      <c r="F169" s="39">
        <v>3</v>
      </c>
      <c r="G169" s="39">
        <v>0</v>
      </c>
      <c r="H169" s="44">
        <f t="shared" si="1"/>
        <v>40</v>
      </c>
      <c r="I169" s="44">
        <f t="shared" si="2"/>
        <v>60</v>
      </c>
      <c r="J169" s="44"/>
      <c r="K169" s="44"/>
      <c r="L169" s="8"/>
    </row>
    <row r="170" spans="1:12" x14ac:dyDescent="0.25">
      <c r="A170" s="44" t="s">
        <v>3085</v>
      </c>
      <c r="B170" s="20">
        <v>8659262130242.0996</v>
      </c>
      <c r="C170" s="20">
        <v>9563490446500.3984</v>
      </c>
      <c r="D170" s="44">
        <f t="shared" si="0"/>
        <v>10.442325254253713</v>
      </c>
      <c r="E170" s="39">
        <v>2</v>
      </c>
      <c r="F170" s="39">
        <v>4</v>
      </c>
      <c r="G170" s="39">
        <v>0</v>
      </c>
      <c r="H170" s="44">
        <f t="shared" si="1"/>
        <v>33.333333333333329</v>
      </c>
      <c r="I170" s="44">
        <f t="shared" si="2"/>
        <v>66.666666666666657</v>
      </c>
      <c r="J170" s="44"/>
      <c r="K170" s="44"/>
      <c r="L170" s="8"/>
    </row>
    <row r="171" spans="1:12" x14ac:dyDescent="0.25">
      <c r="A171" s="44" t="s">
        <v>831</v>
      </c>
      <c r="B171" s="20">
        <v>242374873122.90002</v>
      </c>
      <c r="C171" s="20">
        <v>244729513807.59998</v>
      </c>
      <c r="D171" s="44">
        <f t="shared" si="0"/>
        <v>0.9714871242061438</v>
      </c>
      <c r="E171" s="39">
        <v>2</v>
      </c>
      <c r="F171" s="39">
        <v>4</v>
      </c>
      <c r="G171" s="39">
        <v>0</v>
      </c>
      <c r="H171" s="44">
        <f t="shared" si="1"/>
        <v>33.333333333333329</v>
      </c>
      <c r="I171" s="44">
        <f t="shared" si="2"/>
        <v>66.666666666666657</v>
      </c>
      <c r="J171" s="44"/>
      <c r="K171" s="44"/>
      <c r="L171" s="8"/>
    </row>
    <row r="172" spans="1:12" x14ac:dyDescent="0.25">
      <c r="A172" s="44" t="s">
        <v>3312</v>
      </c>
      <c r="B172" s="20">
        <v>237432096103.34</v>
      </c>
      <c r="C172" s="20">
        <v>234811471966.39001</v>
      </c>
      <c r="D172" s="44">
        <f t="shared" si="0"/>
        <v>-1.1037362597386078</v>
      </c>
      <c r="E172" s="39">
        <v>4</v>
      </c>
      <c r="F172" s="39">
        <v>7</v>
      </c>
      <c r="G172" s="39">
        <v>1</v>
      </c>
      <c r="H172" s="44">
        <f t="shared" si="1"/>
        <v>33.333333333333329</v>
      </c>
      <c r="I172" s="44">
        <f t="shared" si="2"/>
        <v>58.333333333333336</v>
      </c>
      <c r="J172" s="44"/>
      <c r="K172" s="44"/>
      <c r="L172" s="8"/>
    </row>
    <row r="173" spans="1:12" x14ac:dyDescent="0.25">
      <c r="A173" s="51" t="s">
        <v>2567</v>
      </c>
      <c r="B173" s="20">
        <v>230223877544.60001</v>
      </c>
      <c r="C173" s="20">
        <v>215987069104.75003</v>
      </c>
      <c r="D173" s="44">
        <f t="shared" si="0"/>
        <v>-6.1838974270129548</v>
      </c>
      <c r="E173" s="39">
        <v>1</v>
      </c>
      <c r="F173" s="39">
        <v>2</v>
      </c>
      <c r="G173" s="39">
        <v>0</v>
      </c>
      <c r="H173" s="44">
        <f t="shared" si="1"/>
        <v>33.333333333333329</v>
      </c>
      <c r="I173" s="44">
        <f t="shared" si="2"/>
        <v>66.666666666666657</v>
      </c>
      <c r="J173" s="44"/>
      <c r="K173" s="44"/>
      <c r="L173" s="8"/>
    </row>
    <row r="174" spans="1:12" x14ac:dyDescent="0.25">
      <c r="A174" s="44" t="s">
        <v>52</v>
      </c>
      <c r="B174" s="20">
        <v>949744426041.17993</v>
      </c>
      <c r="C174" s="20">
        <v>769412884875.27991</v>
      </c>
      <c r="D174" s="44">
        <f t="shared" si="0"/>
        <v>-18.9873755740348</v>
      </c>
      <c r="E174" s="39">
        <v>1</v>
      </c>
      <c r="F174" s="39">
        <v>2</v>
      </c>
      <c r="G174" s="39">
        <v>0</v>
      </c>
      <c r="H174" s="44">
        <f t="shared" si="1"/>
        <v>33.333333333333329</v>
      </c>
      <c r="I174" s="44">
        <f t="shared" si="2"/>
        <v>66.666666666666657</v>
      </c>
      <c r="J174" s="44"/>
      <c r="K174" s="44"/>
      <c r="L174" s="8"/>
    </row>
    <row r="175" spans="1:12" x14ac:dyDescent="0.25">
      <c r="A175" s="44" t="s">
        <v>815</v>
      </c>
      <c r="B175" s="20">
        <v>38225582879.799995</v>
      </c>
      <c r="C175" s="20">
        <v>38690996153</v>
      </c>
      <c r="D175" s="44">
        <f t="shared" si="0"/>
        <v>1.2175439539103758</v>
      </c>
      <c r="E175" s="39">
        <v>1</v>
      </c>
      <c r="F175" s="39">
        <v>3</v>
      </c>
      <c r="G175" s="39">
        <v>0</v>
      </c>
      <c r="H175" s="44">
        <f t="shared" si="1"/>
        <v>25</v>
      </c>
      <c r="I175" s="44">
        <f t="shared" si="2"/>
        <v>75</v>
      </c>
      <c r="J175" s="44"/>
      <c r="K175" s="44"/>
      <c r="L175" s="8"/>
    </row>
    <row r="176" spans="1:12" x14ac:dyDescent="0.25">
      <c r="A176" s="44" t="s">
        <v>1616</v>
      </c>
      <c r="B176" s="20">
        <v>680956147258.29993</v>
      </c>
      <c r="C176" s="20">
        <v>685100607745.20007</v>
      </c>
      <c r="D176" s="44">
        <f t="shared" si="0"/>
        <v>0.60862369824940754</v>
      </c>
      <c r="E176" s="39">
        <v>1</v>
      </c>
      <c r="F176" s="39">
        <v>3</v>
      </c>
      <c r="G176" s="39">
        <v>0</v>
      </c>
      <c r="H176" s="44">
        <f t="shared" si="1"/>
        <v>25</v>
      </c>
      <c r="I176" s="44">
        <f t="shared" si="2"/>
        <v>75</v>
      </c>
      <c r="J176" s="44"/>
      <c r="K176" s="44"/>
      <c r="L176" s="8"/>
    </row>
    <row r="177" spans="1:12" x14ac:dyDescent="0.25">
      <c r="A177" s="44" t="s">
        <v>4053</v>
      </c>
      <c r="B177" s="20">
        <v>27371329999.299999</v>
      </c>
      <c r="C177" s="20">
        <v>27254244489.25</v>
      </c>
      <c r="D177" s="44">
        <f t="shared" si="0"/>
        <v>-0.42776697388469465</v>
      </c>
      <c r="E177" s="39">
        <v>1</v>
      </c>
      <c r="F177" s="39">
        <v>3</v>
      </c>
      <c r="G177" s="39">
        <v>0</v>
      </c>
      <c r="H177" s="44">
        <f t="shared" si="1"/>
        <v>25</v>
      </c>
      <c r="I177" s="44">
        <f t="shared" si="2"/>
        <v>75</v>
      </c>
      <c r="J177" s="44"/>
      <c r="K177" s="44"/>
      <c r="L177" s="8"/>
    </row>
    <row r="178" spans="1:12" x14ac:dyDescent="0.25">
      <c r="A178" s="44" t="s">
        <v>4168</v>
      </c>
      <c r="B178" s="20">
        <v>160683498004.90002</v>
      </c>
      <c r="C178" s="20">
        <v>158013357902</v>
      </c>
      <c r="D178" s="44">
        <f t="shared" si="0"/>
        <v>-1.661738844407407</v>
      </c>
      <c r="E178" s="39">
        <v>1</v>
      </c>
      <c r="F178" s="39">
        <v>3</v>
      </c>
      <c r="G178" s="39">
        <v>0</v>
      </c>
      <c r="H178" s="44">
        <f t="shared" si="1"/>
        <v>25</v>
      </c>
      <c r="I178" s="44">
        <f t="shared" si="2"/>
        <v>75</v>
      </c>
      <c r="J178" s="44"/>
      <c r="K178" s="44"/>
      <c r="L178" s="8"/>
    </row>
    <row r="179" spans="1:12" x14ac:dyDescent="0.25">
      <c r="A179" s="44" t="s">
        <v>642</v>
      </c>
      <c r="B179" s="20">
        <v>1955901699523.4004</v>
      </c>
      <c r="C179" s="20">
        <v>1890131297452.6499</v>
      </c>
      <c r="D179" s="44">
        <f t="shared" si="0"/>
        <v>-3.3626639869875325</v>
      </c>
      <c r="E179" s="39">
        <v>1</v>
      </c>
      <c r="F179" s="39">
        <v>3</v>
      </c>
      <c r="G179" s="39">
        <v>0</v>
      </c>
      <c r="H179" s="44">
        <f t="shared" si="1"/>
        <v>25</v>
      </c>
      <c r="I179" s="44">
        <f t="shared" si="2"/>
        <v>75</v>
      </c>
      <c r="J179" s="44"/>
      <c r="K179" s="44"/>
      <c r="L179" s="8"/>
    </row>
    <row r="180" spans="1:12" x14ac:dyDescent="0.25">
      <c r="A180" s="44" t="s">
        <v>2422</v>
      </c>
      <c r="B180" s="20">
        <v>571325422301.24988</v>
      </c>
      <c r="C180" s="20">
        <v>528449287090.89001</v>
      </c>
      <c r="D180" s="44">
        <f t="shared" si="0"/>
        <v>-7.5046783386005238</v>
      </c>
      <c r="E180" s="39">
        <v>6</v>
      </c>
      <c r="F180" s="39">
        <v>29</v>
      </c>
      <c r="G180" s="39">
        <v>0</v>
      </c>
      <c r="H180" s="44">
        <f t="shared" si="1"/>
        <v>17.142857142857142</v>
      </c>
      <c r="I180" s="44">
        <f t="shared" si="2"/>
        <v>82.857142857142861</v>
      </c>
      <c r="J180" s="44"/>
      <c r="K180" s="44"/>
      <c r="L180" s="8"/>
    </row>
    <row r="181" spans="1:12" x14ac:dyDescent="0.25">
      <c r="A181" s="44" t="s">
        <v>2265</v>
      </c>
      <c r="B181" s="20">
        <v>75767292257.690002</v>
      </c>
      <c r="C181" s="20">
        <v>62915706656.25</v>
      </c>
      <c r="D181" s="44">
        <f t="shared" si="0"/>
        <v>-16.961917495653449</v>
      </c>
      <c r="E181" s="39">
        <v>1</v>
      </c>
      <c r="F181" s="39">
        <v>5</v>
      </c>
      <c r="G181" s="39">
        <v>0</v>
      </c>
      <c r="H181" s="44">
        <f t="shared" si="1"/>
        <v>16.666666666666664</v>
      </c>
      <c r="I181" s="44">
        <f t="shared" si="2"/>
        <v>83.333333333333343</v>
      </c>
      <c r="J181" s="70" t="s">
        <v>4395</v>
      </c>
      <c r="K181" s="67"/>
      <c r="L181" s="8"/>
    </row>
    <row r="182" spans="1:12" x14ac:dyDescent="0.25">
      <c r="A182" s="44" t="s">
        <v>1271</v>
      </c>
      <c r="B182" s="20">
        <v>970992601117.99011</v>
      </c>
      <c r="C182" s="20">
        <v>959134115199.19995</v>
      </c>
      <c r="D182" s="44">
        <f t="shared" si="0"/>
        <v>-1.2212745910871445</v>
      </c>
      <c r="E182" s="39">
        <v>2</v>
      </c>
      <c r="F182" s="39">
        <v>14</v>
      </c>
      <c r="G182" s="39">
        <v>0</v>
      </c>
      <c r="H182" s="44">
        <f t="shared" si="1"/>
        <v>12.5</v>
      </c>
      <c r="I182" s="44">
        <f t="shared" si="2"/>
        <v>87.5</v>
      </c>
      <c r="J182" s="44"/>
      <c r="K182" s="44"/>
      <c r="L182" s="8"/>
    </row>
    <row r="183" spans="1:12" x14ac:dyDescent="0.25">
      <c r="A183" s="44" t="s">
        <v>4128</v>
      </c>
      <c r="B183" s="20">
        <v>29017037500</v>
      </c>
      <c r="C183" s="20">
        <v>28465799999.999996</v>
      </c>
      <c r="D183" s="44">
        <f t="shared" si="0"/>
        <v>-1.8997028900693387</v>
      </c>
      <c r="E183" s="39">
        <v>0</v>
      </c>
      <c r="F183" s="39">
        <v>1</v>
      </c>
      <c r="G183" s="39">
        <v>0</v>
      </c>
      <c r="H183" s="44">
        <f t="shared" si="1"/>
        <v>0</v>
      </c>
      <c r="I183" s="44">
        <f t="shared" si="2"/>
        <v>100</v>
      </c>
      <c r="J183" s="44"/>
      <c r="K183" s="44"/>
      <c r="L183" s="8"/>
    </row>
    <row r="184" spans="1:12" x14ac:dyDescent="0.25">
      <c r="A184" s="44" t="s">
        <v>2816</v>
      </c>
      <c r="B184" s="20">
        <v>454730223494</v>
      </c>
      <c r="C184" s="20">
        <v>423368046152.54999</v>
      </c>
      <c r="D184" s="44">
        <f t="shared" si="0"/>
        <v>-6.8968754925663802</v>
      </c>
      <c r="E184" s="39">
        <v>0</v>
      </c>
      <c r="F184" s="39">
        <v>2</v>
      </c>
      <c r="G184" s="39">
        <v>0</v>
      </c>
      <c r="H184" s="44">
        <f t="shared" si="1"/>
        <v>0</v>
      </c>
      <c r="I184" s="44">
        <f t="shared" si="2"/>
        <v>100</v>
      </c>
      <c r="J184" s="44"/>
      <c r="K184" s="44"/>
      <c r="L184" s="8"/>
    </row>
    <row r="185" spans="1:12" x14ac:dyDescent="0.25">
      <c r="A185" s="44" t="s">
        <v>4133</v>
      </c>
      <c r="B185" s="20">
        <v>5192666602.1999998</v>
      </c>
      <c r="C185" s="20">
        <v>4650149196</v>
      </c>
      <c r="D185" s="44">
        <f t="shared" si="0"/>
        <v>-10.447761194029848</v>
      </c>
      <c r="E185" s="39">
        <v>0</v>
      </c>
      <c r="F185" s="39">
        <v>1</v>
      </c>
      <c r="G185" s="39">
        <v>0</v>
      </c>
      <c r="H185" s="44">
        <f t="shared" si="1"/>
        <v>0</v>
      </c>
      <c r="I185" s="44">
        <f t="shared" si="2"/>
        <v>100</v>
      </c>
      <c r="J185" s="44"/>
      <c r="K185" s="44"/>
      <c r="L185" s="8"/>
    </row>
    <row r="186" spans="1:12" x14ac:dyDescent="0.25">
      <c r="A186" s="44" t="s">
        <v>659</v>
      </c>
      <c r="B186" s="20">
        <v>89398037295.75</v>
      </c>
      <c r="C186" s="20">
        <v>79087627054.450012</v>
      </c>
      <c r="D186" s="44">
        <f t="shared" si="0"/>
        <v>-11.533150562568499</v>
      </c>
      <c r="E186" s="39">
        <v>0</v>
      </c>
      <c r="F186" s="39">
        <v>2</v>
      </c>
      <c r="G186" s="39">
        <v>0</v>
      </c>
      <c r="H186" s="44">
        <f t="shared" si="1"/>
        <v>0</v>
      </c>
      <c r="I186" s="44">
        <f t="shared" si="2"/>
        <v>100</v>
      </c>
      <c r="J186" s="44"/>
      <c r="K186" s="44"/>
      <c r="L186" s="8"/>
    </row>
    <row r="187" spans="1:12" x14ac:dyDescent="0.25">
      <c r="A187" s="44" t="s">
        <v>4230</v>
      </c>
      <c r="B187" s="20">
        <v>8631057235.7000008</v>
      </c>
      <c r="C187" s="20">
        <v>7628727240</v>
      </c>
      <c r="D187" s="44">
        <f t="shared" si="0"/>
        <v>-11.613061625337597</v>
      </c>
      <c r="E187" s="39">
        <v>0</v>
      </c>
      <c r="F187" s="39">
        <v>1</v>
      </c>
      <c r="G187" s="39">
        <v>0</v>
      </c>
      <c r="H187" s="44">
        <f t="shared" si="1"/>
        <v>0</v>
      </c>
      <c r="I187" s="44">
        <f t="shared" si="2"/>
        <v>100</v>
      </c>
      <c r="J187" s="44"/>
      <c r="K187" s="44"/>
      <c r="L187" s="8"/>
    </row>
    <row r="188" spans="1:12" x14ac:dyDescent="0.25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</row>
    <row r="189" spans="1:12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</row>
    <row r="190" spans="1:12" x14ac:dyDescent="0.25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</row>
    <row r="191" spans="1:12" x14ac:dyDescent="0.25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</row>
    <row r="192" spans="1:12" x14ac:dyDescent="0.25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</row>
    <row r="193" spans="1:11" x14ac:dyDescent="0.25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</row>
    <row r="194" spans="1:11" x14ac:dyDescent="0.25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</row>
    <row r="195" spans="1:11" x14ac:dyDescent="0.2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</row>
    <row r="196" spans="1:11" x14ac:dyDescent="0.25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</row>
    <row r="197" spans="1:11" x14ac:dyDescent="0.25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</row>
    <row r="198" spans="1:11" x14ac:dyDescent="0.25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</row>
    <row r="199" spans="1:11" x14ac:dyDescent="0.25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</row>
    <row r="200" spans="1:11" x14ac:dyDescent="0.25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</row>
    <row r="201" spans="1:11" x14ac:dyDescent="0.25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</row>
    <row r="202" spans="1:11" x14ac:dyDescent="0.25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</row>
    <row r="203" spans="1:11" x14ac:dyDescent="0.25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</row>
    <row r="204" spans="1:11" x14ac:dyDescent="0.25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</row>
    <row r="205" spans="1:11" x14ac:dyDescent="0.2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</row>
    <row r="206" spans="1:11" x14ac:dyDescent="0.25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</row>
    <row r="207" spans="1:11" x14ac:dyDescent="0.25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</row>
    <row r="208" spans="1:11" x14ac:dyDescent="0.25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</row>
    <row r="209" spans="1:11" x14ac:dyDescent="0.25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</row>
    <row r="210" spans="1:11" x14ac:dyDescent="0.25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</row>
    <row r="211" spans="1:11" x14ac:dyDescent="0.25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</row>
    <row r="212" spans="1:11" x14ac:dyDescent="0.25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</row>
    <row r="213" spans="1:11" x14ac:dyDescent="0.25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</row>
    <row r="214" spans="1:11" x14ac:dyDescent="0.25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</row>
    <row r="215" spans="1:11" x14ac:dyDescent="0.2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</row>
    <row r="216" spans="1:11" x14ac:dyDescent="0.25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</row>
    <row r="217" spans="1:11" x14ac:dyDescent="0.25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</row>
    <row r="218" spans="1:11" x14ac:dyDescent="0.25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</row>
    <row r="219" spans="1:11" x14ac:dyDescent="0.25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</row>
    <row r="220" spans="1:11" x14ac:dyDescent="0.25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</row>
    <row r="221" spans="1:11" x14ac:dyDescent="0.25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</row>
    <row r="222" spans="1:11" x14ac:dyDescent="0.25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</row>
    <row r="223" spans="1:11" x14ac:dyDescent="0.25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</row>
    <row r="224" spans="1:11" x14ac:dyDescent="0.25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</row>
    <row r="225" spans="1:11" x14ac:dyDescent="0.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</row>
    <row r="226" spans="1:11" x14ac:dyDescent="0.25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</row>
    <row r="227" spans="1:11" x14ac:dyDescent="0.25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</row>
    <row r="228" spans="1:11" x14ac:dyDescent="0.25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</row>
    <row r="229" spans="1:11" x14ac:dyDescent="0.25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</row>
    <row r="230" spans="1:11" x14ac:dyDescent="0.25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</row>
    <row r="231" spans="1:11" x14ac:dyDescent="0.25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</row>
    <row r="232" spans="1:11" x14ac:dyDescent="0.25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</row>
    <row r="233" spans="1:11" x14ac:dyDescent="0.25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</row>
    <row r="234" spans="1:11" x14ac:dyDescent="0.25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</row>
    <row r="235" spans="1:11" x14ac:dyDescent="0.2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</row>
    <row r="236" spans="1:11" x14ac:dyDescent="0.25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</row>
    <row r="237" spans="1:11" x14ac:dyDescent="0.25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</row>
    <row r="238" spans="1:11" x14ac:dyDescent="0.25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</row>
    <row r="239" spans="1:11" x14ac:dyDescent="0.25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</row>
    <row r="240" spans="1:11" x14ac:dyDescent="0.25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</row>
    <row r="241" spans="1:11" x14ac:dyDescent="0.25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</row>
    <row r="242" spans="1:11" x14ac:dyDescent="0.25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</row>
    <row r="243" spans="1:11" x14ac:dyDescent="0.25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</row>
    <row r="244" spans="1:11" x14ac:dyDescent="0.25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</row>
    <row r="245" spans="1:11" x14ac:dyDescent="0.2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</row>
    <row r="246" spans="1:11" x14ac:dyDescent="0.25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</row>
    <row r="247" spans="1:11" x14ac:dyDescent="0.25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</row>
    <row r="248" spans="1:11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</row>
    <row r="249" spans="1:11" x14ac:dyDescent="0.25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</row>
    <row r="250" spans="1:11" x14ac:dyDescent="0.25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</row>
    <row r="251" spans="1:11" x14ac:dyDescent="0.25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</row>
    <row r="252" spans="1:11" x14ac:dyDescent="0.25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</row>
    <row r="253" spans="1:11" x14ac:dyDescent="0.25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</row>
    <row r="254" spans="1:11" x14ac:dyDescent="0.25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</row>
    <row r="255" spans="1:11" x14ac:dyDescent="0.2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</row>
    <row r="256" spans="1:11" x14ac:dyDescent="0.25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</row>
    <row r="257" spans="1:11" x14ac:dyDescent="0.25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</row>
    <row r="258" spans="1:11" x14ac:dyDescent="0.25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</row>
    <row r="259" spans="1:11" x14ac:dyDescent="0.25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</row>
    <row r="260" spans="1:11" x14ac:dyDescent="0.25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</row>
    <row r="261" spans="1:11" x14ac:dyDescent="0.25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</row>
    <row r="262" spans="1:11" x14ac:dyDescent="0.25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</row>
    <row r="263" spans="1:11" x14ac:dyDescent="0.25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</row>
    <row r="264" spans="1:11" x14ac:dyDescent="0.25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</row>
    <row r="265" spans="1:11" x14ac:dyDescent="0.2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</row>
    <row r="266" spans="1:11" x14ac:dyDescent="0.25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</row>
    <row r="267" spans="1:11" x14ac:dyDescent="0.25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</row>
    <row r="268" spans="1:11" x14ac:dyDescent="0.25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</row>
    <row r="269" spans="1:11" x14ac:dyDescent="0.25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</row>
    <row r="270" spans="1:11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</row>
    <row r="271" spans="1:11" x14ac:dyDescent="0.25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</row>
    <row r="272" spans="1:11" x14ac:dyDescent="0.25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</row>
    <row r="273" spans="1:11" x14ac:dyDescent="0.25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</row>
    <row r="274" spans="1:11" x14ac:dyDescent="0.25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</row>
    <row r="275" spans="1:11" x14ac:dyDescent="0.2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</row>
    <row r="276" spans="1:11" x14ac:dyDescent="0.25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</row>
    <row r="277" spans="1:11" x14ac:dyDescent="0.25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</row>
    <row r="278" spans="1:11" x14ac:dyDescent="0.25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</row>
    <row r="279" spans="1:11" x14ac:dyDescent="0.25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</row>
    <row r="280" spans="1:11" x14ac:dyDescent="0.25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</row>
    <row r="281" spans="1:11" x14ac:dyDescent="0.25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</row>
    <row r="282" spans="1:11" x14ac:dyDescent="0.25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</row>
    <row r="283" spans="1:11" x14ac:dyDescent="0.25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</row>
    <row r="284" spans="1:11" x14ac:dyDescent="0.25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</row>
    <row r="285" spans="1:11" x14ac:dyDescent="0.2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</row>
    <row r="286" spans="1:11" x14ac:dyDescent="0.25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</row>
    <row r="287" spans="1:11" x14ac:dyDescent="0.25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</row>
    <row r="288" spans="1:11" x14ac:dyDescent="0.25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</row>
    <row r="289" spans="1:11" x14ac:dyDescent="0.25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</row>
    <row r="290" spans="1:11" x14ac:dyDescent="0.25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</row>
    <row r="291" spans="1:11" x14ac:dyDescent="0.25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</row>
    <row r="292" spans="1:11" x14ac:dyDescent="0.25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</row>
    <row r="293" spans="1:11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</row>
    <row r="294" spans="1:11" x14ac:dyDescent="0.25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</row>
    <row r="295" spans="1:11" x14ac:dyDescent="0.2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</row>
    <row r="296" spans="1:11" x14ac:dyDescent="0.25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</row>
    <row r="297" spans="1:11" x14ac:dyDescent="0.25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</row>
    <row r="298" spans="1:11" x14ac:dyDescent="0.25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</row>
    <row r="299" spans="1:11" x14ac:dyDescent="0.25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</row>
    <row r="300" spans="1:11" x14ac:dyDescent="0.25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</row>
    <row r="301" spans="1:11" x14ac:dyDescent="0.25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</row>
    <row r="302" spans="1:11" x14ac:dyDescent="0.25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</row>
    <row r="303" spans="1:11" x14ac:dyDescent="0.25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</row>
    <row r="304" spans="1:11" x14ac:dyDescent="0.25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</row>
    <row r="305" spans="1:11" x14ac:dyDescent="0.2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</row>
    <row r="306" spans="1:11" x14ac:dyDescent="0.25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</row>
    <row r="307" spans="1:11" x14ac:dyDescent="0.25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</row>
    <row r="308" spans="1:11" x14ac:dyDescent="0.25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</row>
    <row r="309" spans="1:11" x14ac:dyDescent="0.25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</row>
    <row r="310" spans="1:11" x14ac:dyDescent="0.25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</row>
    <row r="311" spans="1:11" x14ac:dyDescent="0.25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</row>
    <row r="312" spans="1:11" x14ac:dyDescent="0.25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</row>
    <row r="313" spans="1:11" x14ac:dyDescent="0.25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</row>
    <row r="314" spans="1:11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</row>
    <row r="315" spans="1:11" x14ac:dyDescent="0.2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</row>
    <row r="316" spans="1:11" x14ac:dyDescent="0.25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</row>
    <row r="317" spans="1:11" x14ac:dyDescent="0.25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</row>
    <row r="318" spans="1:11" x14ac:dyDescent="0.25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</row>
    <row r="319" spans="1:11" x14ac:dyDescent="0.25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</row>
    <row r="320" spans="1:11" x14ac:dyDescent="0.25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</row>
    <row r="321" spans="1:11" x14ac:dyDescent="0.25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</row>
    <row r="322" spans="1:11" x14ac:dyDescent="0.25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</row>
    <row r="323" spans="1:11" x14ac:dyDescent="0.25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</row>
    <row r="324" spans="1:11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</row>
    <row r="325" spans="1:11" x14ac:dyDescent="0.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</row>
    <row r="326" spans="1:11" x14ac:dyDescent="0.25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</row>
    <row r="327" spans="1:11" x14ac:dyDescent="0.25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</row>
    <row r="328" spans="1:11" x14ac:dyDescent="0.25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</row>
    <row r="329" spans="1:11" x14ac:dyDescent="0.25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</row>
    <row r="330" spans="1:11" x14ac:dyDescent="0.25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</row>
    <row r="331" spans="1:11" x14ac:dyDescent="0.25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</row>
    <row r="332" spans="1:11" x14ac:dyDescent="0.25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</row>
    <row r="333" spans="1:11" x14ac:dyDescent="0.25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</row>
    <row r="334" spans="1:11" x14ac:dyDescent="0.25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</row>
    <row r="335" spans="1:11" x14ac:dyDescent="0.2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</row>
    <row r="336" spans="1:11" x14ac:dyDescent="0.25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</row>
    <row r="337" spans="1:11" x14ac:dyDescent="0.25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</row>
    <row r="338" spans="1:11" x14ac:dyDescent="0.25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</row>
    <row r="339" spans="1:11" x14ac:dyDescent="0.25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</row>
    <row r="340" spans="1:11" x14ac:dyDescent="0.25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</row>
    <row r="341" spans="1:11" x14ac:dyDescent="0.25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</row>
    <row r="342" spans="1:11" x14ac:dyDescent="0.25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</row>
    <row r="343" spans="1:11" x14ac:dyDescent="0.25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</row>
    <row r="344" spans="1:11" x14ac:dyDescent="0.25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</row>
    <row r="345" spans="1:11" x14ac:dyDescent="0.2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</row>
    <row r="346" spans="1:11" x14ac:dyDescent="0.25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</row>
    <row r="347" spans="1:11" x14ac:dyDescent="0.25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</row>
    <row r="348" spans="1:11" x14ac:dyDescent="0.25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</row>
    <row r="349" spans="1:11" x14ac:dyDescent="0.25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</row>
    <row r="350" spans="1:11" x14ac:dyDescent="0.25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</row>
    <row r="351" spans="1:11" x14ac:dyDescent="0.25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</row>
    <row r="352" spans="1:11" x14ac:dyDescent="0.25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</row>
    <row r="353" spans="1:11" x14ac:dyDescent="0.25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</row>
    <row r="354" spans="1:11" x14ac:dyDescent="0.25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</row>
    <row r="355" spans="1:11" x14ac:dyDescent="0.2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</row>
    <row r="356" spans="1:11" x14ac:dyDescent="0.25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</row>
    <row r="357" spans="1:11" x14ac:dyDescent="0.25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</row>
    <row r="358" spans="1:11" x14ac:dyDescent="0.25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</row>
    <row r="359" spans="1:11" x14ac:dyDescent="0.25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</row>
    <row r="360" spans="1:11" x14ac:dyDescent="0.25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</row>
    <row r="361" spans="1:11" x14ac:dyDescent="0.25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</row>
    <row r="362" spans="1:11" x14ac:dyDescent="0.25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</row>
    <row r="363" spans="1:11" x14ac:dyDescent="0.25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</row>
    <row r="364" spans="1:11" x14ac:dyDescent="0.25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</row>
    <row r="365" spans="1:11" x14ac:dyDescent="0.2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</row>
    <row r="366" spans="1:11" x14ac:dyDescent="0.25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</row>
    <row r="367" spans="1:11" x14ac:dyDescent="0.25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</row>
    <row r="368" spans="1:11" x14ac:dyDescent="0.25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</row>
    <row r="369" spans="1:11" x14ac:dyDescent="0.25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</row>
    <row r="370" spans="1:11" x14ac:dyDescent="0.25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</row>
    <row r="371" spans="1:11" x14ac:dyDescent="0.25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</row>
    <row r="372" spans="1:11" x14ac:dyDescent="0.25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</row>
    <row r="373" spans="1:11" x14ac:dyDescent="0.25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</row>
    <row r="374" spans="1:11" x14ac:dyDescent="0.25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</row>
    <row r="375" spans="1:11" x14ac:dyDescent="0.2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</row>
    <row r="376" spans="1:11" x14ac:dyDescent="0.25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</row>
    <row r="377" spans="1:11" x14ac:dyDescent="0.25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</row>
    <row r="378" spans="1:11" x14ac:dyDescent="0.25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</row>
    <row r="379" spans="1:11" x14ac:dyDescent="0.25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</row>
    <row r="380" spans="1:11" x14ac:dyDescent="0.25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</row>
    <row r="381" spans="1:11" x14ac:dyDescent="0.25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</row>
    <row r="382" spans="1:11" x14ac:dyDescent="0.25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</row>
    <row r="383" spans="1:11" x14ac:dyDescent="0.25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</row>
    <row r="384" spans="1:11" x14ac:dyDescent="0.25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</row>
    <row r="385" spans="1:11" x14ac:dyDescent="0.2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</row>
    <row r="386" spans="1:11" x14ac:dyDescent="0.25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</row>
    <row r="387" spans="1:11" x14ac:dyDescent="0.25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</row>
    <row r="388" spans="1:11" x14ac:dyDescent="0.25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</row>
    <row r="389" spans="1:11" x14ac:dyDescent="0.25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</row>
    <row r="390" spans="1:11" x14ac:dyDescent="0.25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</row>
    <row r="391" spans="1:11" x14ac:dyDescent="0.25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</row>
    <row r="392" spans="1:11" x14ac:dyDescent="0.25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</row>
    <row r="393" spans="1:11" x14ac:dyDescent="0.25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</row>
    <row r="394" spans="1:11" x14ac:dyDescent="0.25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</row>
    <row r="395" spans="1:11" x14ac:dyDescent="0.2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</row>
    <row r="396" spans="1:11" x14ac:dyDescent="0.25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</row>
    <row r="397" spans="1:11" x14ac:dyDescent="0.25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</row>
    <row r="398" spans="1:11" x14ac:dyDescent="0.25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</row>
    <row r="399" spans="1:11" x14ac:dyDescent="0.25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</row>
    <row r="400" spans="1:11" x14ac:dyDescent="0.25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</row>
    <row r="401" spans="1:11" x14ac:dyDescent="0.25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</row>
    <row r="402" spans="1:11" x14ac:dyDescent="0.25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</row>
    <row r="403" spans="1:11" x14ac:dyDescent="0.25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</row>
    <row r="404" spans="1:11" x14ac:dyDescent="0.25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</row>
    <row r="405" spans="1:11" x14ac:dyDescent="0.2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</row>
    <row r="406" spans="1:11" x14ac:dyDescent="0.25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</row>
    <row r="407" spans="1:11" x14ac:dyDescent="0.25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</row>
    <row r="408" spans="1:11" x14ac:dyDescent="0.25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</row>
    <row r="409" spans="1:11" x14ac:dyDescent="0.25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</row>
    <row r="410" spans="1:11" x14ac:dyDescent="0.25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</row>
    <row r="411" spans="1:11" x14ac:dyDescent="0.25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</row>
    <row r="412" spans="1:11" x14ac:dyDescent="0.25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</row>
    <row r="413" spans="1:11" x14ac:dyDescent="0.25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</row>
    <row r="414" spans="1:11" x14ac:dyDescent="0.25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</row>
    <row r="415" spans="1:11" x14ac:dyDescent="0.2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</row>
    <row r="416" spans="1:11" x14ac:dyDescent="0.25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</row>
    <row r="417" spans="1:11" x14ac:dyDescent="0.25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</row>
    <row r="418" spans="1:11" x14ac:dyDescent="0.25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</row>
    <row r="419" spans="1:11" x14ac:dyDescent="0.25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</row>
    <row r="420" spans="1:11" x14ac:dyDescent="0.25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</row>
    <row r="421" spans="1:11" x14ac:dyDescent="0.25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</row>
    <row r="422" spans="1:11" x14ac:dyDescent="0.25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</row>
    <row r="423" spans="1:11" x14ac:dyDescent="0.25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</row>
    <row r="424" spans="1:11" x14ac:dyDescent="0.25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</row>
    <row r="425" spans="1:11" x14ac:dyDescent="0.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</row>
    <row r="426" spans="1:11" x14ac:dyDescent="0.25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</row>
    <row r="427" spans="1:11" x14ac:dyDescent="0.25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</row>
    <row r="428" spans="1:11" x14ac:dyDescent="0.25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</row>
    <row r="429" spans="1:11" x14ac:dyDescent="0.25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</row>
    <row r="430" spans="1:11" x14ac:dyDescent="0.25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</row>
    <row r="431" spans="1:11" x14ac:dyDescent="0.25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</row>
    <row r="432" spans="1:11" x14ac:dyDescent="0.25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</row>
    <row r="433" spans="1:11" x14ac:dyDescent="0.25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</row>
    <row r="434" spans="1:11" x14ac:dyDescent="0.25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</row>
    <row r="435" spans="1:11" x14ac:dyDescent="0.2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</row>
    <row r="436" spans="1:11" x14ac:dyDescent="0.25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</row>
    <row r="437" spans="1:11" x14ac:dyDescent="0.25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</row>
    <row r="438" spans="1:11" x14ac:dyDescent="0.25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</row>
    <row r="439" spans="1:11" x14ac:dyDescent="0.25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</row>
    <row r="440" spans="1:11" x14ac:dyDescent="0.25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</row>
    <row r="441" spans="1:11" x14ac:dyDescent="0.25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</row>
    <row r="442" spans="1:11" x14ac:dyDescent="0.25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</row>
    <row r="443" spans="1:11" x14ac:dyDescent="0.25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</row>
    <row r="444" spans="1:11" x14ac:dyDescent="0.25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</row>
    <row r="445" spans="1:11" x14ac:dyDescent="0.2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</row>
    <row r="446" spans="1:11" x14ac:dyDescent="0.25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</row>
    <row r="447" spans="1:11" x14ac:dyDescent="0.25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</row>
    <row r="448" spans="1:11" x14ac:dyDescent="0.25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</row>
    <row r="449" spans="1:11" x14ac:dyDescent="0.25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</row>
    <row r="450" spans="1:11" x14ac:dyDescent="0.25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</row>
    <row r="451" spans="1:11" x14ac:dyDescent="0.25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</row>
    <row r="452" spans="1:11" x14ac:dyDescent="0.25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</row>
    <row r="453" spans="1:11" x14ac:dyDescent="0.25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</row>
    <row r="454" spans="1:11" x14ac:dyDescent="0.25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</row>
    <row r="455" spans="1:11" x14ac:dyDescent="0.2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</row>
    <row r="456" spans="1:11" x14ac:dyDescent="0.25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</row>
    <row r="457" spans="1:11" x14ac:dyDescent="0.25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</row>
    <row r="458" spans="1:11" x14ac:dyDescent="0.25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</row>
    <row r="459" spans="1:11" x14ac:dyDescent="0.25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</row>
    <row r="460" spans="1:11" x14ac:dyDescent="0.25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</row>
    <row r="461" spans="1:11" x14ac:dyDescent="0.25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</row>
    <row r="462" spans="1:11" x14ac:dyDescent="0.25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</row>
    <row r="463" spans="1:11" x14ac:dyDescent="0.25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</row>
    <row r="464" spans="1:11" x14ac:dyDescent="0.25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</row>
    <row r="465" spans="1:11" x14ac:dyDescent="0.2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</row>
    <row r="466" spans="1:11" x14ac:dyDescent="0.25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</row>
    <row r="467" spans="1:11" x14ac:dyDescent="0.25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</row>
    <row r="468" spans="1:11" x14ac:dyDescent="0.25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</row>
    <row r="469" spans="1:11" x14ac:dyDescent="0.25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</row>
    <row r="470" spans="1:11" x14ac:dyDescent="0.25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</row>
    <row r="471" spans="1:11" x14ac:dyDescent="0.25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</row>
    <row r="472" spans="1:11" x14ac:dyDescent="0.25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</row>
    <row r="473" spans="1:11" x14ac:dyDescent="0.25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</row>
    <row r="474" spans="1:11" x14ac:dyDescent="0.25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</row>
    <row r="475" spans="1:11" x14ac:dyDescent="0.2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</row>
    <row r="476" spans="1:11" x14ac:dyDescent="0.25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</row>
    <row r="477" spans="1:11" x14ac:dyDescent="0.25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</row>
    <row r="478" spans="1:11" x14ac:dyDescent="0.25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</row>
    <row r="479" spans="1:11" x14ac:dyDescent="0.25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</row>
    <row r="480" spans="1:11" x14ac:dyDescent="0.25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</row>
    <row r="481" spans="1:11" x14ac:dyDescent="0.25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</row>
    <row r="482" spans="1:11" x14ac:dyDescent="0.25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</row>
    <row r="483" spans="1:11" x14ac:dyDescent="0.25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</row>
    <row r="484" spans="1:11" x14ac:dyDescent="0.25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</row>
    <row r="485" spans="1:11" x14ac:dyDescent="0.2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</row>
    <row r="486" spans="1:11" x14ac:dyDescent="0.25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</row>
    <row r="487" spans="1:11" x14ac:dyDescent="0.25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</row>
    <row r="488" spans="1:11" x14ac:dyDescent="0.25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</row>
    <row r="489" spans="1:11" x14ac:dyDescent="0.25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</row>
    <row r="490" spans="1:11" x14ac:dyDescent="0.25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</row>
    <row r="491" spans="1:11" x14ac:dyDescent="0.25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</row>
    <row r="492" spans="1:11" x14ac:dyDescent="0.25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</row>
    <row r="493" spans="1:11" x14ac:dyDescent="0.25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</row>
    <row r="494" spans="1:11" x14ac:dyDescent="0.25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</row>
    <row r="495" spans="1:11" x14ac:dyDescent="0.2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</row>
    <row r="496" spans="1:11" x14ac:dyDescent="0.25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</row>
    <row r="497" spans="1:11" x14ac:dyDescent="0.25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</row>
    <row r="498" spans="1:11" x14ac:dyDescent="0.25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</row>
    <row r="499" spans="1:11" x14ac:dyDescent="0.25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</row>
    <row r="500" spans="1:11" x14ac:dyDescent="0.25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</row>
    <row r="501" spans="1:11" x14ac:dyDescent="0.25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</row>
    <row r="502" spans="1:11" x14ac:dyDescent="0.25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</row>
    <row r="503" spans="1:11" x14ac:dyDescent="0.25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</row>
    <row r="504" spans="1:11" x14ac:dyDescent="0.25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</row>
    <row r="505" spans="1:11" x14ac:dyDescent="0.2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</row>
    <row r="506" spans="1:11" x14ac:dyDescent="0.25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</row>
    <row r="507" spans="1:11" x14ac:dyDescent="0.25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</row>
    <row r="508" spans="1:11" x14ac:dyDescent="0.25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</row>
    <row r="509" spans="1:11" x14ac:dyDescent="0.25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</row>
    <row r="510" spans="1:11" x14ac:dyDescent="0.25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</row>
    <row r="511" spans="1:11" x14ac:dyDescent="0.25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</row>
    <row r="512" spans="1:11" x14ac:dyDescent="0.25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</row>
    <row r="513" spans="1:11" x14ac:dyDescent="0.25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</row>
    <row r="514" spans="1:11" x14ac:dyDescent="0.25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</row>
    <row r="515" spans="1:11" x14ac:dyDescent="0.2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</row>
    <row r="516" spans="1:11" x14ac:dyDescent="0.25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</row>
    <row r="517" spans="1:11" x14ac:dyDescent="0.25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</row>
    <row r="518" spans="1:11" x14ac:dyDescent="0.25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</row>
    <row r="519" spans="1:11" x14ac:dyDescent="0.25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</row>
    <row r="520" spans="1:11" x14ac:dyDescent="0.25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</row>
    <row r="521" spans="1:11" x14ac:dyDescent="0.25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</row>
    <row r="522" spans="1:11" x14ac:dyDescent="0.25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</row>
    <row r="523" spans="1:11" x14ac:dyDescent="0.25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</row>
    <row r="524" spans="1:11" x14ac:dyDescent="0.25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</row>
    <row r="525" spans="1:11" x14ac:dyDescent="0.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</row>
    <row r="526" spans="1:11" x14ac:dyDescent="0.25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</row>
    <row r="527" spans="1:11" x14ac:dyDescent="0.25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</row>
    <row r="528" spans="1:11" x14ac:dyDescent="0.25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</row>
    <row r="529" spans="1:11" x14ac:dyDescent="0.25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</row>
    <row r="530" spans="1:11" x14ac:dyDescent="0.25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</row>
    <row r="531" spans="1:11" x14ac:dyDescent="0.25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</row>
    <row r="532" spans="1:11" x14ac:dyDescent="0.25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</row>
    <row r="533" spans="1:11" x14ac:dyDescent="0.25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</row>
    <row r="534" spans="1:11" x14ac:dyDescent="0.25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</row>
    <row r="535" spans="1:11" x14ac:dyDescent="0.2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</row>
    <row r="536" spans="1:11" x14ac:dyDescent="0.25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</row>
    <row r="537" spans="1:11" x14ac:dyDescent="0.25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</row>
    <row r="538" spans="1:11" x14ac:dyDescent="0.25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</row>
    <row r="539" spans="1:11" x14ac:dyDescent="0.25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</row>
    <row r="540" spans="1:11" x14ac:dyDescent="0.25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</row>
    <row r="541" spans="1:11" x14ac:dyDescent="0.25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</row>
    <row r="542" spans="1:11" x14ac:dyDescent="0.25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</row>
    <row r="543" spans="1:11" x14ac:dyDescent="0.25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</row>
    <row r="544" spans="1:11" x14ac:dyDescent="0.25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</row>
    <row r="545" spans="1:11" x14ac:dyDescent="0.2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</row>
    <row r="546" spans="1:11" x14ac:dyDescent="0.25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</row>
    <row r="547" spans="1:11" x14ac:dyDescent="0.25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</row>
    <row r="548" spans="1:11" x14ac:dyDescent="0.25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</row>
    <row r="549" spans="1:11" x14ac:dyDescent="0.25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</row>
    <row r="550" spans="1:11" x14ac:dyDescent="0.25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</row>
    <row r="551" spans="1:11" x14ac:dyDescent="0.25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</row>
    <row r="552" spans="1:11" x14ac:dyDescent="0.25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</row>
    <row r="553" spans="1:11" x14ac:dyDescent="0.25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</row>
    <row r="554" spans="1:11" x14ac:dyDescent="0.25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</row>
    <row r="555" spans="1:11" x14ac:dyDescent="0.2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</row>
    <row r="556" spans="1:11" x14ac:dyDescent="0.25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</row>
    <row r="557" spans="1:11" x14ac:dyDescent="0.25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</row>
    <row r="558" spans="1:11" x14ac:dyDescent="0.25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</row>
    <row r="559" spans="1:11" x14ac:dyDescent="0.25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</row>
    <row r="560" spans="1:11" x14ac:dyDescent="0.25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</row>
    <row r="561" spans="1:11" x14ac:dyDescent="0.25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</row>
    <row r="562" spans="1:11" x14ac:dyDescent="0.25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</row>
    <row r="563" spans="1:11" x14ac:dyDescent="0.25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</row>
    <row r="564" spans="1:11" x14ac:dyDescent="0.25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</row>
    <row r="565" spans="1:11" x14ac:dyDescent="0.2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</row>
    <row r="566" spans="1:11" x14ac:dyDescent="0.25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</row>
    <row r="567" spans="1:11" x14ac:dyDescent="0.25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</row>
    <row r="568" spans="1:11" x14ac:dyDescent="0.25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</row>
    <row r="569" spans="1:11" x14ac:dyDescent="0.25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</row>
    <row r="570" spans="1:11" x14ac:dyDescent="0.25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</row>
    <row r="571" spans="1:11" x14ac:dyDescent="0.25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</row>
    <row r="572" spans="1:11" x14ac:dyDescent="0.25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</row>
    <row r="573" spans="1:11" x14ac:dyDescent="0.25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</row>
    <row r="574" spans="1:11" x14ac:dyDescent="0.25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</row>
    <row r="575" spans="1:11" x14ac:dyDescent="0.2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</row>
    <row r="576" spans="1:11" x14ac:dyDescent="0.25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</row>
    <row r="577" spans="1:11" x14ac:dyDescent="0.25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</row>
    <row r="578" spans="1:11" x14ac:dyDescent="0.25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</row>
    <row r="579" spans="1:11" x14ac:dyDescent="0.25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</row>
    <row r="580" spans="1:11" x14ac:dyDescent="0.25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</row>
    <row r="581" spans="1:11" x14ac:dyDescent="0.25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</row>
    <row r="582" spans="1:11" x14ac:dyDescent="0.25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</row>
    <row r="583" spans="1:11" x14ac:dyDescent="0.25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</row>
    <row r="584" spans="1:11" x14ac:dyDescent="0.25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</row>
    <row r="585" spans="1:11" x14ac:dyDescent="0.2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</row>
    <row r="586" spans="1:11" x14ac:dyDescent="0.25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</row>
    <row r="587" spans="1:11" x14ac:dyDescent="0.25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</row>
    <row r="588" spans="1:11" x14ac:dyDescent="0.25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</row>
    <row r="589" spans="1:11" x14ac:dyDescent="0.25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</row>
    <row r="590" spans="1:11" x14ac:dyDescent="0.25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</row>
    <row r="591" spans="1:11" x14ac:dyDescent="0.25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</row>
    <row r="592" spans="1:11" x14ac:dyDescent="0.25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</row>
    <row r="593" spans="1:11" x14ac:dyDescent="0.25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</row>
    <row r="594" spans="1:11" x14ac:dyDescent="0.25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</row>
    <row r="595" spans="1:11" x14ac:dyDescent="0.2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</row>
    <row r="596" spans="1:11" x14ac:dyDescent="0.25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</row>
    <row r="597" spans="1:11" x14ac:dyDescent="0.25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</row>
    <row r="598" spans="1:11" x14ac:dyDescent="0.25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</row>
    <row r="599" spans="1:11" x14ac:dyDescent="0.25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</row>
    <row r="600" spans="1:11" x14ac:dyDescent="0.25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</row>
    <row r="601" spans="1:11" x14ac:dyDescent="0.25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</row>
    <row r="602" spans="1:11" x14ac:dyDescent="0.25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</row>
    <row r="603" spans="1:11" x14ac:dyDescent="0.25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</row>
    <row r="604" spans="1:11" x14ac:dyDescent="0.25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</row>
    <row r="605" spans="1:11" x14ac:dyDescent="0.2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</row>
    <row r="606" spans="1:11" x14ac:dyDescent="0.25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</row>
    <row r="607" spans="1:11" x14ac:dyDescent="0.25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</row>
    <row r="608" spans="1:11" x14ac:dyDescent="0.25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</row>
    <row r="609" spans="1:11" x14ac:dyDescent="0.25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</row>
    <row r="610" spans="1:11" x14ac:dyDescent="0.25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</row>
    <row r="611" spans="1:11" x14ac:dyDescent="0.25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</row>
    <row r="612" spans="1:11" x14ac:dyDescent="0.25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</row>
    <row r="613" spans="1:11" x14ac:dyDescent="0.25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</row>
    <row r="614" spans="1:11" x14ac:dyDescent="0.25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</row>
    <row r="615" spans="1:11" x14ac:dyDescent="0.2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</row>
    <row r="616" spans="1:11" x14ac:dyDescent="0.25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</row>
    <row r="617" spans="1:11" x14ac:dyDescent="0.25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</row>
    <row r="618" spans="1:11" x14ac:dyDescent="0.25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</row>
    <row r="619" spans="1:11" x14ac:dyDescent="0.25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</row>
    <row r="620" spans="1:11" x14ac:dyDescent="0.25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</row>
    <row r="621" spans="1:11" x14ac:dyDescent="0.25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</row>
    <row r="622" spans="1:11" x14ac:dyDescent="0.25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</row>
    <row r="623" spans="1:11" x14ac:dyDescent="0.25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</row>
    <row r="624" spans="1:11" x14ac:dyDescent="0.25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</row>
    <row r="625" spans="1:11" x14ac:dyDescent="0.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</row>
    <row r="626" spans="1:11" x14ac:dyDescent="0.25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</row>
    <row r="627" spans="1:11" x14ac:dyDescent="0.25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</row>
    <row r="628" spans="1:11" x14ac:dyDescent="0.25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</row>
    <row r="629" spans="1:11" x14ac:dyDescent="0.25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</row>
    <row r="630" spans="1:11" x14ac:dyDescent="0.25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</row>
    <row r="631" spans="1:11" x14ac:dyDescent="0.25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</row>
    <row r="632" spans="1:11" x14ac:dyDescent="0.25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</row>
    <row r="633" spans="1:11" x14ac:dyDescent="0.25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</row>
    <row r="634" spans="1:11" x14ac:dyDescent="0.25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</row>
    <row r="635" spans="1:11" x14ac:dyDescent="0.2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</row>
    <row r="636" spans="1:11" x14ac:dyDescent="0.25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</row>
    <row r="637" spans="1:11" x14ac:dyDescent="0.25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</row>
    <row r="638" spans="1:11" x14ac:dyDescent="0.25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</row>
    <row r="639" spans="1:11" x14ac:dyDescent="0.25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</row>
    <row r="640" spans="1:11" x14ac:dyDescent="0.25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</row>
    <row r="641" spans="1:11" x14ac:dyDescent="0.25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</row>
    <row r="642" spans="1:11" x14ac:dyDescent="0.25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</row>
    <row r="643" spans="1:11" x14ac:dyDescent="0.25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</row>
    <row r="644" spans="1:11" x14ac:dyDescent="0.25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</row>
    <row r="645" spans="1:11" x14ac:dyDescent="0.2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</row>
    <row r="646" spans="1:11" x14ac:dyDescent="0.25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</row>
    <row r="647" spans="1:11" x14ac:dyDescent="0.25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</row>
    <row r="648" spans="1:11" x14ac:dyDescent="0.25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</row>
    <row r="649" spans="1:11" x14ac:dyDescent="0.25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</row>
    <row r="650" spans="1:11" x14ac:dyDescent="0.25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</row>
    <row r="651" spans="1:11" x14ac:dyDescent="0.25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</row>
    <row r="652" spans="1:11" x14ac:dyDescent="0.25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</row>
    <row r="653" spans="1:11" x14ac:dyDescent="0.25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</row>
    <row r="654" spans="1:11" x14ac:dyDescent="0.25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</row>
    <row r="655" spans="1:11" x14ac:dyDescent="0.2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</row>
    <row r="656" spans="1:11" x14ac:dyDescent="0.25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</row>
    <row r="657" spans="1:11" x14ac:dyDescent="0.25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</row>
    <row r="658" spans="1:11" x14ac:dyDescent="0.25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</row>
    <row r="659" spans="1:11" x14ac:dyDescent="0.25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</row>
    <row r="660" spans="1:11" x14ac:dyDescent="0.25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</row>
    <row r="661" spans="1:11" x14ac:dyDescent="0.25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</row>
    <row r="662" spans="1:11" x14ac:dyDescent="0.25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</row>
    <row r="663" spans="1:11" x14ac:dyDescent="0.25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</row>
    <row r="664" spans="1:11" x14ac:dyDescent="0.25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</row>
    <row r="665" spans="1:11" x14ac:dyDescent="0.2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</row>
    <row r="666" spans="1:11" x14ac:dyDescent="0.25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</row>
    <row r="667" spans="1:11" x14ac:dyDescent="0.25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</row>
    <row r="668" spans="1:11" x14ac:dyDescent="0.25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</row>
    <row r="669" spans="1:11" x14ac:dyDescent="0.25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</row>
    <row r="670" spans="1:11" x14ac:dyDescent="0.25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</row>
    <row r="671" spans="1:11" x14ac:dyDescent="0.25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</row>
    <row r="672" spans="1:11" x14ac:dyDescent="0.25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</row>
    <row r="673" spans="1:11" x14ac:dyDescent="0.25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</row>
    <row r="674" spans="1:11" x14ac:dyDescent="0.25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</row>
    <row r="675" spans="1:11" x14ac:dyDescent="0.2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</row>
    <row r="676" spans="1:11" x14ac:dyDescent="0.25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</row>
    <row r="677" spans="1:11" x14ac:dyDescent="0.25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</row>
    <row r="678" spans="1:11" x14ac:dyDescent="0.25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</row>
    <row r="679" spans="1:11" x14ac:dyDescent="0.25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</row>
    <row r="680" spans="1:11" x14ac:dyDescent="0.25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</row>
    <row r="681" spans="1:11" x14ac:dyDescent="0.25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</row>
    <row r="682" spans="1:11" x14ac:dyDescent="0.25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</row>
    <row r="683" spans="1:11" x14ac:dyDescent="0.25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</row>
    <row r="684" spans="1:11" x14ac:dyDescent="0.25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</row>
    <row r="685" spans="1:11" x14ac:dyDescent="0.2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</row>
    <row r="686" spans="1:11" x14ac:dyDescent="0.25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</row>
    <row r="687" spans="1:11" x14ac:dyDescent="0.25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</row>
    <row r="688" spans="1:11" x14ac:dyDescent="0.25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</row>
    <row r="689" spans="1:11" x14ac:dyDescent="0.25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</row>
    <row r="690" spans="1:11" x14ac:dyDescent="0.25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</row>
    <row r="691" spans="1:11" x14ac:dyDescent="0.25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</row>
    <row r="692" spans="1:11" x14ac:dyDescent="0.25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</row>
    <row r="693" spans="1:11" x14ac:dyDescent="0.25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</row>
    <row r="694" spans="1:11" x14ac:dyDescent="0.25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</row>
    <row r="695" spans="1:11" x14ac:dyDescent="0.2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</row>
    <row r="696" spans="1:11" x14ac:dyDescent="0.25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</row>
    <row r="697" spans="1:11" x14ac:dyDescent="0.25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</row>
    <row r="698" spans="1:11" x14ac:dyDescent="0.25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</row>
    <row r="699" spans="1:11" x14ac:dyDescent="0.25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</row>
    <row r="700" spans="1:11" x14ac:dyDescent="0.25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</row>
    <row r="701" spans="1:11" x14ac:dyDescent="0.25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</row>
    <row r="702" spans="1:11" x14ac:dyDescent="0.25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</row>
    <row r="703" spans="1:11" x14ac:dyDescent="0.25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</row>
    <row r="704" spans="1:11" x14ac:dyDescent="0.25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</row>
    <row r="705" spans="1:11" x14ac:dyDescent="0.2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</row>
    <row r="706" spans="1:11" x14ac:dyDescent="0.25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</row>
    <row r="707" spans="1:11" x14ac:dyDescent="0.25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</row>
    <row r="708" spans="1:11" x14ac:dyDescent="0.25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</row>
    <row r="709" spans="1:11" x14ac:dyDescent="0.25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</row>
    <row r="710" spans="1:11" x14ac:dyDescent="0.25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</row>
    <row r="711" spans="1:11" x14ac:dyDescent="0.25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</row>
    <row r="712" spans="1:11" x14ac:dyDescent="0.25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</row>
    <row r="713" spans="1:11" x14ac:dyDescent="0.25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</row>
    <row r="714" spans="1:11" x14ac:dyDescent="0.25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</row>
    <row r="715" spans="1:11" x14ac:dyDescent="0.2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</row>
    <row r="716" spans="1:11" x14ac:dyDescent="0.25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</row>
    <row r="717" spans="1:11" x14ac:dyDescent="0.25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</row>
    <row r="718" spans="1:11" x14ac:dyDescent="0.25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</row>
    <row r="719" spans="1:11" x14ac:dyDescent="0.25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</row>
    <row r="720" spans="1:11" x14ac:dyDescent="0.25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</row>
    <row r="721" spans="1:11" x14ac:dyDescent="0.25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</row>
    <row r="722" spans="1:11" x14ac:dyDescent="0.25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</row>
    <row r="723" spans="1:11" x14ac:dyDescent="0.25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</row>
    <row r="724" spans="1:11" x14ac:dyDescent="0.25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</row>
    <row r="725" spans="1:11" x14ac:dyDescent="0.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</row>
    <row r="726" spans="1:11" x14ac:dyDescent="0.25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</row>
    <row r="727" spans="1:11" x14ac:dyDescent="0.25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</row>
    <row r="728" spans="1:11" x14ac:dyDescent="0.25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</row>
    <row r="729" spans="1:11" x14ac:dyDescent="0.25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</row>
    <row r="730" spans="1:11" x14ac:dyDescent="0.25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</row>
    <row r="731" spans="1:11" x14ac:dyDescent="0.25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</row>
    <row r="732" spans="1:11" x14ac:dyDescent="0.25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</row>
    <row r="733" spans="1:11" x14ac:dyDescent="0.25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</row>
    <row r="734" spans="1:11" x14ac:dyDescent="0.25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</row>
    <row r="735" spans="1:11" x14ac:dyDescent="0.2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</row>
    <row r="736" spans="1:11" x14ac:dyDescent="0.25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</row>
    <row r="737" spans="1:11" x14ac:dyDescent="0.25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</row>
    <row r="738" spans="1:11" x14ac:dyDescent="0.25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</row>
    <row r="739" spans="1:11" x14ac:dyDescent="0.25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</row>
    <row r="740" spans="1:11" x14ac:dyDescent="0.25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</row>
    <row r="741" spans="1:11" x14ac:dyDescent="0.25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</row>
    <row r="742" spans="1:11" x14ac:dyDescent="0.25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</row>
    <row r="743" spans="1:11" x14ac:dyDescent="0.25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</row>
    <row r="744" spans="1:11" x14ac:dyDescent="0.25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</row>
    <row r="745" spans="1:11" x14ac:dyDescent="0.2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</row>
    <row r="746" spans="1:11" x14ac:dyDescent="0.25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</row>
    <row r="747" spans="1:11" x14ac:dyDescent="0.25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</row>
    <row r="748" spans="1:11" x14ac:dyDescent="0.25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</row>
    <row r="749" spans="1:11" x14ac:dyDescent="0.25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</row>
    <row r="750" spans="1:11" x14ac:dyDescent="0.25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</row>
    <row r="751" spans="1:11" x14ac:dyDescent="0.25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</row>
    <row r="752" spans="1:11" x14ac:dyDescent="0.25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</row>
    <row r="753" spans="1:11" x14ac:dyDescent="0.25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</row>
    <row r="754" spans="1:11" x14ac:dyDescent="0.25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</row>
    <row r="755" spans="1:11" x14ac:dyDescent="0.2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</row>
    <row r="756" spans="1:11" x14ac:dyDescent="0.25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</row>
    <row r="757" spans="1:11" x14ac:dyDescent="0.25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</row>
    <row r="758" spans="1:11" x14ac:dyDescent="0.25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</row>
    <row r="759" spans="1:11" x14ac:dyDescent="0.25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</row>
    <row r="760" spans="1:11" x14ac:dyDescent="0.25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</row>
    <row r="761" spans="1:11" x14ac:dyDescent="0.25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</row>
    <row r="762" spans="1:11" x14ac:dyDescent="0.25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</row>
    <row r="763" spans="1:11" x14ac:dyDescent="0.25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</row>
    <row r="764" spans="1:11" x14ac:dyDescent="0.25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</row>
    <row r="765" spans="1:11" x14ac:dyDescent="0.2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</row>
    <row r="766" spans="1:11" x14ac:dyDescent="0.25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</row>
    <row r="767" spans="1:11" x14ac:dyDescent="0.25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</row>
    <row r="768" spans="1:11" x14ac:dyDescent="0.25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</row>
    <row r="769" spans="1:11" x14ac:dyDescent="0.25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</row>
    <row r="770" spans="1:11" x14ac:dyDescent="0.25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</row>
    <row r="771" spans="1:11" x14ac:dyDescent="0.25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</row>
    <row r="772" spans="1:11" x14ac:dyDescent="0.25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</row>
    <row r="773" spans="1:11" x14ac:dyDescent="0.25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</row>
    <row r="774" spans="1:11" x14ac:dyDescent="0.25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</row>
    <row r="775" spans="1:11" x14ac:dyDescent="0.2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</row>
    <row r="776" spans="1:11" x14ac:dyDescent="0.25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</row>
    <row r="777" spans="1:11" x14ac:dyDescent="0.25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</row>
    <row r="778" spans="1:11" x14ac:dyDescent="0.25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</row>
    <row r="779" spans="1:11" x14ac:dyDescent="0.25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</row>
    <row r="780" spans="1:11" x14ac:dyDescent="0.25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</row>
    <row r="781" spans="1:11" x14ac:dyDescent="0.25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</row>
    <row r="782" spans="1:11" x14ac:dyDescent="0.25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</row>
    <row r="783" spans="1:11" x14ac:dyDescent="0.25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</row>
    <row r="784" spans="1:11" x14ac:dyDescent="0.25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</row>
    <row r="785" spans="1:11" x14ac:dyDescent="0.2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</row>
    <row r="786" spans="1:11" x14ac:dyDescent="0.25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</row>
    <row r="787" spans="1:11" x14ac:dyDescent="0.25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</row>
    <row r="788" spans="1:11" x14ac:dyDescent="0.25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</row>
    <row r="789" spans="1:11" x14ac:dyDescent="0.25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</row>
    <row r="790" spans="1:11" x14ac:dyDescent="0.25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</row>
    <row r="791" spans="1:11" x14ac:dyDescent="0.25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</row>
    <row r="792" spans="1:11" x14ac:dyDescent="0.25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</row>
    <row r="793" spans="1:11" x14ac:dyDescent="0.25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</row>
    <row r="794" spans="1:11" x14ac:dyDescent="0.25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</row>
    <row r="795" spans="1:11" x14ac:dyDescent="0.2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</row>
    <row r="796" spans="1:11" x14ac:dyDescent="0.25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</row>
    <row r="797" spans="1:11" x14ac:dyDescent="0.25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</row>
    <row r="798" spans="1:11" x14ac:dyDescent="0.25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</row>
    <row r="799" spans="1:11" x14ac:dyDescent="0.25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</row>
    <row r="800" spans="1:11" x14ac:dyDescent="0.25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</row>
    <row r="801" spans="1:11" x14ac:dyDescent="0.25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</row>
    <row r="802" spans="1:11" x14ac:dyDescent="0.25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</row>
    <row r="803" spans="1:11" x14ac:dyDescent="0.25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</row>
    <row r="804" spans="1:11" x14ac:dyDescent="0.25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</row>
    <row r="805" spans="1:11" x14ac:dyDescent="0.2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</row>
    <row r="806" spans="1:11" x14ac:dyDescent="0.25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</row>
    <row r="807" spans="1:11" x14ac:dyDescent="0.25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</row>
    <row r="808" spans="1:11" x14ac:dyDescent="0.25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</row>
    <row r="809" spans="1:11" x14ac:dyDescent="0.25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</row>
    <row r="810" spans="1:11" x14ac:dyDescent="0.25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</row>
    <row r="811" spans="1:11" x14ac:dyDescent="0.25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</row>
    <row r="812" spans="1:11" x14ac:dyDescent="0.25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</row>
    <row r="813" spans="1:11" x14ac:dyDescent="0.25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</row>
    <row r="814" spans="1:11" x14ac:dyDescent="0.25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</row>
    <row r="815" spans="1:11" x14ac:dyDescent="0.2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</row>
    <row r="816" spans="1:11" x14ac:dyDescent="0.25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</row>
    <row r="817" spans="1:11" x14ac:dyDescent="0.25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</row>
    <row r="818" spans="1:11" x14ac:dyDescent="0.25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</row>
    <row r="819" spans="1:11" x14ac:dyDescent="0.25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</row>
    <row r="820" spans="1:11" x14ac:dyDescent="0.25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</row>
    <row r="821" spans="1:11" x14ac:dyDescent="0.25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</row>
    <row r="822" spans="1:11" x14ac:dyDescent="0.25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</row>
    <row r="823" spans="1:11" x14ac:dyDescent="0.25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</row>
    <row r="824" spans="1:11" x14ac:dyDescent="0.25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</row>
    <row r="825" spans="1:11" x14ac:dyDescent="0.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</row>
    <row r="826" spans="1:11" x14ac:dyDescent="0.25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</row>
    <row r="827" spans="1:11" x14ac:dyDescent="0.25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</row>
    <row r="828" spans="1:11" x14ac:dyDescent="0.25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</row>
    <row r="829" spans="1:11" x14ac:dyDescent="0.25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</row>
    <row r="830" spans="1:11" x14ac:dyDescent="0.25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</row>
    <row r="831" spans="1:11" x14ac:dyDescent="0.25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</row>
    <row r="832" spans="1:11" x14ac:dyDescent="0.25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</row>
    <row r="833" spans="1:11" x14ac:dyDescent="0.25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</row>
    <row r="834" spans="1:11" x14ac:dyDescent="0.25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</row>
    <row r="835" spans="1:11" x14ac:dyDescent="0.2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</row>
    <row r="836" spans="1:11" x14ac:dyDescent="0.25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</row>
    <row r="837" spans="1:11" x14ac:dyDescent="0.25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</row>
    <row r="838" spans="1:11" x14ac:dyDescent="0.25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</row>
    <row r="839" spans="1:11" x14ac:dyDescent="0.25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</row>
    <row r="840" spans="1:11" x14ac:dyDescent="0.25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</row>
    <row r="841" spans="1:11" x14ac:dyDescent="0.25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</row>
    <row r="842" spans="1:11" x14ac:dyDescent="0.25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</row>
    <row r="843" spans="1:11" x14ac:dyDescent="0.25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</row>
    <row r="844" spans="1:11" x14ac:dyDescent="0.25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</row>
    <row r="845" spans="1:11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</row>
    <row r="846" spans="1:11" x14ac:dyDescent="0.25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</row>
    <row r="847" spans="1:11" x14ac:dyDescent="0.25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</row>
    <row r="848" spans="1:11" x14ac:dyDescent="0.25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</row>
    <row r="849" spans="1:11" x14ac:dyDescent="0.25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</row>
    <row r="850" spans="1:11" x14ac:dyDescent="0.25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</row>
    <row r="851" spans="1:11" x14ac:dyDescent="0.25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</row>
    <row r="852" spans="1:11" x14ac:dyDescent="0.25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</row>
    <row r="853" spans="1:11" x14ac:dyDescent="0.25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</row>
    <row r="854" spans="1:11" x14ac:dyDescent="0.25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</row>
    <row r="855" spans="1:11" x14ac:dyDescent="0.2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</row>
    <row r="856" spans="1:11" x14ac:dyDescent="0.25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</row>
    <row r="857" spans="1:11" x14ac:dyDescent="0.25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</row>
    <row r="858" spans="1:11" x14ac:dyDescent="0.25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</row>
    <row r="859" spans="1:11" x14ac:dyDescent="0.25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</row>
    <row r="860" spans="1:11" x14ac:dyDescent="0.25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</row>
    <row r="861" spans="1:11" x14ac:dyDescent="0.25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</row>
    <row r="862" spans="1:11" x14ac:dyDescent="0.25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</row>
    <row r="863" spans="1:11" x14ac:dyDescent="0.25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</row>
    <row r="864" spans="1:11" x14ac:dyDescent="0.25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</row>
    <row r="865" spans="1:11" x14ac:dyDescent="0.2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</row>
    <row r="866" spans="1:11" x14ac:dyDescent="0.25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</row>
    <row r="867" spans="1:11" x14ac:dyDescent="0.25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</row>
    <row r="868" spans="1:11" x14ac:dyDescent="0.25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</row>
    <row r="869" spans="1:11" x14ac:dyDescent="0.25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</row>
    <row r="870" spans="1:11" x14ac:dyDescent="0.25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</row>
    <row r="871" spans="1:11" x14ac:dyDescent="0.25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</row>
    <row r="872" spans="1:11" x14ac:dyDescent="0.25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</row>
    <row r="873" spans="1:11" x14ac:dyDescent="0.25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</row>
    <row r="874" spans="1:11" x14ac:dyDescent="0.25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</row>
    <row r="875" spans="1:11" x14ac:dyDescent="0.2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</row>
    <row r="876" spans="1:11" x14ac:dyDescent="0.25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</row>
    <row r="877" spans="1:11" x14ac:dyDescent="0.25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</row>
    <row r="878" spans="1:11" x14ac:dyDescent="0.25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</row>
    <row r="879" spans="1:11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</row>
    <row r="880" spans="1:11" x14ac:dyDescent="0.25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</row>
    <row r="881" spans="1:11" x14ac:dyDescent="0.25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</row>
    <row r="882" spans="1:11" x14ac:dyDescent="0.25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</row>
    <row r="883" spans="1:11" x14ac:dyDescent="0.25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</row>
    <row r="884" spans="1:11" x14ac:dyDescent="0.25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</row>
    <row r="885" spans="1:11" x14ac:dyDescent="0.2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</row>
    <row r="886" spans="1:11" x14ac:dyDescent="0.25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</row>
    <row r="887" spans="1:11" x14ac:dyDescent="0.25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</row>
    <row r="888" spans="1:11" x14ac:dyDescent="0.25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</row>
    <row r="889" spans="1:11" x14ac:dyDescent="0.25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</row>
    <row r="890" spans="1:11" x14ac:dyDescent="0.25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</row>
    <row r="891" spans="1:11" x14ac:dyDescent="0.25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</row>
    <row r="892" spans="1:11" x14ac:dyDescent="0.25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</row>
    <row r="893" spans="1:11" x14ac:dyDescent="0.25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</row>
    <row r="894" spans="1:11" x14ac:dyDescent="0.25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</row>
    <row r="895" spans="1:11" x14ac:dyDescent="0.2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</row>
    <row r="896" spans="1:11" x14ac:dyDescent="0.25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</row>
    <row r="897" spans="1:11" x14ac:dyDescent="0.25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</row>
    <row r="898" spans="1:11" x14ac:dyDescent="0.25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</row>
    <row r="899" spans="1:11" x14ac:dyDescent="0.25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</row>
    <row r="900" spans="1:11" x14ac:dyDescent="0.25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</row>
    <row r="901" spans="1:11" x14ac:dyDescent="0.25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</row>
    <row r="902" spans="1:11" x14ac:dyDescent="0.25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</row>
    <row r="903" spans="1:11" x14ac:dyDescent="0.25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</row>
    <row r="904" spans="1:11" x14ac:dyDescent="0.25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</row>
    <row r="905" spans="1:11" x14ac:dyDescent="0.2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</row>
    <row r="906" spans="1:11" x14ac:dyDescent="0.25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</row>
    <row r="907" spans="1:11" x14ac:dyDescent="0.25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</row>
    <row r="908" spans="1:11" x14ac:dyDescent="0.25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</row>
    <row r="909" spans="1:11" x14ac:dyDescent="0.25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</row>
    <row r="910" spans="1:11" x14ac:dyDescent="0.25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</row>
    <row r="911" spans="1:11" x14ac:dyDescent="0.25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</row>
    <row r="912" spans="1:11" x14ac:dyDescent="0.25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</row>
    <row r="913" spans="1:11" x14ac:dyDescent="0.25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</row>
    <row r="914" spans="1:11" x14ac:dyDescent="0.25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</row>
    <row r="915" spans="1:11" x14ac:dyDescent="0.2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</row>
    <row r="916" spans="1:11" x14ac:dyDescent="0.25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</row>
    <row r="917" spans="1:11" x14ac:dyDescent="0.25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</row>
    <row r="918" spans="1:11" x14ac:dyDescent="0.25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</row>
    <row r="919" spans="1:11" x14ac:dyDescent="0.25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</row>
    <row r="920" spans="1:11" x14ac:dyDescent="0.25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</row>
    <row r="921" spans="1:11" x14ac:dyDescent="0.25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</row>
    <row r="922" spans="1:11" x14ac:dyDescent="0.25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</row>
    <row r="923" spans="1:11" x14ac:dyDescent="0.25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</row>
    <row r="924" spans="1:11" x14ac:dyDescent="0.25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</row>
    <row r="925" spans="1:11" x14ac:dyDescent="0.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</row>
    <row r="926" spans="1:11" x14ac:dyDescent="0.25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</row>
    <row r="927" spans="1:11" x14ac:dyDescent="0.25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</row>
    <row r="928" spans="1:11" x14ac:dyDescent="0.25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</row>
    <row r="929" spans="1:11" x14ac:dyDescent="0.25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</row>
    <row r="930" spans="1:11" x14ac:dyDescent="0.25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</row>
    <row r="931" spans="1:11" x14ac:dyDescent="0.25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</row>
    <row r="932" spans="1:11" x14ac:dyDescent="0.25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</row>
    <row r="933" spans="1:11" x14ac:dyDescent="0.25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</row>
    <row r="934" spans="1:11" x14ac:dyDescent="0.25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</row>
    <row r="935" spans="1:11" x14ac:dyDescent="0.2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</row>
    <row r="936" spans="1:11" x14ac:dyDescent="0.25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</row>
    <row r="937" spans="1:11" x14ac:dyDescent="0.25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</row>
    <row r="938" spans="1:11" x14ac:dyDescent="0.25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</row>
    <row r="939" spans="1:11" x14ac:dyDescent="0.25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</row>
    <row r="940" spans="1:11" x14ac:dyDescent="0.25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</row>
    <row r="941" spans="1:11" x14ac:dyDescent="0.25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</row>
    <row r="942" spans="1:11" x14ac:dyDescent="0.25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</row>
    <row r="943" spans="1:11" x14ac:dyDescent="0.25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</row>
    <row r="944" spans="1:11" x14ac:dyDescent="0.25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</row>
    <row r="945" spans="1:11" x14ac:dyDescent="0.2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</row>
    <row r="946" spans="1:11" x14ac:dyDescent="0.25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</row>
    <row r="947" spans="1:11" x14ac:dyDescent="0.25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</row>
    <row r="948" spans="1:11" x14ac:dyDescent="0.25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</row>
    <row r="949" spans="1:11" x14ac:dyDescent="0.25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</row>
    <row r="950" spans="1:11" x14ac:dyDescent="0.25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</row>
    <row r="951" spans="1:11" x14ac:dyDescent="0.25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</row>
    <row r="952" spans="1:11" x14ac:dyDescent="0.25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</row>
    <row r="953" spans="1:11" x14ac:dyDescent="0.25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</row>
    <row r="954" spans="1:11" x14ac:dyDescent="0.25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</row>
    <row r="955" spans="1:11" x14ac:dyDescent="0.2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</row>
    <row r="956" spans="1:11" x14ac:dyDescent="0.25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</row>
    <row r="957" spans="1:11" x14ac:dyDescent="0.25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</row>
    <row r="958" spans="1:11" x14ac:dyDescent="0.25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</row>
    <row r="959" spans="1:11" x14ac:dyDescent="0.25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</row>
    <row r="960" spans="1:11" x14ac:dyDescent="0.25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</row>
    <row r="961" spans="1:11" x14ac:dyDescent="0.25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</row>
    <row r="962" spans="1:11" x14ac:dyDescent="0.25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</row>
    <row r="963" spans="1:11" x14ac:dyDescent="0.25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</row>
    <row r="964" spans="1:11" x14ac:dyDescent="0.25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</row>
    <row r="965" spans="1:11" x14ac:dyDescent="0.2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</row>
    <row r="966" spans="1:11" x14ac:dyDescent="0.25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</row>
    <row r="967" spans="1:11" x14ac:dyDescent="0.25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</row>
    <row r="968" spans="1:11" x14ac:dyDescent="0.25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</row>
    <row r="969" spans="1:11" x14ac:dyDescent="0.25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</row>
    <row r="970" spans="1:11" x14ac:dyDescent="0.25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</row>
    <row r="971" spans="1:11" x14ac:dyDescent="0.25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</row>
    <row r="972" spans="1:11" x14ac:dyDescent="0.25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</row>
    <row r="973" spans="1:11" x14ac:dyDescent="0.25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</row>
    <row r="974" spans="1:11" x14ac:dyDescent="0.25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</row>
    <row r="975" spans="1:11" x14ac:dyDescent="0.2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</row>
    <row r="976" spans="1:11" x14ac:dyDescent="0.25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</row>
    <row r="977" spans="1:11" x14ac:dyDescent="0.25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</row>
    <row r="978" spans="1:11" x14ac:dyDescent="0.25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</row>
    <row r="979" spans="1:11" x14ac:dyDescent="0.25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</row>
    <row r="980" spans="1:11" x14ac:dyDescent="0.25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</row>
    <row r="981" spans="1:11" x14ac:dyDescent="0.25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</row>
    <row r="982" spans="1:11" x14ac:dyDescent="0.25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</row>
    <row r="983" spans="1:11" x14ac:dyDescent="0.25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</row>
    <row r="984" spans="1:11" x14ac:dyDescent="0.25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</row>
    <row r="985" spans="1:11" x14ac:dyDescent="0.2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</row>
    <row r="986" spans="1:11" x14ac:dyDescent="0.25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</row>
    <row r="987" spans="1:11" x14ac:dyDescent="0.25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</row>
    <row r="988" spans="1:11" x14ac:dyDescent="0.25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</row>
    <row r="989" spans="1:11" x14ac:dyDescent="0.25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</row>
    <row r="990" spans="1:11" x14ac:dyDescent="0.25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</row>
    <row r="991" spans="1:11" x14ac:dyDescent="0.25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</row>
    <row r="992" spans="1:11" x14ac:dyDescent="0.25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</row>
    <row r="993" spans="1:11" x14ac:dyDescent="0.25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</row>
    <row r="994" spans="1:11" x14ac:dyDescent="0.25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</row>
    <row r="995" spans="1:11" x14ac:dyDescent="0.2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</row>
    <row r="996" spans="1:11" x14ac:dyDescent="0.25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</row>
    <row r="997" spans="1:11" x14ac:dyDescent="0.25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</row>
    <row r="998" spans="1:11" x14ac:dyDescent="0.25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</row>
    <row r="999" spans="1:11" x14ac:dyDescent="0.25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</row>
    <row r="1000" spans="1:11" x14ac:dyDescent="0.25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</row>
    <row r="1001" spans="1:11" x14ac:dyDescent="0.25">
      <c r="A1001" s="44"/>
      <c r="B1001" s="44"/>
      <c r="C1001" s="44"/>
      <c r="D1001" s="44"/>
      <c r="E1001" s="44"/>
      <c r="F1001" s="44"/>
      <c r="G1001" s="44"/>
      <c r="H1001" s="44"/>
      <c r="I1001" s="44"/>
      <c r="J1001" s="44"/>
      <c r="K1001" s="44"/>
    </row>
    <row r="1002" spans="1:11" x14ac:dyDescent="0.25">
      <c r="A1002" s="44"/>
      <c r="B1002" s="44"/>
      <c r="C1002" s="44"/>
      <c r="D1002" s="44"/>
      <c r="E1002" s="44"/>
      <c r="F1002" s="44"/>
      <c r="G1002" s="44"/>
      <c r="H1002" s="44"/>
      <c r="I1002" s="44"/>
      <c r="J1002" s="44"/>
      <c r="K1002" s="44"/>
    </row>
  </sheetData>
  <mergeCells count="13">
    <mergeCell ref="J181:K181"/>
    <mergeCell ref="J31:K31"/>
    <mergeCell ref="J37:K37"/>
    <mergeCell ref="J39:K39"/>
    <mergeCell ref="J52:K52"/>
    <mergeCell ref="J75:K75"/>
    <mergeCell ref="J76:K76"/>
    <mergeCell ref="J97:K97"/>
    <mergeCell ref="J121:K121"/>
    <mergeCell ref="J126:K126"/>
    <mergeCell ref="J137:K137"/>
    <mergeCell ref="J165:K165"/>
    <mergeCell ref="J166:K16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W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3" x14ac:dyDescent="0.25">
      <c r="A1" s="50" t="s">
        <v>0</v>
      </c>
      <c r="B1" s="50" t="s">
        <v>4354</v>
      </c>
      <c r="C1" s="50" t="s">
        <v>4355</v>
      </c>
      <c r="D1" s="50" t="s">
        <v>6</v>
      </c>
      <c r="E1" s="50" t="s">
        <v>4356</v>
      </c>
      <c r="F1" s="50" t="s">
        <v>4357</v>
      </c>
      <c r="G1" s="50" t="s">
        <v>4358</v>
      </c>
      <c r="H1" s="50" t="s">
        <v>4359</v>
      </c>
      <c r="I1" s="50" t="s">
        <v>4360</v>
      </c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</row>
    <row r="2" spans="1:23" x14ac:dyDescent="0.25">
      <c r="A2" s="44" t="s">
        <v>4191</v>
      </c>
      <c r="B2" s="20">
        <v>6959520635.2999992</v>
      </c>
      <c r="C2" s="20">
        <v>9275682806.9500008</v>
      </c>
      <c r="D2" s="44">
        <f t="shared" ref="D2:D187" si="0">((C2-B2)/B2)*100</f>
        <v>33.280484289420606</v>
      </c>
      <c r="E2" s="39">
        <v>1</v>
      </c>
      <c r="F2" s="39">
        <v>0</v>
      </c>
      <c r="G2" s="39">
        <v>0</v>
      </c>
      <c r="H2" s="44">
        <f t="shared" ref="H2:H187" si="1">(E2/(E2+F2+G2))*100</f>
        <v>100</v>
      </c>
      <c r="I2" s="44">
        <f t="shared" ref="I2:I187" si="2">(F2/(E2+F2+G2))*100</f>
        <v>0</v>
      </c>
      <c r="J2" s="8"/>
      <c r="K2" s="8"/>
      <c r="L2" s="8"/>
    </row>
    <row r="3" spans="1:23" x14ac:dyDescent="0.25">
      <c r="A3" s="44" t="s">
        <v>4053</v>
      </c>
      <c r="B3" s="20">
        <v>20665654067.299999</v>
      </c>
      <c r="C3" s="20">
        <v>27285723942.650002</v>
      </c>
      <c r="D3" s="44">
        <f t="shared" si="0"/>
        <v>32.034165740851989</v>
      </c>
      <c r="E3" s="39">
        <v>4</v>
      </c>
      <c r="F3" s="39">
        <v>0</v>
      </c>
      <c r="G3" s="39">
        <v>0</v>
      </c>
      <c r="H3" s="44">
        <f t="shared" si="1"/>
        <v>100</v>
      </c>
      <c r="I3" s="44">
        <f t="shared" si="2"/>
        <v>0</v>
      </c>
      <c r="J3" s="8"/>
      <c r="K3" s="8"/>
      <c r="L3" s="8"/>
    </row>
    <row r="4" spans="1:23" x14ac:dyDescent="0.25">
      <c r="A4" s="44" t="s">
        <v>3454</v>
      </c>
      <c r="B4" s="20">
        <v>36273056577.839996</v>
      </c>
      <c r="C4" s="20">
        <v>46467248021.849998</v>
      </c>
      <c r="D4" s="44">
        <f t="shared" si="0"/>
        <v>28.104032044098144</v>
      </c>
      <c r="E4" s="39">
        <v>5</v>
      </c>
      <c r="F4" s="39">
        <v>0</v>
      </c>
      <c r="G4" s="39">
        <v>0</v>
      </c>
      <c r="H4" s="44">
        <f t="shared" si="1"/>
        <v>100</v>
      </c>
      <c r="I4" s="44">
        <f t="shared" si="2"/>
        <v>0</v>
      </c>
      <c r="J4" s="8"/>
      <c r="K4" s="8"/>
      <c r="L4" s="8"/>
    </row>
    <row r="5" spans="1:23" x14ac:dyDescent="0.25">
      <c r="A5" s="44" t="s">
        <v>2778</v>
      </c>
      <c r="B5" s="20">
        <v>3856389274.4099998</v>
      </c>
      <c r="C5" s="20">
        <v>4876529210.3999996</v>
      </c>
      <c r="D5" s="44">
        <f t="shared" si="0"/>
        <v>26.453240671510631</v>
      </c>
      <c r="E5" s="39">
        <v>2</v>
      </c>
      <c r="F5" s="39">
        <v>0</v>
      </c>
      <c r="G5" s="39">
        <v>0</v>
      </c>
      <c r="H5" s="44">
        <f t="shared" si="1"/>
        <v>100</v>
      </c>
      <c r="I5" s="44">
        <f t="shared" si="2"/>
        <v>0</v>
      </c>
      <c r="J5" s="8"/>
      <c r="K5" s="8"/>
      <c r="L5" s="8"/>
    </row>
    <row r="6" spans="1:23" x14ac:dyDescent="0.25">
      <c r="A6" s="44" t="s">
        <v>642</v>
      </c>
      <c r="B6" s="20">
        <v>1613470543518.8501</v>
      </c>
      <c r="C6" s="20">
        <v>2039033499751.1001</v>
      </c>
      <c r="D6" s="44">
        <f t="shared" si="0"/>
        <v>26.375626003318985</v>
      </c>
      <c r="E6" s="39">
        <v>4</v>
      </c>
      <c r="F6" s="39">
        <v>0</v>
      </c>
      <c r="G6" s="39">
        <v>0</v>
      </c>
      <c r="H6" s="44">
        <f t="shared" si="1"/>
        <v>100</v>
      </c>
      <c r="I6" s="44">
        <f t="shared" si="2"/>
        <v>0</v>
      </c>
      <c r="J6" s="8"/>
      <c r="K6" s="8"/>
      <c r="L6" s="8"/>
    </row>
    <row r="7" spans="1:23" x14ac:dyDescent="0.25">
      <c r="A7" s="44" t="s">
        <v>4068</v>
      </c>
      <c r="B7" s="20">
        <v>41671343608.399994</v>
      </c>
      <c r="C7" s="20">
        <v>52143872875.599998</v>
      </c>
      <c r="D7" s="44">
        <f t="shared" si="0"/>
        <v>25.131249343947193</v>
      </c>
      <c r="E7" s="39">
        <v>2</v>
      </c>
      <c r="F7" s="39">
        <v>0</v>
      </c>
      <c r="G7" s="39">
        <v>0</v>
      </c>
      <c r="H7" s="44">
        <f t="shared" si="1"/>
        <v>100</v>
      </c>
      <c r="I7" s="44">
        <f t="shared" si="2"/>
        <v>0</v>
      </c>
      <c r="J7" s="8"/>
      <c r="K7" s="8"/>
      <c r="L7" s="8"/>
    </row>
    <row r="8" spans="1:23" x14ac:dyDescent="0.25">
      <c r="A8" s="44" t="s">
        <v>3874</v>
      </c>
      <c r="B8" s="20">
        <v>233755442151.35001</v>
      </c>
      <c r="C8" s="20">
        <v>292239863911.75</v>
      </c>
      <c r="D8" s="44">
        <f t="shared" si="0"/>
        <v>25.019490978324686</v>
      </c>
      <c r="E8" s="39">
        <v>2</v>
      </c>
      <c r="F8" s="39">
        <v>0</v>
      </c>
      <c r="G8" s="39">
        <v>0</v>
      </c>
      <c r="H8" s="44">
        <f t="shared" si="1"/>
        <v>100</v>
      </c>
      <c r="I8" s="44">
        <f t="shared" si="2"/>
        <v>0</v>
      </c>
      <c r="J8" s="8"/>
      <c r="K8" s="8"/>
      <c r="L8" s="8"/>
    </row>
    <row r="9" spans="1:23" x14ac:dyDescent="0.25">
      <c r="A9" s="44" t="s">
        <v>2825</v>
      </c>
      <c r="B9" s="20">
        <v>2390943287</v>
      </c>
      <c r="C9" s="20">
        <v>2923738903.5500002</v>
      </c>
      <c r="D9" s="44">
        <f t="shared" si="0"/>
        <v>22.283908591513164</v>
      </c>
      <c r="E9" s="39">
        <v>2</v>
      </c>
      <c r="F9" s="39">
        <v>0</v>
      </c>
      <c r="G9" s="39">
        <v>0</v>
      </c>
      <c r="H9" s="44">
        <f t="shared" si="1"/>
        <v>100</v>
      </c>
      <c r="I9" s="44">
        <f t="shared" si="2"/>
        <v>0</v>
      </c>
      <c r="J9" s="8"/>
      <c r="K9" s="8"/>
      <c r="L9" s="8"/>
    </row>
    <row r="10" spans="1:23" x14ac:dyDescent="0.25">
      <c r="A10" s="44" t="s">
        <v>4168</v>
      </c>
      <c r="B10" s="20">
        <v>132132255342</v>
      </c>
      <c r="C10" s="20">
        <v>161316632548.79999</v>
      </c>
      <c r="D10" s="44">
        <f t="shared" si="0"/>
        <v>22.087246699348015</v>
      </c>
      <c r="E10" s="39">
        <v>4</v>
      </c>
      <c r="F10" s="39">
        <v>0</v>
      </c>
      <c r="G10" s="39">
        <v>0</v>
      </c>
      <c r="H10" s="44">
        <f t="shared" si="1"/>
        <v>100</v>
      </c>
      <c r="I10" s="44">
        <f t="shared" si="2"/>
        <v>0</v>
      </c>
      <c r="J10" s="8"/>
      <c r="K10" s="8"/>
      <c r="L10" s="8"/>
    </row>
    <row r="11" spans="1:23" x14ac:dyDescent="0.25">
      <c r="A11" s="51" t="s">
        <v>2567</v>
      </c>
      <c r="B11" s="20">
        <v>189194165922</v>
      </c>
      <c r="C11" s="20">
        <v>230405812825.5</v>
      </c>
      <c r="D11" s="44">
        <f t="shared" si="0"/>
        <v>21.782726070152989</v>
      </c>
      <c r="E11" s="39">
        <v>3</v>
      </c>
      <c r="F11" s="39">
        <v>0</v>
      </c>
      <c r="G11" s="39">
        <v>0</v>
      </c>
      <c r="H11" s="44">
        <f t="shared" si="1"/>
        <v>100</v>
      </c>
      <c r="I11" s="44">
        <f t="shared" si="2"/>
        <v>0</v>
      </c>
      <c r="J11" s="8"/>
      <c r="K11" s="8"/>
      <c r="L11" s="8"/>
    </row>
    <row r="12" spans="1:23" x14ac:dyDescent="0.25">
      <c r="A12" s="44" t="s">
        <v>4051</v>
      </c>
      <c r="B12" s="20">
        <v>39411379586.800003</v>
      </c>
      <c r="C12" s="20">
        <v>46904689784</v>
      </c>
      <c r="D12" s="44">
        <f t="shared" si="0"/>
        <v>19.013062409288814</v>
      </c>
      <c r="E12" s="39">
        <v>1</v>
      </c>
      <c r="F12" s="39">
        <v>0</v>
      </c>
      <c r="G12" s="39">
        <v>0</v>
      </c>
      <c r="H12" s="44">
        <f t="shared" si="1"/>
        <v>100</v>
      </c>
      <c r="I12" s="44">
        <f t="shared" si="2"/>
        <v>0</v>
      </c>
      <c r="J12" s="8"/>
      <c r="K12" s="8"/>
      <c r="L12" s="8"/>
    </row>
    <row r="13" spans="1:23" x14ac:dyDescent="0.25">
      <c r="A13" s="44" t="s">
        <v>9</v>
      </c>
      <c r="B13" s="20">
        <v>3714957454660.02</v>
      </c>
      <c r="C13" s="20">
        <v>4377312142528.3203</v>
      </c>
      <c r="D13" s="44">
        <f t="shared" si="0"/>
        <v>17.829401707883534</v>
      </c>
      <c r="E13" s="39">
        <v>7</v>
      </c>
      <c r="F13" s="39">
        <v>0</v>
      </c>
      <c r="G13" s="39">
        <v>0</v>
      </c>
      <c r="H13" s="44">
        <f t="shared" si="1"/>
        <v>100</v>
      </c>
      <c r="I13" s="44">
        <f t="shared" si="2"/>
        <v>0</v>
      </c>
      <c r="J13" s="8"/>
      <c r="K13" s="8"/>
      <c r="L13" s="8"/>
    </row>
    <row r="14" spans="1:23" x14ac:dyDescent="0.25">
      <c r="A14" s="44" t="s">
        <v>831</v>
      </c>
      <c r="B14" s="20">
        <v>210117711226.65002</v>
      </c>
      <c r="C14" s="20">
        <v>245391580601.25</v>
      </c>
      <c r="D14" s="44">
        <f t="shared" si="0"/>
        <v>16.787670667395911</v>
      </c>
      <c r="E14" s="39">
        <v>6</v>
      </c>
      <c r="F14" s="39">
        <v>0</v>
      </c>
      <c r="G14" s="39">
        <v>0</v>
      </c>
      <c r="H14" s="44">
        <f t="shared" si="1"/>
        <v>100</v>
      </c>
      <c r="I14" s="44">
        <f t="shared" si="2"/>
        <v>0</v>
      </c>
      <c r="J14" s="8"/>
      <c r="K14" s="8"/>
      <c r="L14" s="8"/>
    </row>
    <row r="15" spans="1:23" x14ac:dyDescent="0.25">
      <c r="A15" s="44" t="s">
        <v>3262</v>
      </c>
      <c r="B15" s="20">
        <v>1289775319194.45</v>
      </c>
      <c r="C15" s="20">
        <v>1491579197582.05</v>
      </c>
      <c r="D15" s="44">
        <f t="shared" si="0"/>
        <v>15.646436661048838</v>
      </c>
      <c r="E15" s="39">
        <v>7</v>
      </c>
      <c r="F15" s="39">
        <v>0</v>
      </c>
      <c r="G15" s="39">
        <v>0</v>
      </c>
      <c r="H15" s="44">
        <f t="shared" si="1"/>
        <v>100</v>
      </c>
      <c r="I15" s="44">
        <f t="shared" si="2"/>
        <v>0</v>
      </c>
      <c r="J15" s="69" t="s">
        <v>4396</v>
      </c>
      <c r="K15" s="67"/>
      <c r="L15" s="8"/>
    </row>
    <row r="16" spans="1:23" x14ac:dyDescent="0.25">
      <c r="A16" s="44" t="s">
        <v>183</v>
      </c>
      <c r="B16" s="20">
        <v>967252456510.19006</v>
      </c>
      <c r="C16" s="20">
        <v>1082245371853.65</v>
      </c>
      <c r="D16" s="44">
        <f t="shared" si="0"/>
        <v>11.888614453185262</v>
      </c>
      <c r="E16" s="39">
        <v>5</v>
      </c>
      <c r="F16" s="39">
        <v>0</v>
      </c>
      <c r="G16" s="39">
        <v>0</v>
      </c>
      <c r="H16" s="44">
        <f t="shared" si="1"/>
        <v>100</v>
      </c>
      <c r="I16" s="44">
        <f t="shared" si="2"/>
        <v>0</v>
      </c>
      <c r="J16" s="8"/>
      <c r="K16" s="8"/>
      <c r="L16" s="8"/>
    </row>
    <row r="17" spans="1:12" x14ac:dyDescent="0.25">
      <c r="A17" s="44" t="s">
        <v>342</v>
      </c>
      <c r="B17" s="20">
        <v>1198140723844.4502</v>
      </c>
      <c r="C17" s="20">
        <v>1325233609466.8501</v>
      </c>
      <c r="D17" s="44">
        <f t="shared" si="0"/>
        <v>10.607509042393575</v>
      </c>
      <c r="E17" s="39">
        <v>3</v>
      </c>
      <c r="F17" s="39">
        <v>0</v>
      </c>
      <c r="G17" s="39">
        <v>0</v>
      </c>
      <c r="H17" s="44">
        <f t="shared" si="1"/>
        <v>100</v>
      </c>
      <c r="I17" s="44">
        <f t="shared" si="2"/>
        <v>0</v>
      </c>
      <c r="J17" s="8"/>
      <c r="K17" s="8"/>
      <c r="L17" s="8"/>
    </row>
    <row r="18" spans="1:12" x14ac:dyDescent="0.25">
      <c r="A18" s="44" t="s">
        <v>3690</v>
      </c>
      <c r="B18" s="20">
        <v>152093163057.20001</v>
      </c>
      <c r="C18" s="20">
        <v>168165979530.64999</v>
      </c>
      <c r="D18" s="44">
        <f t="shared" si="0"/>
        <v>10.567744236738131</v>
      </c>
      <c r="E18" s="39">
        <v>3</v>
      </c>
      <c r="F18" s="39">
        <v>0</v>
      </c>
      <c r="G18" s="39">
        <v>0</v>
      </c>
      <c r="H18" s="44">
        <f t="shared" si="1"/>
        <v>100</v>
      </c>
      <c r="I18" s="44">
        <f t="shared" si="2"/>
        <v>0</v>
      </c>
      <c r="J18" s="8"/>
      <c r="K18" s="8"/>
      <c r="L18" s="8"/>
    </row>
    <row r="19" spans="1:12" x14ac:dyDescent="0.25">
      <c r="A19" s="44" t="s">
        <v>1584</v>
      </c>
      <c r="B19" s="20">
        <v>512373237593.5</v>
      </c>
      <c r="C19" s="20">
        <v>565554583728.90002</v>
      </c>
      <c r="D19" s="44">
        <f t="shared" si="0"/>
        <v>10.379415284291712</v>
      </c>
      <c r="E19" s="39">
        <v>4</v>
      </c>
      <c r="F19" s="39">
        <v>0</v>
      </c>
      <c r="G19" s="39">
        <v>0</v>
      </c>
      <c r="H19" s="44">
        <f t="shared" si="1"/>
        <v>100</v>
      </c>
      <c r="I19" s="44">
        <f t="shared" si="2"/>
        <v>0</v>
      </c>
      <c r="J19" s="8"/>
      <c r="K19" s="8"/>
      <c r="L19" s="8"/>
    </row>
    <row r="20" spans="1:12" x14ac:dyDescent="0.25">
      <c r="A20" s="44" t="s">
        <v>4210</v>
      </c>
      <c r="B20" s="20">
        <v>28013403090.899998</v>
      </c>
      <c r="C20" s="20">
        <v>30852157951.5</v>
      </c>
      <c r="D20" s="44">
        <f t="shared" si="0"/>
        <v>10.133559465762145</v>
      </c>
      <c r="E20" s="39">
        <v>1</v>
      </c>
      <c r="F20" s="39">
        <v>0</v>
      </c>
      <c r="G20" s="39">
        <v>0</v>
      </c>
      <c r="H20" s="44">
        <f t="shared" si="1"/>
        <v>100</v>
      </c>
      <c r="I20" s="44">
        <f t="shared" si="2"/>
        <v>0</v>
      </c>
      <c r="J20" s="8"/>
      <c r="K20" s="8"/>
      <c r="L20" s="8"/>
    </row>
    <row r="21" spans="1:12" x14ac:dyDescent="0.25">
      <c r="A21" s="44" t="s">
        <v>2721</v>
      </c>
      <c r="B21" s="20">
        <v>6459417767741.8291</v>
      </c>
      <c r="C21" s="20">
        <v>7085024885893.9004</v>
      </c>
      <c r="D21" s="44">
        <f t="shared" si="0"/>
        <v>9.6851936296230541</v>
      </c>
      <c r="E21" s="39">
        <v>8</v>
      </c>
      <c r="F21" s="39">
        <v>0</v>
      </c>
      <c r="G21" s="39">
        <v>0</v>
      </c>
      <c r="H21" s="44">
        <f t="shared" si="1"/>
        <v>100</v>
      </c>
      <c r="I21" s="44">
        <f t="shared" si="2"/>
        <v>0</v>
      </c>
      <c r="J21" s="8"/>
      <c r="K21" s="8"/>
      <c r="L21" s="8"/>
    </row>
    <row r="22" spans="1:12" x14ac:dyDescent="0.25">
      <c r="A22" s="44" t="s">
        <v>4128</v>
      </c>
      <c r="B22" s="20">
        <v>26785962500</v>
      </c>
      <c r="C22" s="20">
        <v>29233875000</v>
      </c>
      <c r="D22" s="44">
        <f t="shared" si="0"/>
        <v>9.1387886472252031</v>
      </c>
      <c r="E22" s="39">
        <v>1</v>
      </c>
      <c r="F22" s="39">
        <v>0</v>
      </c>
      <c r="G22" s="39">
        <v>0</v>
      </c>
      <c r="H22" s="44">
        <f t="shared" si="1"/>
        <v>100</v>
      </c>
      <c r="I22" s="44">
        <f t="shared" si="2"/>
        <v>0</v>
      </c>
      <c r="J22" s="8"/>
      <c r="K22" s="8"/>
      <c r="L22" s="8"/>
    </row>
    <row r="23" spans="1:12" x14ac:dyDescent="0.25">
      <c r="A23" s="44" t="s">
        <v>3402</v>
      </c>
      <c r="B23" s="20">
        <v>7320666630490.25</v>
      </c>
      <c r="C23" s="20">
        <v>7989195213744.1191</v>
      </c>
      <c r="D23" s="44">
        <f t="shared" si="0"/>
        <v>9.1320724873535077</v>
      </c>
      <c r="E23" s="39">
        <v>7</v>
      </c>
      <c r="F23" s="39">
        <v>0</v>
      </c>
      <c r="G23" s="39">
        <v>0</v>
      </c>
      <c r="H23" s="44">
        <f t="shared" si="1"/>
        <v>100</v>
      </c>
      <c r="I23" s="44">
        <f t="shared" si="2"/>
        <v>0</v>
      </c>
      <c r="J23" s="8"/>
      <c r="K23" s="8"/>
      <c r="L23" s="8"/>
    </row>
    <row r="24" spans="1:12" x14ac:dyDescent="0.25">
      <c r="A24" s="44" t="s">
        <v>350</v>
      </c>
      <c r="B24" s="20">
        <v>1048203633689.3401</v>
      </c>
      <c r="C24" s="20">
        <v>1130618510415.77</v>
      </c>
      <c r="D24" s="44">
        <f t="shared" si="0"/>
        <v>7.8624872188580417</v>
      </c>
      <c r="E24" s="39">
        <v>6</v>
      </c>
      <c r="F24" s="39">
        <v>0</v>
      </c>
      <c r="G24" s="39">
        <v>0</v>
      </c>
      <c r="H24" s="44">
        <f t="shared" si="1"/>
        <v>100</v>
      </c>
      <c r="I24" s="44">
        <f t="shared" si="2"/>
        <v>0</v>
      </c>
      <c r="J24" s="8"/>
      <c r="K24" s="8"/>
      <c r="L24" s="8"/>
    </row>
    <row r="25" spans="1:12" x14ac:dyDescent="0.25">
      <c r="A25" s="44" t="s">
        <v>2892</v>
      </c>
      <c r="B25" s="20">
        <v>2532979676069.1001</v>
      </c>
      <c r="C25" s="20">
        <v>2694704096751</v>
      </c>
      <c r="D25" s="44">
        <f t="shared" si="0"/>
        <v>6.3847500321391459</v>
      </c>
      <c r="E25" s="39">
        <v>3</v>
      </c>
      <c r="F25" s="39">
        <v>0</v>
      </c>
      <c r="G25" s="39">
        <v>0</v>
      </c>
      <c r="H25" s="44">
        <f t="shared" si="1"/>
        <v>100</v>
      </c>
      <c r="I25" s="44">
        <f t="shared" si="2"/>
        <v>0</v>
      </c>
      <c r="J25" s="8"/>
      <c r="K25" s="8"/>
      <c r="L25" s="8"/>
    </row>
    <row r="26" spans="1:12" x14ac:dyDescent="0.25">
      <c r="A26" s="44" t="s">
        <v>4133</v>
      </c>
      <c r="B26" s="20">
        <v>4945061255.4000006</v>
      </c>
      <c r="C26" s="20">
        <v>5193673128</v>
      </c>
      <c r="D26" s="44">
        <f t="shared" si="0"/>
        <v>5.0274781192753792</v>
      </c>
      <c r="E26" s="39">
        <v>1</v>
      </c>
      <c r="F26" s="39">
        <v>0</v>
      </c>
      <c r="G26" s="39">
        <v>0</v>
      </c>
      <c r="H26" s="44">
        <f t="shared" si="1"/>
        <v>100</v>
      </c>
      <c r="I26" s="44">
        <f t="shared" si="2"/>
        <v>0</v>
      </c>
      <c r="J26" s="8"/>
      <c r="K26" s="8"/>
      <c r="L26" s="8"/>
    </row>
    <row r="27" spans="1:12" x14ac:dyDescent="0.25">
      <c r="A27" s="44" t="s">
        <v>2816</v>
      </c>
      <c r="B27" s="20">
        <v>430869314620.65002</v>
      </c>
      <c r="C27" s="20">
        <v>447162238911.25</v>
      </c>
      <c r="D27" s="44">
        <f t="shared" si="0"/>
        <v>3.7814074332363967</v>
      </c>
      <c r="E27" s="39">
        <v>2</v>
      </c>
      <c r="F27" s="39">
        <v>0</v>
      </c>
      <c r="G27" s="39">
        <v>0</v>
      </c>
      <c r="H27" s="44">
        <f t="shared" si="1"/>
        <v>100</v>
      </c>
      <c r="I27" s="44">
        <f t="shared" si="2"/>
        <v>0</v>
      </c>
      <c r="J27" s="8"/>
      <c r="K27" s="8"/>
      <c r="L27" s="8"/>
    </row>
    <row r="28" spans="1:12" x14ac:dyDescent="0.25">
      <c r="A28" s="44" t="s">
        <v>3118</v>
      </c>
      <c r="B28" s="20">
        <v>10342983461787.551</v>
      </c>
      <c r="C28" s="20">
        <v>10585137003044.75</v>
      </c>
      <c r="D28" s="44">
        <f t="shared" si="0"/>
        <v>2.3412349265745465</v>
      </c>
      <c r="E28" s="39">
        <v>3</v>
      </c>
      <c r="F28" s="39">
        <v>0</v>
      </c>
      <c r="G28" s="39">
        <v>0</v>
      </c>
      <c r="H28" s="44">
        <f t="shared" si="1"/>
        <v>100</v>
      </c>
      <c r="I28" s="44">
        <f t="shared" si="2"/>
        <v>0</v>
      </c>
      <c r="J28" s="8"/>
      <c r="K28" s="8"/>
      <c r="L28" s="8"/>
    </row>
    <row r="29" spans="1:12" x14ac:dyDescent="0.25">
      <c r="A29" s="44" t="s">
        <v>3663</v>
      </c>
      <c r="B29" s="20">
        <v>94205354710.099991</v>
      </c>
      <c r="C29" s="20">
        <v>95166654398.099991</v>
      </c>
      <c r="D29" s="44">
        <f t="shared" si="0"/>
        <v>1.0204299861278869</v>
      </c>
      <c r="E29" s="39">
        <v>2</v>
      </c>
      <c r="F29" s="39">
        <v>0</v>
      </c>
      <c r="G29" s="39">
        <v>0</v>
      </c>
      <c r="H29" s="44">
        <f t="shared" si="1"/>
        <v>100</v>
      </c>
      <c r="I29" s="44">
        <f t="shared" si="2"/>
        <v>0</v>
      </c>
      <c r="J29" s="8"/>
      <c r="K29" s="8"/>
      <c r="L29" s="8"/>
    </row>
    <row r="30" spans="1:12" x14ac:dyDescent="0.25">
      <c r="A30" s="44" t="s">
        <v>3475</v>
      </c>
      <c r="B30" s="20">
        <v>8220361455628.1299</v>
      </c>
      <c r="C30" s="20">
        <v>9489756498094.8691</v>
      </c>
      <c r="D30" s="44">
        <f t="shared" si="0"/>
        <v>15.442083043655444</v>
      </c>
      <c r="E30" s="39">
        <v>30</v>
      </c>
      <c r="F30" s="39">
        <v>3</v>
      </c>
      <c r="G30" s="39">
        <v>1</v>
      </c>
      <c r="H30" s="44">
        <f t="shared" si="1"/>
        <v>88.235294117647058</v>
      </c>
      <c r="I30" s="44">
        <f t="shared" si="2"/>
        <v>8.8235294117647065</v>
      </c>
      <c r="J30" s="8"/>
      <c r="K30" s="8"/>
      <c r="L30" s="8"/>
    </row>
    <row r="31" spans="1:12" x14ac:dyDescent="0.25">
      <c r="A31" s="44" t="s">
        <v>2787</v>
      </c>
      <c r="B31" s="20">
        <v>670300197481.94995</v>
      </c>
      <c r="C31" s="20">
        <v>721581640552.16992</v>
      </c>
      <c r="D31" s="44">
        <f t="shared" si="0"/>
        <v>7.6505188664517583</v>
      </c>
      <c r="E31" s="39">
        <v>7</v>
      </c>
      <c r="F31" s="39">
        <v>1</v>
      </c>
      <c r="G31" s="39">
        <v>0</v>
      </c>
      <c r="H31" s="44">
        <f t="shared" si="1"/>
        <v>87.5</v>
      </c>
      <c r="I31" s="44">
        <f t="shared" si="2"/>
        <v>12.5</v>
      </c>
      <c r="J31" s="8"/>
      <c r="K31" s="8"/>
      <c r="L31" s="8"/>
    </row>
    <row r="32" spans="1:12" x14ac:dyDescent="0.25">
      <c r="A32" s="44" t="s">
        <v>1136</v>
      </c>
      <c r="B32" s="20">
        <v>7194983803488.3008</v>
      </c>
      <c r="C32" s="20">
        <v>7764896141786.4922</v>
      </c>
      <c r="D32" s="44">
        <f t="shared" si="0"/>
        <v>7.9209676333376073</v>
      </c>
      <c r="E32" s="39">
        <v>37</v>
      </c>
      <c r="F32" s="39">
        <v>4</v>
      </c>
      <c r="G32" s="39">
        <v>2</v>
      </c>
      <c r="H32" s="44">
        <f t="shared" si="1"/>
        <v>86.04651162790698</v>
      </c>
      <c r="I32" s="44">
        <f t="shared" si="2"/>
        <v>9.3023255813953494</v>
      </c>
      <c r="J32" s="8"/>
      <c r="K32" s="8"/>
      <c r="L32" s="8"/>
    </row>
    <row r="33" spans="1:12" x14ac:dyDescent="0.25">
      <c r="A33" s="44" t="s">
        <v>1907</v>
      </c>
      <c r="B33" s="20">
        <v>773926827078.47009</v>
      </c>
      <c r="C33" s="20">
        <v>905950439953.76013</v>
      </c>
      <c r="D33" s="44">
        <f t="shared" si="0"/>
        <v>17.058927053048631</v>
      </c>
      <c r="E33" s="39">
        <v>12</v>
      </c>
      <c r="F33" s="39">
        <v>2</v>
      </c>
      <c r="G33" s="39">
        <v>0</v>
      </c>
      <c r="H33" s="44">
        <f t="shared" si="1"/>
        <v>85.714285714285708</v>
      </c>
      <c r="I33" s="44">
        <f t="shared" si="2"/>
        <v>14.285714285714285</v>
      </c>
      <c r="J33" s="8"/>
      <c r="K33" s="8"/>
      <c r="L33" s="8"/>
    </row>
    <row r="34" spans="1:12" x14ac:dyDescent="0.25">
      <c r="A34" s="44" t="s">
        <v>680</v>
      </c>
      <c r="B34" s="20">
        <v>24914741826338.539</v>
      </c>
      <c r="C34" s="20">
        <v>26132330053950.949</v>
      </c>
      <c r="D34" s="44">
        <f t="shared" si="0"/>
        <v>4.8870192438648541</v>
      </c>
      <c r="E34" s="39">
        <v>17</v>
      </c>
      <c r="F34" s="39">
        <v>3</v>
      </c>
      <c r="G34" s="39">
        <v>0</v>
      </c>
      <c r="H34" s="44">
        <f t="shared" si="1"/>
        <v>85</v>
      </c>
      <c r="I34" s="44">
        <f t="shared" si="2"/>
        <v>15</v>
      </c>
      <c r="J34" s="8"/>
      <c r="K34" s="8"/>
      <c r="L34" s="8"/>
    </row>
    <row r="35" spans="1:12" x14ac:dyDescent="0.25">
      <c r="A35" s="44" t="s">
        <v>1807</v>
      </c>
      <c r="B35" s="20">
        <v>1567607776647.6099</v>
      </c>
      <c r="C35" s="20">
        <v>1867866107709.24</v>
      </c>
      <c r="D35" s="44">
        <f t="shared" si="0"/>
        <v>19.153919464711016</v>
      </c>
      <c r="E35" s="39">
        <v>16</v>
      </c>
      <c r="F35" s="39">
        <v>3</v>
      </c>
      <c r="G35" s="39">
        <v>0</v>
      </c>
      <c r="H35" s="44">
        <f t="shared" si="1"/>
        <v>84.210526315789465</v>
      </c>
      <c r="I35" s="44">
        <f t="shared" si="2"/>
        <v>15.789473684210526</v>
      </c>
      <c r="J35" s="8"/>
      <c r="K35" s="8"/>
      <c r="L35" s="8"/>
    </row>
    <row r="36" spans="1:12" x14ac:dyDescent="0.25">
      <c r="A36" s="44" t="s">
        <v>3085</v>
      </c>
      <c r="B36" s="20">
        <v>7897345391300.0996</v>
      </c>
      <c r="C36" s="20">
        <v>8754897348277.25</v>
      </c>
      <c r="D36" s="44">
        <f t="shared" si="0"/>
        <v>10.858736885458368</v>
      </c>
      <c r="E36" s="39">
        <v>5</v>
      </c>
      <c r="F36" s="39">
        <v>1</v>
      </c>
      <c r="G36" s="39">
        <v>0</v>
      </c>
      <c r="H36" s="44">
        <f t="shared" si="1"/>
        <v>83.333333333333343</v>
      </c>
      <c r="I36" s="44">
        <f t="shared" si="2"/>
        <v>16.666666666666664</v>
      </c>
      <c r="J36" s="8"/>
      <c r="K36" s="8"/>
      <c r="L36" s="8"/>
    </row>
    <row r="37" spans="1:12" x14ac:dyDescent="0.25">
      <c r="A37" s="44" t="s">
        <v>2321</v>
      </c>
      <c r="B37" s="20">
        <v>210198244626.19998</v>
      </c>
      <c r="C37" s="20">
        <v>230323230954.89996</v>
      </c>
      <c r="D37" s="44">
        <f t="shared" si="0"/>
        <v>9.5742884839446081</v>
      </c>
      <c r="E37" s="39">
        <v>5</v>
      </c>
      <c r="F37" s="39">
        <v>1</v>
      </c>
      <c r="G37" s="39">
        <v>0</v>
      </c>
      <c r="H37" s="44">
        <f t="shared" si="1"/>
        <v>83.333333333333343</v>
      </c>
      <c r="I37" s="44">
        <f t="shared" si="2"/>
        <v>16.666666666666664</v>
      </c>
      <c r="J37" s="8"/>
      <c r="K37" s="8"/>
      <c r="L37" s="8"/>
    </row>
    <row r="38" spans="1:12" x14ac:dyDescent="0.25">
      <c r="A38" s="44" t="s">
        <v>1376</v>
      </c>
      <c r="B38" s="20">
        <v>928064310515.98987</v>
      </c>
      <c r="C38" s="20">
        <v>981828722918.62988</v>
      </c>
      <c r="D38" s="44">
        <f t="shared" si="0"/>
        <v>5.7931774547765773</v>
      </c>
      <c r="E38" s="39">
        <v>15</v>
      </c>
      <c r="F38" s="39">
        <v>2</v>
      </c>
      <c r="G38" s="39">
        <v>1</v>
      </c>
      <c r="H38" s="44">
        <f t="shared" si="1"/>
        <v>83.333333333333343</v>
      </c>
      <c r="I38" s="44">
        <f t="shared" si="2"/>
        <v>11.111111111111111</v>
      </c>
      <c r="J38" s="8"/>
      <c r="K38" s="8"/>
      <c r="L38" s="8"/>
    </row>
    <row r="39" spans="1:12" x14ac:dyDescent="0.25">
      <c r="A39" s="44" t="s">
        <v>3536</v>
      </c>
      <c r="B39" s="20">
        <v>2706992242671.2998</v>
      </c>
      <c r="C39" s="20">
        <v>2815255941585.8496</v>
      </c>
      <c r="D39" s="44">
        <f t="shared" si="0"/>
        <v>3.9994092782369259</v>
      </c>
      <c r="E39" s="39">
        <v>5</v>
      </c>
      <c r="F39" s="39">
        <v>1</v>
      </c>
      <c r="G39" s="39">
        <v>0</v>
      </c>
      <c r="H39" s="44">
        <f t="shared" si="1"/>
        <v>83.333333333333343</v>
      </c>
      <c r="I39" s="44">
        <f t="shared" si="2"/>
        <v>16.666666666666664</v>
      </c>
      <c r="J39" s="8"/>
      <c r="K39" s="8"/>
      <c r="L39" s="8"/>
    </row>
    <row r="40" spans="1:12" x14ac:dyDescent="0.25">
      <c r="A40" s="44" t="s">
        <v>324</v>
      </c>
      <c r="B40" s="20">
        <v>356307674847.25</v>
      </c>
      <c r="C40" s="20">
        <v>369469012430.19995</v>
      </c>
      <c r="D40" s="44">
        <f t="shared" si="0"/>
        <v>3.6938125423742973</v>
      </c>
      <c r="E40" s="39">
        <v>5</v>
      </c>
      <c r="F40" s="39">
        <v>1</v>
      </c>
      <c r="G40" s="39">
        <v>0</v>
      </c>
      <c r="H40" s="44">
        <f t="shared" si="1"/>
        <v>83.333333333333343</v>
      </c>
      <c r="I40" s="44">
        <f t="shared" si="2"/>
        <v>16.666666666666664</v>
      </c>
      <c r="J40" s="8"/>
      <c r="K40" s="8"/>
      <c r="L40" s="8"/>
    </row>
    <row r="41" spans="1:12" x14ac:dyDescent="0.25">
      <c r="A41" s="44" t="s">
        <v>2757</v>
      </c>
      <c r="B41" s="20">
        <v>631366334665.25</v>
      </c>
      <c r="C41" s="20">
        <v>647275075774.27002</v>
      </c>
      <c r="D41" s="44">
        <f t="shared" si="0"/>
        <v>2.5197322434771285</v>
      </c>
      <c r="E41" s="39">
        <v>5</v>
      </c>
      <c r="F41" s="39">
        <v>1</v>
      </c>
      <c r="G41" s="39">
        <v>0</v>
      </c>
      <c r="H41" s="44">
        <f t="shared" si="1"/>
        <v>83.333333333333343</v>
      </c>
      <c r="I41" s="44">
        <f t="shared" si="2"/>
        <v>16.666666666666664</v>
      </c>
      <c r="J41" s="8"/>
      <c r="K41" s="8"/>
      <c r="L41" s="8"/>
    </row>
    <row r="42" spans="1:12" x14ac:dyDescent="0.25">
      <c r="A42" s="44" t="s">
        <v>4145</v>
      </c>
      <c r="B42" s="20">
        <v>11262344468227.541</v>
      </c>
      <c r="C42" s="20">
        <v>11402891818217.029</v>
      </c>
      <c r="D42" s="44">
        <f t="shared" si="0"/>
        <v>1.2479404300409176</v>
      </c>
      <c r="E42" s="39">
        <v>10</v>
      </c>
      <c r="F42" s="39">
        <v>2</v>
      </c>
      <c r="G42" s="39">
        <v>0</v>
      </c>
      <c r="H42" s="44">
        <f t="shared" si="1"/>
        <v>83.333333333333343</v>
      </c>
      <c r="I42" s="44">
        <f t="shared" si="2"/>
        <v>16.666666666666664</v>
      </c>
      <c r="J42" s="8"/>
      <c r="K42" s="8"/>
      <c r="L42" s="8"/>
    </row>
    <row r="43" spans="1:12" x14ac:dyDescent="0.25">
      <c r="A43" s="44" t="s">
        <v>788</v>
      </c>
      <c r="B43" s="20">
        <v>18104722176450.109</v>
      </c>
      <c r="C43" s="20">
        <v>19255263050471.23</v>
      </c>
      <c r="D43" s="44">
        <f t="shared" si="0"/>
        <v>6.3549214553410724</v>
      </c>
      <c r="E43" s="39">
        <v>9</v>
      </c>
      <c r="F43" s="39">
        <v>1</v>
      </c>
      <c r="G43" s="39">
        <v>1</v>
      </c>
      <c r="H43" s="44">
        <f t="shared" si="1"/>
        <v>81.818181818181827</v>
      </c>
      <c r="I43" s="44">
        <f t="shared" si="2"/>
        <v>9.0909090909090917</v>
      </c>
      <c r="J43" s="8"/>
      <c r="K43" s="8"/>
      <c r="L43" s="8"/>
    </row>
    <row r="44" spans="1:12" x14ac:dyDescent="0.25">
      <c r="A44" s="44" t="s">
        <v>3872</v>
      </c>
      <c r="B44" s="20">
        <v>727407518038.23999</v>
      </c>
      <c r="C44" s="20">
        <v>744999548079.26001</v>
      </c>
      <c r="D44" s="44">
        <f t="shared" si="0"/>
        <v>2.4184559005472366</v>
      </c>
      <c r="E44" s="39">
        <v>18</v>
      </c>
      <c r="F44" s="39">
        <v>4</v>
      </c>
      <c r="G44" s="39">
        <v>0</v>
      </c>
      <c r="H44" s="44">
        <f t="shared" si="1"/>
        <v>81.818181818181827</v>
      </c>
      <c r="I44" s="44">
        <f t="shared" si="2"/>
        <v>18.181818181818183</v>
      </c>
      <c r="J44" s="8"/>
      <c r="K44" s="8"/>
      <c r="L44" s="8"/>
    </row>
    <row r="45" spans="1:12" x14ac:dyDescent="0.25">
      <c r="A45" s="44" t="s">
        <v>1968</v>
      </c>
      <c r="B45" s="20">
        <v>29009753563414.641</v>
      </c>
      <c r="C45" s="20">
        <v>31022904816904.406</v>
      </c>
      <c r="D45" s="44">
        <f t="shared" si="0"/>
        <v>6.9395668911459873</v>
      </c>
      <c r="E45" s="39">
        <v>58</v>
      </c>
      <c r="F45" s="39">
        <v>12</v>
      </c>
      <c r="G45" s="39">
        <v>1</v>
      </c>
      <c r="H45" s="44">
        <f t="shared" si="1"/>
        <v>81.690140845070431</v>
      </c>
      <c r="I45" s="44">
        <f t="shared" si="2"/>
        <v>16.901408450704224</v>
      </c>
      <c r="J45" s="8"/>
      <c r="K45" s="8"/>
      <c r="L45" s="8"/>
    </row>
    <row r="46" spans="1:12" x14ac:dyDescent="0.25">
      <c r="A46" s="44" t="s">
        <v>2501</v>
      </c>
      <c r="B46" s="20">
        <v>139231272563.64996</v>
      </c>
      <c r="C46" s="20">
        <v>171093859509.30997</v>
      </c>
      <c r="D46" s="44">
        <f t="shared" si="0"/>
        <v>22.884648225199502</v>
      </c>
      <c r="E46" s="39">
        <v>4</v>
      </c>
      <c r="F46" s="39">
        <v>1</v>
      </c>
      <c r="G46" s="39">
        <v>0</v>
      </c>
      <c r="H46" s="44">
        <f t="shared" si="1"/>
        <v>80</v>
      </c>
      <c r="I46" s="44">
        <f t="shared" si="2"/>
        <v>20</v>
      </c>
      <c r="J46" s="8"/>
      <c r="K46" s="8"/>
      <c r="L46" s="8"/>
    </row>
    <row r="47" spans="1:12" x14ac:dyDescent="0.25">
      <c r="A47" s="44" t="s">
        <v>3793</v>
      </c>
      <c r="B47" s="20">
        <v>1194016351782.0999</v>
      </c>
      <c r="C47" s="20">
        <v>1436722525749.1299</v>
      </c>
      <c r="D47" s="44">
        <f t="shared" si="0"/>
        <v>20.32687187280014</v>
      </c>
      <c r="E47" s="39">
        <v>4</v>
      </c>
      <c r="F47" s="39">
        <v>1</v>
      </c>
      <c r="G47" s="39">
        <v>0</v>
      </c>
      <c r="H47" s="44">
        <f t="shared" si="1"/>
        <v>80</v>
      </c>
      <c r="I47" s="44">
        <f t="shared" si="2"/>
        <v>20</v>
      </c>
      <c r="J47" s="8"/>
      <c r="K47" s="8"/>
      <c r="L47" s="8"/>
    </row>
    <row r="48" spans="1:12" x14ac:dyDescent="0.25">
      <c r="A48" s="44" t="s">
        <v>4016</v>
      </c>
      <c r="B48" s="20">
        <v>2037195651743.1799</v>
      </c>
      <c r="C48" s="20">
        <v>2254593385326.71</v>
      </c>
      <c r="D48" s="44">
        <f t="shared" si="0"/>
        <v>10.671421441406865</v>
      </c>
      <c r="E48" s="39">
        <v>4</v>
      </c>
      <c r="F48" s="39">
        <v>1</v>
      </c>
      <c r="G48" s="39">
        <v>0</v>
      </c>
      <c r="H48" s="44">
        <f t="shared" si="1"/>
        <v>80</v>
      </c>
      <c r="I48" s="44">
        <f t="shared" si="2"/>
        <v>20</v>
      </c>
      <c r="J48" s="8"/>
      <c r="K48" s="8"/>
      <c r="L48" s="8"/>
    </row>
    <row r="49" spans="1:12" x14ac:dyDescent="0.25">
      <c r="A49" s="44" t="s">
        <v>1563</v>
      </c>
      <c r="B49" s="20">
        <v>45667123283.759995</v>
      </c>
      <c r="C49" s="20">
        <v>49714679511.909996</v>
      </c>
      <c r="D49" s="44">
        <f t="shared" si="0"/>
        <v>8.8631731913566387</v>
      </c>
      <c r="E49" s="39">
        <v>4</v>
      </c>
      <c r="F49" s="39">
        <v>0</v>
      </c>
      <c r="G49" s="39">
        <v>1</v>
      </c>
      <c r="H49" s="44">
        <f t="shared" si="1"/>
        <v>80</v>
      </c>
      <c r="I49" s="44">
        <f t="shared" si="2"/>
        <v>0</v>
      </c>
      <c r="J49" s="8"/>
      <c r="K49" s="8"/>
      <c r="L49" s="8"/>
    </row>
    <row r="50" spans="1:12" x14ac:dyDescent="0.25">
      <c r="A50" s="44" t="s">
        <v>1315</v>
      </c>
      <c r="B50" s="20">
        <v>170502550332.54999</v>
      </c>
      <c r="C50" s="20">
        <v>155215090082.5</v>
      </c>
      <c r="D50" s="44">
        <f t="shared" si="0"/>
        <v>-8.9661182312130592</v>
      </c>
      <c r="E50" s="39">
        <v>4</v>
      </c>
      <c r="F50" s="39">
        <v>1</v>
      </c>
      <c r="G50" s="39">
        <v>0</v>
      </c>
      <c r="H50" s="44">
        <f t="shared" si="1"/>
        <v>80</v>
      </c>
      <c r="I50" s="44">
        <f t="shared" si="2"/>
        <v>20</v>
      </c>
      <c r="J50" s="8"/>
      <c r="K50" s="8"/>
      <c r="L50" s="8"/>
    </row>
    <row r="51" spans="1:12" x14ac:dyDescent="0.25">
      <c r="A51" s="44" t="s">
        <v>807</v>
      </c>
      <c r="B51" s="20">
        <v>4521157027826.1611</v>
      </c>
      <c r="C51" s="20">
        <v>5136663495357.8418</v>
      </c>
      <c r="D51" s="44">
        <f t="shared" si="0"/>
        <v>13.613914839574267</v>
      </c>
      <c r="E51" s="39">
        <v>23</v>
      </c>
      <c r="F51" s="39">
        <v>4</v>
      </c>
      <c r="G51" s="39">
        <v>2</v>
      </c>
      <c r="H51" s="44">
        <f t="shared" si="1"/>
        <v>79.310344827586206</v>
      </c>
      <c r="I51" s="44">
        <f t="shared" si="2"/>
        <v>13.793103448275861</v>
      </c>
      <c r="J51" s="8"/>
      <c r="K51" s="8"/>
      <c r="L51" s="8"/>
    </row>
    <row r="52" spans="1:12" x14ac:dyDescent="0.25">
      <c r="A52" s="44" t="s">
        <v>3683</v>
      </c>
      <c r="B52" s="20">
        <v>5456245048038.4492</v>
      </c>
      <c r="C52" s="20">
        <v>5968209084717.8604</v>
      </c>
      <c r="D52" s="44">
        <f t="shared" si="0"/>
        <v>9.3830836440065148</v>
      </c>
      <c r="E52" s="39">
        <v>29</v>
      </c>
      <c r="F52" s="39">
        <v>8</v>
      </c>
      <c r="G52" s="39">
        <v>0</v>
      </c>
      <c r="H52" s="44">
        <f t="shared" si="1"/>
        <v>78.378378378378372</v>
      </c>
      <c r="I52" s="44">
        <f t="shared" si="2"/>
        <v>21.621621621621621</v>
      </c>
      <c r="J52" s="8"/>
      <c r="K52" s="8"/>
      <c r="L52" s="8"/>
    </row>
    <row r="53" spans="1:12" x14ac:dyDescent="0.25">
      <c r="A53" s="44" t="s">
        <v>15</v>
      </c>
      <c r="B53" s="20">
        <v>13012205779659.484</v>
      </c>
      <c r="C53" s="20">
        <v>14400672764958.689</v>
      </c>
      <c r="D53" s="44">
        <f t="shared" si="0"/>
        <v>10.670496676817386</v>
      </c>
      <c r="E53" s="39">
        <v>125</v>
      </c>
      <c r="F53" s="39">
        <v>35</v>
      </c>
      <c r="G53" s="39">
        <v>3</v>
      </c>
      <c r="H53" s="44">
        <f t="shared" si="1"/>
        <v>76.687116564417181</v>
      </c>
      <c r="I53" s="44">
        <f t="shared" si="2"/>
        <v>21.472392638036812</v>
      </c>
      <c r="J53" s="69" t="s">
        <v>4397</v>
      </c>
      <c r="K53" s="67"/>
      <c r="L53" s="8"/>
    </row>
    <row r="54" spans="1:12" x14ac:dyDescent="0.25">
      <c r="A54" s="44" t="s">
        <v>3068</v>
      </c>
      <c r="B54" s="20">
        <v>3604586475.5099998</v>
      </c>
      <c r="C54" s="20">
        <v>4921365674.1500006</v>
      </c>
      <c r="D54" s="44">
        <f t="shared" si="0"/>
        <v>36.530659136252083</v>
      </c>
      <c r="E54" s="39">
        <v>3</v>
      </c>
      <c r="F54" s="39">
        <v>1</v>
      </c>
      <c r="G54" s="39">
        <v>0</v>
      </c>
      <c r="H54" s="44">
        <f t="shared" si="1"/>
        <v>75</v>
      </c>
      <c r="I54" s="44">
        <f t="shared" si="2"/>
        <v>25</v>
      </c>
      <c r="J54" s="8"/>
      <c r="K54" s="8"/>
      <c r="L54" s="8"/>
    </row>
    <row r="55" spans="1:12" x14ac:dyDescent="0.25">
      <c r="A55" s="44" t="s">
        <v>11</v>
      </c>
      <c r="B55" s="20">
        <v>2902426928729.1201</v>
      </c>
      <c r="C55" s="20">
        <v>3510083174249.4897</v>
      </c>
      <c r="D55" s="44">
        <f t="shared" si="0"/>
        <v>20.93614276747504</v>
      </c>
      <c r="E55" s="39">
        <v>6</v>
      </c>
      <c r="F55" s="39">
        <v>1</v>
      </c>
      <c r="G55" s="39">
        <v>1</v>
      </c>
      <c r="H55" s="44">
        <f t="shared" si="1"/>
        <v>75</v>
      </c>
      <c r="I55" s="44">
        <f t="shared" si="2"/>
        <v>12.5</v>
      </c>
      <c r="J55" s="8"/>
      <c r="K55" s="8"/>
      <c r="L55" s="8"/>
    </row>
    <row r="56" spans="1:12" x14ac:dyDescent="0.25">
      <c r="A56" s="44" t="s">
        <v>108</v>
      </c>
      <c r="B56" s="52">
        <v>2939145615227.7993</v>
      </c>
      <c r="C56" s="52">
        <v>3482198985465.1504</v>
      </c>
      <c r="D56" s="44">
        <f t="shared" si="0"/>
        <v>18.476572491807676</v>
      </c>
      <c r="E56" s="39">
        <v>12</v>
      </c>
      <c r="F56" s="39">
        <v>4</v>
      </c>
      <c r="G56" s="39">
        <v>0</v>
      </c>
      <c r="H56" s="44">
        <f t="shared" si="1"/>
        <v>75</v>
      </c>
      <c r="I56" s="44">
        <f t="shared" si="2"/>
        <v>25</v>
      </c>
      <c r="J56" s="8"/>
      <c r="K56" s="8"/>
      <c r="L56" s="8"/>
    </row>
    <row r="57" spans="1:12" x14ac:dyDescent="0.25">
      <c r="A57" s="44" t="s">
        <v>833</v>
      </c>
      <c r="B57" s="20">
        <v>317594991203.82001</v>
      </c>
      <c r="C57" s="20">
        <v>360555673190.00006</v>
      </c>
      <c r="D57" s="44">
        <f t="shared" si="0"/>
        <v>13.526876423126453</v>
      </c>
      <c r="E57" s="39">
        <v>3</v>
      </c>
      <c r="F57" s="39">
        <v>1</v>
      </c>
      <c r="G57" s="39">
        <v>0</v>
      </c>
      <c r="H57" s="44">
        <f t="shared" si="1"/>
        <v>75</v>
      </c>
      <c r="I57" s="44">
        <f t="shared" si="2"/>
        <v>25</v>
      </c>
      <c r="J57" s="8"/>
      <c r="K57" s="8"/>
      <c r="L57" s="8"/>
    </row>
    <row r="58" spans="1:12" x14ac:dyDescent="0.25">
      <c r="A58" s="44" t="s">
        <v>2286</v>
      </c>
      <c r="B58" s="20">
        <v>750440445653.32996</v>
      </c>
      <c r="C58" s="20">
        <v>850848613176.71021</v>
      </c>
      <c r="D58" s="44">
        <f t="shared" si="0"/>
        <v>13.379898179124043</v>
      </c>
      <c r="E58" s="39">
        <v>24</v>
      </c>
      <c r="F58" s="39">
        <v>7</v>
      </c>
      <c r="G58" s="39">
        <v>1</v>
      </c>
      <c r="H58" s="44">
        <f t="shared" si="1"/>
        <v>75</v>
      </c>
      <c r="I58" s="44">
        <f t="shared" si="2"/>
        <v>21.875</v>
      </c>
      <c r="J58" s="8"/>
      <c r="K58" s="8"/>
      <c r="L58" s="8"/>
    </row>
    <row r="59" spans="1:12" x14ac:dyDescent="0.25">
      <c r="A59" s="44" t="s">
        <v>3501</v>
      </c>
      <c r="B59" s="20">
        <v>40469887151</v>
      </c>
      <c r="C59" s="20">
        <v>45240226972.599998</v>
      </c>
      <c r="D59" s="44">
        <f t="shared" si="0"/>
        <v>11.787381081150667</v>
      </c>
      <c r="E59" s="39">
        <v>3</v>
      </c>
      <c r="F59" s="39">
        <v>1</v>
      </c>
      <c r="G59" s="39">
        <v>0</v>
      </c>
      <c r="H59" s="44">
        <f t="shared" si="1"/>
        <v>75</v>
      </c>
      <c r="I59" s="44">
        <f t="shared" si="2"/>
        <v>25</v>
      </c>
      <c r="J59" s="8"/>
      <c r="K59" s="8"/>
      <c r="L59" s="8"/>
    </row>
    <row r="60" spans="1:12" x14ac:dyDescent="0.25">
      <c r="A60" s="44" t="s">
        <v>3883</v>
      </c>
      <c r="B60" s="20">
        <v>545523295205.1499</v>
      </c>
      <c r="C60" s="20">
        <v>609560931384.05005</v>
      </c>
      <c r="D60" s="44">
        <f t="shared" si="0"/>
        <v>11.738753732747217</v>
      </c>
      <c r="E60" s="39">
        <v>3</v>
      </c>
      <c r="F60" s="39">
        <v>1</v>
      </c>
      <c r="G60" s="39">
        <v>0</v>
      </c>
      <c r="H60" s="44">
        <f t="shared" si="1"/>
        <v>75</v>
      </c>
      <c r="I60" s="44">
        <f t="shared" si="2"/>
        <v>25</v>
      </c>
      <c r="J60" s="8"/>
      <c r="K60" s="8"/>
      <c r="L60" s="8"/>
    </row>
    <row r="61" spans="1:12" x14ac:dyDescent="0.25">
      <c r="A61" s="44" t="s">
        <v>1935</v>
      </c>
      <c r="B61" s="20">
        <v>490187478002.45001</v>
      </c>
      <c r="C61" s="20">
        <v>528827047944.89996</v>
      </c>
      <c r="D61" s="44">
        <f t="shared" si="0"/>
        <v>7.8826105676768901</v>
      </c>
      <c r="E61" s="39">
        <v>6</v>
      </c>
      <c r="F61" s="39">
        <v>1</v>
      </c>
      <c r="G61" s="39">
        <v>1</v>
      </c>
      <c r="H61" s="44">
        <f t="shared" si="1"/>
        <v>75</v>
      </c>
      <c r="I61" s="44">
        <f t="shared" si="2"/>
        <v>12.5</v>
      </c>
      <c r="J61" s="8"/>
      <c r="K61" s="8"/>
      <c r="L61" s="8"/>
    </row>
    <row r="62" spans="1:12" x14ac:dyDescent="0.25">
      <c r="A62" s="44" t="s">
        <v>1695</v>
      </c>
      <c r="B62" s="20">
        <v>191598730444.42999</v>
      </c>
      <c r="C62" s="20">
        <v>201827969356.68997</v>
      </c>
      <c r="D62" s="44">
        <f t="shared" si="0"/>
        <v>5.3388865826680405</v>
      </c>
      <c r="E62" s="39">
        <v>15</v>
      </c>
      <c r="F62" s="39">
        <v>4</v>
      </c>
      <c r="G62" s="39">
        <v>1</v>
      </c>
      <c r="H62" s="44">
        <f t="shared" si="1"/>
        <v>75</v>
      </c>
      <c r="I62" s="44">
        <f t="shared" si="2"/>
        <v>20</v>
      </c>
      <c r="J62" s="8"/>
      <c r="K62" s="8"/>
      <c r="L62" s="8"/>
    </row>
    <row r="63" spans="1:12" x14ac:dyDescent="0.25">
      <c r="A63" s="44" t="s">
        <v>3814</v>
      </c>
      <c r="B63" s="20">
        <v>3291476840.77</v>
      </c>
      <c r="C63" s="20">
        <v>3441366777.8400002</v>
      </c>
      <c r="D63" s="44">
        <f t="shared" si="0"/>
        <v>4.5538809574286807</v>
      </c>
      <c r="E63" s="39">
        <v>3</v>
      </c>
      <c r="F63" s="39">
        <v>1</v>
      </c>
      <c r="G63" s="39">
        <v>0</v>
      </c>
      <c r="H63" s="44">
        <f t="shared" si="1"/>
        <v>75</v>
      </c>
      <c r="I63" s="44">
        <f t="shared" si="2"/>
        <v>25</v>
      </c>
      <c r="J63" s="8"/>
      <c r="K63" s="8"/>
      <c r="L63" s="8"/>
    </row>
    <row r="64" spans="1:12" x14ac:dyDescent="0.25">
      <c r="A64" s="44" t="s">
        <v>4200</v>
      </c>
      <c r="B64" s="20">
        <v>209614077832.79999</v>
      </c>
      <c r="C64" s="20">
        <v>217652958554.39999</v>
      </c>
      <c r="D64" s="44">
        <f t="shared" si="0"/>
        <v>3.8350862712628828</v>
      </c>
      <c r="E64" s="39">
        <v>3</v>
      </c>
      <c r="F64" s="39">
        <v>1</v>
      </c>
      <c r="G64" s="39">
        <v>0</v>
      </c>
      <c r="H64" s="44">
        <f t="shared" si="1"/>
        <v>75</v>
      </c>
      <c r="I64" s="44">
        <f t="shared" si="2"/>
        <v>25</v>
      </c>
      <c r="J64" s="69" t="s">
        <v>4398</v>
      </c>
      <c r="K64" s="67"/>
      <c r="L64" s="8"/>
    </row>
    <row r="65" spans="1:12" x14ac:dyDescent="0.25">
      <c r="A65" s="44" t="s">
        <v>166</v>
      </c>
      <c r="B65" s="20">
        <v>577482861509.05005</v>
      </c>
      <c r="C65" s="20">
        <v>594673744165.69995</v>
      </c>
      <c r="D65" s="44">
        <f t="shared" si="0"/>
        <v>2.9768645621322034</v>
      </c>
      <c r="E65" s="39">
        <v>3</v>
      </c>
      <c r="F65" s="39">
        <v>1</v>
      </c>
      <c r="G65" s="39">
        <v>0</v>
      </c>
      <c r="H65" s="44">
        <f t="shared" si="1"/>
        <v>75</v>
      </c>
      <c r="I65" s="44">
        <f t="shared" si="2"/>
        <v>25</v>
      </c>
      <c r="J65" s="8"/>
      <c r="K65" s="8"/>
      <c r="L65" s="8"/>
    </row>
    <row r="66" spans="1:12" x14ac:dyDescent="0.25">
      <c r="A66" s="51" t="s">
        <v>2577</v>
      </c>
      <c r="B66" s="20">
        <v>591946237569.30005</v>
      </c>
      <c r="C66" s="20">
        <v>601406333323.95007</v>
      </c>
      <c r="D66" s="44">
        <f t="shared" si="0"/>
        <v>1.5981342821766844</v>
      </c>
      <c r="E66" s="39">
        <v>3</v>
      </c>
      <c r="F66" s="39">
        <v>0</v>
      </c>
      <c r="G66" s="39">
        <v>1</v>
      </c>
      <c r="H66" s="44">
        <f t="shared" si="1"/>
        <v>75</v>
      </c>
      <c r="I66" s="44">
        <f t="shared" si="2"/>
        <v>0</v>
      </c>
      <c r="J66" s="8"/>
      <c r="K66" s="8"/>
      <c r="L66" s="8"/>
    </row>
    <row r="67" spans="1:12" x14ac:dyDescent="0.25">
      <c r="A67" s="44" t="s">
        <v>2671</v>
      </c>
      <c r="B67" s="20">
        <v>446115006439.04004</v>
      </c>
      <c r="C67" s="20">
        <v>446806095443.34003</v>
      </c>
      <c r="D67" s="44">
        <f t="shared" si="0"/>
        <v>0.154912745441219</v>
      </c>
      <c r="E67" s="39">
        <v>9</v>
      </c>
      <c r="F67" s="39">
        <v>3</v>
      </c>
      <c r="G67" s="39">
        <v>0</v>
      </c>
      <c r="H67" s="44">
        <f t="shared" si="1"/>
        <v>75</v>
      </c>
      <c r="I67" s="44">
        <f t="shared" si="2"/>
        <v>25</v>
      </c>
      <c r="J67" s="8"/>
      <c r="K67" s="8"/>
      <c r="L67" s="8"/>
    </row>
    <row r="68" spans="1:12" x14ac:dyDescent="0.25">
      <c r="A68" s="44" t="s">
        <v>711</v>
      </c>
      <c r="B68" s="20">
        <v>393917590101.84998</v>
      </c>
      <c r="C68" s="20">
        <v>445280545733.84009</v>
      </c>
      <c r="D68" s="44">
        <f t="shared" si="0"/>
        <v>13.039010423147108</v>
      </c>
      <c r="E68" s="39">
        <v>17</v>
      </c>
      <c r="F68" s="39">
        <v>5</v>
      </c>
      <c r="G68" s="39">
        <v>1</v>
      </c>
      <c r="H68" s="44">
        <f t="shared" si="1"/>
        <v>73.91304347826086</v>
      </c>
      <c r="I68" s="44">
        <f t="shared" si="2"/>
        <v>21.739130434782609</v>
      </c>
      <c r="J68" s="8"/>
      <c r="K68" s="8"/>
      <c r="L68" s="8"/>
    </row>
    <row r="69" spans="1:12" x14ac:dyDescent="0.25">
      <c r="A69" s="44" t="s">
        <v>2753</v>
      </c>
      <c r="B69" s="20">
        <v>1421584628090.7595</v>
      </c>
      <c r="C69" s="20">
        <v>1587586277172.6106</v>
      </c>
      <c r="D69" s="44">
        <f t="shared" si="0"/>
        <v>11.677225949242107</v>
      </c>
      <c r="E69" s="39">
        <v>44</v>
      </c>
      <c r="F69" s="39">
        <v>15</v>
      </c>
      <c r="G69" s="39">
        <v>1</v>
      </c>
      <c r="H69" s="44">
        <f t="shared" si="1"/>
        <v>73.333333333333329</v>
      </c>
      <c r="I69" s="44">
        <f t="shared" si="2"/>
        <v>25</v>
      </c>
      <c r="J69" s="8"/>
      <c r="K69" s="8"/>
      <c r="L69" s="8"/>
    </row>
    <row r="70" spans="1:12" x14ac:dyDescent="0.25">
      <c r="A70" s="44" t="s">
        <v>376</v>
      </c>
      <c r="B70" s="20">
        <v>5103529166356.25</v>
      </c>
      <c r="C70" s="20">
        <v>5439153487970.8799</v>
      </c>
      <c r="D70" s="44">
        <f t="shared" si="0"/>
        <v>6.5763182823985797</v>
      </c>
      <c r="E70" s="39">
        <v>79</v>
      </c>
      <c r="F70" s="39">
        <v>24</v>
      </c>
      <c r="G70" s="39">
        <v>5</v>
      </c>
      <c r="H70" s="44">
        <f t="shared" si="1"/>
        <v>73.148148148148152</v>
      </c>
      <c r="I70" s="44">
        <f t="shared" si="2"/>
        <v>22.222222222222221</v>
      </c>
      <c r="J70" s="8"/>
      <c r="K70" s="8"/>
      <c r="L70" s="8"/>
    </row>
    <row r="71" spans="1:12" x14ac:dyDescent="0.25">
      <c r="A71" s="44" t="s">
        <v>3503</v>
      </c>
      <c r="B71" s="20">
        <v>1663492744097.24</v>
      </c>
      <c r="C71" s="20">
        <v>1806245283626.98</v>
      </c>
      <c r="D71" s="44">
        <f t="shared" si="0"/>
        <v>8.5814945713640789</v>
      </c>
      <c r="E71" s="39">
        <v>19</v>
      </c>
      <c r="F71" s="39">
        <v>6</v>
      </c>
      <c r="G71" s="39">
        <v>1</v>
      </c>
      <c r="H71" s="44">
        <f t="shared" si="1"/>
        <v>73.076923076923066</v>
      </c>
      <c r="I71" s="44">
        <f t="shared" si="2"/>
        <v>23.076923076923077</v>
      </c>
      <c r="J71" s="8"/>
      <c r="K71" s="8"/>
      <c r="L71" s="8"/>
    </row>
    <row r="72" spans="1:12" x14ac:dyDescent="0.25">
      <c r="A72" s="44" t="s">
        <v>3652</v>
      </c>
      <c r="B72" s="20">
        <v>144612466273.07999</v>
      </c>
      <c r="C72" s="20">
        <v>169212082568.96002</v>
      </c>
      <c r="D72" s="44">
        <f t="shared" si="0"/>
        <v>17.010716247261264</v>
      </c>
      <c r="E72" s="39">
        <v>5</v>
      </c>
      <c r="F72" s="39">
        <v>2</v>
      </c>
      <c r="G72" s="39">
        <v>0</v>
      </c>
      <c r="H72" s="44">
        <f t="shared" si="1"/>
        <v>71.428571428571431</v>
      </c>
      <c r="I72" s="44">
        <f t="shared" si="2"/>
        <v>28.571428571428569</v>
      </c>
      <c r="J72" s="8"/>
      <c r="K72" s="8"/>
      <c r="L72" s="8"/>
    </row>
    <row r="73" spans="1:12" x14ac:dyDescent="0.25">
      <c r="A73" s="44" t="s">
        <v>295</v>
      </c>
      <c r="B73" s="20">
        <v>95105042462.549988</v>
      </c>
      <c r="C73" s="20">
        <v>105547946080.64999</v>
      </c>
      <c r="D73" s="44">
        <f t="shared" si="0"/>
        <v>10.980388996947415</v>
      </c>
      <c r="E73" s="39">
        <v>5</v>
      </c>
      <c r="F73" s="39">
        <v>2</v>
      </c>
      <c r="G73" s="39">
        <v>0</v>
      </c>
      <c r="H73" s="44">
        <f t="shared" si="1"/>
        <v>71.428571428571431</v>
      </c>
      <c r="I73" s="44">
        <f t="shared" si="2"/>
        <v>28.571428571428569</v>
      </c>
      <c r="J73" s="8"/>
      <c r="K73" s="8"/>
      <c r="L73" s="8"/>
    </row>
    <row r="74" spans="1:12" x14ac:dyDescent="0.25">
      <c r="A74" s="44" t="s">
        <v>2422</v>
      </c>
      <c r="B74" s="20">
        <v>536564690769.66003</v>
      </c>
      <c r="C74" s="20">
        <v>571565444044.12</v>
      </c>
      <c r="D74" s="44">
        <f t="shared" si="0"/>
        <v>6.5231189969384902</v>
      </c>
      <c r="E74" s="39">
        <v>25</v>
      </c>
      <c r="F74" s="39">
        <v>8</v>
      </c>
      <c r="G74" s="39">
        <v>2</v>
      </c>
      <c r="H74" s="44">
        <f t="shared" si="1"/>
        <v>71.428571428571431</v>
      </c>
      <c r="I74" s="44">
        <f t="shared" si="2"/>
        <v>22.857142857142858</v>
      </c>
      <c r="J74" s="8"/>
      <c r="K74" s="8"/>
      <c r="L74" s="8"/>
    </row>
    <row r="75" spans="1:12" x14ac:dyDescent="0.25">
      <c r="A75" s="44" t="s">
        <v>3183</v>
      </c>
      <c r="B75" s="20">
        <v>3878343212817.2998</v>
      </c>
      <c r="C75" s="20">
        <v>4091553513533.4004</v>
      </c>
      <c r="D75" s="44">
        <f t="shared" si="0"/>
        <v>5.4974582964054051</v>
      </c>
      <c r="E75" s="39">
        <v>5</v>
      </c>
      <c r="F75" s="39">
        <v>2</v>
      </c>
      <c r="G75" s="39">
        <v>0</v>
      </c>
      <c r="H75" s="44">
        <f t="shared" si="1"/>
        <v>71.428571428571431</v>
      </c>
      <c r="I75" s="44">
        <f t="shared" si="2"/>
        <v>28.571428571428569</v>
      </c>
      <c r="J75" s="8"/>
      <c r="K75" s="8"/>
      <c r="L75" s="8"/>
    </row>
    <row r="76" spans="1:12" x14ac:dyDescent="0.25">
      <c r="A76" s="44" t="s">
        <v>959</v>
      </c>
      <c r="B76" s="20">
        <v>227049712612.14001</v>
      </c>
      <c r="C76" s="20">
        <v>283827047682.97003</v>
      </c>
      <c r="D76" s="44">
        <f t="shared" si="0"/>
        <v>25.006565486308492</v>
      </c>
      <c r="E76" s="39">
        <v>7</v>
      </c>
      <c r="F76" s="39">
        <v>1</v>
      </c>
      <c r="G76" s="39">
        <v>2</v>
      </c>
      <c r="H76" s="44">
        <f t="shared" si="1"/>
        <v>70</v>
      </c>
      <c r="I76" s="44">
        <f t="shared" si="2"/>
        <v>10</v>
      </c>
      <c r="J76" s="8"/>
      <c r="K76" s="8"/>
      <c r="L76" s="8"/>
    </row>
    <row r="77" spans="1:12" x14ac:dyDescent="0.25">
      <c r="A77" s="44" t="s">
        <v>1337</v>
      </c>
      <c r="B77" s="20">
        <v>1180790667066.98</v>
      </c>
      <c r="C77" s="20">
        <v>1263929925690.01</v>
      </c>
      <c r="D77" s="44">
        <f t="shared" si="0"/>
        <v>7.0409820251665298</v>
      </c>
      <c r="E77" s="39">
        <v>42</v>
      </c>
      <c r="F77" s="39">
        <v>14</v>
      </c>
      <c r="G77" s="39">
        <v>4</v>
      </c>
      <c r="H77" s="44">
        <f t="shared" si="1"/>
        <v>70</v>
      </c>
      <c r="I77" s="44">
        <f t="shared" si="2"/>
        <v>23.333333333333332</v>
      </c>
      <c r="J77" s="8"/>
      <c r="K77" s="8"/>
      <c r="L77" s="8"/>
    </row>
    <row r="78" spans="1:12" x14ac:dyDescent="0.25">
      <c r="A78" s="44" t="s">
        <v>3951</v>
      </c>
      <c r="B78" s="20">
        <v>1200979759912.8901</v>
      </c>
      <c r="C78" s="20">
        <v>1228498730593.97</v>
      </c>
      <c r="D78" s="44">
        <f t="shared" si="0"/>
        <v>2.2913767242068968</v>
      </c>
      <c r="E78" s="39">
        <v>14</v>
      </c>
      <c r="F78" s="39">
        <v>6</v>
      </c>
      <c r="G78" s="39">
        <v>0</v>
      </c>
      <c r="H78" s="44">
        <f t="shared" si="1"/>
        <v>70</v>
      </c>
      <c r="I78" s="44">
        <f t="shared" si="2"/>
        <v>30</v>
      </c>
      <c r="J78" s="8"/>
      <c r="K78" s="8"/>
      <c r="L78" s="8"/>
    </row>
    <row r="79" spans="1:12" x14ac:dyDescent="0.25">
      <c r="A79" s="44" t="s">
        <v>985</v>
      </c>
      <c r="B79" s="20">
        <v>2594622244524.1602</v>
      </c>
      <c r="C79" s="20">
        <v>2954486331034.73</v>
      </c>
      <c r="D79" s="44">
        <f t="shared" si="0"/>
        <v>13.869613862674909</v>
      </c>
      <c r="E79" s="39">
        <v>16</v>
      </c>
      <c r="F79" s="39">
        <v>7</v>
      </c>
      <c r="G79" s="39">
        <v>0</v>
      </c>
      <c r="H79" s="44">
        <f t="shared" si="1"/>
        <v>69.565217391304344</v>
      </c>
      <c r="I79" s="44">
        <f t="shared" si="2"/>
        <v>30.434782608695656</v>
      </c>
      <c r="J79" s="8"/>
      <c r="K79" s="8"/>
      <c r="L79" s="8"/>
    </row>
    <row r="80" spans="1:12" x14ac:dyDescent="0.25">
      <c r="A80" s="44" t="s">
        <v>2228</v>
      </c>
      <c r="B80" s="20">
        <v>4824803600811.2695</v>
      </c>
      <c r="C80" s="20">
        <v>5182761473696.2402</v>
      </c>
      <c r="D80" s="44">
        <f t="shared" si="0"/>
        <v>7.4191180097938432</v>
      </c>
      <c r="E80" s="39">
        <v>11</v>
      </c>
      <c r="F80" s="39">
        <v>3</v>
      </c>
      <c r="G80" s="39">
        <v>2</v>
      </c>
      <c r="H80" s="44">
        <f t="shared" si="1"/>
        <v>68.75</v>
      </c>
      <c r="I80" s="44">
        <f t="shared" si="2"/>
        <v>18.75</v>
      </c>
      <c r="J80" s="8"/>
      <c r="K80" s="8"/>
      <c r="L80" s="8"/>
    </row>
    <row r="81" spans="1:13" x14ac:dyDescent="0.25">
      <c r="A81" s="44" t="s">
        <v>2444</v>
      </c>
      <c r="B81" s="20">
        <v>1282550580247.1399</v>
      </c>
      <c r="C81" s="20">
        <v>1358773926897.75</v>
      </c>
      <c r="D81" s="44">
        <f t="shared" si="0"/>
        <v>5.9431064805196474</v>
      </c>
      <c r="E81" s="39">
        <v>11</v>
      </c>
      <c r="F81" s="39">
        <v>5</v>
      </c>
      <c r="G81" s="39">
        <v>0</v>
      </c>
      <c r="H81" s="44">
        <f t="shared" si="1"/>
        <v>68.75</v>
      </c>
      <c r="I81" s="44">
        <f t="shared" si="2"/>
        <v>31.25</v>
      </c>
      <c r="J81" s="8"/>
      <c r="K81" s="8"/>
      <c r="L81" s="8"/>
    </row>
    <row r="82" spans="1:13" x14ac:dyDescent="0.25">
      <c r="A82" s="44" t="s">
        <v>3906</v>
      </c>
      <c r="B82" s="20">
        <v>535435041676.71014</v>
      </c>
      <c r="C82" s="20">
        <v>582459136600.25</v>
      </c>
      <c r="D82" s="44">
        <f t="shared" si="0"/>
        <v>8.7824089316762528</v>
      </c>
      <c r="E82" s="39">
        <v>30</v>
      </c>
      <c r="F82" s="39">
        <v>10</v>
      </c>
      <c r="G82" s="39">
        <v>4</v>
      </c>
      <c r="H82" s="44">
        <f t="shared" si="1"/>
        <v>68.181818181818173</v>
      </c>
      <c r="I82" s="44">
        <f t="shared" si="2"/>
        <v>22.727272727272727</v>
      </c>
      <c r="J82" s="8"/>
      <c r="K82" s="8"/>
      <c r="L82" s="8"/>
    </row>
    <row r="83" spans="1:13" x14ac:dyDescent="0.25">
      <c r="A83" s="44" t="s">
        <v>206</v>
      </c>
      <c r="B83" s="20">
        <v>1170631179428.3804</v>
      </c>
      <c r="C83" s="20">
        <v>1205811067044.1396</v>
      </c>
      <c r="D83" s="44">
        <f t="shared" si="0"/>
        <v>3.0052067836547485</v>
      </c>
      <c r="E83" s="39">
        <v>23</v>
      </c>
      <c r="F83" s="39">
        <v>11</v>
      </c>
      <c r="G83" s="39">
        <v>0</v>
      </c>
      <c r="H83" s="44">
        <f t="shared" si="1"/>
        <v>67.64705882352942</v>
      </c>
      <c r="I83" s="44">
        <f t="shared" si="2"/>
        <v>32.352941176470587</v>
      </c>
      <c r="J83" s="8"/>
      <c r="K83" s="8"/>
      <c r="L83" s="8"/>
    </row>
    <row r="84" spans="1:13" x14ac:dyDescent="0.25">
      <c r="A84" s="44" t="s">
        <v>1478</v>
      </c>
      <c r="B84" s="20">
        <v>575715577989.77991</v>
      </c>
      <c r="C84" s="20">
        <v>602932162709.44019</v>
      </c>
      <c r="D84" s="44">
        <f t="shared" si="0"/>
        <v>4.7274358659343809</v>
      </c>
      <c r="E84" s="39">
        <v>31</v>
      </c>
      <c r="F84" s="39">
        <v>13</v>
      </c>
      <c r="G84" s="39">
        <v>2</v>
      </c>
      <c r="H84" s="44">
        <f t="shared" si="1"/>
        <v>67.391304347826093</v>
      </c>
      <c r="I84" s="44">
        <f t="shared" si="2"/>
        <v>28.260869565217391</v>
      </c>
      <c r="J84" s="8"/>
      <c r="K84" s="8"/>
      <c r="L84" s="8"/>
    </row>
    <row r="85" spans="1:13" x14ac:dyDescent="0.25">
      <c r="A85" s="44" t="s">
        <v>3312</v>
      </c>
      <c r="B85" s="20">
        <v>202734648142.25</v>
      </c>
      <c r="C85" s="20">
        <v>235891986188.31998</v>
      </c>
      <c r="D85" s="44">
        <f t="shared" si="0"/>
        <v>16.355042588874561</v>
      </c>
      <c r="E85" s="39">
        <v>8</v>
      </c>
      <c r="F85" s="39">
        <v>3</v>
      </c>
      <c r="G85" s="39">
        <v>1</v>
      </c>
      <c r="H85" s="44">
        <f t="shared" si="1"/>
        <v>66.666666666666657</v>
      </c>
      <c r="I85" s="44">
        <f t="shared" si="2"/>
        <v>25</v>
      </c>
      <c r="J85" s="8"/>
      <c r="K85" s="8"/>
      <c r="L85" s="8"/>
    </row>
    <row r="86" spans="1:13" x14ac:dyDescent="0.25">
      <c r="A86" s="44" t="s">
        <v>1760</v>
      </c>
      <c r="B86" s="20">
        <v>245012665375.44998</v>
      </c>
      <c r="C86" s="20">
        <v>270297832073.89999</v>
      </c>
      <c r="D86" s="44">
        <f t="shared" si="0"/>
        <v>10.319942709779427</v>
      </c>
      <c r="E86" s="39">
        <v>6</v>
      </c>
      <c r="F86" s="39">
        <v>3</v>
      </c>
      <c r="G86" s="39">
        <v>0</v>
      </c>
      <c r="H86" s="44">
        <f t="shared" si="1"/>
        <v>66.666666666666657</v>
      </c>
      <c r="I86" s="44">
        <f t="shared" si="2"/>
        <v>33.333333333333329</v>
      </c>
      <c r="J86" s="8"/>
      <c r="K86" s="8"/>
      <c r="L86" s="8"/>
    </row>
    <row r="87" spans="1:13" x14ac:dyDescent="0.25">
      <c r="A87" s="44" t="s">
        <v>1606</v>
      </c>
      <c r="B87" s="20">
        <v>218784023580.50998</v>
      </c>
      <c r="C87" s="20">
        <v>238645013396.09</v>
      </c>
      <c r="D87" s="44">
        <f t="shared" si="0"/>
        <v>9.07789768674375</v>
      </c>
      <c r="E87" s="39">
        <v>6</v>
      </c>
      <c r="F87" s="39">
        <v>2</v>
      </c>
      <c r="G87" s="39">
        <v>1</v>
      </c>
      <c r="H87" s="44">
        <f t="shared" si="1"/>
        <v>66.666666666666657</v>
      </c>
      <c r="I87" s="44">
        <f t="shared" si="2"/>
        <v>22.222222222222221</v>
      </c>
      <c r="J87" s="8"/>
      <c r="K87" s="8"/>
      <c r="L87" s="8"/>
    </row>
    <row r="88" spans="1:13" x14ac:dyDescent="0.25">
      <c r="A88" s="44" t="s">
        <v>1999</v>
      </c>
      <c r="B88" s="20">
        <v>1092750710370.0898</v>
      </c>
      <c r="C88" s="20">
        <v>1188639108677.1902</v>
      </c>
      <c r="D88" s="44">
        <f t="shared" si="0"/>
        <v>8.7749563918951949</v>
      </c>
      <c r="E88" s="39">
        <v>38</v>
      </c>
      <c r="F88" s="39">
        <v>13</v>
      </c>
      <c r="G88" s="39">
        <v>6</v>
      </c>
      <c r="H88" s="44">
        <f t="shared" si="1"/>
        <v>66.666666666666657</v>
      </c>
      <c r="I88" s="44">
        <f t="shared" si="2"/>
        <v>22.807017543859647</v>
      </c>
      <c r="J88" s="8"/>
      <c r="K88" s="8"/>
      <c r="L88" s="8"/>
    </row>
    <row r="89" spans="1:13" x14ac:dyDescent="0.25">
      <c r="A89" s="44" t="s">
        <v>1538</v>
      </c>
      <c r="B89" s="20">
        <v>1119324587</v>
      </c>
      <c r="C89" s="20">
        <v>1201206785.1399999</v>
      </c>
      <c r="D89" s="44">
        <f t="shared" si="0"/>
        <v>7.3153220335720066</v>
      </c>
      <c r="E89" s="39">
        <v>4</v>
      </c>
      <c r="F89" s="39">
        <v>2</v>
      </c>
      <c r="G89" s="39">
        <v>0</v>
      </c>
      <c r="H89" s="44">
        <f t="shared" si="1"/>
        <v>66.666666666666657</v>
      </c>
      <c r="I89" s="44">
        <f t="shared" si="2"/>
        <v>33.333333333333329</v>
      </c>
      <c r="J89" s="8"/>
      <c r="K89" s="8"/>
      <c r="L89" s="8"/>
    </row>
    <row r="90" spans="1:13" x14ac:dyDescent="0.25">
      <c r="A90" s="44" t="s">
        <v>2627</v>
      </c>
      <c r="B90" s="20">
        <v>522404361823.34009</v>
      </c>
      <c r="C90" s="20">
        <v>551174262934.56006</v>
      </c>
      <c r="D90" s="44">
        <f t="shared" si="0"/>
        <v>5.5072092068306659</v>
      </c>
      <c r="E90" s="39">
        <v>8</v>
      </c>
      <c r="F90" s="39">
        <v>4</v>
      </c>
      <c r="G90" s="39">
        <v>0</v>
      </c>
      <c r="H90" s="44">
        <f t="shared" si="1"/>
        <v>66.666666666666657</v>
      </c>
      <c r="I90" s="44">
        <f t="shared" si="2"/>
        <v>33.333333333333329</v>
      </c>
      <c r="J90" s="8"/>
      <c r="K90" s="8"/>
      <c r="L90" s="8"/>
    </row>
    <row r="91" spans="1:13" x14ac:dyDescent="0.25">
      <c r="A91" s="44" t="s">
        <v>935</v>
      </c>
      <c r="B91" s="20">
        <v>3507745096520.8501</v>
      </c>
      <c r="C91" s="20">
        <v>3687141927801.75</v>
      </c>
      <c r="D91" s="44">
        <f t="shared" si="0"/>
        <v>5.1143063804389408</v>
      </c>
      <c r="E91" s="39">
        <v>8</v>
      </c>
      <c r="F91" s="39">
        <v>3</v>
      </c>
      <c r="G91" s="39">
        <v>1</v>
      </c>
      <c r="H91" s="44">
        <f t="shared" si="1"/>
        <v>66.666666666666657</v>
      </c>
      <c r="I91" s="44">
        <f t="shared" si="2"/>
        <v>25</v>
      </c>
      <c r="J91" s="8"/>
      <c r="K91" s="8"/>
      <c r="L91" s="8"/>
      <c r="M91" s="8"/>
    </row>
    <row r="92" spans="1:13" x14ac:dyDescent="0.25">
      <c r="A92" s="44" t="s">
        <v>4194</v>
      </c>
      <c r="B92" s="20">
        <v>6124060215</v>
      </c>
      <c r="C92" s="20">
        <v>6429151610</v>
      </c>
      <c r="D92" s="44">
        <f t="shared" si="0"/>
        <v>4.9818483863486964</v>
      </c>
      <c r="E92" s="39">
        <v>2</v>
      </c>
      <c r="F92" s="39">
        <v>1</v>
      </c>
      <c r="G92" s="39">
        <v>0</v>
      </c>
      <c r="H92" s="44">
        <f t="shared" si="1"/>
        <v>66.666666666666657</v>
      </c>
      <c r="I92" s="44">
        <f t="shared" si="2"/>
        <v>33.333333333333329</v>
      </c>
      <c r="J92" s="8"/>
      <c r="K92" s="8"/>
      <c r="L92" s="8"/>
    </row>
    <row r="93" spans="1:13" x14ac:dyDescent="0.25">
      <c r="A93" s="44" t="s">
        <v>2755</v>
      </c>
      <c r="B93" s="20">
        <v>3910806326763.4604</v>
      </c>
      <c r="C93" s="20">
        <v>4100165484895.0894</v>
      </c>
      <c r="D93" s="44">
        <f t="shared" si="0"/>
        <v>4.8419467063801243</v>
      </c>
      <c r="E93" s="39">
        <v>28</v>
      </c>
      <c r="F93" s="39">
        <v>12</v>
      </c>
      <c r="G93" s="39">
        <v>2</v>
      </c>
      <c r="H93" s="44">
        <f t="shared" si="1"/>
        <v>66.666666666666657</v>
      </c>
      <c r="I93" s="44">
        <f t="shared" si="2"/>
        <v>28.571428571428569</v>
      </c>
      <c r="J93" s="8"/>
      <c r="K93" s="8"/>
      <c r="L93" s="8"/>
    </row>
    <row r="94" spans="1:13" x14ac:dyDescent="0.25">
      <c r="A94" s="44" t="s">
        <v>2575</v>
      </c>
      <c r="B94" s="20">
        <v>986387003656.70996</v>
      </c>
      <c r="C94" s="20">
        <v>1031747794319</v>
      </c>
      <c r="D94" s="44">
        <f t="shared" si="0"/>
        <v>4.5986808924012195</v>
      </c>
      <c r="E94" s="39">
        <v>16</v>
      </c>
      <c r="F94" s="39">
        <v>8</v>
      </c>
      <c r="G94" s="39">
        <v>0</v>
      </c>
      <c r="H94" s="44">
        <f t="shared" si="1"/>
        <v>66.666666666666657</v>
      </c>
      <c r="I94" s="44">
        <f t="shared" si="2"/>
        <v>33.333333333333329</v>
      </c>
      <c r="J94" s="8"/>
      <c r="K94" s="8"/>
      <c r="L94" s="8"/>
    </row>
    <row r="95" spans="1:13" x14ac:dyDescent="0.25">
      <c r="A95" s="44" t="s">
        <v>41</v>
      </c>
      <c r="B95" s="20">
        <v>459430800562.40002</v>
      </c>
      <c r="C95" s="20">
        <v>480548981078.79993</v>
      </c>
      <c r="D95" s="44">
        <f t="shared" si="0"/>
        <v>4.5965965909444133</v>
      </c>
      <c r="E95" s="39">
        <v>2</v>
      </c>
      <c r="F95" s="39">
        <v>1</v>
      </c>
      <c r="G95" s="39">
        <v>0</v>
      </c>
      <c r="H95" s="44">
        <f t="shared" si="1"/>
        <v>66.666666666666657</v>
      </c>
      <c r="I95" s="44">
        <f t="shared" si="2"/>
        <v>33.333333333333329</v>
      </c>
      <c r="J95" s="8"/>
      <c r="K95" s="8"/>
      <c r="L95" s="8"/>
    </row>
    <row r="96" spans="1:13" x14ac:dyDescent="0.25">
      <c r="A96" s="44" t="s">
        <v>52</v>
      </c>
      <c r="B96" s="20">
        <v>906431746589.98987</v>
      </c>
      <c r="C96" s="20">
        <v>939703446608.09998</v>
      </c>
      <c r="D96" s="44">
        <f t="shared" si="0"/>
        <v>3.670623865865108</v>
      </c>
      <c r="E96" s="39">
        <v>2</v>
      </c>
      <c r="F96" s="39">
        <v>1</v>
      </c>
      <c r="G96" s="39">
        <v>0</v>
      </c>
      <c r="H96" s="44">
        <f t="shared" si="1"/>
        <v>66.666666666666657</v>
      </c>
      <c r="I96" s="44">
        <f t="shared" si="2"/>
        <v>33.333333333333329</v>
      </c>
      <c r="J96" s="8"/>
      <c r="K96" s="8"/>
      <c r="L96" s="8"/>
    </row>
    <row r="97" spans="1:12" x14ac:dyDescent="0.25">
      <c r="A97" s="44" t="s">
        <v>1453</v>
      </c>
      <c r="B97" s="20">
        <v>436978092211.72998</v>
      </c>
      <c r="C97" s="20">
        <v>440742475166.92999</v>
      </c>
      <c r="D97" s="44">
        <f t="shared" si="0"/>
        <v>0.86145805071070869</v>
      </c>
      <c r="E97" s="39">
        <v>6</v>
      </c>
      <c r="F97" s="39">
        <v>2</v>
      </c>
      <c r="G97" s="39">
        <v>1</v>
      </c>
      <c r="H97" s="44">
        <f t="shared" si="1"/>
        <v>66.666666666666657</v>
      </c>
      <c r="I97" s="44">
        <f t="shared" si="2"/>
        <v>22.222222222222221</v>
      </c>
      <c r="J97" s="8"/>
      <c r="K97" s="8"/>
      <c r="L97" s="8"/>
    </row>
    <row r="98" spans="1:12" x14ac:dyDescent="0.25">
      <c r="A98" s="44" t="s">
        <v>2522</v>
      </c>
      <c r="B98" s="20">
        <v>341414250618.65009</v>
      </c>
      <c r="C98" s="20">
        <v>343339934566.78003</v>
      </c>
      <c r="D98" s="44">
        <f t="shared" si="0"/>
        <v>0.56403150853854589</v>
      </c>
      <c r="E98" s="39">
        <v>8</v>
      </c>
      <c r="F98" s="39">
        <v>3</v>
      </c>
      <c r="G98" s="39">
        <v>1</v>
      </c>
      <c r="H98" s="44">
        <f t="shared" si="1"/>
        <v>66.666666666666657</v>
      </c>
      <c r="I98" s="44">
        <f t="shared" si="2"/>
        <v>25</v>
      </c>
      <c r="J98" s="8"/>
      <c r="K98" s="8"/>
      <c r="L98" s="8"/>
    </row>
    <row r="99" spans="1:12" x14ac:dyDescent="0.25">
      <c r="A99" s="44" t="s">
        <v>2834</v>
      </c>
      <c r="B99" s="20">
        <v>26429174256.099998</v>
      </c>
      <c r="C99" s="20">
        <v>26457340444.049999</v>
      </c>
      <c r="D99" s="44">
        <f t="shared" si="0"/>
        <v>0.10657233433428158</v>
      </c>
      <c r="E99" s="39">
        <v>6</v>
      </c>
      <c r="F99" s="39">
        <v>3</v>
      </c>
      <c r="G99" s="39">
        <v>0</v>
      </c>
      <c r="H99" s="44">
        <f t="shared" si="1"/>
        <v>66.666666666666657</v>
      </c>
      <c r="I99" s="44">
        <f t="shared" si="2"/>
        <v>33.333333333333329</v>
      </c>
      <c r="J99" s="8"/>
      <c r="K99" s="8"/>
      <c r="L99" s="8"/>
    </row>
    <row r="100" spans="1:12" x14ac:dyDescent="0.25">
      <c r="A100" s="44" t="s">
        <v>1672</v>
      </c>
      <c r="B100" s="20">
        <v>516429012975.79999</v>
      </c>
      <c r="C100" s="20">
        <v>498249672631.09998</v>
      </c>
      <c r="D100" s="44">
        <f t="shared" si="0"/>
        <v>-3.5202012063469992</v>
      </c>
      <c r="E100" s="39">
        <v>2</v>
      </c>
      <c r="F100" s="39">
        <v>1</v>
      </c>
      <c r="G100" s="39">
        <v>0</v>
      </c>
      <c r="H100" s="44">
        <f t="shared" si="1"/>
        <v>66.666666666666657</v>
      </c>
      <c r="I100" s="44">
        <f t="shared" si="2"/>
        <v>33.333333333333329</v>
      </c>
      <c r="J100" s="8"/>
      <c r="K100" s="8"/>
      <c r="L100" s="8"/>
    </row>
    <row r="101" spans="1:12" x14ac:dyDescent="0.25">
      <c r="A101" s="44" t="s">
        <v>2247</v>
      </c>
      <c r="B101" s="20">
        <v>200560101522.28</v>
      </c>
      <c r="C101" s="20">
        <v>187779205430.84003</v>
      </c>
      <c r="D101" s="44">
        <f t="shared" si="0"/>
        <v>-6.372601526640211</v>
      </c>
      <c r="E101" s="39">
        <v>2</v>
      </c>
      <c r="F101" s="39">
        <v>1</v>
      </c>
      <c r="G101" s="39">
        <v>0</v>
      </c>
      <c r="H101" s="44">
        <f t="shared" si="1"/>
        <v>66.666666666666657</v>
      </c>
      <c r="I101" s="44">
        <f t="shared" si="2"/>
        <v>33.333333333333329</v>
      </c>
      <c r="J101" s="8"/>
      <c r="K101" s="8"/>
      <c r="L101" s="8"/>
    </row>
    <row r="102" spans="1:12" x14ac:dyDescent="0.25">
      <c r="A102" s="44" t="s">
        <v>2929</v>
      </c>
      <c r="B102" s="20">
        <v>416875049309.39008</v>
      </c>
      <c r="C102" s="20">
        <v>437803693055.33002</v>
      </c>
      <c r="D102" s="44">
        <f t="shared" si="0"/>
        <v>5.0203637230414895</v>
      </c>
      <c r="E102" s="39">
        <v>41</v>
      </c>
      <c r="F102" s="39">
        <v>20</v>
      </c>
      <c r="G102" s="39">
        <v>2</v>
      </c>
      <c r="H102" s="44">
        <f t="shared" si="1"/>
        <v>65.079365079365076</v>
      </c>
      <c r="I102" s="44">
        <f t="shared" si="2"/>
        <v>31.746031746031743</v>
      </c>
      <c r="J102" s="8"/>
      <c r="K102" s="8"/>
      <c r="L102" s="8"/>
    </row>
    <row r="103" spans="1:12" x14ac:dyDescent="0.25">
      <c r="A103" s="44" t="s">
        <v>3369</v>
      </c>
      <c r="B103" s="20">
        <v>56965377486.040001</v>
      </c>
      <c r="C103" s="20">
        <v>58674664046.509995</v>
      </c>
      <c r="D103" s="44">
        <f t="shared" si="0"/>
        <v>3.000570936072307</v>
      </c>
      <c r="E103" s="39">
        <v>13</v>
      </c>
      <c r="F103" s="39">
        <v>5</v>
      </c>
      <c r="G103" s="39">
        <v>2</v>
      </c>
      <c r="H103" s="44">
        <f t="shared" si="1"/>
        <v>65</v>
      </c>
      <c r="I103" s="44">
        <f t="shared" si="2"/>
        <v>25</v>
      </c>
      <c r="J103" s="8"/>
      <c r="K103" s="8"/>
      <c r="L103" s="8"/>
    </row>
    <row r="104" spans="1:12" x14ac:dyDescent="0.25">
      <c r="A104" s="44" t="s">
        <v>3976</v>
      </c>
      <c r="B104" s="20">
        <v>1373283529109.4802</v>
      </c>
      <c r="C104" s="20">
        <v>1436380795118.5503</v>
      </c>
      <c r="D104" s="44">
        <f t="shared" si="0"/>
        <v>4.5946277423123352</v>
      </c>
      <c r="E104" s="39">
        <v>11</v>
      </c>
      <c r="F104" s="39">
        <v>6</v>
      </c>
      <c r="G104" s="39">
        <v>0</v>
      </c>
      <c r="H104" s="44">
        <f t="shared" si="1"/>
        <v>64.705882352941174</v>
      </c>
      <c r="I104" s="44">
        <f t="shared" si="2"/>
        <v>35.294117647058826</v>
      </c>
      <c r="J104" s="8"/>
      <c r="K104" s="8"/>
      <c r="L104" s="8"/>
    </row>
    <row r="105" spans="1:12" x14ac:dyDescent="0.25">
      <c r="A105" s="44" t="s">
        <v>858</v>
      </c>
      <c r="B105" s="20">
        <v>4915503829501.8721</v>
      </c>
      <c r="C105" s="20">
        <v>5574404122018.7822</v>
      </c>
      <c r="D105" s="44">
        <f t="shared" si="0"/>
        <v>13.404532177603487</v>
      </c>
      <c r="E105" s="39">
        <v>100</v>
      </c>
      <c r="F105" s="39">
        <v>40</v>
      </c>
      <c r="G105" s="39">
        <v>15</v>
      </c>
      <c r="H105" s="44">
        <f t="shared" si="1"/>
        <v>64.516129032258064</v>
      </c>
      <c r="I105" s="44">
        <f t="shared" si="2"/>
        <v>25.806451612903224</v>
      </c>
      <c r="J105" s="8"/>
      <c r="K105" s="8"/>
      <c r="L105" s="8"/>
    </row>
    <row r="106" spans="1:12" x14ac:dyDescent="0.25">
      <c r="A106" s="44" t="s">
        <v>2905</v>
      </c>
      <c r="B106" s="20">
        <v>85165058951.919998</v>
      </c>
      <c r="C106" s="20">
        <v>82938936333.090012</v>
      </c>
      <c r="D106" s="44">
        <f t="shared" si="0"/>
        <v>-2.6138919484418439</v>
      </c>
      <c r="E106" s="39">
        <v>7</v>
      </c>
      <c r="F106" s="39">
        <v>4</v>
      </c>
      <c r="G106" s="39">
        <v>0</v>
      </c>
      <c r="H106" s="44">
        <f t="shared" si="1"/>
        <v>63.636363636363633</v>
      </c>
      <c r="I106" s="44">
        <f t="shared" si="2"/>
        <v>36.363636363636367</v>
      </c>
      <c r="J106" s="8"/>
      <c r="K106" s="8"/>
      <c r="L106" s="8"/>
    </row>
    <row r="107" spans="1:12" x14ac:dyDescent="0.25">
      <c r="A107" s="44" t="s">
        <v>1868</v>
      </c>
      <c r="B107" s="20">
        <v>4651509664732.7393</v>
      </c>
      <c r="C107" s="20">
        <v>4936128141915.5107</v>
      </c>
      <c r="D107" s="44">
        <f t="shared" si="0"/>
        <v>6.1188409290153487</v>
      </c>
      <c r="E107" s="39">
        <v>60</v>
      </c>
      <c r="F107" s="39">
        <v>31</v>
      </c>
      <c r="G107" s="39">
        <v>4</v>
      </c>
      <c r="H107" s="44">
        <f t="shared" si="1"/>
        <v>63.157894736842103</v>
      </c>
      <c r="I107" s="44">
        <f t="shared" si="2"/>
        <v>32.631578947368425</v>
      </c>
      <c r="J107" s="8"/>
      <c r="K107" s="8"/>
      <c r="L107" s="8"/>
    </row>
    <row r="108" spans="1:12" x14ac:dyDescent="0.25">
      <c r="A108" s="44" t="s">
        <v>2594</v>
      </c>
      <c r="B108" s="20">
        <v>4910666306</v>
      </c>
      <c r="C108" s="20">
        <v>5500664074.3999996</v>
      </c>
      <c r="D108" s="44">
        <f t="shared" si="0"/>
        <v>12.014617398847131</v>
      </c>
      <c r="E108" s="39">
        <v>5</v>
      </c>
      <c r="F108" s="39">
        <v>2</v>
      </c>
      <c r="G108" s="39">
        <v>1</v>
      </c>
      <c r="H108" s="44">
        <f t="shared" si="1"/>
        <v>62.5</v>
      </c>
      <c r="I108" s="44">
        <f t="shared" si="2"/>
        <v>25</v>
      </c>
      <c r="J108" s="8"/>
      <c r="K108" s="8"/>
      <c r="L108" s="8"/>
    </row>
    <row r="109" spans="1:12" x14ac:dyDescent="0.25">
      <c r="A109" s="44" t="s">
        <v>677</v>
      </c>
      <c r="B109" s="20">
        <v>299987084346.60004</v>
      </c>
      <c r="C109" s="20">
        <v>329136488409.42004</v>
      </c>
      <c r="D109" s="44">
        <f t="shared" si="0"/>
        <v>9.7168863540609216</v>
      </c>
      <c r="E109" s="39">
        <v>5</v>
      </c>
      <c r="F109" s="39">
        <v>3</v>
      </c>
      <c r="G109" s="39">
        <v>0</v>
      </c>
      <c r="H109" s="44">
        <f t="shared" si="1"/>
        <v>62.5</v>
      </c>
      <c r="I109" s="44">
        <f t="shared" si="2"/>
        <v>37.5</v>
      </c>
      <c r="J109" s="8"/>
      <c r="K109" s="8"/>
      <c r="L109" s="8"/>
    </row>
    <row r="110" spans="1:12" x14ac:dyDescent="0.25">
      <c r="A110" s="44" t="s">
        <v>1793</v>
      </c>
      <c r="B110" s="20">
        <v>1185715527617.5999</v>
      </c>
      <c r="C110" s="20">
        <v>1266861953097.0203</v>
      </c>
      <c r="D110" s="44">
        <f t="shared" si="0"/>
        <v>6.8436672700461259</v>
      </c>
      <c r="E110" s="39">
        <v>138</v>
      </c>
      <c r="F110" s="39">
        <v>70</v>
      </c>
      <c r="G110" s="39">
        <v>19</v>
      </c>
      <c r="H110" s="44">
        <f t="shared" si="1"/>
        <v>60.792951541850215</v>
      </c>
      <c r="I110" s="44">
        <f t="shared" si="2"/>
        <v>30.837004405286343</v>
      </c>
      <c r="J110" s="8"/>
      <c r="K110" s="8"/>
      <c r="L110" s="8"/>
    </row>
    <row r="111" spans="1:12" x14ac:dyDescent="0.25">
      <c r="A111" s="44" t="s">
        <v>56</v>
      </c>
      <c r="B111" s="20">
        <v>14786885863.82</v>
      </c>
      <c r="C111" s="20">
        <v>16568414107.369999</v>
      </c>
      <c r="D111" s="44">
        <f t="shared" si="0"/>
        <v>12.048028638058106</v>
      </c>
      <c r="E111" s="39">
        <v>6</v>
      </c>
      <c r="F111" s="39">
        <v>3</v>
      </c>
      <c r="G111" s="39">
        <v>1</v>
      </c>
      <c r="H111" s="44">
        <f t="shared" si="1"/>
        <v>60</v>
      </c>
      <c r="I111" s="44">
        <f t="shared" si="2"/>
        <v>30</v>
      </c>
      <c r="J111" s="8"/>
      <c r="K111" s="8"/>
      <c r="L111" s="8"/>
    </row>
    <row r="112" spans="1:12" x14ac:dyDescent="0.25">
      <c r="A112" s="44" t="s">
        <v>3618</v>
      </c>
      <c r="B112" s="20">
        <v>179126916225.35001</v>
      </c>
      <c r="C112" s="20">
        <v>191383629430.10001</v>
      </c>
      <c r="D112" s="44">
        <f t="shared" si="0"/>
        <v>6.8424742986869074</v>
      </c>
      <c r="E112" s="39">
        <v>3</v>
      </c>
      <c r="F112" s="39">
        <v>2</v>
      </c>
      <c r="G112" s="39">
        <v>0</v>
      </c>
      <c r="H112" s="44">
        <f t="shared" si="1"/>
        <v>60</v>
      </c>
      <c r="I112" s="44">
        <f t="shared" si="2"/>
        <v>40</v>
      </c>
      <c r="J112" s="8"/>
      <c r="K112" s="8"/>
      <c r="L112" s="8"/>
    </row>
    <row r="113" spans="1:12" x14ac:dyDescent="0.25">
      <c r="A113" s="44" t="s">
        <v>3707</v>
      </c>
      <c r="B113" s="20">
        <v>225297769950.75</v>
      </c>
      <c r="C113" s="20">
        <v>229575838989.15002</v>
      </c>
      <c r="D113" s="44">
        <f t="shared" si="0"/>
        <v>1.8988510358248147</v>
      </c>
      <c r="E113" s="39">
        <v>6</v>
      </c>
      <c r="F113" s="39">
        <v>3</v>
      </c>
      <c r="G113" s="39">
        <v>1</v>
      </c>
      <c r="H113" s="44">
        <f t="shared" si="1"/>
        <v>60</v>
      </c>
      <c r="I113" s="44">
        <f t="shared" si="2"/>
        <v>30</v>
      </c>
      <c r="J113" s="8"/>
      <c r="K113" s="8"/>
      <c r="L113" s="8"/>
    </row>
    <row r="114" spans="1:12" x14ac:dyDescent="0.25">
      <c r="A114" s="44" t="s">
        <v>1685</v>
      </c>
      <c r="B114" s="20">
        <v>343843508597.8999</v>
      </c>
      <c r="C114" s="20">
        <v>350433131522.51996</v>
      </c>
      <c r="D114" s="44">
        <f t="shared" si="0"/>
        <v>1.9164598894103724</v>
      </c>
      <c r="E114" s="39">
        <v>32</v>
      </c>
      <c r="F114" s="39">
        <v>17</v>
      </c>
      <c r="G114" s="39">
        <v>5</v>
      </c>
      <c r="H114" s="44">
        <f t="shared" si="1"/>
        <v>59.259259259259252</v>
      </c>
      <c r="I114" s="44">
        <f t="shared" si="2"/>
        <v>31.481481481481481</v>
      </c>
      <c r="J114" s="8"/>
      <c r="K114" s="8"/>
      <c r="L114" s="8"/>
    </row>
    <row r="115" spans="1:12" x14ac:dyDescent="0.25">
      <c r="A115" s="44" t="s">
        <v>1046</v>
      </c>
      <c r="B115" s="20">
        <v>1061098829713.9602</v>
      </c>
      <c r="C115" s="20">
        <v>1105064110373.54</v>
      </c>
      <c r="D115" s="44">
        <f t="shared" si="0"/>
        <v>4.1433728346898215</v>
      </c>
      <c r="E115" s="39">
        <v>13</v>
      </c>
      <c r="F115" s="39">
        <v>8</v>
      </c>
      <c r="G115" s="39">
        <v>1</v>
      </c>
      <c r="H115" s="44">
        <f t="shared" si="1"/>
        <v>59.090909090909093</v>
      </c>
      <c r="I115" s="44">
        <f t="shared" si="2"/>
        <v>36.363636363636367</v>
      </c>
      <c r="J115" s="8"/>
      <c r="K115" s="8"/>
      <c r="L115" s="8"/>
    </row>
    <row r="116" spans="1:12" x14ac:dyDescent="0.25">
      <c r="A116" s="44" t="s">
        <v>110</v>
      </c>
      <c r="B116" s="20">
        <v>486379430091.70996</v>
      </c>
      <c r="C116" s="20">
        <v>505426597388.05994</v>
      </c>
      <c r="D116" s="44">
        <f t="shared" si="0"/>
        <v>3.9161128365890203</v>
      </c>
      <c r="E116" s="39">
        <v>13</v>
      </c>
      <c r="F116" s="39">
        <v>9</v>
      </c>
      <c r="G116" s="39">
        <v>0</v>
      </c>
      <c r="H116" s="44">
        <f t="shared" si="1"/>
        <v>59.090909090909093</v>
      </c>
      <c r="I116" s="44">
        <f t="shared" si="2"/>
        <v>40.909090909090914</v>
      </c>
      <c r="J116" s="8"/>
      <c r="K116" s="8"/>
      <c r="L116" s="8"/>
    </row>
    <row r="117" spans="1:12" x14ac:dyDescent="0.25">
      <c r="A117" s="44" t="s">
        <v>3110</v>
      </c>
      <c r="B117" s="20">
        <v>1375052393438.72</v>
      </c>
      <c r="C117" s="20">
        <v>1474691711385.9304</v>
      </c>
      <c r="D117" s="44">
        <f t="shared" si="0"/>
        <v>7.2462197384372571</v>
      </c>
      <c r="E117" s="39">
        <v>23</v>
      </c>
      <c r="F117" s="39">
        <v>12</v>
      </c>
      <c r="G117" s="39">
        <v>4</v>
      </c>
      <c r="H117" s="44">
        <f t="shared" si="1"/>
        <v>58.974358974358978</v>
      </c>
      <c r="I117" s="44">
        <f t="shared" si="2"/>
        <v>30.76923076923077</v>
      </c>
      <c r="J117" s="8"/>
      <c r="K117" s="8"/>
      <c r="L117" s="8"/>
    </row>
    <row r="118" spans="1:12" x14ac:dyDescent="0.25">
      <c r="A118" s="44" t="s">
        <v>3561</v>
      </c>
      <c r="B118" s="20">
        <v>352323019973.54004</v>
      </c>
      <c r="C118" s="20">
        <v>377721425560.41003</v>
      </c>
      <c r="D118" s="44">
        <f t="shared" si="0"/>
        <v>7.2088407929681839</v>
      </c>
      <c r="E118" s="39">
        <v>30</v>
      </c>
      <c r="F118" s="39">
        <v>18</v>
      </c>
      <c r="G118" s="39">
        <v>3</v>
      </c>
      <c r="H118" s="44">
        <f t="shared" si="1"/>
        <v>58.82352941176471</v>
      </c>
      <c r="I118" s="44">
        <f t="shared" si="2"/>
        <v>35.294117647058826</v>
      </c>
      <c r="J118" s="8"/>
      <c r="K118" s="8"/>
      <c r="L118" s="8"/>
    </row>
    <row r="119" spans="1:12" x14ac:dyDescent="0.25">
      <c r="A119" s="44" t="s">
        <v>1064</v>
      </c>
      <c r="B119" s="20">
        <v>1286447263698.9897</v>
      </c>
      <c r="C119" s="20">
        <v>1374949737673.45</v>
      </c>
      <c r="D119" s="44">
        <f t="shared" si="0"/>
        <v>6.8796037328405033</v>
      </c>
      <c r="E119" s="39">
        <v>30</v>
      </c>
      <c r="F119" s="39">
        <v>17</v>
      </c>
      <c r="G119" s="39">
        <v>4</v>
      </c>
      <c r="H119" s="44">
        <f t="shared" si="1"/>
        <v>58.82352941176471</v>
      </c>
      <c r="I119" s="44">
        <f t="shared" si="2"/>
        <v>33.333333333333329</v>
      </c>
      <c r="J119" s="8"/>
      <c r="K119" s="8"/>
      <c r="L119" s="8"/>
    </row>
    <row r="120" spans="1:12" x14ac:dyDescent="0.25">
      <c r="A120" s="44" t="s">
        <v>3431</v>
      </c>
      <c r="B120" s="20">
        <v>4189505306032.1099</v>
      </c>
      <c r="C120" s="20">
        <v>4274502597405.9097</v>
      </c>
      <c r="D120" s="44">
        <f t="shared" si="0"/>
        <v>2.0288145058897404</v>
      </c>
      <c r="E120" s="39">
        <v>10</v>
      </c>
      <c r="F120" s="39">
        <v>4</v>
      </c>
      <c r="G120" s="39">
        <v>3</v>
      </c>
      <c r="H120" s="44">
        <f t="shared" si="1"/>
        <v>58.82352941176471</v>
      </c>
      <c r="I120" s="44">
        <f t="shared" si="2"/>
        <v>23.52941176470588</v>
      </c>
      <c r="J120" s="8"/>
      <c r="K120" s="8"/>
      <c r="L120" s="8"/>
    </row>
    <row r="121" spans="1:12" x14ac:dyDescent="0.25">
      <c r="A121" s="44" t="s">
        <v>3140</v>
      </c>
      <c r="B121" s="20">
        <v>2418996080137.7798</v>
      </c>
      <c r="C121" s="20">
        <v>2630310951094.4097</v>
      </c>
      <c r="D121" s="44">
        <f t="shared" si="0"/>
        <v>8.7356433808108491</v>
      </c>
      <c r="E121" s="39">
        <v>7</v>
      </c>
      <c r="F121" s="39">
        <v>4</v>
      </c>
      <c r="G121" s="39">
        <v>1</v>
      </c>
      <c r="H121" s="44">
        <f t="shared" si="1"/>
        <v>58.333333333333336</v>
      </c>
      <c r="I121" s="44">
        <f t="shared" si="2"/>
        <v>33.333333333333329</v>
      </c>
      <c r="J121" s="8"/>
      <c r="K121" s="8"/>
      <c r="L121" s="8"/>
    </row>
    <row r="122" spans="1:12" x14ac:dyDescent="0.25">
      <c r="A122" s="44" t="s">
        <v>3611</v>
      </c>
      <c r="B122" s="20">
        <v>205331480154.22998</v>
      </c>
      <c r="C122" s="20">
        <v>204492195045.24002</v>
      </c>
      <c r="D122" s="44">
        <f t="shared" si="0"/>
        <v>-0.40874643691242579</v>
      </c>
      <c r="E122" s="39">
        <v>7</v>
      </c>
      <c r="F122" s="39">
        <v>4</v>
      </c>
      <c r="G122" s="39">
        <v>1</v>
      </c>
      <c r="H122" s="44">
        <f t="shared" si="1"/>
        <v>58.333333333333336</v>
      </c>
      <c r="I122" s="44">
        <f t="shared" si="2"/>
        <v>33.333333333333329</v>
      </c>
      <c r="J122" s="8"/>
      <c r="K122" s="8"/>
      <c r="L122" s="8"/>
    </row>
    <row r="123" spans="1:12" x14ac:dyDescent="0.25">
      <c r="A123" s="44" t="s">
        <v>4036</v>
      </c>
      <c r="B123" s="20">
        <v>166414109307.56</v>
      </c>
      <c r="C123" s="20">
        <v>179688362282.92996</v>
      </c>
      <c r="D123" s="44">
        <f t="shared" si="0"/>
        <v>7.9766391387145035</v>
      </c>
      <c r="E123" s="39">
        <v>15</v>
      </c>
      <c r="F123" s="39">
        <v>9</v>
      </c>
      <c r="G123" s="39">
        <v>2</v>
      </c>
      <c r="H123" s="44">
        <f t="shared" si="1"/>
        <v>57.692307692307686</v>
      </c>
      <c r="I123" s="44">
        <f t="shared" si="2"/>
        <v>34.615384615384613</v>
      </c>
      <c r="J123" s="8"/>
      <c r="K123" s="8"/>
      <c r="L123" s="8"/>
    </row>
    <row r="124" spans="1:12" x14ac:dyDescent="0.25">
      <c r="A124" s="44" t="s">
        <v>2297</v>
      </c>
      <c r="B124" s="20">
        <v>1628948008169.5398</v>
      </c>
      <c r="C124" s="20">
        <v>1848896025389.5601</v>
      </c>
      <c r="D124" s="44">
        <f t="shared" si="0"/>
        <v>13.502457789747224</v>
      </c>
      <c r="E124" s="39">
        <v>65</v>
      </c>
      <c r="F124" s="39">
        <v>35</v>
      </c>
      <c r="G124" s="39">
        <v>13</v>
      </c>
      <c r="H124" s="44">
        <f t="shared" si="1"/>
        <v>57.522123893805308</v>
      </c>
      <c r="I124" s="44">
        <f t="shared" si="2"/>
        <v>30.973451327433626</v>
      </c>
      <c r="J124" s="8"/>
      <c r="K124" s="8"/>
      <c r="L124" s="8"/>
    </row>
    <row r="125" spans="1:12" x14ac:dyDescent="0.25">
      <c r="A125" s="44" t="s">
        <v>204</v>
      </c>
      <c r="B125" s="20">
        <v>1202596306387.6199</v>
      </c>
      <c r="C125" s="20">
        <v>1317629224340.8499</v>
      </c>
      <c r="D125" s="44">
        <f t="shared" si="0"/>
        <v>9.5653809463932156</v>
      </c>
      <c r="E125" s="39">
        <v>8</v>
      </c>
      <c r="F125" s="39">
        <v>6</v>
      </c>
      <c r="G125" s="39">
        <v>0</v>
      </c>
      <c r="H125" s="44">
        <f t="shared" si="1"/>
        <v>57.142857142857139</v>
      </c>
      <c r="I125" s="44">
        <f t="shared" si="2"/>
        <v>42.857142857142854</v>
      </c>
      <c r="J125" s="8"/>
      <c r="K125" s="8"/>
      <c r="L125" s="8"/>
    </row>
    <row r="126" spans="1:12" x14ac:dyDescent="0.25">
      <c r="A126" s="44" t="s">
        <v>67</v>
      </c>
      <c r="B126" s="20">
        <v>847950093040.69983</v>
      </c>
      <c r="C126" s="20">
        <v>903046094240.6499</v>
      </c>
      <c r="D126" s="44">
        <f t="shared" si="0"/>
        <v>6.4975523503251251</v>
      </c>
      <c r="E126" s="39">
        <v>4</v>
      </c>
      <c r="F126" s="39">
        <v>3</v>
      </c>
      <c r="G126" s="39">
        <v>0</v>
      </c>
      <c r="H126" s="44">
        <f t="shared" si="1"/>
        <v>57.142857142857139</v>
      </c>
      <c r="I126" s="44">
        <f t="shared" si="2"/>
        <v>42.857142857142854</v>
      </c>
      <c r="J126" s="8"/>
      <c r="K126" s="8"/>
      <c r="L126" s="8"/>
    </row>
    <row r="127" spans="1:12" x14ac:dyDescent="0.25">
      <c r="A127" s="44" t="s">
        <v>3744</v>
      </c>
      <c r="B127" s="20">
        <v>1502061766277.2603</v>
      </c>
      <c r="C127" s="20">
        <v>1572452337340.4697</v>
      </c>
      <c r="D127" s="44">
        <f t="shared" si="0"/>
        <v>4.6862634176267504</v>
      </c>
      <c r="E127" s="39">
        <v>32</v>
      </c>
      <c r="F127" s="39">
        <v>19</v>
      </c>
      <c r="G127" s="39">
        <v>5</v>
      </c>
      <c r="H127" s="44">
        <f t="shared" si="1"/>
        <v>57.142857142857139</v>
      </c>
      <c r="I127" s="44">
        <f t="shared" si="2"/>
        <v>33.928571428571431</v>
      </c>
      <c r="J127" s="8"/>
      <c r="K127" s="8"/>
      <c r="L127" s="8"/>
    </row>
    <row r="128" spans="1:12" x14ac:dyDescent="0.25">
      <c r="A128" s="44" t="s">
        <v>4111</v>
      </c>
      <c r="B128" s="20">
        <v>51518325724.419998</v>
      </c>
      <c r="C128" s="20">
        <v>50988553089.919998</v>
      </c>
      <c r="D128" s="44">
        <f t="shared" si="0"/>
        <v>-1.0283188109292236</v>
      </c>
      <c r="E128" s="39">
        <v>4</v>
      </c>
      <c r="F128" s="39">
        <v>3</v>
      </c>
      <c r="G128" s="39">
        <v>0</v>
      </c>
      <c r="H128" s="44">
        <f t="shared" si="1"/>
        <v>57.142857142857139</v>
      </c>
      <c r="I128" s="44">
        <f t="shared" si="2"/>
        <v>42.857142857142854</v>
      </c>
      <c r="J128" s="8"/>
      <c r="K128" s="8"/>
      <c r="L128" s="8"/>
    </row>
    <row r="129" spans="1:12" x14ac:dyDescent="0.25">
      <c r="A129" s="44" t="s">
        <v>13</v>
      </c>
      <c r="B129" s="20">
        <v>9937555152963.4648</v>
      </c>
      <c r="C129" s="20">
        <v>9969292924978.5664</v>
      </c>
      <c r="D129" s="44">
        <f t="shared" si="0"/>
        <v>0.31937203393167674</v>
      </c>
      <c r="E129" s="39">
        <v>156</v>
      </c>
      <c r="F129" s="39">
        <v>81</v>
      </c>
      <c r="G129" s="39">
        <v>39</v>
      </c>
      <c r="H129" s="44">
        <f t="shared" si="1"/>
        <v>56.521739130434781</v>
      </c>
      <c r="I129" s="44">
        <f t="shared" si="2"/>
        <v>29.347826086956523</v>
      </c>
      <c r="J129" s="8"/>
      <c r="K129" s="8"/>
      <c r="L129" s="8"/>
    </row>
    <row r="130" spans="1:12" x14ac:dyDescent="0.25">
      <c r="A130" s="44" t="s">
        <v>1645</v>
      </c>
      <c r="B130" s="20">
        <v>690610763136.30005</v>
      </c>
      <c r="C130" s="20">
        <v>708375887607.81006</v>
      </c>
      <c r="D130" s="44">
        <f t="shared" si="0"/>
        <v>2.5723787435389065</v>
      </c>
      <c r="E130" s="39">
        <v>22</v>
      </c>
      <c r="F130" s="39">
        <v>12</v>
      </c>
      <c r="G130" s="39">
        <v>5</v>
      </c>
      <c r="H130" s="44">
        <f t="shared" si="1"/>
        <v>56.410256410256409</v>
      </c>
      <c r="I130" s="44">
        <f t="shared" si="2"/>
        <v>30.76923076923077</v>
      </c>
      <c r="J130" s="8"/>
      <c r="K130" s="8"/>
      <c r="L130" s="8"/>
    </row>
    <row r="131" spans="1:12" x14ac:dyDescent="0.25">
      <c r="A131" s="44" t="s">
        <v>356</v>
      </c>
      <c r="B131" s="20">
        <v>3581495974741.1895</v>
      </c>
      <c r="C131" s="20">
        <v>3886897642007.4902</v>
      </c>
      <c r="D131" s="44">
        <f t="shared" si="0"/>
        <v>8.527209563271116</v>
      </c>
      <c r="E131" s="39">
        <v>42</v>
      </c>
      <c r="F131" s="39">
        <v>26</v>
      </c>
      <c r="G131" s="39">
        <v>7</v>
      </c>
      <c r="H131" s="44">
        <f t="shared" si="1"/>
        <v>56.000000000000007</v>
      </c>
      <c r="I131" s="44">
        <f t="shared" si="2"/>
        <v>34.666666666666671</v>
      </c>
      <c r="J131" s="8"/>
      <c r="K131" s="8"/>
      <c r="L131" s="8"/>
    </row>
    <row r="132" spans="1:12" x14ac:dyDescent="0.25">
      <c r="A132" s="44" t="s">
        <v>3847</v>
      </c>
      <c r="B132" s="20">
        <v>1106933885927.3201</v>
      </c>
      <c r="C132" s="20">
        <v>1311514073447.76</v>
      </c>
      <c r="D132" s="44">
        <f t="shared" si="0"/>
        <v>18.481698873014032</v>
      </c>
      <c r="E132" s="39">
        <v>5</v>
      </c>
      <c r="F132" s="39">
        <v>3</v>
      </c>
      <c r="G132" s="39">
        <v>1</v>
      </c>
      <c r="H132" s="44">
        <f t="shared" si="1"/>
        <v>55.555555555555557</v>
      </c>
      <c r="I132" s="44">
        <f t="shared" si="2"/>
        <v>33.333333333333329</v>
      </c>
      <c r="J132" s="8"/>
      <c r="K132" s="8"/>
      <c r="L132" s="8"/>
    </row>
    <row r="133" spans="1:12" x14ac:dyDescent="0.25">
      <c r="A133" s="44" t="s">
        <v>3361</v>
      </c>
      <c r="B133" s="20">
        <v>171007517106.85001</v>
      </c>
      <c r="C133" s="20">
        <v>182425027465.75</v>
      </c>
      <c r="D133" s="44">
        <f t="shared" si="0"/>
        <v>6.6766131407931226</v>
      </c>
      <c r="E133" s="39">
        <v>5</v>
      </c>
      <c r="F133" s="39">
        <v>4</v>
      </c>
      <c r="G133" s="39">
        <v>0</v>
      </c>
      <c r="H133" s="44">
        <f t="shared" si="1"/>
        <v>55.555555555555557</v>
      </c>
      <c r="I133" s="44">
        <f t="shared" si="2"/>
        <v>44.444444444444443</v>
      </c>
      <c r="J133" s="8"/>
      <c r="K133" s="8"/>
      <c r="L133" s="8"/>
    </row>
    <row r="134" spans="1:12" x14ac:dyDescent="0.25">
      <c r="A134" s="44" t="s">
        <v>1633</v>
      </c>
      <c r="B134" s="20">
        <v>1198945903381.5002</v>
      </c>
      <c r="C134" s="20">
        <v>1216131470282.5701</v>
      </c>
      <c r="D134" s="44">
        <f t="shared" si="0"/>
        <v>1.433389684438618</v>
      </c>
      <c r="E134" s="39">
        <v>40</v>
      </c>
      <c r="F134" s="39">
        <v>29</v>
      </c>
      <c r="G134" s="39">
        <v>3</v>
      </c>
      <c r="H134" s="44">
        <f t="shared" si="1"/>
        <v>55.555555555555557</v>
      </c>
      <c r="I134" s="44">
        <f t="shared" si="2"/>
        <v>40.277777777777779</v>
      </c>
      <c r="J134" s="69" t="s">
        <v>4399</v>
      </c>
      <c r="K134" s="67"/>
      <c r="L134" s="8"/>
    </row>
    <row r="135" spans="1:12" x14ac:dyDescent="0.25">
      <c r="A135" s="44" t="s">
        <v>3023</v>
      </c>
      <c r="B135" s="20">
        <v>37841055879.32</v>
      </c>
      <c r="C135" s="20">
        <v>38555025080.869995</v>
      </c>
      <c r="D135" s="44">
        <f t="shared" si="0"/>
        <v>1.8867581386389827</v>
      </c>
      <c r="E135" s="39">
        <v>6</v>
      </c>
      <c r="F135" s="39">
        <v>5</v>
      </c>
      <c r="G135" s="39">
        <v>0</v>
      </c>
      <c r="H135" s="44">
        <f t="shared" si="1"/>
        <v>54.54545454545454</v>
      </c>
      <c r="I135" s="44">
        <f t="shared" si="2"/>
        <v>45.454545454545453</v>
      </c>
      <c r="J135" s="8"/>
      <c r="K135" s="8"/>
      <c r="L135" s="8"/>
    </row>
    <row r="136" spans="1:12" x14ac:dyDescent="0.25">
      <c r="A136" s="44" t="s">
        <v>1001</v>
      </c>
      <c r="B136" s="20">
        <v>1302864567806.1201</v>
      </c>
      <c r="C136" s="20">
        <v>1421984219244.2102</v>
      </c>
      <c r="D136" s="44">
        <f t="shared" si="0"/>
        <v>9.1429035973151382</v>
      </c>
      <c r="E136" s="39">
        <v>7</v>
      </c>
      <c r="F136" s="39">
        <v>5</v>
      </c>
      <c r="G136" s="39">
        <v>1</v>
      </c>
      <c r="H136" s="44">
        <f t="shared" si="1"/>
        <v>53.846153846153847</v>
      </c>
      <c r="I136" s="44">
        <f t="shared" si="2"/>
        <v>38.461538461538467</v>
      </c>
      <c r="J136" s="69" t="s">
        <v>4400</v>
      </c>
      <c r="K136" s="67"/>
      <c r="L136" s="8"/>
    </row>
    <row r="137" spans="1:12" x14ac:dyDescent="0.25">
      <c r="A137" s="44" t="s">
        <v>2261</v>
      </c>
      <c r="B137" s="20">
        <v>99009809899.73999</v>
      </c>
      <c r="C137" s="20">
        <v>108625894161.75</v>
      </c>
      <c r="D137" s="44">
        <f t="shared" si="0"/>
        <v>9.7122540400264548</v>
      </c>
      <c r="E137" s="39">
        <v>8</v>
      </c>
      <c r="F137" s="39">
        <v>7</v>
      </c>
      <c r="G137" s="39">
        <v>0</v>
      </c>
      <c r="H137" s="44">
        <f t="shared" si="1"/>
        <v>53.333333333333336</v>
      </c>
      <c r="I137" s="44">
        <f t="shared" si="2"/>
        <v>46.666666666666664</v>
      </c>
      <c r="J137" s="8"/>
      <c r="K137" s="8"/>
      <c r="L137" s="8"/>
    </row>
    <row r="138" spans="1:12" x14ac:dyDescent="0.25">
      <c r="A138" s="44" t="s">
        <v>893</v>
      </c>
      <c r="B138" s="20">
        <v>1490552032274.7002</v>
      </c>
      <c r="C138" s="20">
        <v>1551775291094.3501</v>
      </c>
      <c r="D138" s="44">
        <f t="shared" si="0"/>
        <v>4.1074217802526745</v>
      </c>
      <c r="E138" s="39">
        <v>8</v>
      </c>
      <c r="F138" s="39">
        <v>7</v>
      </c>
      <c r="G138" s="39">
        <v>0</v>
      </c>
      <c r="H138" s="44">
        <f t="shared" si="1"/>
        <v>53.333333333333336</v>
      </c>
      <c r="I138" s="44">
        <f t="shared" si="2"/>
        <v>46.666666666666664</v>
      </c>
      <c r="J138" s="8"/>
      <c r="K138" s="8"/>
      <c r="L138" s="8"/>
    </row>
    <row r="139" spans="1:12" x14ac:dyDescent="0.25">
      <c r="A139" s="44" t="s">
        <v>3232</v>
      </c>
      <c r="B139" s="20">
        <v>972475686165.95996</v>
      </c>
      <c r="C139" s="20">
        <v>1030090739638.3901</v>
      </c>
      <c r="D139" s="44">
        <f t="shared" si="0"/>
        <v>5.9245752147882236</v>
      </c>
      <c r="E139" s="39">
        <v>17</v>
      </c>
      <c r="F139" s="39">
        <v>12</v>
      </c>
      <c r="G139" s="39">
        <v>4</v>
      </c>
      <c r="H139" s="44">
        <f t="shared" si="1"/>
        <v>51.515151515151516</v>
      </c>
      <c r="I139" s="44">
        <f t="shared" si="2"/>
        <v>36.363636363636367</v>
      </c>
      <c r="J139" s="8"/>
      <c r="K139" s="8"/>
      <c r="L139" s="8"/>
    </row>
    <row r="140" spans="1:12" x14ac:dyDescent="0.25">
      <c r="A140" s="44" t="s">
        <v>3209</v>
      </c>
      <c r="B140" s="20">
        <v>377112667572.53003</v>
      </c>
      <c r="C140" s="20">
        <v>389890406008.56</v>
      </c>
      <c r="D140" s="44">
        <f t="shared" si="0"/>
        <v>3.3883079341460807</v>
      </c>
      <c r="E140" s="39">
        <v>23</v>
      </c>
      <c r="F140" s="39">
        <v>19</v>
      </c>
      <c r="G140" s="39">
        <v>3</v>
      </c>
      <c r="H140" s="44">
        <f t="shared" si="1"/>
        <v>51.111111111111107</v>
      </c>
      <c r="I140" s="44">
        <f t="shared" si="2"/>
        <v>42.222222222222221</v>
      </c>
      <c r="J140" s="8"/>
      <c r="K140" s="8"/>
      <c r="L140" s="8"/>
    </row>
    <row r="141" spans="1:12" x14ac:dyDescent="0.25">
      <c r="A141" s="44" t="s">
        <v>4245</v>
      </c>
      <c r="B141" s="20">
        <v>1037263100</v>
      </c>
      <c r="C141" s="20">
        <v>1347666000</v>
      </c>
      <c r="D141" s="44">
        <f t="shared" si="0"/>
        <v>29.92518484461657</v>
      </c>
      <c r="E141" s="44">
        <v>1</v>
      </c>
      <c r="F141" s="44">
        <v>1</v>
      </c>
      <c r="G141" s="44">
        <v>0</v>
      </c>
      <c r="H141" s="44">
        <f t="shared" si="1"/>
        <v>50</v>
      </c>
      <c r="I141" s="44">
        <f t="shared" si="2"/>
        <v>50</v>
      </c>
      <c r="J141" s="8"/>
      <c r="K141" s="8"/>
      <c r="L141" s="8"/>
    </row>
    <row r="142" spans="1:12" x14ac:dyDescent="0.25">
      <c r="A142" s="44" t="s">
        <v>1333</v>
      </c>
      <c r="B142" s="20">
        <v>134434429810.98001</v>
      </c>
      <c r="C142" s="20">
        <v>161719686118.41</v>
      </c>
      <c r="D142" s="44">
        <f t="shared" si="0"/>
        <v>20.296330594620823</v>
      </c>
      <c r="E142" s="39">
        <v>2</v>
      </c>
      <c r="F142" s="39">
        <v>2</v>
      </c>
      <c r="G142" s="39">
        <v>0</v>
      </c>
      <c r="H142" s="44">
        <f t="shared" si="1"/>
        <v>50</v>
      </c>
      <c r="I142" s="44">
        <f t="shared" si="2"/>
        <v>50</v>
      </c>
      <c r="J142" s="8"/>
      <c r="K142" s="8"/>
      <c r="L142" s="8"/>
    </row>
    <row r="143" spans="1:12" x14ac:dyDescent="0.25">
      <c r="A143" s="44" t="s">
        <v>1598</v>
      </c>
      <c r="B143" s="20">
        <v>1893406805534.75</v>
      </c>
      <c r="C143" s="20">
        <v>2112813504283</v>
      </c>
      <c r="D143" s="44">
        <f t="shared" si="0"/>
        <v>11.587932297849935</v>
      </c>
      <c r="E143" s="39">
        <v>2</v>
      </c>
      <c r="F143" s="39">
        <v>1</v>
      </c>
      <c r="G143" s="39">
        <v>1</v>
      </c>
      <c r="H143" s="44">
        <f t="shared" si="1"/>
        <v>50</v>
      </c>
      <c r="I143" s="44">
        <f t="shared" si="2"/>
        <v>25</v>
      </c>
      <c r="J143" s="8"/>
      <c r="K143" s="8"/>
      <c r="L143" s="8"/>
    </row>
    <row r="144" spans="1:12" x14ac:dyDescent="0.25">
      <c r="A144" s="44" t="s">
        <v>3918</v>
      </c>
      <c r="B144" s="20">
        <v>64166110777.299995</v>
      </c>
      <c r="C144" s="20">
        <v>71135406662.75</v>
      </c>
      <c r="D144" s="44">
        <f t="shared" si="0"/>
        <v>10.861334434992012</v>
      </c>
      <c r="E144" s="39">
        <v>4</v>
      </c>
      <c r="F144" s="39">
        <v>4</v>
      </c>
      <c r="G144" s="39">
        <v>0</v>
      </c>
      <c r="H144" s="44">
        <f t="shared" si="1"/>
        <v>50</v>
      </c>
      <c r="I144" s="44">
        <f t="shared" si="2"/>
        <v>50</v>
      </c>
      <c r="J144" s="8"/>
      <c r="K144" s="8"/>
      <c r="L144" s="8"/>
    </row>
    <row r="145" spans="1:12" x14ac:dyDescent="0.25">
      <c r="A145" s="44" t="s">
        <v>668</v>
      </c>
      <c r="B145" s="20">
        <v>55135298514.75</v>
      </c>
      <c r="C145" s="20">
        <v>59267400659.999992</v>
      </c>
      <c r="D145" s="44">
        <f t="shared" si="0"/>
        <v>7.4944767808676271</v>
      </c>
      <c r="E145" s="39">
        <v>1</v>
      </c>
      <c r="F145" s="39">
        <v>1</v>
      </c>
      <c r="G145" s="39">
        <v>0</v>
      </c>
      <c r="H145" s="44">
        <f t="shared" si="1"/>
        <v>50</v>
      </c>
      <c r="I145" s="44">
        <f t="shared" si="2"/>
        <v>50</v>
      </c>
      <c r="J145" s="8"/>
      <c r="K145" s="8"/>
      <c r="L145" s="8"/>
    </row>
    <row r="146" spans="1:12" x14ac:dyDescent="0.25">
      <c r="A146" s="44" t="s">
        <v>3772</v>
      </c>
      <c r="B146" s="20">
        <v>726460281263.93005</v>
      </c>
      <c r="C146" s="20">
        <v>779008069384.1499</v>
      </c>
      <c r="D146" s="44">
        <f t="shared" si="0"/>
        <v>7.2334013951588254</v>
      </c>
      <c r="E146" s="39">
        <v>3</v>
      </c>
      <c r="F146" s="39">
        <v>3</v>
      </c>
      <c r="G146" s="39">
        <v>0</v>
      </c>
      <c r="H146" s="44">
        <f t="shared" si="1"/>
        <v>50</v>
      </c>
      <c r="I146" s="44">
        <f t="shared" si="2"/>
        <v>50</v>
      </c>
      <c r="J146" s="8"/>
      <c r="K146" s="8"/>
      <c r="L146" s="8"/>
    </row>
    <row r="147" spans="1:12" x14ac:dyDescent="0.25">
      <c r="A147" s="44" t="s">
        <v>4033</v>
      </c>
      <c r="B147" s="20">
        <v>2889874554348.3501</v>
      </c>
      <c r="C147" s="20">
        <v>3094261638635.75</v>
      </c>
      <c r="D147" s="44">
        <f t="shared" si="0"/>
        <v>7.0725244450442242</v>
      </c>
      <c r="E147" s="39">
        <v>2</v>
      </c>
      <c r="F147" s="39">
        <v>2</v>
      </c>
      <c r="G147" s="39">
        <v>0</v>
      </c>
      <c r="H147" s="44">
        <f t="shared" si="1"/>
        <v>50</v>
      </c>
      <c r="I147" s="44">
        <f t="shared" si="2"/>
        <v>50</v>
      </c>
      <c r="J147" s="8"/>
      <c r="K147" s="8"/>
      <c r="L147" s="8"/>
    </row>
    <row r="148" spans="1:12" x14ac:dyDescent="0.25">
      <c r="A148" s="44" t="s">
        <v>2867</v>
      </c>
      <c r="B148" s="20">
        <v>4956776178.5500002</v>
      </c>
      <c r="C148" s="20">
        <v>5250579340.1099997</v>
      </c>
      <c r="D148" s="44">
        <f t="shared" si="0"/>
        <v>5.9273033717238643</v>
      </c>
      <c r="E148" s="39">
        <v>3</v>
      </c>
      <c r="F148" s="39">
        <v>2</v>
      </c>
      <c r="G148" s="39">
        <v>1</v>
      </c>
      <c r="H148" s="44">
        <f t="shared" si="1"/>
        <v>50</v>
      </c>
      <c r="I148" s="44">
        <f t="shared" si="2"/>
        <v>33.333333333333329</v>
      </c>
      <c r="J148" s="8"/>
      <c r="K148" s="8"/>
      <c r="L148" s="8"/>
    </row>
    <row r="149" spans="1:12" x14ac:dyDescent="0.25">
      <c r="A149" s="44" t="s">
        <v>3131</v>
      </c>
      <c r="B149" s="20">
        <v>829761787612.41992</v>
      </c>
      <c r="C149" s="20">
        <v>866449847374.12</v>
      </c>
      <c r="D149" s="44">
        <f t="shared" si="0"/>
        <v>4.4215171522018792</v>
      </c>
      <c r="E149" s="39">
        <v>1</v>
      </c>
      <c r="F149" s="39">
        <v>1</v>
      </c>
      <c r="G149" s="39">
        <v>0</v>
      </c>
      <c r="H149" s="44">
        <f t="shared" si="1"/>
        <v>50</v>
      </c>
      <c r="I149" s="44">
        <f t="shared" si="2"/>
        <v>50</v>
      </c>
      <c r="J149" s="8"/>
      <c r="K149" s="8"/>
      <c r="L149" s="8"/>
    </row>
    <row r="150" spans="1:12" x14ac:dyDescent="0.25">
      <c r="A150" s="44" t="s">
        <v>262</v>
      </c>
      <c r="B150" s="20">
        <v>17361586282.290001</v>
      </c>
      <c r="C150" s="20">
        <v>18095168684.919998</v>
      </c>
      <c r="D150" s="44">
        <f t="shared" si="0"/>
        <v>4.2253189927599024</v>
      </c>
      <c r="E150" s="39">
        <v>4</v>
      </c>
      <c r="F150" s="39">
        <v>3</v>
      </c>
      <c r="G150" s="39">
        <v>1</v>
      </c>
      <c r="H150" s="44">
        <f t="shared" si="1"/>
        <v>50</v>
      </c>
      <c r="I150" s="44">
        <f t="shared" si="2"/>
        <v>37.5</v>
      </c>
      <c r="J150" s="8"/>
      <c r="K150" s="8"/>
      <c r="L150" s="8"/>
    </row>
    <row r="151" spans="1:12" x14ac:dyDescent="0.25">
      <c r="A151" s="44" t="s">
        <v>3287</v>
      </c>
      <c r="B151" s="20">
        <v>226830178628.55002</v>
      </c>
      <c r="C151" s="20">
        <v>236230039623.85001</v>
      </c>
      <c r="D151" s="44">
        <f t="shared" si="0"/>
        <v>4.1440081086798006</v>
      </c>
      <c r="E151" s="39">
        <v>3</v>
      </c>
      <c r="F151" s="39">
        <v>3</v>
      </c>
      <c r="G151" s="39">
        <v>0</v>
      </c>
      <c r="H151" s="44">
        <f t="shared" si="1"/>
        <v>50</v>
      </c>
      <c r="I151" s="44">
        <f t="shared" si="2"/>
        <v>50</v>
      </c>
      <c r="J151" s="8"/>
      <c r="K151" s="8"/>
      <c r="L151" s="8"/>
    </row>
    <row r="152" spans="1:12" x14ac:dyDescent="0.25">
      <c r="A152" s="44" t="s">
        <v>876</v>
      </c>
      <c r="B152" s="20">
        <v>780897287.29999995</v>
      </c>
      <c r="C152" s="20">
        <v>805238467.75999999</v>
      </c>
      <c r="D152" s="44">
        <f t="shared" si="0"/>
        <v>3.1170783732853211</v>
      </c>
      <c r="E152" s="39">
        <v>2</v>
      </c>
      <c r="F152" s="39">
        <v>1</v>
      </c>
      <c r="G152" s="39">
        <v>1</v>
      </c>
      <c r="H152" s="44">
        <f t="shared" si="1"/>
        <v>50</v>
      </c>
      <c r="I152" s="44">
        <f t="shared" si="2"/>
        <v>25</v>
      </c>
      <c r="J152" s="8"/>
      <c r="K152" s="8"/>
      <c r="L152" s="8"/>
    </row>
    <row r="153" spans="1:12" x14ac:dyDescent="0.25">
      <c r="A153" s="44" t="s">
        <v>1616</v>
      </c>
      <c r="B153" s="20">
        <v>634235264164</v>
      </c>
      <c r="C153" s="20">
        <v>651751946289.79993</v>
      </c>
      <c r="D153" s="44">
        <f t="shared" si="0"/>
        <v>2.7618587479346592</v>
      </c>
      <c r="E153" s="39">
        <v>2</v>
      </c>
      <c r="F153" s="39">
        <v>1</v>
      </c>
      <c r="G153" s="39">
        <v>1</v>
      </c>
      <c r="H153" s="44">
        <f t="shared" si="1"/>
        <v>50</v>
      </c>
      <c r="I153" s="44">
        <f t="shared" si="2"/>
        <v>25</v>
      </c>
      <c r="J153" s="8"/>
      <c r="K153" s="8"/>
      <c r="L153" s="8"/>
    </row>
    <row r="154" spans="1:12" x14ac:dyDescent="0.25">
      <c r="A154" s="44" t="s">
        <v>4082</v>
      </c>
      <c r="B154" s="20">
        <v>1237894092475.5</v>
      </c>
      <c r="C154" s="20">
        <v>1267244233020.25</v>
      </c>
      <c r="D154" s="44">
        <f t="shared" si="0"/>
        <v>2.3709734720566078</v>
      </c>
      <c r="E154" s="39">
        <v>1</v>
      </c>
      <c r="F154" s="39">
        <v>0</v>
      </c>
      <c r="G154" s="39">
        <v>1</v>
      </c>
      <c r="H154" s="44">
        <f t="shared" si="1"/>
        <v>50</v>
      </c>
      <c r="I154" s="44">
        <f t="shared" si="2"/>
        <v>0</v>
      </c>
      <c r="J154" s="8"/>
      <c r="K154" s="8"/>
      <c r="L154" s="8"/>
    </row>
    <row r="155" spans="1:12" x14ac:dyDescent="0.25">
      <c r="A155" s="44" t="s">
        <v>1271</v>
      </c>
      <c r="B155" s="20">
        <v>971725647409</v>
      </c>
      <c r="C155" s="20">
        <v>989317950792.55994</v>
      </c>
      <c r="D155" s="44">
        <f t="shared" si="0"/>
        <v>1.8104187566179701</v>
      </c>
      <c r="E155" s="39">
        <v>8</v>
      </c>
      <c r="F155" s="39">
        <v>8</v>
      </c>
      <c r="G155" s="39">
        <v>0</v>
      </c>
      <c r="H155" s="44">
        <f t="shared" si="1"/>
        <v>50</v>
      </c>
      <c r="I155" s="44">
        <f t="shared" si="2"/>
        <v>50</v>
      </c>
      <c r="J155" s="8"/>
      <c r="K155" s="8"/>
      <c r="L155" s="8"/>
    </row>
    <row r="156" spans="1:12" x14ac:dyDescent="0.25">
      <c r="A156" s="44" t="s">
        <v>767</v>
      </c>
      <c r="B156" s="20">
        <v>938015729049.19995</v>
      </c>
      <c r="C156" s="20">
        <v>952487135004.78003</v>
      </c>
      <c r="D156" s="44">
        <f t="shared" si="0"/>
        <v>1.5427679416686026</v>
      </c>
      <c r="E156" s="39">
        <v>2</v>
      </c>
      <c r="F156" s="39">
        <v>0</v>
      </c>
      <c r="G156" s="39">
        <v>2</v>
      </c>
      <c r="H156" s="44">
        <f t="shared" si="1"/>
        <v>50</v>
      </c>
      <c r="I156" s="44">
        <f t="shared" si="2"/>
        <v>0</v>
      </c>
      <c r="J156" s="8"/>
      <c r="K156" s="8"/>
      <c r="L156" s="8"/>
    </row>
    <row r="157" spans="1:12" x14ac:dyDescent="0.25">
      <c r="A157" s="44" t="s">
        <v>850</v>
      </c>
      <c r="B157" s="20">
        <v>479239378658</v>
      </c>
      <c r="C157" s="20">
        <v>485894838225.32996</v>
      </c>
      <c r="D157" s="44">
        <f t="shared" si="0"/>
        <v>1.3887547358831498</v>
      </c>
      <c r="E157" s="39">
        <v>3</v>
      </c>
      <c r="F157" s="39">
        <v>2</v>
      </c>
      <c r="G157" s="39">
        <v>1</v>
      </c>
      <c r="H157" s="44">
        <f t="shared" si="1"/>
        <v>50</v>
      </c>
      <c r="I157" s="44">
        <f t="shared" si="2"/>
        <v>33.333333333333329</v>
      </c>
      <c r="J157" s="8"/>
      <c r="K157" s="8"/>
      <c r="L157" s="8"/>
    </row>
    <row r="158" spans="1:12" x14ac:dyDescent="0.25">
      <c r="A158" s="44" t="s">
        <v>758</v>
      </c>
      <c r="B158" s="20">
        <v>78959506617.300003</v>
      </c>
      <c r="C158" s="20">
        <v>80027809999.699997</v>
      </c>
      <c r="D158" s="44">
        <f t="shared" si="0"/>
        <v>1.3529762636155189</v>
      </c>
      <c r="E158" s="39">
        <v>1</v>
      </c>
      <c r="F158" s="39">
        <v>1</v>
      </c>
      <c r="G158" s="39">
        <v>0</v>
      </c>
      <c r="H158" s="44">
        <f t="shared" si="1"/>
        <v>50</v>
      </c>
      <c r="I158" s="44">
        <f t="shared" si="2"/>
        <v>50</v>
      </c>
      <c r="J158" s="8"/>
      <c r="K158" s="8"/>
      <c r="L158" s="8"/>
    </row>
    <row r="159" spans="1:12" x14ac:dyDescent="0.25">
      <c r="A159" s="44" t="s">
        <v>3190</v>
      </c>
      <c r="B159" s="20">
        <v>97730246548.190002</v>
      </c>
      <c r="C159" s="20">
        <v>98307446758.5</v>
      </c>
      <c r="D159" s="44">
        <f t="shared" si="0"/>
        <v>0.59060549901036496</v>
      </c>
      <c r="E159" s="39">
        <v>5</v>
      </c>
      <c r="F159" s="39">
        <v>4</v>
      </c>
      <c r="G159" s="39">
        <v>1</v>
      </c>
      <c r="H159" s="44">
        <f t="shared" si="1"/>
        <v>50</v>
      </c>
      <c r="I159" s="44">
        <f t="shared" si="2"/>
        <v>40</v>
      </c>
      <c r="J159" s="8"/>
      <c r="K159" s="8"/>
      <c r="L159" s="8"/>
    </row>
    <row r="160" spans="1:12" x14ac:dyDescent="0.25">
      <c r="A160" s="44" t="s">
        <v>2749</v>
      </c>
      <c r="B160" s="20">
        <v>18509585584.84</v>
      </c>
      <c r="C160" s="20">
        <v>18546177934.84</v>
      </c>
      <c r="D160" s="44">
        <f t="shared" si="0"/>
        <v>0.19769405334482698</v>
      </c>
      <c r="E160" s="39">
        <v>1</v>
      </c>
      <c r="F160" s="39">
        <v>0</v>
      </c>
      <c r="G160" s="39">
        <v>1</v>
      </c>
      <c r="H160" s="44">
        <f t="shared" si="1"/>
        <v>50</v>
      </c>
      <c r="I160" s="44">
        <f t="shared" si="2"/>
        <v>0</v>
      </c>
      <c r="J160" s="8"/>
      <c r="K160" s="8"/>
      <c r="L160" s="8"/>
    </row>
    <row r="161" spans="1:12" x14ac:dyDescent="0.25">
      <c r="A161" s="44" t="s">
        <v>659</v>
      </c>
      <c r="B161" s="20">
        <v>90423643229.649994</v>
      </c>
      <c r="C161" s="20">
        <v>89434731868.649994</v>
      </c>
      <c r="D161" s="44">
        <f t="shared" si="0"/>
        <v>-1.0936424652659154</v>
      </c>
      <c r="E161" s="39">
        <v>1</v>
      </c>
      <c r="F161" s="39">
        <v>1</v>
      </c>
      <c r="G161" s="39">
        <v>0</v>
      </c>
      <c r="H161" s="44">
        <f t="shared" si="1"/>
        <v>50</v>
      </c>
      <c r="I161" s="44">
        <f t="shared" si="2"/>
        <v>50</v>
      </c>
      <c r="J161" s="8"/>
      <c r="K161" s="8"/>
      <c r="L161" s="8"/>
    </row>
    <row r="162" spans="1:12" x14ac:dyDescent="0.25">
      <c r="A162" s="44" t="s">
        <v>3900</v>
      </c>
      <c r="B162" s="20">
        <v>278028819292.79999</v>
      </c>
      <c r="C162" s="20">
        <v>272662429309.77002</v>
      </c>
      <c r="D162" s="44">
        <f t="shared" si="0"/>
        <v>-1.9301560164446376</v>
      </c>
      <c r="E162" s="39">
        <v>2</v>
      </c>
      <c r="F162" s="39">
        <v>2</v>
      </c>
      <c r="G162" s="39">
        <v>0</v>
      </c>
      <c r="H162" s="44">
        <f t="shared" si="1"/>
        <v>50</v>
      </c>
      <c r="I162" s="44">
        <f t="shared" si="2"/>
        <v>50</v>
      </c>
      <c r="J162" s="8"/>
      <c r="K162" s="8"/>
      <c r="L162" s="8"/>
    </row>
    <row r="163" spans="1:12" x14ac:dyDescent="0.25">
      <c r="A163" s="44" t="s">
        <v>815</v>
      </c>
      <c r="B163" s="20">
        <v>38645191177.599998</v>
      </c>
      <c r="C163" s="20">
        <v>37769645387.099998</v>
      </c>
      <c r="D163" s="44">
        <f t="shared" si="0"/>
        <v>-2.2656008776778798</v>
      </c>
      <c r="E163" s="39">
        <v>2</v>
      </c>
      <c r="F163" s="39">
        <v>2</v>
      </c>
      <c r="G163" s="39">
        <v>0</v>
      </c>
      <c r="H163" s="44">
        <f t="shared" si="1"/>
        <v>50</v>
      </c>
      <c r="I163" s="44">
        <f t="shared" si="2"/>
        <v>50</v>
      </c>
      <c r="J163" s="8"/>
      <c r="K163" s="8"/>
      <c r="L163" s="8"/>
    </row>
    <row r="164" spans="1:12" x14ac:dyDescent="0.25">
      <c r="A164" s="44" t="s">
        <v>3672</v>
      </c>
      <c r="B164" s="20">
        <v>11980275424.309999</v>
      </c>
      <c r="C164" s="20">
        <v>11462334315.220001</v>
      </c>
      <c r="D164" s="44">
        <f t="shared" si="0"/>
        <v>-4.3232821512517852</v>
      </c>
      <c r="E164" s="39">
        <v>2</v>
      </c>
      <c r="F164" s="39">
        <v>2</v>
      </c>
      <c r="G164" s="39">
        <v>0</v>
      </c>
      <c r="H164" s="44">
        <f t="shared" si="1"/>
        <v>50</v>
      </c>
      <c r="I164" s="44">
        <f t="shared" si="2"/>
        <v>50</v>
      </c>
      <c r="J164" s="8"/>
      <c r="K164" s="8"/>
      <c r="L164" s="8"/>
    </row>
    <row r="165" spans="1:12" x14ac:dyDescent="0.25">
      <c r="A165" s="44" t="s">
        <v>3831</v>
      </c>
      <c r="B165" s="20">
        <v>3063968300.0300002</v>
      </c>
      <c r="C165" s="20">
        <v>3173895440.3800001</v>
      </c>
      <c r="D165" s="44">
        <f t="shared" si="0"/>
        <v>3.5877375215965381</v>
      </c>
      <c r="E165" s="39">
        <v>8</v>
      </c>
      <c r="F165" s="39">
        <v>7</v>
      </c>
      <c r="G165" s="39">
        <v>2</v>
      </c>
      <c r="H165" s="44">
        <f t="shared" si="1"/>
        <v>47.058823529411761</v>
      </c>
      <c r="I165" s="44">
        <f t="shared" si="2"/>
        <v>41.17647058823529</v>
      </c>
      <c r="J165" s="8"/>
      <c r="K165" s="8"/>
      <c r="L165" s="8"/>
    </row>
    <row r="166" spans="1:12" x14ac:dyDescent="0.25">
      <c r="A166" s="44" t="s">
        <v>2951</v>
      </c>
      <c r="B166" s="20">
        <v>342308763662.6001</v>
      </c>
      <c r="C166" s="20">
        <v>355553355074.12</v>
      </c>
      <c r="D166" s="44">
        <f t="shared" si="0"/>
        <v>3.8691943699620133</v>
      </c>
      <c r="E166" s="39">
        <v>93</v>
      </c>
      <c r="F166" s="39">
        <v>73</v>
      </c>
      <c r="G166" s="39">
        <v>43</v>
      </c>
      <c r="H166" s="44">
        <f t="shared" si="1"/>
        <v>44.497607655502392</v>
      </c>
      <c r="I166" s="44">
        <f t="shared" si="2"/>
        <v>34.928229665071768</v>
      </c>
      <c r="J166" s="8"/>
      <c r="K166" s="8"/>
      <c r="L166" s="8"/>
    </row>
    <row r="167" spans="1:12" x14ac:dyDescent="0.25">
      <c r="A167" s="44" t="s">
        <v>1501</v>
      </c>
      <c r="B167" s="20">
        <v>735162335716.53003</v>
      </c>
      <c r="C167" s="20">
        <v>729851555938.66003</v>
      </c>
      <c r="D167" s="44">
        <f t="shared" si="0"/>
        <v>-0.72239551998999163</v>
      </c>
      <c r="E167" s="39">
        <v>4</v>
      </c>
      <c r="F167" s="39">
        <v>4</v>
      </c>
      <c r="G167" s="39">
        <v>1</v>
      </c>
      <c r="H167" s="44">
        <f t="shared" si="1"/>
        <v>44.444444444444443</v>
      </c>
      <c r="I167" s="44">
        <f t="shared" si="2"/>
        <v>44.444444444444443</v>
      </c>
      <c r="J167" s="8"/>
      <c r="K167" s="8"/>
      <c r="L167" s="8"/>
    </row>
    <row r="168" spans="1:12" x14ac:dyDescent="0.25">
      <c r="A168" s="44" t="s">
        <v>1171</v>
      </c>
      <c r="B168" s="20">
        <v>811515641970.70972</v>
      </c>
      <c r="C168" s="20">
        <v>819310945862.28027</v>
      </c>
      <c r="D168" s="44">
        <f t="shared" si="0"/>
        <v>0.96058578398318972</v>
      </c>
      <c r="E168" s="39">
        <v>55</v>
      </c>
      <c r="F168" s="39">
        <v>35</v>
      </c>
      <c r="G168" s="39">
        <v>35</v>
      </c>
      <c r="H168" s="44">
        <f t="shared" si="1"/>
        <v>44</v>
      </c>
      <c r="I168" s="44">
        <f t="shared" si="2"/>
        <v>28.000000000000004</v>
      </c>
      <c r="J168" s="8"/>
      <c r="K168" s="8"/>
      <c r="L168" s="8"/>
    </row>
    <row r="169" spans="1:12" x14ac:dyDescent="0.25">
      <c r="A169" s="44" t="s">
        <v>2681</v>
      </c>
      <c r="B169" s="20">
        <v>421644014583.58002</v>
      </c>
      <c r="C169" s="20">
        <v>494024191599.69006</v>
      </c>
      <c r="D169" s="44">
        <f t="shared" si="0"/>
        <v>17.166181544778585</v>
      </c>
      <c r="E169" s="39">
        <v>47</v>
      </c>
      <c r="F169" s="39">
        <v>27</v>
      </c>
      <c r="G169" s="39">
        <v>33</v>
      </c>
      <c r="H169" s="44">
        <f t="shared" si="1"/>
        <v>43.925233644859816</v>
      </c>
      <c r="I169" s="44">
        <f t="shared" si="2"/>
        <v>25.233644859813083</v>
      </c>
      <c r="J169" s="69" t="s">
        <v>4401</v>
      </c>
      <c r="K169" s="67"/>
      <c r="L169" s="8"/>
    </row>
    <row r="170" spans="1:12" x14ac:dyDescent="0.25">
      <c r="A170" s="44" t="s">
        <v>1970</v>
      </c>
      <c r="B170" s="20">
        <v>758262546501.25</v>
      </c>
      <c r="C170" s="20">
        <v>824665888649</v>
      </c>
      <c r="D170" s="44">
        <f t="shared" si="0"/>
        <v>8.7573021315830655</v>
      </c>
      <c r="E170" s="39">
        <v>3</v>
      </c>
      <c r="F170" s="39">
        <v>4</v>
      </c>
      <c r="G170" s="39">
        <v>0</v>
      </c>
      <c r="H170" s="44">
        <f t="shared" si="1"/>
        <v>42.857142857142854</v>
      </c>
      <c r="I170" s="44">
        <f t="shared" si="2"/>
        <v>57.142857142857139</v>
      </c>
      <c r="J170" s="8"/>
      <c r="K170" s="8"/>
      <c r="L170" s="8"/>
    </row>
    <row r="171" spans="1:12" x14ac:dyDescent="0.25">
      <c r="A171" s="44" t="s">
        <v>2346</v>
      </c>
      <c r="B171" s="20">
        <v>40405552536.170006</v>
      </c>
      <c r="C171" s="20">
        <v>39252476899.920006</v>
      </c>
      <c r="D171" s="44">
        <f t="shared" si="0"/>
        <v>-2.8537553971519047</v>
      </c>
      <c r="E171" s="39">
        <v>10</v>
      </c>
      <c r="F171" s="39">
        <v>11</v>
      </c>
      <c r="G171" s="39">
        <v>3</v>
      </c>
      <c r="H171" s="44">
        <f t="shared" si="1"/>
        <v>41.666666666666671</v>
      </c>
      <c r="I171" s="44">
        <f t="shared" si="2"/>
        <v>45.833333333333329</v>
      </c>
      <c r="J171" s="8"/>
      <c r="K171" s="8"/>
      <c r="L171" s="8"/>
    </row>
    <row r="172" spans="1:12" x14ac:dyDescent="0.25">
      <c r="A172" s="44" t="s">
        <v>3974</v>
      </c>
      <c r="B172" s="20">
        <v>273918849766.47</v>
      </c>
      <c r="C172" s="20">
        <v>290031405514.16003</v>
      </c>
      <c r="D172" s="44">
        <f t="shared" si="0"/>
        <v>5.8822369331014714</v>
      </c>
      <c r="E172" s="39">
        <v>4</v>
      </c>
      <c r="F172" s="39">
        <v>6</v>
      </c>
      <c r="G172" s="39">
        <v>0</v>
      </c>
      <c r="H172" s="44">
        <f t="shared" si="1"/>
        <v>40</v>
      </c>
      <c r="I172" s="44">
        <f t="shared" si="2"/>
        <v>60</v>
      </c>
      <c r="J172" s="8"/>
      <c r="K172" s="8"/>
      <c r="L172" s="8"/>
    </row>
    <row r="173" spans="1:12" x14ac:dyDescent="0.25">
      <c r="A173" s="44" t="s">
        <v>2265</v>
      </c>
      <c r="B173" s="20">
        <v>27542084698.470005</v>
      </c>
      <c r="C173" s="20">
        <v>28318235279.139999</v>
      </c>
      <c r="D173" s="44">
        <f t="shared" si="0"/>
        <v>2.8180531327503702</v>
      </c>
      <c r="E173" s="39">
        <v>2</v>
      </c>
      <c r="F173" s="39">
        <v>3</v>
      </c>
      <c r="G173" s="39">
        <v>0</v>
      </c>
      <c r="H173" s="44">
        <f t="shared" si="1"/>
        <v>40</v>
      </c>
      <c r="I173" s="44">
        <f t="shared" si="2"/>
        <v>60</v>
      </c>
      <c r="J173" s="8"/>
      <c r="K173" s="8"/>
      <c r="L173" s="8"/>
    </row>
    <row r="174" spans="1:12" x14ac:dyDescent="0.25">
      <c r="A174" s="44" t="s">
        <v>4094</v>
      </c>
      <c r="B174" s="20">
        <v>52323862244.900002</v>
      </c>
      <c r="C174" s="20">
        <v>50749115946.060005</v>
      </c>
      <c r="D174" s="44">
        <f t="shared" si="0"/>
        <v>-3.0096140293876847</v>
      </c>
      <c r="E174" s="39">
        <v>7</v>
      </c>
      <c r="F174" s="39">
        <v>10</v>
      </c>
      <c r="G174" s="39">
        <v>3</v>
      </c>
      <c r="H174" s="44">
        <f t="shared" si="1"/>
        <v>35</v>
      </c>
      <c r="I174" s="44">
        <f t="shared" si="2"/>
        <v>50</v>
      </c>
      <c r="J174" s="8"/>
      <c r="K174" s="8"/>
      <c r="L174" s="8"/>
    </row>
    <row r="175" spans="1:12" x14ac:dyDescent="0.25">
      <c r="A175" s="44" t="s">
        <v>96</v>
      </c>
      <c r="B175" s="20">
        <v>29899251200.34</v>
      </c>
      <c r="C175" s="20">
        <v>32570978566.700001</v>
      </c>
      <c r="D175" s="44">
        <f t="shared" si="0"/>
        <v>8.9357668138846869</v>
      </c>
      <c r="E175" s="39">
        <v>1</v>
      </c>
      <c r="F175" s="39">
        <v>1</v>
      </c>
      <c r="G175" s="39">
        <v>1</v>
      </c>
      <c r="H175" s="44">
        <f t="shared" si="1"/>
        <v>33.333333333333329</v>
      </c>
      <c r="I175" s="44">
        <f t="shared" si="2"/>
        <v>33.333333333333329</v>
      </c>
      <c r="J175" s="8"/>
      <c r="K175" s="8"/>
      <c r="L175" s="8"/>
    </row>
    <row r="176" spans="1:12" x14ac:dyDescent="0.25">
      <c r="A176" s="44" t="s">
        <v>1351</v>
      </c>
      <c r="B176" s="20">
        <v>43519211786.050003</v>
      </c>
      <c r="C176" s="20">
        <v>45904387538.609993</v>
      </c>
      <c r="D176" s="44">
        <f t="shared" si="0"/>
        <v>5.4807420784320211</v>
      </c>
      <c r="E176" s="39">
        <v>2</v>
      </c>
      <c r="F176" s="39">
        <v>4</v>
      </c>
      <c r="G176" s="39">
        <v>0</v>
      </c>
      <c r="H176" s="44">
        <f t="shared" si="1"/>
        <v>33.333333333333329</v>
      </c>
      <c r="I176" s="44">
        <f t="shared" si="2"/>
        <v>66.666666666666657</v>
      </c>
      <c r="J176" s="8"/>
      <c r="K176" s="8"/>
      <c r="L176" s="8"/>
    </row>
    <row r="177" spans="1:12" x14ac:dyDescent="0.25">
      <c r="A177" s="44" t="s">
        <v>3519</v>
      </c>
      <c r="B177" s="20">
        <v>10073529537.200001</v>
      </c>
      <c r="C177" s="20">
        <v>10026869037.700001</v>
      </c>
      <c r="D177" s="44">
        <f t="shared" si="0"/>
        <v>-0.46319911335634573</v>
      </c>
      <c r="E177" s="39">
        <v>1</v>
      </c>
      <c r="F177" s="39">
        <v>2</v>
      </c>
      <c r="G177" s="39">
        <v>1</v>
      </c>
      <c r="H177" s="44">
        <f t="shared" si="1"/>
        <v>25</v>
      </c>
      <c r="I177" s="44">
        <f t="shared" si="2"/>
        <v>50</v>
      </c>
      <c r="J177" s="8"/>
      <c r="K177" s="8"/>
      <c r="L177" s="8"/>
    </row>
    <row r="178" spans="1:12" x14ac:dyDescent="0.25">
      <c r="A178" s="44" t="s">
        <v>4066</v>
      </c>
      <c r="B178" s="20">
        <v>98663483595.880005</v>
      </c>
      <c r="C178" s="20">
        <v>94071806211.089996</v>
      </c>
      <c r="D178" s="44">
        <f t="shared" si="0"/>
        <v>-4.6538772172258351</v>
      </c>
      <c r="E178" s="39">
        <v>2</v>
      </c>
      <c r="F178" s="39">
        <v>7</v>
      </c>
      <c r="G178" s="39">
        <v>0</v>
      </c>
      <c r="H178" s="44">
        <f t="shared" si="1"/>
        <v>22.222222222222221</v>
      </c>
      <c r="I178" s="44">
        <f t="shared" si="2"/>
        <v>77.777777777777786</v>
      </c>
      <c r="J178" s="8"/>
      <c r="K178" s="8"/>
      <c r="L178" s="8"/>
    </row>
    <row r="179" spans="1:12" x14ac:dyDescent="0.25">
      <c r="A179" s="44" t="s">
        <v>4230</v>
      </c>
      <c r="B179" s="20">
        <v>8684034508.2000008</v>
      </c>
      <c r="C179" s="20">
        <v>8660724508.2999992</v>
      </c>
      <c r="D179" s="44">
        <f t="shared" si="0"/>
        <v>-0.26842362127869007</v>
      </c>
      <c r="E179" s="39">
        <v>0</v>
      </c>
      <c r="F179" s="39">
        <v>1</v>
      </c>
      <c r="G179" s="39">
        <v>0</v>
      </c>
      <c r="H179" s="44">
        <f t="shared" si="1"/>
        <v>0</v>
      </c>
      <c r="I179" s="44">
        <f t="shared" si="2"/>
        <v>100</v>
      </c>
      <c r="J179" s="8"/>
      <c r="K179" s="8"/>
      <c r="L179" s="8"/>
    </row>
    <row r="180" spans="1:12" x14ac:dyDescent="0.25">
      <c r="A180" s="44" t="s">
        <v>2998</v>
      </c>
      <c r="B180" s="20">
        <v>13763520512.300001</v>
      </c>
      <c r="C180" s="20">
        <v>13638214605.500002</v>
      </c>
      <c r="D180" s="44">
        <f t="shared" si="0"/>
        <v>-0.91042046028861223</v>
      </c>
      <c r="E180" s="39">
        <v>0</v>
      </c>
      <c r="F180" s="39">
        <v>4</v>
      </c>
      <c r="G180" s="39">
        <v>1</v>
      </c>
      <c r="H180" s="44">
        <f t="shared" si="1"/>
        <v>0</v>
      </c>
      <c r="I180" s="44">
        <f t="shared" si="2"/>
        <v>80</v>
      </c>
      <c r="J180" s="8"/>
      <c r="K180" s="8"/>
      <c r="L180" s="8"/>
    </row>
    <row r="181" spans="1:12" x14ac:dyDescent="0.25">
      <c r="A181" s="44" t="s">
        <v>4077</v>
      </c>
      <c r="B181" s="20">
        <v>4533749707.5</v>
      </c>
      <c r="C181" s="20">
        <v>4425399225</v>
      </c>
      <c r="D181" s="44">
        <f t="shared" si="0"/>
        <v>-2.38986467031385</v>
      </c>
      <c r="E181" s="39">
        <v>0</v>
      </c>
      <c r="F181" s="39">
        <v>1</v>
      </c>
      <c r="G181" s="39">
        <v>0</v>
      </c>
      <c r="H181" s="44">
        <f t="shared" si="1"/>
        <v>0</v>
      </c>
      <c r="I181" s="44">
        <f t="shared" si="2"/>
        <v>100</v>
      </c>
      <c r="J181" s="8"/>
      <c r="K181" s="8"/>
      <c r="L181" s="8"/>
    </row>
    <row r="182" spans="1:12" x14ac:dyDescent="0.25">
      <c r="A182" s="44" t="s">
        <v>4235</v>
      </c>
      <c r="B182" s="20">
        <v>595665750</v>
      </c>
      <c r="C182" s="20">
        <v>577285880</v>
      </c>
      <c r="D182" s="44">
        <f t="shared" si="0"/>
        <v>-3.0856012789051581</v>
      </c>
      <c r="E182" s="44">
        <v>0</v>
      </c>
      <c r="F182" s="44">
        <v>2</v>
      </c>
      <c r="G182" s="44">
        <v>0</v>
      </c>
      <c r="H182" s="44">
        <f t="shared" si="1"/>
        <v>0</v>
      </c>
      <c r="I182" s="44">
        <f t="shared" si="2"/>
        <v>100</v>
      </c>
      <c r="J182" s="8"/>
      <c r="K182" s="8"/>
      <c r="L182" s="8"/>
    </row>
    <row r="183" spans="1:12" x14ac:dyDescent="0.25">
      <c r="A183" s="44" t="s">
        <v>3867</v>
      </c>
      <c r="B183" s="20">
        <v>7985053807.5</v>
      </c>
      <c r="C183" s="20">
        <v>7618700200.0999994</v>
      </c>
      <c r="D183" s="44">
        <f t="shared" si="0"/>
        <v>-4.5879917184265082</v>
      </c>
      <c r="E183" s="39">
        <v>0</v>
      </c>
      <c r="F183" s="39">
        <v>1</v>
      </c>
      <c r="G183" s="39">
        <v>0</v>
      </c>
      <c r="H183" s="44">
        <f t="shared" si="1"/>
        <v>0</v>
      </c>
      <c r="I183" s="44">
        <f t="shared" si="2"/>
        <v>100</v>
      </c>
      <c r="J183" s="8"/>
      <c r="K183" s="8"/>
      <c r="L183" s="8"/>
    </row>
    <row r="184" spans="1:12" x14ac:dyDescent="0.25">
      <c r="A184" s="44" t="s">
        <v>3639</v>
      </c>
      <c r="B184" s="20">
        <v>3723775791.7500005</v>
      </c>
      <c r="C184" s="20">
        <v>3549482950.5</v>
      </c>
      <c r="D184" s="44">
        <f t="shared" si="0"/>
        <v>-4.6805406930284326</v>
      </c>
      <c r="E184" s="39">
        <v>0</v>
      </c>
      <c r="F184" s="39">
        <v>3</v>
      </c>
      <c r="G184" s="39">
        <v>0</v>
      </c>
      <c r="H184" s="44">
        <f t="shared" si="1"/>
        <v>0</v>
      </c>
      <c r="I184" s="44">
        <f t="shared" si="2"/>
        <v>100</v>
      </c>
      <c r="J184" s="8"/>
      <c r="K184" s="8"/>
      <c r="L184" s="8"/>
    </row>
    <row r="185" spans="1:12" x14ac:dyDescent="0.25">
      <c r="A185" s="44" t="s">
        <v>4261</v>
      </c>
      <c r="B185" s="20">
        <v>34708352758.700005</v>
      </c>
      <c r="C185" s="20">
        <v>32409819514.400002</v>
      </c>
      <c r="D185" s="44">
        <f t="shared" si="0"/>
        <v>-6.6224210070696952</v>
      </c>
      <c r="E185" s="44">
        <v>0</v>
      </c>
      <c r="F185" s="44">
        <v>1</v>
      </c>
      <c r="G185" s="44">
        <v>0</v>
      </c>
      <c r="H185" s="44">
        <f t="shared" si="1"/>
        <v>0</v>
      </c>
      <c r="I185" s="44">
        <f t="shared" si="2"/>
        <v>100</v>
      </c>
      <c r="J185" s="8"/>
      <c r="K185" s="8"/>
      <c r="L185" s="8"/>
    </row>
    <row r="186" spans="1:12" x14ac:dyDescent="0.25">
      <c r="A186" s="44" t="s">
        <v>4177</v>
      </c>
      <c r="B186" s="20">
        <v>60846373917.75</v>
      </c>
      <c r="C186" s="20">
        <v>56765797613.5</v>
      </c>
      <c r="D186" s="44">
        <f t="shared" si="0"/>
        <v>-6.706359050690482</v>
      </c>
      <c r="E186" s="39">
        <v>0</v>
      </c>
      <c r="F186" s="39">
        <v>1</v>
      </c>
      <c r="G186" s="39">
        <v>0</v>
      </c>
      <c r="H186" s="44">
        <f t="shared" si="1"/>
        <v>0</v>
      </c>
      <c r="I186" s="44">
        <f t="shared" si="2"/>
        <v>100</v>
      </c>
      <c r="J186" s="8"/>
      <c r="K186" s="8"/>
      <c r="L186" s="8"/>
    </row>
    <row r="187" spans="1:12" x14ac:dyDescent="0.25">
      <c r="A187" s="44" t="s">
        <v>4057</v>
      </c>
      <c r="B187" s="20">
        <v>13577198862.199999</v>
      </c>
      <c r="C187" s="20">
        <v>12654741667.299999</v>
      </c>
      <c r="D187" s="44">
        <f t="shared" si="0"/>
        <v>-6.7941642769054065</v>
      </c>
      <c r="E187" s="39">
        <v>0</v>
      </c>
      <c r="F187" s="39">
        <v>2</v>
      </c>
      <c r="G187" s="39">
        <v>1</v>
      </c>
      <c r="H187" s="44">
        <f t="shared" si="1"/>
        <v>0</v>
      </c>
      <c r="I187" s="44">
        <f t="shared" si="2"/>
        <v>66.666666666666657</v>
      </c>
      <c r="J187" s="8"/>
      <c r="K187" s="8"/>
      <c r="L187" s="8"/>
    </row>
    <row r="188" spans="1:12" x14ac:dyDescent="0.25">
      <c r="A188" s="44"/>
      <c r="B188" s="44"/>
      <c r="C188" s="44"/>
      <c r="D188" s="44"/>
      <c r="E188" s="44"/>
      <c r="F188" s="44"/>
      <c r="G188" s="44"/>
      <c r="H188" s="44"/>
      <c r="I188" s="44"/>
      <c r="J188" s="8"/>
      <c r="K188" s="8"/>
    </row>
    <row r="189" spans="1:12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8"/>
      <c r="K189" s="8"/>
    </row>
    <row r="190" spans="1:12" x14ac:dyDescent="0.25">
      <c r="A190" s="44"/>
      <c r="B190" s="44"/>
      <c r="C190" s="44"/>
      <c r="D190" s="44"/>
      <c r="E190" s="44"/>
      <c r="F190" s="44"/>
      <c r="G190" s="44"/>
      <c r="H190" s="44"/>
      <c r="I190" s="44"/>
      <c r="J190" s="8"/>
      <c r="K190" s="8"/>
    </row>
    <row r="191" spans="1:12" x14ac:dyDescent="0.25">
      <c r="A191" s="44"/>
      <c r="B191" s="44"/>
      <c r="C191" s="44"/>
      <c r="D191" s="44"/>
      <c r="E191" s="44"/>
      <c r="F191" s="44"/>
      <c r="G191" s="44"/>
      <c r="H191" s="44"/>
      <c r="I191" s="44"/>
      <c r="J191" s="8"/>
      <c r="K191" s="8"/>
    </row>
    <row r="192" spans="1:12" x14ac:dyDescent="0.25">
      <c r="A192" s="44"/>
      <c r="B192" s="44"/>
      <c r="C192" s="44"/>
      <c r="D192" s="44"/>
      <c r="E192" s="44"/>
      <c r="F192" s="44"/>
      <c r="G192" s="44"/>
      <c r="H192" s="44"/>
      <c r="I192" s="44"/>
      <c r="J192" s="8"/>
      <c r="K192" s="8"/>
    </row>
    <row r="193" spans="1:11" x14ac:dyDescent="0.25">
      <c r="A193" s="44"/>
      <c r="B193" s="44"/>
      <c r="C193" s="44"/>
      <c r="D193" s="44"/>
      <c r="E193" s="44"/>
      <c r="F193" s="44"/>
      <c r="G193" s="44"/>
      <c r="H193" s="44"/>
      <c r="I193" s="44"/>
      <c r="J193" s="8"/>
      <c r="K193" s="8"/>
    </row>
    <row r="194" spans="1:11" x14ac:dyDescent="0.25">
      <c r="A194" s="44"/>
      <c r="B194" s="44"/>
      <c r="C194" s="44"/>
      <c r="D194" s="44"/>
      <c r="E194" s="44"/>
      <c r="F194" s="44"/>
      <c r="G194" s="44"/>
      <c r="H194" s="44"/>
      <c r="I194" s="44"/>
      <c r="J194" s="8"/>
      <c r="K194" s="8"/>
    </row>
    <row r="195" spans="1:11" x14ac:dyDescent="0.25">
      <c r="A195" s="44"/>
      <c r="B195" s="44"/>
      <c r="C195" s="44"/>
      <c r="D195" s="44"/>
      <c r="E195" s="44"/>
      <c r="F195" s="44"/>
      <c r="G195" s="44"/>
      <c r="H195" s="44"/>
      <c r="I195" s="44"/>
      <c r="J195" s="8"/>
      <c r="K195" s="8"/>
    </row>
    <row r="196" spans="1:11" x14ac:dyDescent="0.25">
      <c r="A196" s="44"/>
      <c r="B196" s="44"/>
      <c r="C196" s="44"/>
      <c r="D196" s="44"/>
      <c r="E196" s="44"/>
      <c r="F196" s="44"/>
      <c r="G196" s="44"/>
      <c r="H196" s="44"/>
      <c r="I196" s="44"/>
      <c r="J196" s="8"/>
      <c r="K196" s="8"/>
    </row>
    <row r="197" spans="1:11" x14ac:dyDescent="0.25">
      <c r="A197" s="44"/>
      <c r="B197" s="44"/>
      <c r="C197" s="44"/>
      <c r="D197" s="44"/>
      <c r="E197" s="44"/>
      <c r="F197" s="44"/>
      <c r="G197" s="44"/>
      <c r="H197" s="44"/>
      <c r="I197" s="44"/>
      <c r="J197" s="8"/>
      <c r="K197" s="8"/>
    </row>
    <row r="198" spans="1:11" x14ac:dyDescent="0.25">
      <c r="A198" s="44"/>
      <c r="B198" s="44"/>
      <c r="C198" s="44"/>
      <c r="D198" s="44"/>
      <c r="E198" s="44"/>
      <c r="F198" s="44"/>
      <c r="G198" s="44"/>
      <c r="H198" s="44"/>
      <c r="I198" s="44"/>
      <c r="J198" s="8"/>
      <c r="K198" s="8"/>
    </row>
    <row r="199" spans="1:11" x14ac:dyDescent="0.25">
      <c r="A199" s="44"/>
      <c r="B199" s="44"/>
      <c r="C199" s="44"/>
      <c r="D199" s="44"/>
      <c r="E199" s="44"/>
      <c r="F199" s="44"/>
      <c r="G199" s="44"/>
      <c r="H199" s="44"/>
      <c r="I199" s="44"/>
      <c r="J199" s="8"/>
      <c r="K199" s="8"/>
    </row>
    <row r="200" spans="1:11" x14ac:dyDescent="0.25">
      <c r="A200" s="44"/>
      <c r="B200" s="44"/>
      <c r="C200" s="44"/>
      <c r="D200" s="44"/>
      <c r="E200" s="44"/>
      <c r="F200" s="44"/>
      <c r="G200" s="44"/>
      <c r="H200" s="44"/>
      <c r="I200" s="44"/>
      <c r="J200" s="8"/>
      <c r="K200" s="8"/>
    </row>
    <row r="201" spans="1:11" x14ac:dyDescent="0.25">
      <c r="A201" s="44"/>
      <c r="B201" s="44"/>
      <c r="C201" s="44"/>
      <c r="D201" s="44"/>
      <c r="E201" s="44"/>
      <c r="F201" s="44"/>
      <c r="G201" s="44"/>
      <c r="H201" s="44"/>
      <c r="I201" s="44"/>
      <c r="J201" s="8"/>
      <c r="K201" s="8"/>
    </row>
    <row r="202" spans="1:11" x14ac:dyDescent="0.25">
      <c r="A202" s="44"/>
      <c r="B202" s="44"/>
      <c r="C202" s="44"/>
      <c r="D202" s="44"/>
      <c r="E202" s="44"/>
      <c r="F202" s="44"/>
      <c r="G202" s="44"/>
      <c r="H202" s="44"/>
      <c r="I202" s="44"/>
      <c r="J202" s="8"/>
      <c r="K202" s="8"/>
    </row>
    <row r="203" spans="1:11" x14ac:dyDescent="0.25">
      <c r="A203" s="44"/>
      <c r="B203" s="44"/>
      <c r="C203" s="44"/>
      <c r="D203" s="44"/>
      <c r="E203" s="44"/>
      <c r="F203" s="44"/>
      <c r="G203" s="44"/>
      <c r="H203" s="44"/>
      <c r="I203" s="44"/>
      <c r="J203" s="8"/>
      <c r="K203" s="8"/>
    </row>
    <row r="204" spans="1:11" x14ac:dyDescent="0.25">
      <c r="A204" s="44"/>
      <c r="B204" s="44"/>
      <c r="C204" s="44"/>
      <c r="D204" s="44"/>
      <c r="E204" s="44"/>
      <c r="F204" s="44"/>
      <c r="G204" s="44"/>
      <c r="H204" s="44"/>
      <c r="I204" s="44"/>
      <c r="J204" s="8"/>
      <c r="K204" s="8"/>
    </row>
    <row r="205" spans="1:11" x14ac:dyDescent="0.25">
      <c r="A205" s="44"/>
      <c r="B205" s="44"/>
      <c r="C205" s="44"/>
      <c r="D205" s="44"/>
      <c r="E205" s="44"/>
      <c r="F205" s="44"/>
      <c r="G205" s="44"/>
      <c r="H205" s="44"/>
      <c r="I205" s="44"/>
      <c r="J205" s="8"/>
      <c r="K205" s="8"/>
    </row>
    <row r="206" spans="1:11" x14ac:dyDescent="0.25">
      <c r="A206" s="44"/>
      <c r="B206" s="44"/>
      <c r="C206" s="44"/>
      <c r="D206" s="44"/>
      <c r="E206" s="44"/>
      <c r="F206" s="44"/>
      <c r="G206" s="44"/>
      <c r="H206" s="44"/>
      <c r="I206" s="44"/>
      <c r="J206" s="8"/>
      <c r="K206" s="8"/>
    </row>
    <row r="207" spans="1:11" x14ac:dyDescent="0.25">
      <c r="A207" s="44"/>
      <c r="B207" s="44"/>
      <c r="C207" s="44"/>
      <c r="D207" s="44"/>
      <c r="E207" s="44"/>
      <c r="F207" s="44"/>
      <c r="G207" s="44"/>
      <c r="H207" s="44"/>
      <c r="I207" s="44"/>
      <c r="J207" s="8"/>
      <c r="K207" s="8"/>
    </row>
    <row r="208" spans="1:11" x14ac:dyDescent="0.25">
      <c r="A208" s="44"/>
      <c r="B208" s="44"/>
      <c r="C208" s="44"/>
      <c r="D208" s="44"/>
      <c r="E208" s="44"/>
      <c r="F208" s="44"/>
      <c r="G208" s="44"/>
      <c r="H208" s="44"/>
      <c r="I208" s="44"/>
      <c r="J208" s="8"/>
      <c r="K208" s="8"/>
    </row>
    <row r="209" spans="1:11" x14ac:dyDescent="0.25">
      <c r="A209" s="44"/>
      <c r="B209" s="44"/>
      <c r="C209" s="44"/>
      <c r="D209" s="44"/>
      <c r="E209" s="44"/>
      <c r="F209" s="44"/>
      <c r="G209" s="44"/>
      <c r="H209" s="44"/>
      <c r="I209" s="44"/>
      <c r="J209" s="8"/>
      <c r="K209" s="8"/>
    </row>
    <row r="210" spans="1:11" x14ac:dyDescent="0.25">
      <c r="A210" s="44"/>
      <c r="B210" s="44"/>
      <c r="C210" s="44"/>
      <c r="D210" s="44"/>
      <c r="E210" s="44"/>
      <c r="F210" s="44"/>
      <c r="G210" s="44"/>
      <c r="H210" s="44"/>
      <c r="I210" s="44"/>
      <c r="J210" s="8"/>
      <c r="K210" s="8"/>
    </row>
    <row r="211" spans="1:11" x14ac:dyDescent="0.25">
      <c r="A211" s="44"/>
      <c r="B211" s="44"/>
      <c r="C211" s="44"/>
      <c r="D211" s="44"/>
      <c r="E211" s="44"/>
      <c r="F211" s="44"/>
      <c r="G211" s="44"/>
      <c r="H211" s="44"/>
      <c r="I211" s="44"/>
      <c r="J211" s="8"/>
      <c r="K211" s="8"/>
    </row>
    <row r="212" spans="1:11" x14ac:dyDescent="0.25">
      <c r="A212" s="44"/>
      <c r="B212" s="44"/>
      <c r="C212" s="44"/>
      <c r="D212" s="44"/>
      <c r="E212" s="44"/>
      <c r="F212" s="44"/>
      <c r="G212" s="44"/>
      <c r="H212" s="44"/>
      <c r="I212" s="44"/>
      <c r="J212" s="8"/>
      <c r="K212" s="8"/>
    </row>
    <row r="213" spans="1:11" x14ac:dyDescent="0.25">
      <c r="A213" s="44"/>
      <c r="B213" s="44"/>
      <c r="C213" s="44"/>
      <c r="D213" s="44"/>
      <c r="E213" s="44"/>
      <c r="F213" s="44"/>
      <c r="G213" s="44"/>
      <c r="H213" s="44"/>
      <c r="I213" s="44"/>
      <c r="J213" s="8"/>
      <c r="K213" s="8"/>
    </row>
    <row r="214" spans="1:11" x14ac:dyDescent="0.25">
      <c r="A214" s="44"/>
      <c r="B214" s="44"/>
      <c r="C214" s="44"/>
      <c r="D214" s="44"/>
      <c r="E214" s="44"/>
      <c r="F214" s="44"/>
      <c r="G214" s="44"/>
      <c r="H214" s="44"/>
      <c r="I214" s="44"/>
      <c r="J214" s="8"/>
      <c r="K214" s="8"/>
    </row>
    <row r="215" spans="1:11" x14ac:dyDescent="0.25">
      <c r="A215" s="44"/>
      <c r="B215" s="44"/>
      <c r="C215" s="44"/>
      <c r="D215" s="44"/>
      <c r="E215" s="44"/>
      <c r="F215" s="44"/>
      <c r="G215" s="44"/>
      <c r="H215" s="44"/>
      <c r="I215" s="44"/>
      <c r="J215" s="8"/>
      <c r="K215" s="8"/>
    </row>
    <row r="216" spans="1:11" x14ac:dyDescent="0.25">
      <c r="A216" s="44"/>
      <c r="B216" s="44"/>
      <c r="C216" s="44"/>
      <c r="D216" s="44"/>
      <c r="E216" s="44"/>
      <c r="F216" s="44"/>
      <c r="G216" s="44"/>
      <c r="H216" s="44"/>
      <c r="I216" s="44"/>
      <c r="J216" s="8"/>
      <c r="K216" s="8"/>
    </row>
    <row r="217" spans="1:11" x14ac:dyDescent="0.25">
      <c r="A217" s="44"/>
      <c r="B217" s="44"/>
      <c r="C217" s="44"/>
      <c r="D217" s="44"/>
      <c r="E217" s="44"/>
      <c r="F217" s="44"/>
      <c r="G217" s="44"/>
      <c r="H217" s="44"/>
      <c r="I217" s="44"/>
      <c r="J217" s="8"/>
      <c r="K217" s="8"/>
    </row>
    <row r="218" spans="1:11" x14ac:dyDescent="0.25">
      <c r="A218" s="44"/>
      <c r="B218" s="44"/>
      <c r="C218" s="44"/>
      <c r="D218" s="44"/>
      <c r="E218" s="44"/>
      <c r="F218" s="44"/>
      <c r="G218" s="44"/>
      <c r="H218" s="44"/>
      <c r="I218" s="44"/>
      <c r="J218" s="8"/>
      <c r="K218" s="8"/>
    </row>
    <row r="219" spans="1:11" x14ac:dyDescent="0.25">
      <c r="A219" s="44"/>
      <c r="B219" s="44"/>
      <c r="C219" s="44"/>
      <c r="D219" s="44"/>
      <c r="E219" s="44"/>
      <c r="F219" s="44"/>
      <c r="G219" s="44"/>
      <c r="H219" s="44"/>
      <c r="I219" s="44"/>
      <c r="J219" s="8"/>
      <c r="K219" s="8"/>
    </row>
    <row r="220" spans="1:11" x14ac:dyDescent="0.25">
      <c r="A220" s="44"/>
      <c r="B220" s="44"/>
      <c r="C220" s="44"/>
      <c r="D220" s="44"/>
      <c r="E220" s="44"/>
      <c r="F220" s="44"/>
      <c r="G220" s="44"/>
      <c r="H220" s="44"/>
      <c r="I220" s="44"/>
      <c r="J220" s="8"/>
      <c r="K220" s="8"/>
    </row>
    <row r="221" spans="1:11" x14ac:dyDescent="0.25">
      <c r="A221" s="44"/>
      <c r="B221" s="44"/>
      <c r="C221" s="44"/>
      <c r="D221" s="44"/>
      <c r="E221" s="44"/>
      <c r="F221" s="44"/>
      <c r="G221" s="44"/>
      <c r="H221" s="44"/>
      <c r="I221" s="44"/>
      <c r="J221" s="8"/>
      <c r="K221" s="8"/>
    </row>
    <row r="222" spans="1:11" x14ac:dyDescent="0.25">
      <c r="A222" s="44"/>
      <c r="B222" s="44"/>
      <c r="C222" s="44"/>
      <c r="D222" s="44"/>
      <c r="E222" s="44"/>
      <c r="F222" s="44"/>
      <c r="G222" s="44"/>
      <c r="H222" s="44"/>
      <c r="I222" s="44"/>
      <c r="J222" s="8"/>
      <c r="K222" s="8"/>
    </row>
    <row r="223" spans="1:11" x14ac:dyDescent="0.25">
      <c r="A223" s="44"/>
      <c r="B223" s="44"/>
      <c r="C223" s="44"/>
      <c r="D223" s="44"/>
      <c r="E223" s="44"/>
      <c r="F223" s="44"/>
      <c r="G223" s="44"/>
      <c r="H223" s="44"/>
      <c r="I223" s="44"/>
      <c r="J223" s="8"/>
      <c r="K223" s="8"/>
    </row>
    <row r="224" spans="1:11" x14ac:dyDescent="0.25">
      <c r="A224" s="44"/>
      <c r="B224" s="44"/>
      <c r="C224" s="44"/>
      <c r="D224" s="44"/>
      <c r="E224" s="44"/>
      <c r="F224" s="44"/>
      <c r="G224" s="44"/>
      <c r="H224" s="44"/>
      <c r="I224" s="44"/>
      <c r="J224" s="8"/>
      <c r="K224" s="8"/>
    </row>
    <row r="225" spans="1:11" x14ac:dyDescent="0.25">
      <c r="A225" s="44"/>
      <c r="B225" s="44"/>
      <c r="C225" s="44"/>
      <c r="D225" s="44"/>
      <c r="E225" s="44"/>
      <c r="F225" s="44"/>
      <c r="G225" s="44"/>
      <c r="H225" s="44"/>
      <c r="I225" s="44"/>
      <c r="J225" s="8"/>
      <c r="K225" s="8"/>
    </row>
    <row r="226" spans="1:11" x14ac:dyDescent="0.25">
      <c r="A226" s="44"/>
      <c r="B226" s="44"/>
      <c r="C226" s="44"/>
      <c r="D226" s="44"/>
      <c r="E226" s="44"/>
      <c r="F226" s="44"/>
      <c r="G226" s="44"/>
      <c r="H226" s="44"/>
      <c r="I226" s="44"/>
      <c r="J226" s="8"/>
      <c r="K226" s="8"/>
    </row>
    <row r="227" spans="1:11" x14ac:dyDescent="0.25">
      <c r="A227" s="44"/>
      <c r="B227" s="44"/>
      <c r="C227" s="44"/>
      <c r="D227" s="44"/>
      <c r="E227" s="44"/>
      <c r="F227" s="44"/>
      <c r="G227" s="44"/>
      <c r="H227" s="44"/>
      <c r="I227" s="44"/>
      <c r="J227" s="8"/>
      <c r="K227" s="8"/>
    </row>
    <row r="228" spans="1:11" x14ac:dyDescent="0.25">
      <c r="A228" s="44"/>
      <c r="B228" s="44"/>
      <c r="C228" s="44"/>
      <c r="D228" s="44"/>
      <c r="E228" s="44"/>
      <c r="F228" s="44"/>
      <c r="G228" s="44"/>
      <c r="H228" s="44"/>
      <c r="I228" s="44"/>
      <c r="J228" s="8"/>
      <c r="K228" s="8"/>
    </row>
    <row r="229" spans="1:11" x14ac:dyDescent="0.25">
      <c r="A229" s="44"/>
      <c r="B229" s="44"/>
      <c r="C229" s="44"/>
      <c r="D229" s="44"/>
      <c r="E229" s="44"/>
      <c r="F229" s="44"/>
      <c r="G229" s="44"/>
      <c r="H229" s="44"/>
      <c r="I229" s="44"/>
      <c r="J229" s="8"/>
      <c r="K229" s="8"/>
    </row>
    <row r="230" spans="1:11" x14ac:dyDescent="0.25">
      <c r="A230" s="44"/>
      <c r="B230" s="44"/>
      <c r="C230" s="44"/>
      <c r="D230" s="44"/>
      <c r="E230" s="44"/>
      <c r="F230" s="44"/>
      <c r="G230" s="44"/>
      <c r="H230" s="44"/>
      <c r="I230" s="44"/>
      <c r="J230" s="8"/>
      <c r="K230" s="8"/>
    </row>
    <row r="231" spans="1:11" x14ac:dyDescent="0.25">
      <c r="A231" s="44"/>
      <c r="B231" s="44"/>
      <c r="C231" s="44"/>
      <c r="D231" s="44"/>
      <c r="E231" s="44"/>
      <c r="F231" s="44"/>
      <c r="G231" s="44"/>
      <c r="H231" s="44"/>
      <c r="I231" s="44"/>
      <c r="J231" s="8"/>
      <c r="K231" s="8"/>
    </row>
    <row r="232" spans="1:11" x14ac:dyDescent="0.25">
      <c r="A232" s="44"/>
      <c r="B232" s="44"/>
      <c r="C232" s="44"/>
      <c r="D232" s="44"/>
      <c r="E232" s="44"/>
      <c r="F232" s="44"/>
      <c r="G232" s="44"/>
      <c r="H232" s="44"/>
      <c r="I232" s="44"/>
      <c r="J232" s="8"/>
      <c r="K232" s="8"/>
    </row>
    <row r="233" spans="1:11" x14ac:dyDescent="0.25">
      <c r="A233" s="44"/>
      <c r="B233" s="44"/>
      <c r="C233" s="44"/>
      <c r="D233" s="44"/>
      <c r="E233" s="44"/>
      <c r="F233" s="44"/>
      <c r="G233" s="44"/>
      <c r="H233" s="44"/>
      <c r="I233" s="44"/>
      <c r="J233" s="8"/>
      <c r="K233" s="8"/>
    </row>
    <row r="234" spans="1:11" x14ac:dyDescent="0.25">
      <c r="A234" s="44"/>
      <c r="B234" s="44"/>
      <c r="C234" s="44"/>
      <c r="D234" s="44"/>
      <c r="E234" s="44"/>
      <c r="F234" s="44"/>
      <c r="G234" s="44"/>
      <c r="H234" s="44"/>
      <c r="I234" s="44"/>
      <c r="J234" s="8"/>
      <c r="K234" s="8"/>
    </row>
    <row r="235" spans="1:11" x14ac:dyDescent="0.25">
      <c r="A235" s="44"/>
      <c r="B235" s="44"/>
      <c r="C235" s="44"/>
      <c r="D235" s="44"/>
      <c r="E235" s="44"/>
      <c r="F235" s="44"/>
      <c r="G235" s="44"/>
      <c r="H235" s="44"/>
      <c r="I235" s="44"/>
      <c r="J235" s="8"/>
      <c r="K235" s="8"/>
    </row>
    <row r="236" spans="1:11" x14ac:dyDescent="0.25">
      <c r="A236" s="44"/>
      <c r="B236" s="44"/>
      <c r="C236" s="44"/>
      <c r="D236" s="44"/>
      <c r="E236" s="44"/>
      <c r="F236" s="44"/>
      <c r="G236" s="44"/>
      <c r="H236" s="44"/>
      <c r="I236" s="44"/>
      <c r="J236" s="8"/>
      <c r="K236" s="8"/>
    </row>
    <row r="237" spans="1:11" x14ac:dyDescent="0.25">
      <c r="A237" s="44"/>
      <c r="B237" s="44"/>
      <c r="C237" s="44"/>
      <c r="D237" s="44"/>
      <c r="E237" s="44"/>
      <c r="F237" s="44"/>
      <c r="G237" s="44"/>
      <c r="H237" s="44"/>
      <c r="I237" s="44"/>
      <c r="J237" s="8"/>
      <c r="K237" s="8"/>
    </row>
    <row r="238" spans="1:11" x14ac:dyDescent="0.25">
      <c r="A238" s="44"/>
      <c r="B238" s="44"/>
      <c r="C238" s="44"/>
      <c r="D238" s="44"/>
      <c r="E238" s="44"/>
      <c r="F238" s="44"/>
      <c r="G238" s="44"/>
      <c r="H238" s="44"/>
      <c r="I238" s="44"/>
      <c r="J238" s="8"/>
      <c r="K238" s="8"/>
    </row>
    <row r="239" spans="1:11" x14ac:dyDescent="0.25">
      <c r="A239" s="44"/>
      <c r="B239" s="44"/>
      <c r="C239" s="44"/>
      <c r="D239" s="44"/>
      <c r="E239" s="44"/>
      <c r="F239" s="44"/>
      <c r="G239" s="44"/>
      <c r="H239" s="44"/>
      <c r="I239" s="44"/>
      <c r="J239" s="8"/>
      <c r="K239" s="8"/>
    </row>
    <row r="240" spans="1:11" x14ac:dyDescent="0.25">
      <c r="A240" s="44"/>
      <c r="B240" s="44"/>
      <c r="C240" s="44"/>
      <c r="D240" s="44"/>
      <c r="E240" s="44"/>
      <c r="F240" s="44"/>
      <c r="G240" s="44"/>
      <c r="H240" s="44"/>
      <c r="I240" s="44"/>
      <c r="J240" s="8"/>
      <c r="K240" s="8"/>
    </row>
    <row r="241" spans="1:11" x14ac:dyDescent="0.25">
      <c r="A241" s="44"/>
      <c r="B241" s="44"/>
      <c r="C241" s="44"/>
      <c r="D241" s="44"/>
      <c r="E241" s="44"/>
      <c r="F241" s="44"/>
      <c r="G241" s="44"/>
      <c r="H241" s="44"/>
      <c r="I241" s="44"/>
      <c r="J241" s="8"/>
      <c r="K241" s="8"/>
    </row>
    <row r="242" spans="1:11" x14ac:dyDescent="0.25">
      <c r="A242" s="44"/>
      <c r="B242" s="44"/>
      <c r="C242" s="44"/>
      <c r="D242" s="44"/>
      <c r="E242" s="44"/>
      <c r="F242" s="44"/>
      <c r="G242" s="44"/>
      <c r="H242" s="44"/>
      <c r="I242" s="44"/>
      <c r="J242" s="8"/>
      <c r="K242" s="8"/>
    </row>
    <row r="243" spans="1:11" x14ac:dyDescent="0.25">
      <c r="A243" s="44"/>
      <c r="B243" s="44"/>
      <c r="C243" s="44"/>
      <c r="D243" s="44"/>
      <c r="E243" s="44"/>
      <c r="F243" s="44"/>
      <c r="G243" s="44"/>
      <c r="H243" s="44"/>
      <c r="I243" s="44"/>
      <c r="J243" s="8"/>
      <c r="K243" s="8"/>
    </row>
    <row r="244" spans="1:11" x14ac:dyDescent="0.25">
      <c r="A244" s="44"/>
      <c r="B244" s="44"/>
      <c r="C244" s="44"/>
      <c r="D244" s="44"/>
      <c r="E244" s="44"/>
      <c r="F244" s="44"/>
      <c r="G244" s="44"/>
      <c r="H244" s="44"/>
      <c r="I244" s="44"/>
      <c r="J244" s="8"/>
      <c r="K244" s="8"/>
    </row>
    <row r="245" spans="1:11" x14ac:dyDescent="0.25">
      <c r="A245" s="44"/>
      <c r="B245" s="44"/>
      <c r="C245" s="44"/>
      <c r="D245" s="44"/>
      <c r="E245" s="44"/>
      <c r="F245" s="44"/>
      <c r="G245" s="44"/>
      <c r="H245" s="44"/>
      <c r="I245" s="44"/>
      <c r="J245" s="8"/>
      <c r="K245" s="8"/>
    </row>
    <row r="246" spans="1:11" x14ac:dyDescent="0.25">
      <c r="A246" s="44"/>
      <c r="B246" s="44"/>
      <c r="C246" s="44"/>
      <c r="D246" s="44"/>
      <c r="E246" s="44"/>
      <c r="F246" s="44"/>
      <c r="G246" s="44"/>
      <c r="H246" s="44"/>
      <c r="I246" s="44"/>
      <c r="J246" s="8"/>
      <c r="K246" s="8"/>
    </row>
    <row r="247" spans="1:11" x14ac:dyDescent="0.25">
      <c r="A247" s="44"/>
      <c r="B247" s="44"/>
      <c r="C247" s="44"/>
      <c r="D247" s="44"/>
      <c r="E247" s="44"/>
      <c r="F247" s="44"/>
      <c r="G247" s="44"/>
      <c r="H247" s="44"/>
      <c r="I247" s="44"/>
      <c r="J247" s="8"/>
      <c r="K247" s="8"/>
    </row>
    <row r="248" spans="1:11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8"/>
      <c r="K248" s="8"/>
    </row>
    <row r="249" spans="1:11" x14ac:dyDescent="0.25">
      <c r="A249" s="44"/>
      <c r="B249" s="44"/>
      <c r="C249" s="44"/>
      <c r="D249" s="44"/>
      <c r="E249" s="44"/>
      <c r="F249" s="44"/>
      <c r="G249" s="44"/>
      <c r="H249" s="44"/>
      <c r="I249" s="44"/>
      <c r="J249" s="8"/>
      <c r="K249" s="8"/>
    </row>
    <row r="250" spans="1:11" x14ac:dyDescent="0.25">
      <c r="A250" s="44"/>
      <c r="B250" s="44"/>
      <c r="C250" s="44"/>
      <c r="D250" s="44"/>
      <c r="E250" s="44"/>
      <c r="F250" s="44"/>
      <c r="G250" s="44"/>
      <c r="H250" s="44"/>
      <c r="I250" s="44"/>
      <c r="J250" s="8"/>
      <c r="K250" s="8"/>
    </row>
    <row r="251" spans="1:11" x14ac:dyDescent="0.25">
      <c r="A251" s="44"/>
      <c r="B251" s="44"/>
      <c r="C251" s="44"/>
      <c r="D251" s="44"/>
      <c r="E251" s="44"/>
      <c r="F251" s="44"/>
      <c r="G251" s="44"/>
      <c r="H251" s="44"/>
      <c r="I251" s="44"/>
      <c r="J251" s="8"/>
      <c r="K251" s="8"/>
    </row>
    <row r="252" spans="1:11" x14ac:dyDescent="0.25">
      <c r="A252" s="44"/>
      <c r="B252" s="44"/>
      <c r="C252" s="44"/>
      <c r="D252" s="44"/>
      <c r="E252" s="44"/>
      <c r="F252" s="44"/>
      <c r="G252" s="44"/>
      <c r="H252" s="44"/>
      <c r="I252" s="44"/>
      <c r="J252" s="8"/>
      <c r="K252" s="8"/>
    </row>
    <row r="253" spans="1:11" x14ac:dyDescent="0.25">
      <c r="A253" s="44"/>
      <c r="B253" s="44"/>
      <c r="C253" s="44"/>
      <c r="D253" s="44"/>
      <c r="E253" s="44"/>
      <c r="F253" s="44"/>
      <c r="G253" s="44"/>
      <c r="H253" s="44"/>
      <c r="I253" s="44"/>
      <c r="J253" s="8"/>
      <c r="K253" s="8"/>
    </row>
    <row r="254" spans="1:11" x14ac:dyDescent="0.25">
      <c r="A254" s="44"/>
      <c r="B254" s="44"/>
      <c r="C254" s="44"/>
      <c r="D254" s="44"/>
      <c r="E254" s="44"/>
      <c r="F254" s="44"/>
      <c r="G254" s="44"/>
      <c r="H254" s="44"/>
      <c r="I254" s="44"/>
      <c r="J254" s="8"/>
      <c r="K254" s="8"/>
    </row>
    <row r="255" spans="1:11" x14ac:dyDescent="0.25">
      <c r="A255" s="44"/>
      <c r="B255" s="44"/>
      <c r="C255" s="44"/>
      <c r="D255" s="44"/>
      <c r="E255" s="44"/>
      <c r="F255" s="44"/>
      <c r="G255" s="44"/>
      <c r="H255" s="44"/>
      <c r="I255" s="44"/>
      <c r="J255" s="8"/>
      <c r="K255" s="8"/>
    </row>
    <row r="256" spans="1:11" x14ac:dyDescent="0.25">
      <c r="A256" s="44"/>
      <c r="B256" s="44"/>
      <c r="C256" s="44"/>
      <c r="D256" s="44"/>
      <c r="E256" s="44"/>
      <c r="F256" s="44"/>
      <c r="G256" s="44"/>
      <c r="H256" s="44"/>
      <c r="I256" s="44"/>
      <c r="J256" s="8"/>
      <c r="K256" s="8"/>
    </row>
    <row r="257" spans="1:11" x14ac:dyDescent="0.25">
      <c r="A257" s="44"/>
      <c r="B257" s="44"/>
      <c r="C257" s="44"/>
      <c r="D257" s="44"/>
      <c r="E257" s="44"/>
      <c r="F257" s="44"/>
      <c r="G257" s="44"/>
      <c r="H257" s="44"/>
      <c r="I257" s="44"/>
      <c r="J257" s="8"/>
      <c r="K257" s="8"/>
    </row>
    <row r="258" spans="1:11" x14ac:dyDescent="0.25">
      <c r="A258" s="44"/>
      <c r="B258" s="44"/>
      <c r="C258" s="44"/>
      <c r="D258" s="44"/>
      <c r="E258" s="44"/>
      <c r="F258" s="44"/>
      <c r="G258" s="44"/>
      <c r="H258" s="44"/>
      <c r="I258" s="44"/>
      <c r="J258" s="8"/>
      <c r="K258" s="8"/>
    </row>
    <row r="259" spans="1:11" x14ac:dyDescent="0.25">
      <c r="A259" s="44"/>
      <c r="B259" s="44"/>
      <c r="C259" s="44"/>
      <c r="D259" s="44"/>
      <c r="E259" s="44"/>
      <c r="F259" s="44"/>
      <c r="G259" s="44"/>
      <c r="H259" s="44"/>
      <c r="I259" s="44"/>
      <c r="J259" s="8"/>
      <c r="K259" s="8"/>
    </row>
    <row r="260" spans="1:11" x14ac:dyDescent="0.25">
      <c r="A260" s="44"/>
      <c r="B260" s="44"/>
      <c r="C260" s="44"/>
      <c r="D260" s="44"/>
      <c r="E260" s="44"/>
      <c r="F260" s="44"/>
      <c r="G260" s="44"/>
      <c r="H260" s="44"/>
      <c r="I260" s="44"/>
      <c r="J260" s="8"/>
      <c r="K260" s="8"/>
    </row>
    <row r="261" spans="1:11" x14ac:dyDescent="0.25">
      <c r="A261" s="44"/>
      <c r="B261" s="44"/>
      <c r="C261" s="44"/>
      <c r="D261" s="44"/>
      <c r="E261" s="44"/>
      <c r="F261" s="44"/>
      <c r="G261" s="44"/>
      <c r="H261" s="44"/>
      <c r="I261" s="44"/>
      <c r="J261" s="8"/>
      <c r="K261" s="8"/>
    </row>
    <row r="262" spans="1:11" x14ac:dyDescent="0.25">
      <c r="A262" s="44"/>
      <c r="B262" s="44"/>
      <c r="C262" s="44"/>
      <c r="D262" s="44"/>
      <c r="E262" s="44"/>
      <c r="F262" s="44"/>
      <c r="G262" s="44"/>
      <c r="H262" s="44"/>
      <c r="I262" s="44"/>
      <c r="J262" s="8"/>
      <c r="K262" s="8"/>
    </row>
    <row r="263" spans="1:11" x14ac:dyDescent="0.25">
      <c r="A263" s="44"/>
      <c r="B263" s="44"/>
      <c r="C263" s="44"/>
      <c r="D263" s="44"/>
      <c r="E263" s="44"/>
      <c r="F263" s="44"/>
      <c r="G263" s="44"/>
      <c r="H263" s="44"/>
      <c r="I263" s="44"/>
      <c r="J263" s="8"/>
      <c r="K263" s="8"/>
    </row>
    <row r="264" spans="1:11" x14ac:dyDescent="0.25">
      <c r="A264" s="44"/>
      <c r="B264" s="44"/>
      <c r="C264" s="44"/>
      <c r="D264" s="44"/>
      <c r="E264" s="44"/>
      <c r="F264" s="44"/>
      <c r="G264" s="44"/>
      <c r="H264" s="44"/>
      <c r="I264" s="44"/>
      <c r="J264" s="8"/>
      <c r="K264" s="8"/>
    </row>
    <row r="265" spans="1:11" x14ac:dyDescent="0.25">
      <c r="A265" s="44"/>
      <c r="B265" s="44"/>
      <c r="C265" s="44"/>
      <c r="D265" s="44"/>
      <c r="E265" s="44"/>
      <c r="F265" s="44"/>
      <c r="G265" s="44"/>
      <c r="H265" s="44"/>
      <c r="I265" s="44"/>
      <c r="J265" s="8"/>
      <c r="K265" s="8"/>
    </row>
    <row r="266" spans="1:11" x14ac:dyDescent="0.25">
      <c r="A266" s="44"/>
      <c r="B266" s="44"/>
      <c r="C266" s="44"/>
      <c r="D266" s="44"/>
      <c r="E266" s="44"/>
      <c r="F266" s="44"/>
      <c r="G266" s="44"/>
      <c r="H266" s="44"/>
      <c r="I266" s="44"/>
      <c r="J266" s="8"/>
      <c r="K266" s="8"/>
    </row>
    <row r="267" spans="1:11" x14ac:dyDescent="0.25">
      <c r="A267" s="44"/>
      <c r="B267" s="44"/>
      <c r="C267" s="44"/>
      <c r="D267" s="44"/>
      <c r="E267" s="44"/>
      <c r="F267" s="44"/>
      <c r="G267" s="44"/>
      <c r="H267" s="44"/>
      <c r="I267" s="44"/>
      <c r="J267" s="8"/>
      <c r="K267" s="8"/>
    </row>
    <row r="268" spans="1:11" x14ac:dyDescent="0.25">
      <c r="A268" s="44"/>
      <c r="B268" s="44"/>
      <c r="C268" s="44"/>
      <c r="D268" s="44"/>
      <c r="E268" s="44"/>
      <c r="F268" s="44"/>
      <c r="G268" s="44"/>
      <c r="H268" s="44"/>
      <c r="I268" s="44"/>
      <c r="J268" s="8"/>
      <c r="K268" s="8"/>
    </row>
    <row r="269" spans="1:11" x14ac:dyDescent="0.25">
      <c r="A269" s="44"/>
      <c r="B269" s="44"/>
      <c r="C269" s="44"/>
      <c r="D269" s="44"/>
      <c r="E269" s="44"/>
      <c r="F269" s="44"/>
      <c r="G269" s="44"/>
      <c r="H269" s="44"/>
      <c r="I269" s="44"/>
      <c r="J269" s="8"/>
      <c r="K269" s="8"/>
    </row>
    <row r="270" spans="1:11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8"/>
      <c r="K270" s="8"/>
    </row>
    <row r="271" spans="1:11" x14ac:dyDescent="0.25">
      <c r="A271" s="44"/>
      <c r="B271" s="44"/>
      <c r="C271" s="44"/>
      <c r="D271" s="44"/>
      <c r="E271" s="44"/>
      <c r="F271" s="44"/>
      <c r="G271" s="44"/>
      <c r="H271" s="44"/>
      <c r="I271" s="44"/>
      <c r="J271" s="8"/>
      <c r="K271" s="8"/>
    </row>
    <row r="272" spans="1:11" x14ac:dyDescent="0.25">
      <c r="A272" s="44"/>
      <c r="B272" s="44"/>
      <c r="C272" s="44"/>
      <c r="D272" s="44"/>
      <c r="E272" s="44"/>
      <c r="F272" s="44"/>
      <c r="G272" s="44"/>
      <c r="H272" s="44"/>
      <c r="I272" s="44"/>
      <c r="J272" s="8"/>
      <c r="K272" s="8"/>
    </row>
    <row r="273" spans="1:11" x14ac:dyDescent="0.25">
      <c r="A273" s="44"/>
      <c r="B273" s="44"/>
      <c r="C273" s="44"/>
      <c r="D273" s="44"/>
      <c r="E273" s="44"/>
      <c r="F273" s="44"/>
      <c r="G273" s="44"/>
      <c r="H273" s="44"/>
      <c r="I273" s="44"/>
      <c r="J273" s="8"/>
      <c r="K273" s="8"/>
    </row>
    <row r="274" spans="1:11" x14ac:dyDescent="0.25">
      <c r="A274" s="44"/>
      <c r="B274" s="44"/>
      <c r="C274" s="44"/>
      <c r="D274" s="44"/>
      <c r="E274" s="44"/>
      <c r="F274" s="44"/>
      <c r="G274" s="44"/>
      <c r="H274" s="44"/>
      <c r="I274" s="44"/>
      <c r="J274" s="8"/>
      <c r="K274" s="8"/>
    </row>
    <row r="275" spans="1:11" x14ac:dyDescent="0.25">
      <c r="A275" s="44"/>
      <c r="B275" s="44"/>
      <c r="C275" s="44"/>
      <c r="D275" s="44"/>
      <c r="E275" s="44"/>
      <c r="F275" s="44"/>
      <c r="G275" s="44"/>
      <c r="H275" s="44"/>
      <c r="I275" s="44"/>
      <c r="J275" s="8"/>
      <c r="K275" s="8"/>
    </row>
    <row r="276" spans="1:11" x14ac:dyDescent="0.25">
      <c r="A276" s="44"/>
      <c r="B276" s="44"/>
      <c r="C276" s="44"/>
      <c r="D276" s="44"/>
      <c r="E276" s="44"/>
      <c r="F276" s="44"/>
      <c r="G276" s="44"/>
      <c r="H276" s="44"/>
      <c r="I276" s="44"/>
      <c r="J276" s="8"/>
      <c r="K276" s="8"/>
    </row>
    <row r="277" spans="1:11" x14ac:dyDescent="0.25">
      <c r="A277" s="44"/>
      <c r="B277" s="44"/>
      <c r="C277" s="44"/>
      <c r="D277" s="44"/>
      <c r="E277" s="44"/>
      <c r="F277" s="44"/>
      <c r="G277" s="44"/>
      <c r="H277" s="44"/>
      <c r="I277" s="44"/>
      <c r="J277" s="8"/>
      <c r="K277" s="8"/>
    </row>
    <row r="278" spans="1:11" x14ac:dyDescent="0.25">
      <c r="A278" s="44"/>
      <c r="B278" s="44"/>
      <c r="C278" s="44"/>
      <c r="D278" s="44"/>
      <c r="E278" s="44"/>
      <c r="F278" s="44"/>
      <c r="G278" s="44"/>
      <c r="H278" s="44"/>
      <c r="I278" s="44"/>
      <c r="J278" s="8"/>
      <c r="K278" s="8"/>
    </row>
    <row r="279" spans="1:11" x14ac:dyDescent="0.25">
      <c r="A279" s="44"/>
      <c r="B279" s="44"/>
      <c r="C279" s="44"/>
      <c r="D279" s="44"/>
      <c r="E279" s="44"/>
      <c r="F279" s="44"/>
      <c r="G279" s="44"/>
      <c r="H279" s="44"/>
      <c r="I279" s="44"/>
      <c r="J279" s="8"/>
      <c r="K279" s="8"/>
    </row>
    <row r="280" spans="1:11" x14ac:dyDescent="0.25">
      <c r="A280" s="44"/>
      <c r="B280" s="44"/>
      <c r="C280" s="44"/>
      <c r="D280" s="44"/>
      <c r="E280" s="44"/>
      <c r="F280" s="44"/>
      <c r="G280" s="44"/>
      <c r="H280" s="44"/>
      <c r="I280" s="44"/>
      <c r="J280" s="8"/>
      <c r="K280" s="8"/>
    </row>
    <row r="281" spans="1:11" x14ac:dyDescent="0.25">
      <c r="A281" s="44"/>
      <c r="B281" s="44"/>
      <c r="C281" s="44"/>
      <c r="D281" s="44"/>
      <c r="E281" s="44"/>
      <c r="F281" s="44"/>
      <c r="G281" s="44"/>
      <c r="H281" s="44"/>
      <c r="I281" s="44"/>
      <c r="J281" s="8"/>
      <c r="K281" s="8"/>
    </row>
    <row r="282" spans="1:11" x14ac:dyDescent="0.25">
      <c r="A282" s="44"/>
      <c r="B282" s="44"/>
      <c r="C282" s="44"/>
      <c r="D282" s="44"/>
      <c r="E282" s="44"/>
      <c r="F282" s="44"/>
      <c r="G282" s="44"/>
      <c r="H282" s="44"/>
      <c r="I282" s="44"/>
      <c r="J282" s="8"/>
      <c r="K282" s="8"/>
    </row>
    <row r="283" spans="1:11" x14ac:dyDescent="0.25">
      <c r="A283" s="44"/>
      <c r="B283" s="44"/>
      <c r="C283" s="44"/>
      <c r="D283" s="44"/>
      <c r="E283" s="44"/>
      <c r="F283" s="44"/>
      <c r="G283" s="44"/>
      <c r="H283" s="44"/>
      <c r="I283" s="44"/>
      <c r="J283" s="8"/>
      <c r="K283" s="8"/>
    </row>
    <row r="284" spans="1:11" x14ac:dyDescent="0.25">
      <c r="A284" s="44"/>
      <c r="B284" s="44"/>
      <c r="C284" s="44"/>
      <c r="D284" s="44"/>
      <c r="E284" s="44"/>
      <c r="F284" s="44"/>
      <c r="G284" s="44"/>
      <c r="H284" s="44"/>
      <c r="I284" s="44"/>
      <c r="J284" s="8"/>
      <c r="K284" s="8"/>
    </row>
    <row r="285" spans="1:11" x14ac:dyDescent="0.25">
      <c r="A285" s="44"/>
      <c r="B285" s="44"/>
      <c r="C285" s="44"/>
      <c r="D285" s="44"/>
      <c r="E285" s="44"/>
      <c r="F285" s="44"/>
      <c r="G285" s="44"/>
      <c r="H285" s="44"/>
      <c r="I285" s="44"/>
      <c r="J285" s="8"/>
      <c r="K285" s="8"/>
    </row>
    <row r="286" spans="1:11" x14ac:dyDescent="0.25">
      <c r="A286" s="44"/>
      <c r="B286" s="44"/>
      <c r="C286" s="44"/>
      <c r="D286" s="44"/>
      <c r="E286" s="44"/>
      <c r="F286" s="44"/>
      <c r="G286" s="44"/>
      <c r="H286" s="44"/>
      <c r="I286" s="44"/>
      <c r="J286" s="8"/>
      <c r="K286" s="8"/>
    </row>
    <row r="287" spans="1:11" x14ac:dyDescent="0.25">
      <c r="A287" s="44"/>
      <c r="B287" s="44"/>
      <c r="C287" s="44"/>
      <c r="D287" s="44"/>
      <c r="E287" s="44"/>
      <c r="F287" s="44"/>
      <c r="G287" s="44"/>
      <c r="H287" s="44"/>
      <c r="I287" s="44"/>
      <c r="J287" s="8"/>
      <c r="K287" s="8"/>
    </row>
    <row r="288" spans="1:11" x14ac:dyDescent="0.25">
      <c r="A288" s="44"/>
      <c r="B288" s="44"/>
      <c r="C288" s="44"/>
      <c r="D288" s="44"/>
      <c r="E288" s="44"/>
      <c r="F288" s="44"/>
      <c r="G288" s="44"/>
      <c r="H288" s="44"/>
      <c r="I288" s="44"/>
      <c r="J288" s="8"/>
      <c r="K288" s="8"/>
    </row>
    <row r="289" spans="1:11" x14ac:dyDescent="0.25">
      <c r="A289" s="44"/>
      <c r="B289" s="44"/>
      <c r="C289" s="44"/>
      <c r="D289" s="44"/>
      <c r="E289" s="44"/>
      <c r="F289" s="44"/>
      <c r="G289" s="44"/>
      <c r="H289" s="44"/>
      <c r="I289" s="44"/>
      <c r="J289" s="8"/>
      <c r="K289" s="8"/>
    </row>
    <row r="290" spans="1:11" x14ac:dyDescent="0.25">
      <c r="A290" s="44"/>
      <c r="B290" s="44"/>
      <c r="C290" s="44"/>
      <c r="D290" s="44"/>
      <c r="E290" s="44"/>
      <c r="F290" s="44"/>
      <c r="G290" s="44"/>
      <c r="H290" s="44"/>
      <c r="I290" s="44"/>
      <c r="J290" s="8"/>
      <c r="K290" s="8"/>
    </row>
    <row r="291" spans="1:11" x14ac:dyDescent="0.25">
      <c r="A291" s="44"/>
      <c r="B291" s="44"/>
      <c r="C291" s="44"/>
      <c r="D291" s="44"/>
      <c r="E291" s="44"/>
      <c r="F291" s="44"/>
      <c r="G291" s="44"/>
      <c r="H291" s="44"/>
      <c r="I291" s="44"/>
      <c r="J291" s="8"/>
      <c r="K291" s="8"/>
    </row>
    <row r="292" spans="1:11" x14ac:dyDescent="0.25">
      <c r="A292" s="44"/>
      <c r="B292" s="44"/>
      <c r="C292" s="44"/>
      <c r="D292" s="44"/>
      <c r="E292" s="44"/>
      <c r="F292" s="44"/>
      <c r="G292" s="44"/>
      <c r="H292" s="44"/>
      <c r="I292" s="44"/>
      <c r="J292" s="8"/>
      <c r="K292" s="8"/>
    </row>
    <row r="293" spans="1:11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8"/>
      <c r="K293" s="8"/>
    </row>
    <row r="294" spans="1:11" x14ac:dyDescent="0.25">
      <c r="A294" s="44"/>
      <c r="B294" s="44"/>
      <c r="C294" s="44"/>
      <c r="D294" s="44"/>
      <c r="E294" s="44"/>
      <c r="F294" s="44"/>
      <c r="G294" s="44"/>
      <c r="H294" s="44"/>
      <c r="I294" s="44"/>
      <c r="J294" s="8"/>
      <c r="K294" s="8"/>
    </row>
    <row r="295" spans="1:11" x14ac:dyDescent="0.25">
      <c r="A295" s="44"/>
      <c r="B295" s="44"/>
      <c r="C295" s="44"/>
      <c r="D295" s="44"/>
      <c r="E295" s="44"/>
      <c r="F295" s="44"/>
      <c r="G295" s="44"/>
      <c r="H295" s="44"/>
      <c r="I295" s="44"/>
      <c r="J295" s="8"/>
      <c r="K295" s="8"/>
    </row>
    <row r="296" spans="1:11" x14ac:dyDescent="0.25">
      <c r="A296" s="44"/>
      <c r="B296" s="44"/>
      <c r="C296" s="44"/>
      <c r="D296" s="44"/>
      <c r="E296" s="44"/>
      <c r="F296" s="44"/>
      <c r="G296" s="44"/>
      <c r="H296" s="44"/>
      <c r="I296" s="44"/>
      <c r="J296" s="8"/>
      <c r="K296" s="8"/>
    </row>
    <row r="297" spans="1:11" x14ac:dyDescent="0.25">
      <c r="A297" s="44"/>
      <c r="B297" s="44"/>
      <c r="C297" s="44"/>
      <c r="D297" s="44"/>
      <c r="E297" s="44"/>
      <c r="F297" s="44"/>
      <c r="G297" s="44"/>
      <c r="H297" s="44"/>
      <c r="I297" s="44"/>
      <c r="J297" s="8"/>
      <c r="K297" s="8"/>
    </row>
    <row r="298" spans="1:11" x14ac:dyDescent="0.25">
      <c r="A298" s="44"/>
      <c r="B298" s="44"/>
      <c r="C298" s="44"/>
      <c r="D298" s="44"/>
      <c r="E298" s="44"/>
      <c r="F298" s="44"/>
      <c r="G298" s="44"/>
      <c r="H298" s="44"/>
      <c r="I298" s="44"/>
      <c r="J298" s="8"/>
      <c r="K298" s="8"/>
    </row>
    <row r="299" spans="1:11" x14ac:dyDescent="0.25">
      <c r="A299" s="44"/>
      <c r="B299" s="44"/>
      <c r="C299" s="44"/>
      <c r="D299" s="44"/>
      <c r="E299" s="44"/>
      <c r="F299" s="44"/>
      <c r="G299" s="44"/>
      <c r="H299" s="44"/>
      <c r="I299" s="44"/>
      <c r="J299" s="8"/>
      <c r="K299" s="8"/>
    </row>
    <row r="300" spans="1:11" x14ac:dyDescent="0.25">
      <c r="A300" s="44"/>
      <c r="B300" s="44"/>
      <c r="C300" s="44"/>
      <c r="D300" s="44"/>
      <c r="E300" s="44"/>
      <c r="F300" s="44"/>
      <c r="G300" s="44"/>
      <c r="H300" s="44"/>
      <c r="I300" s="44"/>
      <c r="J300" s="8"/>
      <c r="K300" s="8"/>
    </row>
    <row r="301" spans="1:11" x14ac:dyDescent="0.25">
      <c r="A301" s="44"/>
      <c r="B301" s="44"/>
      <c r="C301" s="44"/>
      <c r="D301" s="44"/>
      <c r="E301" s="44"/>
      <c r="F301" s="44"/>
      <c r="G301" s="44"/>
      <c r="H301" s="44"/>
      <c r="I301" s="44"/>
      <c r="J301" s="8"/>
      <c r="K301" s="8"/>
    </row>
    <row r="302" spans="1:11" x14ac:dyDescent="0.25">
      <c r="A302" s="44"/>
      <c r="B302" s="44"/>
      <c r="C302" s="44"/>
      <c r="D302" s="44"/>
      <c r="E302" s="44"/>
      <c r="F302" s="44"/>
      <c r="G302" s="44"/>
      <c r="H302" s="44"/>
      <c r="I302" s="44"/>
      <c r="J302" s="8"/>
      <c r="K302" s="8"/>
    </row>
    <row r="303" spans="1:11" x14ac:dyDescent="0.25">
      <c r="A303" s="44"/>
      <c r="B303" s="44"/>
      <c r="C303" s="44"/>
      <c r="D303" s="44"/>
      <c r="E303" s="44"/>
      <c r="F303" s="44"/>
      <c r="G303" s="44"/>
      <c r="H303" s="44"/>
      <c r="I303" s="44"/>
      <c r="J303" s="8"/>
      <c r="K303" s="8"/>
    </row>
    <row r="304" spans="1:11" x14ac:dyDescent="0.25">
      <c r="A304" s="44"/>
      <c r="B304" s="44"/>
      <c r="C304" s="44"/>
      <c r="D304" s="44"/>
      <c r="E304" s="44"/>
      <c r="F304" s="44"/>
      <c r="G304" s="44"/>
      <c r="H304" s="44"/>
      <c r="I304" s="44"/>
      <c r="J304" s="8"/>
      <c r="K304" s="8"/>
    </row>
    <row r="305" spans="1:11" x14ac:dyDescent="0.25">
      <c r="A305" s="44"/>
      <c r="B305" s="44"/>
      <c r="C305" s="44"/>
      <c r="D305" s="44"/>
      <c r="E305" s="44"/>
      <c r="F305" s="44"/>
      <c r="G305" s="44"/>
      <c r="H305" s="44"/>
      <c r="I305" s="44"/>
      <c r="J305" s="8"/>
      <c r="K305" s="8"/>
    </row>
    <row r="306" spans="1:11" x14ac:dyDescent="0.25">
      <c r="A306" s="44"/>
      <c r="B306" s="44"/>
      <c r="C306" s="44"/>
      <c r="D306" s="44"/>
      <c r="E306" s="44"/>
      <c r="F306" s="44"/>
      <c r="G306" s="44"/>
      <c r="H306" s="44"/>
      <c r="I306" s="44"/>
      <c r="J306" s="8"/>
      <c r="K306" s="8"/>
    </row>
    <row r="307" spans="1:11" x14ac:dyDescent="0.25">
      <c r="A307" s="44"/>
      <c r="B307" s="44"/>
      <c r="C307" s="44"/>
      <c r="D307" s="44"/>
      <c r="E307" s="44"/>
      <c r="F307" s="44"/>
      <c r="G307" s="44"/>
      <c r="H307" s="44"/>
      <c r="I307" s="44"/>
      <c r="J307" s="8"/>
      <c r="K307" s="8"/>
    </row>
    <row r="308" spans="1:11" x14ac:dyDescent="0.25">
      <c r="A308" s="44"/>
      <c r="B308" s="44"/>
      <c r="C308" s="44"/>
      <c r="D308" s="44"/>
      <c r="E308" s="44"/>
      <c r="F308" s="44"/>
      <c r="G308" s="44"/>
      <c r="H308" s="44"/>
      <c r="I308" s="44"/>
      <c r="J308" s="8"/>
      <c r="K308" s="8"/>
    </row>
    <row r="309" spans="1:11" x14ac:dyDescent="0.25">
      <c r="A309" s="44"/>
      <c r="B309" s="44"/>
      <c r="C309" s="44"/>
      <c r="D309" s="44"/>
      <c r="E309" s="44"/>
      <c r="F309" s="44"/>
      <c r="G309" s="44"/>
      <c r="H309" s="44"/>
      <c r="I309" s="44"/>
      <c r="J309" s="8"/>
      <c r="K309" s="8"/>
    </row>
    <row r="310" spans="1:11" x14ac:dyDescent="0.25">
      <c r="A310" s="44"/>
      <c r="B310" s="44"/>
      <c r="C310" s="44"/>
      <c r="D310" s="44"/>
      <c r="E310" s="44"/>
      <c r="F310" s="44"/>
      <c r="G310" s="44"/>
      <c r="H310" s="44"/>
      <c r="I310" s="44"/>
      <c r="J310" s="8"/>
      <c r="K310" s="8"/>
    </row>
    <row r="311" spans="1:11" x14ac:dyDescent="0.25">
      <c r="A311" s="44"/>
      <c r="B311" s="44"/>
      <c r="C311" s="44"/>
      <c r="D311" s="44"/>
      <c r="E311" s="44"/>
      <c r="F311" s="44"/>
      <c r="G311" s="44"/>
      <c r="H311" s="44"/>
      <c r="I311" s="44"/>
      <c r="J311" s="8"/>
      <c r="K311" s="8"/>
    </row>
    <row r="312" spans="1:11" x14ac:dyDescent="0.25">
      <c r="A312" s="44"/>
      <c r="B312" s="44"/>
      <c r="C312" s="44"/>
      <c r="D312" s="44"/>
      <c r="E312" s="44"/>
      <c r="F312" s="44"/>
      <c r="G312" s="44"/>
      <c r="H312" s="44"/>
      <c r="I312" s="44"/>
      <c r="J312" s="8"/>
      <c r="K312" s="8"/>
    </row>
    <row r="313" spans="1:11" x14ac:dyDescent="0.25">
      <c r="A313" s="44"/>
      <c r="B313" s="44"/>
      <c r="C313" s="44"/>
      <c r="D313" s="44"/>
      <c r="E313" s="44"/>
      <c r="F313" s="44"/>
      <c r="G313" s="44"/>
      <c r="H313" s="44"/>
      <c r="I313" s="44"/>
      <c r="J313" s="8"/>
      <c r="K313" s="8"/>
    </row>
    <row r="314" spans="1:11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8"/>
      <c r="K314" s="8"/>
    </row>
    <row r="315" spans="1:11" x14ac:dyDescent="0.25">
      <c r="A315" s="44"/>
      <c r="B315" s="44"/>
      <c r="C315" s="44"/>
      <c r="D315" s="44"/>
      <c r="E315" s="44"/>
      <c r="F315" s="44"/>
      <c r="G315" s="44"/>
      <c r="H315" s="44"/>
      <c r="I315" s="44"/>
      <c r="J315" s="8"/>
      <c r="K315" s="8"/>
    </row>
    <row r="316" spans="1:11" x14ac:dyDescent="0.25">
      <c r="A316" s="44"/>
      <c r="B316" s="44"/>
      <c r="C316" s="44"/>
      <c r="D316" s="44"/>
      <c r="E316" s="44"/>
      <c r="F316" s="44"/>
      <c r="G316" s="44"/>
      <c r="H316" s="44"/>
      <c r="I316" s="44"/>
      <c r="J316" s="8"/>
      <c r="K316" s="8"/>
    </row>
    <row r="317" spans="1:11" x14ac:dyDescent="0.25">
      <c r="A317" s="44"/>
      <c r="B317" s="44"/>
      <c r="C317" s="44"/>
      <c r="D317" s="44"/>
      <c r="E317" s="44"/>
      <c r="F317" s="44"/>
      <c r="G317" s="44"/>
      <c r="H317" s="44"/>
      <c r="I317" s="44"/>
      <c r="J317" s="8"/>
      <c r="K317" s="8"/>
    </row>
    <row r="318" spans="1:11" x14ac:dyDescent="0.25">
      <c r="A318" s="44"/>
      <c r="B318" s="44"/>
      <c r="C318" s="44"/>
      <c r="D318" s="44"/>
      <c r="E318" s="44"/>
      <c r="F318" s="44"/>
      <c r="G318" s="44"/>
      <c r="H318" s="44"/>
      <c r="I318" s="44"/>
      <c r="J318" s="8"/>
      <c r="K318" s="8"/>
    </row>
    <row r="319" spans="1:11" x14ac:dyDescent="0.25">
      <c r="A319" s="44"/>
      <c r="B319" s="44"/>
      <c r="C319" s="44"/>
      <c r="D319" s="44"/>
      <c r="E319" s="44"/>
      <c r="F319" s="44"/>
      <c r="G319" s="44"/>
      <c r="H319" s="44"/>
      <c r="I319" s="44"/>
      <c r="J319" s="8"/>
      <c r="K319" s="8"/>
    </row>
    <row r="320" spans="1:11" x14ac:dyDescent="0.25">
      <c r="A320" s="44"/>
      <c r="B320" s="44"/>
      <c r="C320" s="44"/>
      <c r="D320" s="44"/>
      <c r="E320" s="44"/>
      <c r="F320" s="44"/>
      <c r="G320" s="44"/>
      <c r="H320" s="44"/>
      <c r="I320" s="44"/>
      <c r="J320" s="8"/>
      <c r="K320" s="8"/>
    </row>
    <row r="321" spans="1:11" x14ac:dyDescent="0.25">
      <c r="A321" s="44"/>
      <c r="B321" s="44"/>
      <c r="C321" s="44"/>
      <c r="D321" s="44"/>
      <c r="E321" s="44"/>
      <c r="F321" s="44"/>
      <c r="G321" s="44"/>
      <c r="H321" s="44"/>
      <c r="I321" s="44"/>
      <c r="J321" s="8"/>
      <c r="K321" s="8"/>
    </row>
    <row r="322" spans="1:11" x14ac:dyDescent="0.25">
      <c r="A322" s="44"/>
      <c r="B322" s="44"/>
      <c r="C322" s="44"/>
      <c r="D322" s="44"/>
      <c r="E322" s="44"/>
      <c r="F322" s="44"/>
      <c r="G322" s="44"/>
      <c r="H322" s="44"/>
      <c r="I322" s="44"/>
      <c r="J322" s="8"/>
      <c r="K322" s="8"/>
    </row>
    <row r="323" spans="1:11" x14ac:dyDescent="0.25">
      <c r="A323" s="44"/>
      <c r="B323" s="44"/>
      <c r="C323" s="44"/>
      <c r="D323" s="44"/>
      <c r="E323" s="44"/>
      <c r="F323" s="44"/>
      <c r="G323" s="44"/>
      <c r="H323" s="44"/>
      <c r="I323" s="44"/>
      <c r="J323" s="8"/>
      <c r="K323" s="8"/>
    </row>
    <row r="324" spans="1:11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8"/>
      <c r="K324" s="8"/>
    </row>
    <row r="325" spans="1:11" x14ac:dyDescent="0.25">
      <c r="A325" s="44"/>
      <c r="B325" s="44"/>
      <c r="C325" s="44"/>
      <c r="D325" s="44"/>
      <c r="E325" s="44"/>
      <c r="F325" s="44"/>
      <c r="G325" s="44"/>
      <c r="H325" s="44"/>
      <c r="I325" s="44"/>
      <c r="J325" s="8"/>
      <c r="K325" s="8"/>
    </row>
    <row r="326" spans="1:11" x14ac:dyDescent="0.25">
      <c r="A326" s="44"/>
      <c r="B326" s="44"/>
      <c r="C326" s="44"/>
      <c r="D326" s="44"/>
      <c r="E326" s="44"/>
      <c r="F326" s="44"/>
      <c r="G326" s="44"/>
      <c r="H326" s="44"/>
      <c r="I326" s="44"/>
      <c r="J326" s="8"/>
      <c r="K326" s="8"/>
    </row>
    <row r="327" spans="1:11" x14ac:dyDescent="0.25">
      <c r="A327" s="44"/>
      <c r="B327" s="44"/>
      <c r="C327" s="44"/>
      <c r="D327" s="44"/>
      <c r="E327" s="44"/>
      <c r="F327" s="44"/>
      <c r="G327" s="44"/>
      <c r="H327" s="44"/>
      <c r="I327" s="44"/>
      <c r="J327" s="8"/>
      <c r="K327" s="8"/>
    </row>
    <row r="328" spans="1:11" x14ac:dyDescent="0.25">
      <c r="A328" s="44"/>
      <c r="B328" s="44"/>
      <c r="C328" s="44"/>
      <c r="D328" s="44"/>
      <c r="E328" s="44"/>
      <c r="F328" s="44"/>
      <c r="G328" s="44"/>
      <c r="H328" s="44"/>
      <c r="I328" s="44"/>
      <c r="J328" s="8"/>
      <c r="K328" s="8"/>
    </row>
    <row r="329" spans="1:11" x14ac:dyDescent="0.25">
      <c r="A329" s="44"/>
      <c r="B329" s="44"/>
      <c r="C329" s="44"/>
      <c r="D329" s="44"/>
      <c r="E329" s="44"/>
      <c r="F329" s="44"/>
      <c r="G329" s="44"/>
      <c r="H329" s="44"/>
      <c r="I329" s="44"/>
      <c r="J329" s="8"/>
      <c r="K329" s="8"/>
    </row>
    <row r="330" spans="1:11" x14ac:dyDescent="0.25">
      <c r="A330" s="44"/>
      <c r="B330" s="44"/>
      <c r="C330" s="44"/>
      <c r="D330" s="44"/>
      <c r="E330" s="44"/>
      <c r="F330" s="44"/>
      <c r="G330" s="44"/>
      <c r="H330" s="44"/>
      <c r="I330" s="44"/>
      <c r="J330" s="8"/>
      <c r="K330" s="8"/>
    </row>
    <row r="331" spans="1:11" x14ac:dyDescent="0.25">
      <c r="A331" s="44"/>
      <c r="B331" s="44"/>
      <c r="C331" s="44"/>
      <c r="D331" s="44"/>
      <c r="E331" s="44"/>
      <c r="F331" s="44"/>
      <c r="G331" s="44"/>
      <c r="H331" s="44"/>
      <c r="I331" s="44"/>
      <c r="J331" s="8"/>
      <c r="K331" s="8"/>
    </row>
    <row r="332" spans="1:11" x14ac:dyDescent="0.25">
      <c r="A332" s="44"/>
      <c r="B332" s="44"/>
      <c r="C332" s="44"/>
      <c r="D332" s="44"/>
      <c r="E332" s="44"/>
      <c r="F332" s="44"/>
      <c r="G332" s="44"/>
      <c r="H332" s="44"/>
      <c r="I332" s="44"/>
      <c r="J332" s="8"/>
      <c r="K332" s="8"/>
    </row>
    <row r="333" spans="1:11" x14ac:dyDescent="0.25">
      <c r="A333" s="44"/>
      <c r="B333" s="44"/>
      <c r="C333" s="44"/>
      <c r="D333" s="44"/>
      <c r="E333" s="44"/>
      <c r="F333" s="44"/>
      <c r="G333" s="44"/>
      <c r="H333" s="44"/>
      <c r="I333" s="44"/>
      <c r="J333" s="8"/>
      <c r="K333" s="8"/>
    </row>
    <row r="334" spans="1:11" x14ac:dyDescent="0.25">
      <c r="A334" s="44"/>
      <c r="B334" s="44"/>
      <c r="C334" s="44"/>
      <c r="D334" s="44"/>
      <c r="E334" s="44"/>
      <c r="F334" s="44"/>
      <c r="G334" s="44"/>
      <c r="H334" s="44"/>
      <c r="I334" s="44"/>
      <c r="J334" s="8"/>
      <c r="K334" s="8"/>
    </row>
    <row r="335" spans="1:11" x14ac:dyDescent="0.25">
      <c r="A335" s="44"/>
      <c r="B335" s="44"/>
      <c r="C335" s="44"/>
      <c r="D335" s="44"/>
      <c r="E335" s="44"/>
      <c r="F335" s="44"/>
      <c r="G335" s="44"/>
      <c r="H335" s="44"/>
      <c r="I335" s="44"/>
      <c r="J335" s="8"/>
      <c r="K335" s="8"/>
    </row>
    <row r="336" spans="1:11" x14ac:dyDescent="0.25">
      <c r="A336" s="44"/>
      <c r="B336" s="44"/>
      <c r="C336" s="44"/>
      <c r="D336" s="44"/>
      <c r="E336" s="44"/>
      <c r="F336" s="44"/>
      <c r="G336" s="44"/>
      <c r="H336" s="44"/>
      <c r="I336" s="44"/>
      <c r="J336" s="8"/>
      <c r="K336" s="8"/>
    </row>
    <row r="337" spans="1:11" x14ac:dyDescent="0.25">
      <c r="A337" s="44"/>
      <c r="B337" s="44"/>
      <c r="C337" s="44"/>
      <c r="D337" s="44"/>
      <c r="E337" s="44"/>
      <c r="F337" s="44"/>
      <c r="G337" s="44"/>
      <c r="H337" s="44"/>
      <c r="I337" s="44"/>
      <c r="J337" s="8"/>
      <c r="K337" s="8"/>
    </row>
    <row r="338" spans="1:11" x14ac:dyDescent="0.25">
      <c r="A338" s="44"/>
      <c r="B338" s="44"/>
      <c r="C338" s="44"/>
      <c r="D338" s="44"/>
      <c r="E338" s="44"/>
      <c r="F338" s="44"/>
      <c r="G338" s="44"/>
      <c r="H338" s="44"/>
      <c r="I338" s="44"/>
      <c r="J338" s="8"/>
      <c r="K338" s="8"/>
    </row>
    <row r="339" spans="1:11" x14ac:dyDescent="0.25">
      <c r="A339" s="44"/>
      <c r="B339" s="44"/>
      <c r="C339" s="44"/>
      <c r="D339" s="44"/>
      <c r="E339" s="44"/>
      <c r="F339" s="44"/>
      <c r="G339" s="44"/>
      <c r="H339" s="44"/>
      <c r="I339" s="44"/>
      <c r="J339" s="8"/>
      <c r="K339" s="8"/>
    </row>
    <row r="340" spans="1:11" x14ac:dyDescent="0.25">
      <c r="A340" s="44"/>
      <c r="B340" s="44"/>
      <c r="C340" s="44"/>
      <c r="D340" s="44"/>
      <c r="E340" s="44"/>
      <c r="F340" s="44"/>
      <c r="G340" s="44"/>
      <c r="H340" s="44"/>
      <c r="I340" s="44"/>
      <c r="J340" s="8"/>
      <c r="K340" s="8"/>
    </row>
    <row r="341" spans="1:11" x14ac:dyDescent="0.25">
      <c r="A341" s="44"/>
      <c r="B341" s="44"/>
      <c r="C341" s="44"/>
      <c r="D341" s="44"/>
      <c r="E341" s="44"/>
      <c r="F341" s="44"/>
      <c r="G341" s="44"/>
      <c r="H341" s="44"/>
      <c r="I341" s="44"/>
      <c r="J341" s="8"/>
      <c r="K341" s="8"/>
    </row>
    <row r="342" spans="1:11" x14ac:dyDescent="0.25">
      <c r="A342" s="44"/>
      <c r="B342" s="44"/>
      <c r="C342" s="44"/>
      <c r="D342" s="44"/>
      <c r="E342" s="44"/>
      <c r="F342" s="44"/>
      <c r="G342" s="44"/>
      <c r="H342" s="44"/>
      <c r="I342" s="44"/>
      <c r="J342" s="8"/>
      <c r="K342" s="8"/>
    </row>
    <row r="343" spans="1:11" x14ac:dyDescent="0.25">
      <c r="A343" s="44"/>
      <c r="B343" s="44"/>
      <c r="C343" s="44"/>
      <c r="D343" s="44"/>
      <c r="E343" s="44"/>
      <c r="F343" s="44"/>
      <c r="G343" s="44"/>
      <c r="H343" s="44"/>
      <c r="I343" s="44"/>
      <c r="J343" s="8"/>
      <c r="K343" s="8"/>
    </row>
    <row r="344" spans="1:11" x14ac:dyDescent="0.25">
      <c r="A344" s="44"/>
      <c r="B344" s="44"/>
      <c r="C344" s="44"/>
      <c r="D344" s="44"/>
      <c r="E344" s="44"/>
      <c r="F344" s="44"/>
      <c r="G344" s="44"/>
      <c r="H344" s="44"/>
      <c r="I344" s="44"/>
      <c r="J344" s="8"/>
      <c r="K344" s="8"/>
    </row>
    <row r="345" spans="1:11" x14ac:dyDescent="0.25">
      <c r="A345" s="44"/>
      <c r="B345" s="44"/>
      <c r="C345" s="44"/>
      <c r="D345" s="44"/>
      <c r="E345" s="44"/>
      <c r="F345" s="44"/>
      <c r="G345" s="44"/>
      <c r="H345" s="44"/>
      <c r="I345" s="44"/>
      <c r="J345" s="8"/>
      <c r="K345" s="8"/>
    </row>
    <row r="346" spans="1:11" x14ac:dyDescent="0.25">
      <c r="A346" s="44"/>
      <c r="B346" s="44"/>
      <c r="C346" s="44"/>
      <c r="D346" s="44"/>
      <c r="E346" s="44"/>
      <c r="F346" s="44"/>
      <c r="G346" s="44"/>
      <c r="H346" s="44"/>
      <c r="I346" s="44"/>
      <c r="J346" s="8"/>
      <c r="K346" s="8"/>
    </row>
    <row r="347" spans="1:11" x14ac:dyDescent="0.25">
      <c r="A347" s="44"/>
      <c r="B347" s="44"/>
      <c r="C347" s="44"/>
      <c r="D347" s="44"/>
      <c r="E347" s="44"/>
      <c r="F347" s="44"/>
      <c r="G347" s="44"/>
      <c r="H347" s="44"/>
      <c r="I347" s="44"/>
      <c r="J347" s="8"/>
      <c r="K347" s="8"/>
    </row>
    <row r="348" spans="1:11" x14ac:dyDescent="0.25">
      <c r="A348" s="44"/>
      <c r="B348" s="44"/>
      <c r="C348" s="44"/>
      <c r="D348" s="44"/>
      <c r="E348" s="44"/>
      <c r="F348" s="44"/>
      <c r="G348" s="44"/>
      <c r="H348" s="44"/>
      <c r="I348" s="44"/>
      <c r="J348" s="8"/>
      <c r="K348" s="8"/>
    </row>
    <row r="349" spans="1:11" x14ac:dyDescent="0.25">
      <c r="A349" s="44"/>
      <c r="B349" s="44"/>
      <c r="C349" s="44"/>
      <c r="D349" s="44"/>
      <c r="E349" s="44"/>
      <c r="F349" s="44"/>
      <c r="G349" s="44"/>
      <c r="H349" s="44"/>
      <c r="I349" s="44"/>
      <c r="J349" s="8"/>
      <c r="K349" s="8"/>
    </row>
    <row r="350" spans="1:11" x14ac:dyDescent="0.25">
      <c r="A350" s="44"/>
      <c r="B350" s="44"/>
      <c r="C350" s="44"/>
      <c r="D350" s="44"/>
      <c r="E350" s="44"/>
      <c r="F350" s="44"/>
      <c r="G350" s="44"/>
      <c r="H350" s="44"/>
      <c r="I350" s="44"/>
      <c r="J350" s="8"/>
      <c r="K350" s="8"/>
    </row>
    <row r="351" spans="1:11" x14ac:dyDescent="0.25">
      <c r="A351" s="44"/>
      <c r="B351" s="44"/>
      <c r="C351" s="44"/>
      <c r="D351" s="44"/>
      <c r="E351" s="44"/>
      <c r="F351" s="44"/>
      <c r="G351" s="44"/>
      <c r="H351" s="44"/>
      <c r="I351" s="44"/>
      <c r="J351" s="8"/>
      <c r="K351" s="8"/>
    </row>
    <row r="352" spans="1:11" x14ac:dyDescent="0.25">
      <c r="A352" s="44"/>
      <c r="B352" s="44"/>
      <c r="C352" s="44"/>
      <c r="D352" s="44"/>
      <c r="E352" s="44"/>
      <c r="F352" s="44"/>
      <c r="G352" s="44"/>
      <c r="H352" s="44"/>
      <c r="I352" s="44"/>
      <c r="J352" s="8"/>
      <c r="K352" s="8"/>
    </row>
    <row r="353" spans="1:11" x14ac:dyDescent="0.25">
      <c r="A353" s="44"/>
      <c r="B353" s="44"/>
      <c r="C353" s="44"/>
      <c r="D353" s="44"/>
      <c r="E353" s="44"/>
      <c r="F353" s="44"/>
      <c r="G353" s="44"/>
      <c r="H353" s="44"/>
      <c r="I353" s="44"/>
      <c r="J353" s="8"/>
      <c r="K353" s="8"/>
    </row>
    <row r="354" spans="1:11" x14ac:dyDescent="0.25">
      <c r="A354" s="44"/>
      <c r="B354" s="44"/>
      <c r="C354" s="44"/>
      <c r="D354" s="44"/>
      <c r="E354" s="44"/>
      <c r="F354" s="44"/>
      <c r="G354" s="44"/>
      <c r="H354" s="44"/>
      <c r="I354" s="44"/>
      <c r="J354" s="8"/>
      <c r="K354" s="8"/>
    </row>
    <row r="355" spans="1:11" x14ac:dyDescent="0.25">
      <c r="A355" s="44"/>
      <c r="B355" s="44"/>
      <c r="C355" s="44"/>
      <c r="D355" s="44"/>
      <c r="E355" s="44"/>
      <c r="F355" s="44"/>
      <c r="G355" s="44"/>
      <c r="H355" s="44"/>
      <c r="I355" s="44"/>
      <c r="J355" s="8"/>
      <c r="K355" s="8"/>
    </row>
    <row r="356" spans="1:11" x14ac:dyDescent="0.25">
      <c r="A356" s="44"/>
      <c r="B356" s="44"/>
      <c r="C356" s="44"/>
      <c r="D356" s="44"/>
      <c r="E356" s="44"/>
      <c r="F356" s="44"/>
      <c r="G356" s="44"/>
      <c r="H356" s="44"/>
      <c r="I356" s="44"/>
      <c r="J356" s="8"/>
      <c r="K356" s="8"/>
    </row>
    <row r="357" spans="1:11" x14ac:dyDescent="0.25">
      <c r="A357" s="44"/>
      <c r="B357" s="44"/>
      <c r="C357" s="44"/>
      <c r="D357" s="44"/>
      <c r="E357" s="44"/>
      <c r="F357" s="44"/>
      <c r="G357" s="44"/>
      <c r="H357" s="44"/>
      <c r="I357" s="44"/>
      <c r="J357" s="8"/>
      <c r="K357" s="8"/>
    </row>
    <row r="358" spans="1:11" x14ac:dyDescent="0.25">
      <c r="A358" s="44"/>
      <c r="B358" s="44"/>
      <c r="C358" s="44"/>
      <c r="D358" s="44"/>
      <c r="E358" s="44"/>
      <c r="F358" s="44"/>
      <c r="G358" s="44"/>
      <c r="H358" s="44"/>
      <c r="I358" s="44"/>
      <c r="J358" s="8"/>
      <c r="K358" s="8"/>
    </row>
    <row r="359" spans="1:11" x14ac:dyDescent="0.25">
      <c r="A359" s="44"/>
      <c r="B359" s="44"/>
      <c r="C359" s="44"/>
      <c r="D359" s="44"/>
      <c r="E359" s="44"/>
      <c r="F359" s="44"/>
      <c r="G359" s="44"/>
      <c r="H359" s="44"/>
      <c r="I359" s="44"/>
      <c r="J359" s="8"/>
      <c r="K359" s="8"/>
    </row>
    <row r="360" spans="1:11" x14ac:dyDescent="0.25">
      <c r="A360" s="44"/>
      <c r="B360" s="44"/>
      <c r="C360" s="44"/>
      <c r="D360" s="44"/>
      <c r="E360" s="44"/>
      <c r="F360" s="44"/>
      <c r="G360" s="44"/>
      <c r="H360" s="44"/>
      <c r="I360" s="44"/>
      <c r="J360" s="8"/>
      <c r="K360" s="8"/>
    </row>
    <row r="361" spans="1:11" x14ac:dyDescent="0.25">
      <c r="A361" s="44"/>
      <c r="B361" s="44"/>
      <c r="C361" s="44"/>
      <c r="D361" s="44"/>
      <c r="E361" s="44"/>
      <c r="F361" s="44"/>
      <c r="G361" s="44"/>
      <c r="H361" s="44"/>
      <c r="I361" s="44"/>
      <c r="J361" s="8"/>
      <c r="K361" s="8"/>
    </row>
    <row r="362" spans="1:11" x14ac:dyDescent="0.25">
      <c r="A362" s="44"/>
      <c r="B362" s="44"/>
      <c r="C362" s="44"/>
      <c r="D362" s="44"/>
      <c r="E362" s="44"/>
      <c r="F362" s="44"/>
      <c r="G362" s="44"/>
      <c r="H362" s="44"/>
      <c r="I362" s="44"/>
      <c r="J362" s="8"/>
      <c r="K362" s="8"/>
    </row>
    <row r="363" spans="1:11" x14ac:dyDescent="0.25">
      <c r="A363" s="44"/>
      <c r="B363" s="44"/>
      <c r="C363" s="44"/>
      <c r="D363" s="44"/>
      <c r="E363" s="44"/>
      <c r="F363" s="44"/>
      <c r="G363" s="44"/>
      <c r="H363" s="44"/>
      <c r="I363" s="44"/>
      <c r="J363" s="8"/>
      <c r="K363" s="8"/>
    </row>
    <row r="364" spans="1:11" x14ac:dyDescent="0.25">
      <c r="A364" s="44"/>
      <c r="B364" s="44"/>
      <c r="C364" s="44"/>
      <c r="D364" s="44"/>
      <c r="E364" s="44"/>
      <c r="F364" s="44"/>
      <c r="G364" s="44"/>
      <c r="H364" s="44"/>
      <c r="I364" s="44"/>
      <c r="J364" s="8"/>
      <c r="K364" s="8"/>
    </row>
    <row r="365" spans="1:11" x14ac:dyDescent="0.25">
      <c r="A365" s="44"/>
      <c r="B365" s="44"/>
      <c r="C365" s="44"/>
      <c r="D365" s="44"/>
      <c r="E365" s="44"/>
      <c r="F365" s="44"/>
      <c r="G365" s="44"/>
      <c r="H365" s="44"/>
      <c r="I365" s="44"/>
      <c r="J365" s="8"/>
      <c r="K365" s="8"/>
    </row>
    <row r="366" spans="1:11" x14ac:dyDescent="0.25">
      <c r="A366" s="44"/>
      <c r="B366" s="44"/>
      <c r="C366" s="44"/>
      <c r="D366" s="44"/>
      <c r="E366" s="44"/>
      <c r="F366" s="44"/>
      <c r="G366" s="44"/>
      <c r="H366" s="44"/>
      <c r="I366" s="44"/>
      <c r="J366" s="8"/>
      <c r="K366" s="8"/>
    </row>
    <row r="367" spans="1:11" x14ac:dyDescent="0.25">
      <c r="A367" s="44"/>
      <c r="B367" s="44"/>
      <c r="C367" s="44"/>
      <c r="D367" s="44"/>
      <c r="E367" s="44"/>
      <c r="F367" s="44"/>
      <c r="G367" s="44"/>
      <c r="H367" s="44"/>
      <c r="I367" s="44"/>
      <c r="J367" s="8"/>
      <c r="K367" s="8"/>
    </row>
    <row r="368" spans="1:11" x14ac:dyDescent="0.25">
      <c r="A368" s="44"/>
      <c r="B368" s="44"/>
      <c r="C368" s="44"/>
      <c r="D368" s="44"/>
      <c r="E368" s="44"/>
      <c r="F368" s="44"/>
      <c r="G368" s="44"/>
      <c r="H368" s="44"/>
      <c r="I368" s="44"/>
      <c r="J368" s="8"/>
      <c r="K368" s="8"/>
    </row>
    <row r="369" spans="1:11" x14ac:dyDescent="0.25">
      <c r="A369" s="44"/>
      <c r="B369" s="44"/>
      <c r="C369" s="44"/>
      <c r="D369" s="44"/>
      <c r="E369" s="44"/>
      <c r="F369" s="44"/>
      <c r="G369" s="44"/>
      <c r="H369" s="44"/>
      <c r="I369" s="44"/>
      <c r="J369" s="8"/>
      <c r="K369" s="8"/>
    </row>
    <row r="370" spans="1:11" x14ac:dyDescent="0.25">
      <c r="A370" s="44"/>
      <c r="B370" s="44"/>
      <c r="C370" s="44"/>
      <c r="D370" s="44"/>
      <c r="E370" s="44"/>
      <c r="F370" s="44"/>
      <c r="G370" s="44"/>
      <c r="H370" s="44"/>
      <c r="I370" s="44"/>
      <c r="J370" s="8"/>
      <c r="K370" s="8"/>
    </row>
    <row r="371" spans="1:11" x14ac:dyDescent="0.25">
      <c r="A371" s="44"/>
      <c r="B371" s="44"/>
      <c r="C371" s="44"/>
      <c r="D371" s="44"/>
      <c r="E371" s="44"/>
      <c r="F371" s="44"/>
      <c r="G371" s="44"/>
      <c r="H371" s="44"/>
      <c r="I371" s="44"/>
      <c r="J371" s="8"/>
      <c r="K371" s="8"/>
    </row>
    <row r="372" spans="1:11" x14ac:dyDescent="0.25">
      <c r="A372" s="44"/>
      <c r="B372" s="44"/>
      <c r="C372" s="44"/>
      <c r="D372" s="44"/>
      <c r="E372" s="44"/>
      <c r="F372" s="44"/>
      <c r="G372" s="44"/>
      <c r="H372" s="44"/>
      <c r="I372" s="44"/>
      <c r="J372" s="8"/>
      <c r="K372" s="8"/>
    </row>
    <row r="373" spans="1:11" x14ac:dyDescent="0.25">
      <c r="A373" s="44"/>
      <c r="B373" s="44"/>
      <c r="C373" s="44"/>
      <c r="D373" s="44"/>
      <c r="E373" s="44"/>
      <c r="F373" s="44"/>
      <c r="G373" s="44"/>
      <c r="H373" s="44"/>
      <c r="I373" s="44"/>
      <c r="J373" s="8"/>
      <c r="K373" s="8"/>
    </row>
    <row r="374" spans="1:11" x14ac:dyDescent="0.25">
      <c r="A374" s="44"/>
      <c r="B374" s="44"/>
      <c r="C374" s="44"/>
      <c r="D374" s="44"/>
      <c r="E374" s="44"/>
      <c r="F374" s="44"/>
      <c r="G374" s="44"/>
      <c r="H374" s="44"/>
      <c r="I374" s="44"/>
      <c r="J374" s="8"/>
      <c r="K374" s="8"/>
    </row>
    <row r="375" spans="1:11" x14ac:dyDescent="0.25">
      <c r="A375" s="44"/>
      <c r="B375" s="44"/>
      <c r="C375" s="44"/>
      <c r="D375" s="44"/>
      <c r="E375" s="44"/>
      <c r="F375" s="44"/>
      <c r="G375" s="44"/>
      <c r="H375" s="44"/>
      <c r="I375" s="44"/>
      <c r="J375" s="8"/>
      <c r="K375" s="8"/>
    </row>
    <row r="376" spans="1:11" x14ac:dyDescent="0.25">
      <c r="A376" s="44"/>
      <c r="B376" s="44"/>
      <c r="C376" s="44"/>
      <c r="D376" s="44"/>
      <c r="E376" s="44"/>
      <c r="F376" s="44"/>
      <c r="G376" s="44"/>
      <c r="H376" s="44"/>
      <c r="I376" s="44"/>
      <c r="J376" s="8"/>
      <c r="K376" s="8"/>
    </row>
    <row r="377" spans="1:11" x14ac:dyDescent="0.25">
      <c r="A377" s="44"/>
      <c r="B377" s="44"/>
      <c r="C377" s="44"/>
      <c r="D377" s="44"/>
      <c r="E377" s="44"/>
      <c r="F377" s="44"/>
      <c r="G377" s="44"/>
      <c r="H377" s="44"/>
      <c r="I377" s="44"/>
      <c r="J377" s="8"/>
      <c r="K377" s="8"/>
    </row>
    <row r="378" spans="1:11" x14ac:dyDescent="0.25">
      <c r="A378" s="44"/>
      <c r="B378" s="44"/>
      <c r="C378" s="44"/>
      <c r="D378" s="44"/>
      <c r="E378" s="44"/>
      <c r="F378" s="44"/>
      <c r="G378" s="44"/>
      <c r="H378" s="44"/>
      <c r="I378" s="44"/>
      <c r="J378" s="8"/>
      <c r="K378" s="8"/>
    </row>
    <row r="379" spans="1:11" x14ac:dyDescent="0.25">
      <c r="A379" s="44"/>
      <c r="B379" s="44"/>
      <c r="C379" s="44"/>
      <c r="D379" s="44"/>
      <c r="E379" s="44"/>
      <c r="F379" s="44"/>
      <c r="G379" s="44"/>
      <c r="H379" s="44"/>
      <c r="I379" s="44"/>
      <c r="J379" s="8"/>
      <c r="K379" s="8"/>
    </row>
    <row r="380" spans="1:11" x14ac:dyDescent="0.25">
      <c r="A380" s="44"/>
      <c r="B380" s="44"/>
      <c r="C380" s="44"/>
      <c r="D380" s="44"/>
      <c r="E380" s="44"/>
      <c r="F380" s="44"/>
      <c r="G380" s="44"/>
      <c r="H380" s="44"/>
      <c r="I380" s="44"/>
      <c r="J380" s="8"/>
      <c r="K380" s="8"/>
    </row>
    <row r="381" spans="1:11" x14ac:dyDescent="0.25">
      <c r="A381" s="44"/>
      <c r="B381" s="44"/>
      <c r="C381" s="44"/>
      <c r="D381" s="44"/>
      <c r="E381" s="44"/>
      <c r="F381" s="44"/>
      <c r="G381" s="44"/>
      <c r="H381" s="44"/>
      <c r="I381" s="44"/>
      <c r="J381" s="8"/>
      <c r="K381" s="8"/>
    </row>
    <row r="382" spans="1:11" x14ac:dyDescent="0.25">
      <c r="A382" s="44"/>
      <c r="B382" s="44"/>
      <c r="C382" s="44"/>
      <c r="D382" s="44"/>
      <c r="E382" s="44"/>
      <c r="F382" s="44"/>
      <c r="G382" s="44"/>
      <c r="H382" s="44"/>
      <c r="I382" s="44"/>
      <c r="J382" s="8"/>
      <c r="K382" s="8"/>
    </row>
    <row r="383" spans="1:11" x14ac:dyDescent="0.25">
      <c r="A383" s="44"/>
      <c r="B383" s="44"/>
      <c r="C383" s="44"/>
      <c r="D383" s="44"/>
      <c r="E383" s="44"/>
      <c r="F383" s="44"/>
      <c r="G383" s="44"/>
      <c r="H383" s="44"/>
      <c r="I383" s="44"/>
      <c r="J383" s="8"/>
      <c r="K383" s="8"/>
    </row>
    <row r="384" spans="1:11" x14ac:dyDescent="0.25">
      <c r="A384" s="44"/>
      <c r="B384" s="44"/>
      <c r="C384" s="44"/>
      <c r="D384" s="44"/>
      <c r="E384" s="44"/>
      <c r="F384" s="44"/>
      <c r="G384" s="44"/>
      <c r="H384" s="44"/>
      <c r="I384" s="44"/>
      <c r="J384" s="8"/>
      <c r="K384" s="8"/>
    </row>
    <row r="385" spans="1:11" x14ac:dyDescent="0.25">
      <c r="A385" s="44"/>
      <c r="B385" s="44"/>
      <c r="C385" s="44"/>
      <c r="D385" s="44"/>
      <c r="E385" s="44"/>
      <c r="F385" s="44"/>
      <c r="G385" s="44"/>
      <c r="H385" s="44"/>
      <c r="I385" s="44"/>
      <c r="J385" s="8"/>
      <c r="K385" s="8"/>
    </row>
    <row r="386" spans="1:11" x14ac:dyDescent="0.25">
      <c r="A386" s="44"/>
      <c r="B386" s="44"/>
      <c r="C386" s="44"/>
      <c r="D386" s="44"/>
      <c r="E386" s="44"/>
      <c r="F386" s="44"/>
      <c r="G386" s="44"/>
      <c r="H386" s="44"/>
      <c r="I386" s="44"/>
      <c r="J386" s="8"/>
      <c r="K386" s="8"/>
    </row>
    <row r="387" spans="1:11" x14ac:dyDescent="0.25">
      <c r="A387" s="44"/>
      <c r="B387" s="44"/>
      <c r="C387" s="44"/>
      <c r="D387" s="44"/>
      <c r="E387" s="44"/>
      <c r="F387" s="44"/>
      <c r="G387" s="44"/>
      <c r="H387" s="44"/>
      <c r="I387" s="44"/>
      <c r="J387" s="8"/>
      <c r="K387" s="8"/>
    </row>
    <row r="388" spans="1:11" x14ac:dyDescent="0.25">
      <c r="A388" s="44"/>
      <c r="B388" s="44"/>
      <c r="C388" s="44"/>
      <c r="D388" s="44"/>
      <c r="E388" s="44"/>
      <c r="F388" s="44"/>
      <c r="G388" s="44"/>
      <c r="H388" s="44"/>
      <c r="I388" s="44"/>
      <c r="J388" s="8"/>
      <c r="K388" s="8"/>
    </row>
    <row r="389" spans="1:11" x14ac:dyDescent="0.25">
      <c r="A389" s="44"/>
      <c r="B389" s="44"/>
      <c r="C389" s="44"/>
      <c r="D389" s="44"/>
      <c r="E389" s="44"/>
      <c r="F389" s="44"/>
      <c r="G389" s="44"/>
      <c r="H389" s="44"/>
      <c r="I389" s="44"/>
      <c r="J389" s="8"/>
      <c r="K389" s="8"/>
    </row>
    <row r="390" spans="1:11" x14ac:dyDescent="0.25">
      <c r="A390" s="44"/>
      <c r="B390" s="44"/>
      <c r="C390" s="44"/>
      <c r="D390" s="44"/>
      <c r="E390" s="44"/>
      <c r="F390" s="44"/>
      <c r="G390" s="44"/>
      <c r="H390" s="44"/>
      <c r="I390" s="44"/>
      <c r="J390" s="8"/>
      <c r="K390" s="8"/>
    </row>
    <row r="391" spans="1:11" x14ac:dyDescent="0.25">
      <c r="A391" s="44"/>
      <c r="B391" s="44"/>
      <c r="C391" s="44"/>
      <c r="D391" s="44"/>
      <c r="E391" s="44"/>
      <c r="F391" s="44"/>
      <c r="G391" s="44"/>
      <c r="H391" s="44"/>
      <c r="I391" s="44"/>
      <c r="J391" s="8"/>
      <c r="K391" s="8"/>
    </row>
    <row r="392" spans="1:11" x14ac:dyDescent="0.25">
      <c r="A392" s="44"/>
      <c r="B392" s="44"/>
      <c r="C392" s="44"/>
      <c r="D392" s="44"/>
      <c r="E392" s="44"/>
      <c r="F392" s="44"/>
      <c r="G392" s="44"/>
      <c r="H392" s="44"/>
      <c r="I392" s="44"/>
      <c r="J392" s="8"/>
      <c r="K392" s="8"/>
    </row>
    <row r="393" spans="1:11" x14ac:dyDescent="0.25">
      <c r="A393" s="44"/>
      <c r="B393" s="44"/>
      <c r="C393" s="44"/>
      <c r="D393" s="44"/>
      <c r="E393" s="44"/>
      <c r="F393" s="44"/>
      <c r="G393" s="44"/>
      <c r="H393" s="44"/>
      <c r="I393" s="44"/>
      <c r="J393" s="8"/>
      <c r="K393" s="8"/>
    </row>
    <row r="394" spans="1:11" x14ac:dyDescent="0.25">
      <c r="A394" s="44"/>
      <c r="B394" s="44"/>
      <c r="C394" s="44"/>
      <c r="D394" s="44"/>
      <c r="E394" s="44"/>
      <c r="F394" s="44"/>
      <c r="G394" s="44"/>
      <c r="H394" s="44"/>
      <c r="I394" s="44"/>
      <c r="J394" s="8"/>
      <c r="K394" s="8"/>
    </row>
    <row r="395" spans="1:11" x14ac:dyDescent="0.25">
      <c r="A395" s="44"/>
      <c r="B395" s="44"/>
      <c r="C395" s="44"/>
      <c r="D395" s="44"/>
      <c r="E395" s="44"/>
      <c r="F395" s="44"/>
      <c r="G395" s="44"/>
      <c r="H395" s="44"/>
      <c r="I395" s="44"/>
      <c r="J395" s="8"/>
      <c r="K395" s="8"/>
    </row>
    <row r="396" spans="1:11" x14ac:dyDescent="0.25">
      <c r="A396" s="44"/>
      <c r="B396" s="44"/>
      <c r="C396" s="44"/>
      <c r="D396" s="44"/>
      <c r="E396" s="44"/>
      <c r="F396" s="44"/>
      <c r="G396" s="44"/>
      <c r="H396" s="44"/>
      <c r="I396" s="44"/>
      <c r="J396" s="8"/>
      <c r="K396" s="8"/>
    </row>
    <row r="397" spans="1:11" x14ac:dyDescent="0.25">
      <c r="A397" s="44"/>
      <c r="B397" s="44"/>
      <c r="C397" s="44"/>
      <c r="D397" s="44"/>
      <c r="E397" s="44"/>
      <c r="F397" s="44"/>
      <c r="G397" s="44"/>
      <c r="H397" s="44"/>
      <c r="I397" s="44"/>
      <c r="J397" s="8"/>
      <c r="K397" s="8"/>
    </row>
    <row r="398" spans="1:11" x14ac:dyDescent="0.25">
      <c r="A398" s="44"/>
      <c r="B398" s="44"/>
      <c r="C398" s="44"/>
      <c r="D398" s="44"/>
      <c r="E398" s="44"/>
      <c r="F398" s="44"/>
      <c r="G398" s="44"/>
      <c r="H398" s="44"/>
      <c r="I398" s="44"/>
      <c r="J398" s="8"/>
      <c r="K398" s="8"/>
    </row>
    <row r="399" spans="1:11" x14ac:dyDescent="0.25">
      <c r="A399" s="44"/>
      <c r="B399" s="44"/>
      <c r="C399" s="44"/>
      <c r="D399" s="44"/>
      <c r="E399" s="44"/>
      <c r="F399" s="44"/>
      <c r="G399" s="44"/>
      <c r="H399" s="44"/>
      <c r="I399" s="44"/>
      <c r="J399" s="8"/>
      <c r="K399" s="8"/>
    </row>
    <row r="400" spans="1:11" x14ac:dyDescent="0.25">
      <c r="A400" s="44"/>
      <c r="B400" s="44"/>
      <c r="C400" s="44"/>
      <c r="D400" s="44"/>
      <c r="E400" s="44"/>
      <c r="F400" s="44"/>
      <c r="G400" s="44"/>
      <c r="H400" s="44"/>
      <c r="I400" s="44"/>
      <c r="J400" s="8"/>
      <c r="K400" s="8"/>
    </row>
    <row r="401" spans="1:11" x14ac:dyDescent="0.25">
      <c r="A401" s="44"/>
      <c r="B401" s="44"/>
      <c r="C401" s="44"/>
      <c r="D401" s="44"/>
      <c r="E401" s="44"/>
      <c r="F401" s="44"/>
      <c r="G401" s="44"/>
      <c r="H401" s="44"/>
      <c r="I401" s="44"/>
      <c r="J401" s="8"/>
      <c r="K401" s="8"/>
    </row>
    <row r="402" spans="1:11" x14ac:dyDescent="0.25">
      <c r="A402" s="44"/>
      <c r="B402" s="44"/>
      <c r="C402" s="44"/>
      <c r="D402" s="44"/>
      <c r="E402" s="44"/>
      <c r="F402" s="44"/>
      <c r="G402" s="44"/>
      <c r="H402" s="44"/>
      <c r="I402" s="44"/>
      <c r="J402" s="8"/>
      <c r="K402" s="8"/>
    </row>
    <row r="403" spans="1:11" x14ac:dyDescent="0.25">
      <c r="A403" s="44"/>
      <c r="B403" s="44"/>
      <c r="C403" s="44"/>
      <c r="D403" s="44"/>
      <c r="E403" s="44"/>
      <c r="F403" s="44"/>
      <c r="G403" s="44"/>
      <c r="H403" s="44"/>
      <c r="I403" s="44"/>
      <c r="J403" s="8"/>
      <c r="K403" s="8"/>
    </row>
    <row r="404" spans="1:11" x14ac:dyDescent="0.25">
      <c r="A404" s="44"/>
      <c r="B404" s="44"/>
      <c r="C404" s="44"/>
      <c r="D404" s="44"/>
      <c r="E404" s="44"/>
      <c r="F404" s="44"/>
      <c r="G404" s="44"/>
      <c r="H404" s="44"/>
      <c r="I404" s="44"/>
      <c r="J404" s="8"/>
      <c r="K404" s="8"/>
    </row>
    <row r="405" spans="1:11" x14ac:dyDescent="0.25">
      <c r="A405" s="44"/>
      <c r="B405" s="44"/>
      <c r="C405" s="44"/>
      <c r="D405" s="44"/>
      <c r="E405" s="44"/>
      <c r="F405" s="44"/>
      <c r="G405" s="44"/>
      <c r="H405" s="44"/>
      <c r="I405" s="44"/>
      <c r="J405" s="8"/>
      <c r="K405" s="8"/>
    </row>
    <row r="406" spans="1:11" x14ac:dyDescent="0.25">
      <c r="A406" s="44"/>
      <c r="B406" s="44"/>
      <c r="C406" s="44"/>
      <c r="D406" s="44"/>
      <c r="E406" s="44"/>
      <c r="F406" s="44"/>
      <c r="G406" s="44"/>
      <c r="H406" s="44"/>
      <c r="I406" s="44"/>
      <c r="J406" s="8"/>
      <c r="K406" s="8"/>
    </row>
    <row r="407" spans="1:11" x14ac:dyDescent="0.25">
      <c r="A407" s="44"/>
      <c r="B407" s="44"/>
      <c r="C407" s="44"/>
      <c r="D407" s="44"/>
      <c r="E407" s="44"/>
      <c r="F407" s="44"/>
      <c r="G407" s="44"/>
      <c r="H407" s="44"/>
      <c r="I407" s="44"/>
      <c r="J407" s="8"/>
      <c r="K407" s="8"/>
    </row>
    <row r="408" spans="1:11" x14ac:dyDescent="0.25">
      <c r="A408" s="44"/>
      <c r="B408" s="44"/>
      <c r="C408" s="44"/>
      <c r="D408" s="44"/>
      <c r="E408" s="44"/>
      <c r="F408" s="44"/>
      <c r="G408" s="44"/>
      <c r="H408" s="44"/>
      <c r="I408" s="44"/>
      <c r="J408" s="8"/>
      <c r="K408" s="8"/>
    </row>
    <row r="409" spans="1:11" x14ac:dyDescent="0.25">
      <c r="A409" s="44"/>
      <c r="B409" s="44"/>
      <c r="C409" s="44"/>
      <c r="D409" s="44"/>
      <c r="E409" s="44"/>
      <c r="F409" s="44"/>
      <c r="G409" s="44"/>
      <c r="H409" s="44"/>
      <c r="I409" s="44"/>
      <c r="J409" s="8"/>
      <c r="K409" s="8"/>
    </row>
    <row r="410" spans="1:11" x14ac:dyDescent="0.25">
      <c r="A410" s="44"/>
      <c r="B410" s="44"/>
      <c r="C410" s="44"/>
      <c r="D410" s="44"/>
      <c r="E410" s="44"/>
      <c r="F410" s="44"/>
      <c r="G410" s="44"/>
      <c r="H410" s="44"/>
      <c r="I410" s="44"/>
      <c r="J410" s="8"/>
      <c r="K410" s="8"/>
    </row>
    <row r="411" spans="1:11" x14ac:dyDescent="0.25">
      <c r="A411" s="44"/>
      <c r="B411" s="44"/>
      <c r="C411" s="44"/>
      <c r="D411" s="44"/>
      <c r="E411" s="44"/>
      <c r="F411" s="44"/>
      <c r="G411" s="44"/>
      <c r="H411" s="44"/>
      <c r="I411" s="44"/>
      <c r="J411" s="8"/>
      <c r="K411" s="8"/>
    </row>
    <row r="412" spans="1:11" x14ac:dyDescent="0.25">
      <c r="A412" s="44"/>
      <c r="B412" s="44"/>
      <c r="C412" s="44"/>
      <c r="D412" s="44"/>
      <c r="E412" s="44"/>
      <c r="F412" s="44"/>
      <c r="G412" s="44"/>
      <c r="H412" s="44"/>
      <c r="I412" s="44"/>
      <c r="J412" s="8"/>
      <c r="K412" s="8"/>
    </row>
    <row r="413" spans="1:11" x14ac:dyDescent="0.25">
      <c r="A413" s="44"/>
      <c r="B413" s="44"/>
      <c r="C413" s="44"/>
      <c r="D413" s="44"/>
      <c r="E413" s="44"/>
      <c r="F413" s="44"/>
      <c r="G413" s="44"/>
      <c r="H413" s="44"/>
      <c r="I413" s="44"/>
      <c r="J413" s="8"/>
      <c r="K413" s="8"/>
    </row>
    <row r="414" spans="1:11" x14ac:dyDescent="0.25">
      <c r="A414" s="44"/>
      <c r="B414" s="44"/>
      <c r="C414" s="44"/>
      <c r="D414" s="44"/>
      <c r="E414" s="44"/>
      <c r="F414" s="44"/>
      <c r="G414" s="44"/>
      <c r="H414" s="44"/>
      <c r="I414" s="44"/>
      <c r="J414" s="8"/>
      <c r="K414" s="8"/>
    </row>
    <row r="415" spans="1:11" x14ac:dyDescent="0.25">
      <c r="A415" s="44"/>
      <c r="B415" s="44"/>
      <c r="C415" s="44"/>
      <c r="D415" s="44"/>
      <c r="E415" s="44"/>
      <c r="F415" s="44"/>
      <c r="G415" s="44"/>
      <c r="H415" s="44"/>
      <c r="I415" s="44"/>
      <c r="J415" s="8"/>
      <c r="K415" s="8"/>
    </row>
    <row r="416" spans="1:11" x14ac:dyDescent="0.25">
      <c r="A416" s="44"/>
      <c r="B416" s="44"/>
      <c r="C416" s="44"/>
      <c r="D416" s="44"/>
      <c r="E416" s="44"/>
      <c r="F416" s="44"/>
      <c r="G416" s="44"/>
      <c r="H416" s="44"/>
      <c r="I416" s="44"/>
      <c r="J416" s="8"/>
      <c r="K416" s="8"/>
    </row>
    <row r="417" spans="1:11" x14ac:dyDescent="0.25">
      <c r="A417" s="44"/>
      <c r="B417" s="44"/>
      <c r="C417" s="44"/>
      <c r="D417" s="44"/>
      <c r="E417" s="44"/>
      <c r="F417" s="44"/>
      <c r="G417" s="44"/>
      <c r="H417" s="44"/>
      <c r="I417" s="44"/>
      <c r="J417" s="8"/>
      <c r="K417" s="8"/>
    </row>
    <row r="418" spans="1:11" x14ac:dyDescent="0.25">
      <c r="A418" s="44"/>
      <c r="B418" s="44"/>
      <c r="C418" s="44"/>
      <c r="D418" s="44"/>
      <c r="E418" s="44"/>
      <c r="F418" s="44"/>
      <c r="G418" s="44"/>
      <c r="H418" s="44"/>
      <c r="I418" s="44"/>
      <c r="J418" s="8"/>
      <c r="K418" s="8"/>
    </row>
    <row r="419" spans="1:11" x14ac:dyDescent="0.25">
      <c r="A419" s="44"/>
      <c r="B419" s="44"/>
      <c r="C419" s="44"/>
      <c r="D419" s="44"/>
      <c r="E419" s="44"/>
      <c r="F419" s="44"/>
      <c r="G419" s="44"/>
      <c r="H419" s="44"/>
      <c r="I419" s="44"/>
      <c r="J419" s="8"/>
      <c r="K419" s="8"/>
    </row>
    <row r="420" spans="1:11" x14ac:dyDescent="0.25">
      <c r="A420" s="44"/>
      <c r="B420" s="44"/>
      <c r="C420" s="44"/>
      <c r="D420" s="44"/>
      <c r="E420" s="44"/>
      <c r="F420" s="44"/>
      <c r="G420" s="44"/>
      <c r="H420" s="44"/>
      <c r="I420" s="44"/>
      <c r="J420" s="8"/>
      <c r="K420" s="8"/>
    </row>
    <row r="421" spans="1:11" x14ac:dyDescent="0.25">
      <c r="A421" s="44"/>
      <c r="B421" s="44"/>
      <c r="C421" s="44"/>
      <c r="D421" s="44"/>
      <c r="E421" s="44"/>
      <c r="F421" s="44"/>
      <c r="G421" s="44"/>
      <c r="H421" s="44"/>
      <c r="I421" s="44"/>
      <c r="J421" s="8"/>
      <c r="K421" s="8"/>
    </row>
    <row r="422" spans="1:11" x14ac:dyDescent="0.25">
      <c r="A422" s="44"/>
      <c r="B422" s="44"/>
      <c r="C422" s="44"/>
      <c r="D422" s="44"/>
      <c r="E422" s="44"/>
      <c r="F422" s="44"/>
      <c r="G422" s="44"/>
      <c r="H422" s="44"/>
      <c r="I422" s="44"/>
      <c r="J422" s="8"/>
      <c r="K422" s="8"/>
    </row>
    <row r="423" spans="1:11" x14ac:dyDescent="0.25">
      <c r="A423" s="44"/>
      <c r="B423" s="44"/>
      <c r="C423" s="44"/>
      <c r="D423" s="44"/>
      <c r="E423" s="44"/>
      <c r="F423" s="44"/>
      <c r="G423" s="44"/>
      <c r="H423" s="44"/>
      <c r="I423" s="44"/>
      <c r="J423" s="8"/>
      <c r="K423" s="8"/>
    </row>
    <row r="424" spans="1:11" x14ac:dyDescent="0.25">
      <c r="A424" s="44"/>
      <c r="B424" s="44"/>
      <c r="C424" s="44"/>
      <c r="D424" s="44"/>
      <c r="E424" s="44"/>
      <c r="F424" s="44"/>
      <c r="G424" s="44"/>
      <c r="H424" s="44"/>
      <c r="I424" s="44"/>
      <c r="J424" s="8"/>
      <c r="K424" s="8"/>
    </row>
    <row r="425" spans="1:11" x14ac:dyDescent="0.25">
      <c r="A425" s="44"/>
      <c r="B425" s="44"/>
      <c r="C425" s="44"/>
      <c r="D425" s="44"/>
      <c r="E425" s="44"/>
      <c r="F425" s="44"/>
      <c r="G425" s="44"/>
      <c r="H425" s="44"/>
      <c r="I425" s="44"/>
      <c r="J425" s="8"/>
      <c r="K425" s="8"/>
    </row>
    <row r="426" spans="1:11" x14ac:dyDescent="0.25">
      <c r="A426" s="44"/>
      <c r="B426" s="44"/>
      <c r="C426" s="44"/>
      <c r="D426" s="44"/>
      <c r="E426" s="44"/>
      <c r="F426" s="44"/>
      <c r="G426" s="44"/>
      <c r="H426" s="44"/>
      <c r="I426" s="44"/>
      <c r="J426" s="8"/>
      <c r="K426" s="8"/>
    </row>
    <row r="427" spans="1:11" x14ac:dyDescent="0.25">
      <c r="A427" s="44"/>
      <c r="B427" s="44"/>
      <c r="C427" s="44"/>
      <c r="D427" s="44"/>
      <c r="E427" s="44"/>
      <c r="F427" s="44"/>
      <c r="G427" s="44"/>
      <c r="H427" s="44"/>
      <c r="I427" s="44"/>
      <c r="J427" s="8"/>
      <c r="K427" s="8"/>
    </row>
    <row r="428" spans="1:11" x14ac:dyDescent="0.25">
      <c r="A428" s="44"/>
      <c r="B428" s="44"/>
      <c r="C428" s="44"/>
      <c r="D428" s="44"/>
      <c r="E428" s="44"/>
      <c r="F428" s="44"/>
      <c r="G428" s="44"/>
      <c r="H428" s="44"/>
      <c r="I428" s="44"/>
      <c r="J428" s="8"/>
      <c r="K428" s="8"/>
    </row>
    <row r="429" spans="1:11" x14ac:dyDescent="0.25">
      <c r="A429" s="44"/>
      <c r="B429" s="44"/>
      <c r="C429" s="44"/>
      <c r="D429" s="44"/>
      <c r="E429" s="44"/>
      <c r="F429" s="44"/>
      <c r="G429" s="44"/>
      <c r="H429" s="44"/>
      <c r="I429" s="44"/>
      <c r="J429" s="8"/>
      <c r="K429" s="8"/>
    </row>
    <row r="430" spans="1:11" x14ac:dyDescent="0.25">
      <c r="A430" s="44"/>
      <c r="B430" s="44"/>
      <c r="C430" s="44"/>
      <c r="D430" s="44"/>
      <c r="E430" s="44"/>
      <c r="F430" s="44"/>
      <c r="G430" s="44"/>
      <c r="H430" s="44"/>
      <c r="I430" s="44"/>
      <c r="J430" s="8"/>
      <c r="K430" s="8"/>
    </row>
    <row r="431" spans="1:11" x14ac:dyDescent="0.25">
      <c r="A431" s="44"/>
      <c r="B431" s="44"/>
      <c r="C431" s="44"/>
      <c r="D431" s="44"/>
      <c r="E431" s="44"/>
      <c r="F431" s="44"/>
      <c r="G431" s="44"/>
      <c r="H431" s="44"/>
      <c r="I431" s="44"/>
      <c r="J431" s="8"/>
      <c r="K431" s="8"/>
    </row>
    <row r="432" spans="1:11" x14ac:dyDescent="0.25">
      <c r="A432" s="44"/>
      <c r="B432" s="44"/>
      <c r="C432" s="44"/>
      <c r="D432" s="44"/>
      <c r="E432" s="44"/>
      <c r="F432" s="44"/>
      <c r="G432" s="44"/>
      <c r="H432" s="44"/>
      <c r="I432" s="44"/>
      <c r="J432" s="8"/>
      <c r="K432" s="8"/>
    </row>
    <row r="433" spans="1:11" x14ac:dyDescent="0.25">
      <c r="A433" s="44"/>
      <c r="B433" s="44"/>
      <c r="C433" s="44"/>
      <c r="D433" s="44"/>
      <c r="E433" s="44"/>
      <c r="F433" s="44"/>
      <c r="G433" s="44"/>
      <c r="H433" s="44"/>
      <c r="I433" s="44"/>
      <c r="J433" s="8"/>
      <c r="K433" s="8"/>
    </row>
    <row r="434" spans="1:11" x14ac:dyDescent="0.25">
      <c r="A434" s="44"/>
      <c r="B434" s="44"/>
      <c r="C434" s="44"/>
      <c r="D434" s="44"/>
      <c r="E434" s="44"/>
      <c r="F434" s="44"/>
      <c r="G434" s="44"/>
      <c r="H434" s="44"/>
      <c r="I434" s="44"/>
      <c r="J434" s="8"/>
      <c r="K434" s="8"/>
    </row>
    <row r="435" spans="1:11" x14ac:dyDescent="0.25">
      <c r="A435" s="44"/>
      <c r="B435" s="44"/>
      <c r="C435" s="44"/>
      <c r="D435" s="44"/>
      <c r="E435" s="44"/>
      <c r="F435" s="44"/>
      <c r="G435" s="44"/>
      <c r="H435" s="44"/>
      <c r="I435" s="44"/>
      <c r="J435" s="8"/>
      <c r="K435" s="8"/>
    </row>
    <row r="436" spans="1:11" x14ac:dyDescent="0.25">
      <c r="A436" s="44"/>
      <c r="B436" s="44"/>
      <c r="C436" s="44"/>
      <c r="D436" s="44"/>
      <c r="E436" s="44"/>
      <c r="F436" s="44"/>
      <c r="G436" s="44"/>
      <c r="H436" s="44"/>
      <c r="I436" s="44"/>
      <c r="J436" s="8"/>
      <c r="K436" s="8"/>
    </row>
    <row r="437" spans="1:11" x14ac:dyDescent="0.25">
      <c r="A437" s="44"/>
      <c r="B437" s="44"/>
      <c r="C437" s="44"/>
      <c r="D437" s="44"/>
      <c r="E437" s="44"/>
      <c r="F437" s="44"/>
      <c r="G437" s="44"/>
      <c r="H437" s="44"/>
      <c r="I437" s="44"/>
      <c r="J437" s="8"/>
      <c r="K437" s="8"/>
    </row>
    <row r="438" spans="1:11" x14ac:dyDescent="0.25">
      <c r="A438" s="44"/>
      <c r="B438" s="44"/>
      <c r="C438" s="44"/>
      <c r="D438" s="44"/>
      <c r="E438" s="44"/>
      <c r="F438" s="44"/>
      <c r="G438" s="44"/>
      <c r="H438" s="44"/>
      <c r="I438" s="44"/>
      <c r="J438" s="8"/>
      <c r="K438" s="8"/>
    </row>
    <row r="439" spans="1:11" x14ac:dyDescent="0.25">
      <c r="A439" s="44"/>
      <c r="B439" s="44"/>
      <c r="C439" s="44"/>
      <c r="D439" s="44"/>
      <c r="E439" s="44"/>
      <c r="F439" s="44"/>
      <c r="G439" s="44"/>
      <c r="H439" s="44"/>
      <c r="I439" s="44"/>
      <c r="J439" s="8"/>
      <c r="K439" s="8"/>
    </row>
    <row r="440" spans="1:11" x14ac:dyDescent="0.25">
      <c r="A440" s="44"/>
      <c r="B440" s="44"/>
      <c r="C440" s="44"/>
      <c r="D440" s="44"/>
      <c r="E440" s="44"/>
      <c r="F440" s="44"/>
      <c r="G440" s="44"/>
      <c r="H440" s="44"/>
      <c r="I440" s="44"/>
      <c r="J440" s="8"/>
      <c r="K440" s="8"/>
    </row>
    <row r="441" spans="1:11" x14ac:dyDescent="0.25">
      <c r="A441" s="44"/>
      <c r="B441" s="44"/>
      <c r="C441" s="44"/>
      <c r="D441" s="44"/>
      <c r="E441" s="44"/>
      <c r="F441" s="44"/>
      <c r="G441" s="44"/>
      <c r="H441" s="44"/>
      <c r="I441" s="44"/>
      <c r="J441" s="8"/>
      <c r="K441" s="8"/>
    </row>
    <row r="442" spans="1:11" x14ac:dyDescent="0.25">
      <c r="A442" s="44"/>
      <c r="B442" s="44"/>
      <c r="C442" s="44"/>
      <c r="D442" s="44"/>
      <c r="E442" s="44"/>
      <c r="F442" s="44"/>
      <c r="G442" s="44"/>
      <c r="H442" s="44"/>
      <c r="I442" s="44"/>
      <c r="J442" s="8"/>
      <c r="K442" s="8"/>
    </row>
    <row r="443" spans="1:11" x14ac:dyDescent="0.25">
      <c r="A443" s="44"/>
      <c r="B443" s="44"/>
      <c r="C443" s="44"/>
      <c r="D443" s="44"/>
      <c r="E443" s="44"/>
      <c r="F443" s="44"/>
      <c r="G443" s="44"/>
      <c r="H443" s="44"/>
      <c r="I443" s="44"/>
      <c r="J443" s="8"/>
      <c r="K443" s="8"/>
    </row>
    <row r="444" spans="1:11" x14ac:dyDescent="0.25">
      <c r="A444" s="44"/>
      <c r="B444" s="44"/>
      <c r="C444" s="44"/>
      <c r="D444" s="44"/>
      <c r="E444" s="44"/>
      <c r="F444" s="44"/>
      <c r="G444" s="44"/>
      <c r="H444" s="44"/>
      <c r="I444" s="44"/>
      <c r="J444" s="8"/>
      <c r="K444" s="8"/>
    </row>
    <row r="445" spans="1:11" x14ac:dyDescent="0.25">
      <c r="A445" s="44"/>
      <c r="B445" s="44"/>
      <c r="C445" s="44"/>
      <c r="D445" s="44"/>
      <c r="E445" s="44"/>
      <c r="F445" s="44"/>
      <c r="G445" s="44"/>
      <c r="H445" s="44"/>
      <c r="I445" s="44"/>
      <c r="J445" s="8"/>
      <c r="K445" s="8"/>
    </row>
    <row r="446" spans="1:11" x14ac:dyDescent="0.25">
      <c r="A446" s="44"/>
      <c r="B446" s="44"/>
      <c r="C446" s="44"/>
      <c r="D446" s="44"/>
      <c r="E446" s="44"/>
      <c r="F446" s="44"/>
      <c r="G446" s="44"/>
      <c r="H446" s="44"/>
      <c r="I446" s="44"/>
      <c r="J446" s="8"/>
      <c r="K446" s="8"/>
    </row>
    <row r="447" spans="1:11" x14ac:dyDescent="0.25">
      <c r="A447" s="44"/>
      <c r="B447" s="44"/>
      <c r="C447" s="44"/>
      <c r="D447" s="44"/>
      <c r="E447" s="44"/>
      <c r="F447" s="44"/>
      <c r="G447" s="44"/>
      <c r="H447" s="44"/>
      <c r="I447" s="44"/>
      <c r="J447" s="8"/>
      <c r="K447" s="8"/>
    </row>
    <row r="448" spans="1:11" x14ac:dyDescent="0.25">
      <c r="A448" s="44"/>
      <c r="B448" s="44"/>
      <c r="C448" s="44"/>
      <c r="D448" s="44"/>
      <c r="E448" s="44"/>
      <c r="F448" s="44"/>
      <c r="G448" s="44"/>
      <c r="H448" s="44"/>
      <c r="I448" s="44"/>
      <c r="J448" s="8"/>
      <c r="K448" s="8"/>
    </row>
    <row r="449" spans="1:11" x14ac:dyDescent="0.25">
      <c r="A449" s="44"/>
      <c r="B449" s="44"/>
      <c r="C449" s="44"/>
      <c r="D449" s="44"/>
      <c r="E449" s="44"/>
      <c r="F449" s="44"/>
      <c r="G449" s="44"/>
      <c r="H449" s="44"/>
      <c r="I449" s="44"/>
      <c r="J449" s="8"/>
      <c r="K449" s="8"/>
    </row>
    <row r="450" spans="1:11" x14ac:dyDescent="0.25">
      <c r="A450" s="44"/>
      <c r="B450" s="44"/>
      <c r="C450" s="44"/>
      <c r="D450" s="44"/>
      <c r="E450" s="44"/>
      <c r="F450" s="44"/>
      <c r="G450" s="44"/>
      <c r="H450" s="44"/>
      <c r="I450" s="44"/>
      <c r="J450" s="8"/>
      <c r="K450" s="8"/>
    </row>
    <row r="451" spans="1:11" x14ac:dyDescent="0.25">
      <c r="A451" s="44"/>
      <c r="B451" s="44"/>
      <c r="C451" s="44"/>
      <c r="D451" s="44"/>
      <c r="E451" s="44"/>
      <c r="F451" s="44"/>
      <c r="G451" s="44"/>
      <c r="H451" s="44"/>
      <c r="I451" s="44"/>
      <c r="J451" s="8"/>
      <c r="K451" s="8"/>
    </row>
    <row r="452" spans="1:11" x14ac:dyDescent="0.25">
      <c r="A452" s="44"/>
      <c r="B452" s="44"/>
      <c r="C452" s="44"/>
      <c r="D452" s="44"/>
      <c r="E452" s="44"/>
      <c r="F452" s="44"/>
      <c r="G452" s="44"/>
      <c r="H452" s="44"/>
      <c r="I452" s="44"/>
      <c r="J452" s="8"/>
      <c r="K452" s="8"/>
    </row>
    <row r="453" spans="1:11" x14ac:dyDescent="0.25">
      <c r="A453" s="44"/>
      <c r="B453" s="44"/>
      <c r="C453" s="44"/>
      <c r="D453" s="44"/>
      <c r="E453" s="44"/>
      <c r="F453" s="44"/>
      <c r="G453" s="44"/>
      <c r="H453" s="44"/>
      <c r="I453" s="44"/>
      <c r="J453" s="8"/>
      <c r="K453" s="8"/>
    </row>
    <row r="454" spans="1:11" x14ac:dyDescent="0.25">
      <c r="A454" s="44"/>
      <c r="B454" s="44"/>
      <c r="C454" s="44"/>
      <c r="D454" s="44"/>
      <c r="E454" s="44"/>
      <c r="F454" s="44"/>
      <c r="G454" s="44"/>
      <c r="H454" s="44"/>
      <c r="I454" s="44"/>
      <c r="J454" s="8"/>
      <c r="K454" s="8"/>
    </row>
    <row r="455" spans="1:11" x14ac:dyDescent="0.25">
      <c r="A455" s="44"/>
      <c r="B455" s="44"/>
      <c r="C455" s="44"/>
      <c r="D455" s="44"/>
      <c r="E455" s="44"/>
      <c r="F455" s="44"/>
      <c r="G455" s="44"/>
      <c r="H455" s="44"/>
      <c r="I455" s="44"/>
      <c r="J455" s="8"/>
      <c r="K455" s="8"/>
    </row>
    <row r="456" spans="1:11" x14ac:dyDescent="0.25">
      <c r="A456" s="44"/>
      <c r="B456" s="44"/>
      <c r="C456" s="44"/>
      <c r="D456" s="44"/>
      <c r="E456" s="44"/>
      <c r="F456" s="44"/>
      <c r="G456" s="44"/>
      <c r="H456" s="44"/>
      <c r="I456" s="44"/>
      <c r="J456" s="8"/>
      <c r="K456" s="8"/>
    </row>
    <row r="457" spans="1:11" x14ac:dyDescent="0.25">
      <c r="A457" s="44"/>
      <c r="B457" s="44"/>
      <c r="C457" s="44"/>
      <c r="D457" s="44"/>
      <c r="E457" s="44"/>
      <c r="F457" s="44"/>
      <c r="G457" s="44"/>
      <c r="H457" s="44"/>
      <c r="I457" s="44"/>
      <c r="J457" s="8"/>
      <c r="K457" s="8"/>
    </row>
    <row r="458" spans="1:11" x14ac:dyDescent="0.25">
      <c r="A458" s="44"/>
      <c r="B458" s="44"/>
      <c r="C458" s="44"/>
      <c r="D458" s="44"/>
      <c r="E458" s="44"/>
      <c r="F458" s="44"/>
      <c r="G458" s="44"/>
      <c r="H458" s="44"/>
      <c r="I458" s="44"/>
      <c r="J458" s="8"/>
      <c r="K458" s="8"/>
    </row>
    <row r="459" spans="1:11" x14ac:dyDescent="0.25">
      <c r="A459" s="44"/>
      <c r="B459" s="44"/>
      <c r="C459" s="44"/>
      <c r="D459" s="44"/>
      <c r="E459" s="44"/>
      <c r="F459" s="44"/>
      <c r="G459" s="44"/>
      <c r="H459" s="44"/>
      <c r="I459" s="44"/>
      <c r="J459" s="8"/>
      <c r="K459" s="8"/>
    </row>
    <row r="460" spans="1:11" x14ac:dyDescent="0.25">
      <c r="A460" s="44"/>
      <c r="B460" s="44"/>
      <c r="C460" s="44"/>
      <c r="D460" s="44"/>
      <c r="E460" s="44"/>
      <c r="F460" s="44"/>
      <c r="G460" s="44"/>
      <c r="H460" s="44"/>
      <c r="I460" s="44"/>
      <c r="J460" s="8"/>
      <c r="K460" s="8"/>
    </row>
    <row r="461" spans="1:11" x14ac:dyDescent="0.25">
      <c r="A461" s="44"/>
      <c r="B461" s="44"/>
      <c r="C461" s="44"/>
      <c r="D461" s="44"/>
      <c r="E461" s="44"/>
      <c r="F461" s="44"/>
      <c r="G461" s="44"/>
      <c r="H461" s="44"/>
      <c r="I461" s="44"/>
      <c r="J461" s="8"/>
      <c r="K461" s="8"/>
    </row>
    <row r="462" spans="1:11" x14ac:dyDescent="0.25">
      <c r="A462" s="44"/>
      <c r="B462" s="44"/>
      <c r="C462" s="44"/>
      <c r="D462" s="44"/>
      <c r="E462" s="44"/>
      <c r="F462" s="44"/>
      <c r="G462" s="44"/>
      <c r="H462" s="44"/>
      <c r="I462" s="44"/>
      <c r="J462" s="8"/>
      <c r="K462" s="8"/>
    </row>
    <row r="463" spans="1:11" x14ac:dyDescent="0.25">
      <c r="A463" s="44"/>
      <c r="B463" s="44"/>
      <c r="C463" s="44"/>
      <c r="D463" s="44"/>
      <c r="E463" s="44"/>
      <c r="F463" s="44"/>
      <c r="G463" s="44"/>
      <c r="H463" s="44"/>
      <c r="I463" s="44"/>
      <c r="J463" s="8"/>
      <c r="K463" s="8"/>
    </row>
    <row r="464" spans="1:11" x14ac:dyDescent="0.25">
      <c r="A464" s="44"/>
      <c r="B464" s="44"/>
      <c r="C464" s="44"/>
      <c r="D464" s="44"/>
      <c r="E464" s="44"/>
      <c r="F464" s="44"/>
      <c r="G464" s="44"/>
      <c r="H464" s="44"/>
      <c r="I464" s="44"/>
      <c r="J464" s="8"/>
      <c r="K464" s="8"/>
    </row>
    <row r="465" spans="1:11" x14ac:dyDescent="0.25">
      <c r="A465" s="44"/>
      <c r="B465" s="44"/>
      <c r="C465" s="44"/>
      <c r="D465" s="44"/>
      <c r="E465" s="44"/>
      <c r="F465" s="44"/>
      <c r="G465" s="44"/>
      <c r="H465" s="44"/>
      <c r="I465" s="44"/>
      <c r="J465" s="8"/>
      <c r="K465" s="8"/>
    </row>
    <row r="466" spans="1:11" x14ac:dyDescent="0.25">
      <c r="A466" s="44"/>
      <c r="B466" s="44"/>
      <c r="C466" s="44"/>
      <c r="D466" s="44"/>
      <c r="E466" s="44"/>
      <c r="F466" s="44"/>
      <c r="G466" s="44"/>
      <c r="H466" s="44"/>
      <c r="I466" s="44"/>
      <c r="J466" s="8"/>
      <c r="K466" s="8"/>
    </row>
    <row r="467" spans="1:11" x14ac:dyDescent="0.25">
      <c r="A467" s="44"/>
      <c r="B467" s="44"/>
      <c r="C467" s="44"/>
      <c r="D467" s="44"/>
      <c r="E467" s="44"/>
      <c r="F467" s="44"/>
      <c r="G467" s="44"/>
      <c r="H467" s="44"/>
      <c r="I467" s="44"/>
      <c r="J467" s="8"/>
      <c r="K467" s="8"/>
    </row>
    <row r="468" spans="1:11" x14ac:dyDescent="0.25">
      <c r="A468" s="44"/>
      <c r="B468" s="44"/>
      <c r="C468" s="44"/>
      <c r="D468" s="44"/>
      <c r="E468" s="44"/>
      <c r="F468" s="44"/>
      <c r="G468" s="44"/>
      <c r="H468" s="44"/>
      <c r="I468" s="44"/>
      <c r="J468" s="8"/>
      <c r="K468" s="8"/>
    </row>
    <row r="469" spans="1:11" x14ac:dyDescent="0.25">
      <c r="A469" s="44"/>
      <c r="B469" s="44"/>
      <c r="C469" s="44"/>
      <c r="D469" s="44"/>
      <c r="E469" s="44"/>
      <c r="F469" s="44"/>
      <c r="G469" s="44"/>
      <c r="H469" s="44"/>
      <c r="I469" s="44"/>
      <c r="J469" s="8"/>
      <c r="K469" s="8"/>
    </row>
    <row r="470" spans="1:11" x14ac:dyDescent="0.25">
      <c r="A470" s="44"/>
      <c r="B470" s="44"/>
      <c r="C470" s="44"/>
      <c r="D470" s="44"/>
      <c r="E470" s="44"/>
      <c r="F470" s="44"/>
      <c r="G470" s="44"/>
      <c r="H470" s="44"/>
      <c r="I470" s="44"/>
      <c r="J470" s="8"/>
      <c r="K470" s="8"/>
    </row>
    <row r="471" spans="1:11" x14ac:dyDescent="0.25">
      <c r="A471" s="44"/>
      <c r="B471" s="44"/>
      <c r="C471" s="44"/>
      <c r="D471" s="44"/>
      <c r="E471" s="44"/>
      <c r="F471" s="44"/>
      <c r="G471" s="44"/>
      <c r="H471" s="44"/>
      <c r="I471" s="44"/>
      <c r="J471" s="8"/>
      <c r="K471" s="8"/>
    </row>
    <row r="472" spans="1:11" x14ac:dyDescent="0.25">
      <c r="A472" s="44"/>
      <c r="B472" s="44"/>
      <c r="C472" s="44"/>
      <c r="D472" s="44"/>
      <c r="E472" s="44"/>
      <c r="F472" s="44"/>
      <c r="G472" s="44"/>
      <c r="H472" s="44"/>
      <c r="I472" s="44"/>
      <c r="J472" s="8"/>
      <c r="K472" s="8"/>
    </row>
    <row r="473" spans="1:11" x14ac:dyDescent="0.25">
      <c r="A473" s="44"/>
      <c r="B473" s="44"/>
      <c r="C473" s="44"/>
      <c r="D473" s="44"/>
      <c r="E473" s="44"/>
      <c r="F473" s="44"/>
      <c r="G473" s="44"/>
      <c r="H473" s="44"/>
      <c r="I473" s="44"/>
      <c r="J473" s="8"/>
      <c r="K473" s="8"/>
    </row>
    <row r="474" spans="1:11" x14ac:dyDescent="0.25">
      <c r="A474" s="44"/>
      <c r="B474" s="44"/>
      <c r="C474" s="44"/>
      <c r="D474" s="44"/>
      <c r="E474" s="44"/>
      <c r="F474" s="44"/>
      <c r="G474" s="44"/>
      <c r="H474" s="44"/>
      <c r="I474" s="44"/>
      <c r="J474" s="8"/>
      <c r="K474" s="8"/>
    </row>
    <row r="475" spans="1:11" x14ac:dyDescent="0.25">
      <c r="A475" s="44"/>
      <c r="B475" s="44"/>
      <c r="C475" s="44"/>
      <c r="D475" s="44"/>
      <c r="E475" s="44"/>
      <c r="F475" s="44"/>
      <c r="G475" s="44"/>
      <c r="H475" s="44"/>
      <c r="I475" s="44"/>
      <c r="J475" s="8"/>
      <c r="K475" s="8"/>
    </row>
    <row r="476" spans="1:11" x14ac:dyDescent="0.25">
      <c r="A476" s="44"/>
      <c r="B476" s="44"/>
      <c r="C476" s="44"/>
      <c r="D476" s="44"/>
      <c r="E476" s="44"/>
      <c r="F476" s="44"/>
      <c r="G476" s="44"/>
      <c r="H476" s="44"/>
      <c r="I476" s="44"/>
      <c r="J476" s="8"/>
      <c r="K476" s="8"/>
    </row>
    <row r="477" spans="1:11" x14ac:dyDescent="0.25">
      <c r="A477" s="44"/>
      <c r="B477" s="44"/>
      <c r="C477" s="44"/>
      <c r="D477" s="44"/>
      <c r="E477" s="44"/>
      <c r="F477" s="44"/>
      <c r="G477" s="44"/>
      <c r="H477" s="44"/>
      <c r="I477" s="44"/>
      <c r="J477" s="8"/>
      <c r="K477" s="8"/>
    </row>
    <row r="478" spans="1:11" x14ac:dyDescent="0.25">
      <c r="A478" s="44"/>
      <c r="B478" s="44"/>
      <c r="C478" s="44"/>
      <c r="D478" s="44"/>
      <c r="E478" s="44"/>
      <c r="F478" s="44"/>
      <c r="G478" s="44"/>
      <c r="H478" s="44"/>
      <c r="I478" s="44"/>
      <c r="J478" s="8"/>
      <c r="K478" s="8"/>
    </row>
    <row r="479" spans="1:11" x14ac:dyDescent="0.25">
      <c r="A479" s="44"/>
      <c r="B479" s="44"/>
      <c r="C479" s="44"/>
      <c r="D479" s="44"/>
      <c r="E479" s="44"/>
      <c r="F479" s="44"/>
      <c r="G479" s="44"/>
      <c r="H479" s="44"/>
      <c r="I479" s="44"/>
      <c r="J479" s="8"/>
      <c r="K479" s="8"/>
    </row>
    <row r="480" spans="1:11" x14ac:dyDescent="0.25">
      <c r="A480" s="44"/>
      <c r="B480" s="44"/>
      <c r="C480" s="44"/>
      <c r="D480" s="44"/>
      <c r="E480" s="44"/>
      <c r="F480" s="44"/>
      <c r="G480" s="44"/>
      <c r="H480" s="44"/>
      <c r="I480" s="44"/>
      <c r="J480" s="8"/>
      <c r="K480" s="8"/>
    </row>
    <row r="481" spans="1:11" x14ac:dyDescent="0.25">
      <c r="A481" s="44"/>
      <c r="B481" s="44"/>
      <c r="C481" s="44"/>
      <c r="D481" s="44"/>
      <c r="E481" s="44"/>
      <c r="F481" s="44"/>
      <c r="G481" s="44"/>
      <c r="H481" s="44"/>
      <c r="I481" s="44"/>
      <c r="J481" s="8"/>
      <c r="K481" s="8"/>
    </row>
    <row r="482" spans="1:11" x14ac:dyDescent="0.25">
      <c r="A482" s="44"/>
      <c r="B482" s="44"/>
      <c r="C482" s="44"/>
      <c r="D482" s="44"/>
      <c r="E482" s="44"/>
      <c r="F482" s="44"/>
      <c r="G482" s="44"/>
      <c r="H482" s="44"/>
      <c r="I482" s="44"/>
      <c r="J482" s="8"/>
      <c r="K482" s="8"/>
    </row>
    <row r="483" spans="1:11" x14ac:dyDescent="0.25">
      <c r="A483" s="44"/>
      <c r="B483" s="44"/>
      <c r="C483" s="44"/>
      <c r="D483" s="44"/>
      <c r="E483" s="44"/>
      <c r="F483" s="44"/>
      <c r="G483" s="44"/>
      <c r="H483" s="44"/>
      <c r="I483" s="44"/>
      <c r="J483" s="8"/>
      <c r="K483" s="8"/>
    </row>
    <row r="484" spans="1:11" x14ac:dyDescent="0.25">
      <c r="A484" s="44"/>
      <c r="B484" s="44"/>
      <c r="C484" s="44"/>
      <c r="D484" s="44"/>
      <c r="E484" s="44"/>
      <c r="F484" s="44"/>
      <c r="G484" s="44"/>
      <c r="H484" s="44"/>
      <c r="I484" s="44"/>
      <c r="J484" s="8"/>
      <c r="K484" s="8"/>
    </row>
    <row r="485" spans="1:11" x14ac:dyDescent="0.25">
      <c r="A485" s="44"/>
      <c r="B485" s="44"/>
      <c r="C485" s="44"/>
      <c r="D485" s="44"/>
      <c r="E485" s="44"/>
      <c r="F485" s="44"/>
      <c r="G485" s="44"/>
      <c r="H485" s="44"/>
      <c r="I485" s="44"/>
      <c r="J485" s="8"/>
      <c r="K485" s="8"/>
    </row>
    <row r="486" spans="1:11" x14ac:dyDescent="0.25">
      <c r="A486" s="44"/>
      <c r="B486" s="44"/>
      <c r="C486" s="44"/>
      <c r="D486" s="44"/>
      <c r="E486" s="44"/>
      <c r="F486" s="44"/>
      <c r="G486" s="44"/>
      <c r="H486" s="44"/>
      <c r="I486" s="44"/>
      <c r="J486" s="8"/>
      <c r="K486" s="8"/>
    </row>
    <row r="487" spans="1:11" x14ac:dyDescent="0.25">
      <c r="A487" s="44"/>
      <c r="B487" s="44"/>
      <c r="C487" s="44"/>
      <c r="D487" s="44"/>
      <c r="E487" s="44"/>
      <c r="F487" s="44"/>
      <c r="G487" s="44"/>
      <c r="H487" s="44"/>
      <c r="I487" s="44"/>
      <c r="J487" s="8"/>
      <c r="K487" s="8"/>
    </row>
    <row r="488" spans="1:11" x14ac:dyDescent="0.25">
      <c r="A488" s="44"/>
      <c r="B488" s="44"/>
      <c r="C488" s="44"/>
      <c r="D488" s="44"/>
      <c r="E488" s="44"/>
      <c r="F488" s="44"/>
      <c r="G488" s="44"/>
      <c r="H488" s="44"/>
      <c r="I488" s="44"/>
      <c r="J488" s="8"/>
      <c r="K488" s="8"/>
    </row>
    <row r="489" spans="1:11" x14ac:dyDescent="0.25">
      <c r="A489" s="44"/>
      <c r="B489" s="44"/>
      <c r="C489" s="44"/>
      <c r="D489" s="44"/>
      <c r="E489" s="44"/>
      <c r="F489" s="44"/>
      <c r="G489" s="44"/>
      <c r="H489" s="44"/>
      <c r="I489" s="44"/>
      <c r="J489" s="8"/>
      <c r="K489" s="8"/>
    </row>
    <row r="490" spans="1:11" x14ac:dyDescent="0.25">
      <c r="A490" s="44"/>
      <c r="B490" s="44"/>
      <c r="C490" s="44"/>
      <c r="D490" s="44"/>
      <c r="E490" s="44"/>
      <c r="F490" s="44"/>
      <c r="G490" s="44"/>
      <c r="H490" s="44"/>
      <c r="I490" s="44"/>
      <c r="J490" s="8"/>
      <c r="K490" s="8"/>
    </row>
    <row r="491" spans="1:11" x14ac:dyDescent="0.25">
      <c r="A491" s="44"/>
      <c r="B491" s="44"/>
      <c r="C491" s="44"/>
      <c r="D491" s="44"/>
      <c r="E491" s="44"/>
      <c r="F491" s="44"/>
      <c r="G491" s="44"/>
      <c r="H491" s="44"/>
      <c r="I491" s="44"/>
      <c r="J491" s="8"/>
      <c r="K491" s="8"/>
    </row>
    <row r="492" spans="1:11" x14ac:dyDescent="0.25">
      <c r="A492" s="44"/>
      <c r="B492" s="44"/>
      <c r="C492" s="44"/>
      <c r="D492" s="44"/>
      <c r="E492" s="44"/>
      <c r="F492" s="44"/>
      <c r="G492" s="44"/>
      <c r="H492" s="44"/>
      <c r="I492" s="44"/>
      <c r="J492" s="8"/>
      <c r="K492" s="8"/>
    </row>
    <row r="493" spans="1:11" x14ac:dyDescent="0.25">
      <c r="A493" s="44"/>
      <c r="B493" s="44"/>
      <c r="C493" s="44"/>
      <c r="D493" s="44"/>
      <c r="E493" s="44"/>
      <c r="F493" s="44"/>
      <c r="G493" s="44"/>
      <c r="H493" s="44"/>
      <c r="I493" s="44"/>
      <c r="J493" s="8"/>
      <c r="K493" s="8"/>
    </row>
    <row r="494" spans="1:11" x14ac:dyDescent="0.25">
      <c r="A494" s="44"/>
      <c r="B494" s="44"/>
      <c r="C494" s="44"/>
      <c r="D494" s="44"/>
      <c r="E494" s="44"/>
      <c r="F494" s="44"/>
      <c r="G494" s="44"/>
      <c r="H494" s="44"/>
      <c r="I494" s="44"/>
      <c r="J494" s="8"/>
      <c r="K494" s="8"/>
    </row>
    <row r="495" spans="1:11" x14ac:dyDescent="0.25">
      <c r="A495" s="44"/>
      <c r="B495" s="44"/>
      <c r="C495" s="44"/>
      <c r="D495" s="44"/>
      <c r="E495" s="44"/>
      <c r="F495" s="44"/>
      <c r="G495" s="44"/>
      <c r="H495" s="44"/>
      <c r="I495" s="44"/>
      <c r="J495" s="8"/>
      <c r="K495" s="8"/>
    </row>
    <row r="496" spans="1:11" x14ac:dyDescent="0.25">
      <c r="A496" s="44"/>
      <c r="B496" s="44"/>
      <c r="C496" s="44"/>
      <c r="D496" s="44"/>
      <c r="E496" s="44"/>
      <c r="F496" s="44"/>
      <c r="G496" s="44"/>
      <c r="H496" s="44"/>
      <c r="I496" s="44"/>
      <c r="J496" s="8"/>
      <c r="K496" s="8"/>
    </row>
    <row r="497" spans="1:11" x14ac:dyDescent="0.25">
      <c r="A497" s="44"/>
      <c r="B497" s="44"/>
      <c r="C497" s="44"/>
      <c r="D497" s="44"/>
      <c r="E497" s="44"/>
      <c r="F497" s="44"/>
      <c r="G497" s="44"/>
      <c r="H497" s="44"/>
      <c r="I497" s="44"/>
      <c r="J497" s="8"/>
      <c r="K497" s="8"/>
    </row>
    <row r="498" spans="1:11" x14ac:dyDescent="0.25">
      <c r="A498" s="44"/>
      <c r="B498" s="44"/>
      <c r="C498" s="44"/>
      <c r="D498" s="44"/>
      <c r="E498" s="44"/>
      <c r="F498" s="44"/>
      <c r="G498" s="44"/>
      <c r="H498" s="44"/>
      <c r="I498" s="44"/>
      <c r="J498" s="8"/>
      <c r="K498" s="8"/>
    </row>
    <row r="499" spans="1:11" x14ac:dyDescent="0.25">
      <c r="A499" s="44"/>
      <c r="B499" s="44"/>
      <c r="C499" s="44"/>
      <c r="D499" s="44"/>
      <c r="E499" s="44"/>
      <c r="F499" s="44"/>
      <c r="G499" s="44"/>
      <c r="H499" s="44"/>
      <c r="I499" s="44"/>
      <c r="J499" s="8"/>
      <c r="K499" s="8"/>
    </row>
    <row r="500" spans="1:11" x14ac:dyDescent="0.25">
      <c r="A500" s="44"/>
      <c r="B500" s="44"/>
      <c r="C500" s="44"/>
      <c r="D500" s="44"/>
      <c r="E500" s="44"/>
      <c r="F500" s="44"/>
      <c r="G500" s="44"/>
      <c r="H500" s="44"/>
      <c r="I500" s="44"/>
      <c r="J500" s="8"/>
      <c r="K500" s="8"/>
    </row>
    <row r="501" spans="1:11" x14ac:dyDescent="0.25">
      <c r="A501" s="44"/>
      <c r="B501" s="44"/>
      <c r="C501" s="44"/>
      <c r="D501" s="44"/>
      <c r="E501" s="44"/>
      <c r="F501" s="44"/>
      <c r="G501" s="44"/>
      <c r="H501" s="44"/>
      <c r="I501" s="44"/>
      <c r="J501" s="8"/>
      <c r="K501" s="8"/>
    </row>
    <row r="502" spans="1:11" x14ac:dyDescent="0.25">
      <c r="A502" s="44"/>
      <c r="B502" s="44"/>
      <c r="C502" s="44"/>
      <c r="D502" s="44"/>
      <c r="E502" s="44"/>
      <c r="F502" s="44"/>
      <c r="G502" s="44"/>
      <c r="H502" s="44"/>
      <c r="I502" s="44"/>
      <c r="J502" s="8"/>
      <c r="K502" s="8"/>
    </row>
    <row r="503" spans="1:11" x14ac:dyDescent="0.25">
      <c r="A503" s="44"/>
      <c r="B503" s="44"/>
      <c r="C503" s="44"/>
      <c r="D503" s="44"/>
      <c r="E503" s="44"/>
      <c r="F503" s="44"/>
      <c r="G503" s="44"/>
      <c r="H503" s="44"/>
      <c r="I503" s="44"/>
      <c r="J503" s="8"/>
      <c r="K503" s="8"/>
    </row>
    <row r="504" spans="1:11" x14ac:dyDescent="0.25">
      <c r="A504" s="44"/>
      <c r="B504" s="44"/>
      <c r="C504" s="44"/>
      <c r="D504" s="44"/>
      <c r="E504" s="44"/>
      <c r="F504" s="44"/>
      <c r="G504" s="44"/>
      <c r="H504" s="44"/>
      <c r="I504" s="44"/>
      <c r="J504" s="8"/>
      <c r="K504" s="8"/>
    </row>
    <row r="505" spans="1:11" x14ac:dyDescent="0.25">
      <c r="A505" s="44"/>
      <c r="B505" s="44"/>
      <c r="C505" s="44"/>
      <c r="D505" s="44"/>
      <c r="E505" s="44"/>
      <c r="F505" s="44"/>
      <c r="G505" s="44"/>
      <c r="H505" s="44"/>
      <c r="I505" s="44"/>
      <c r="J505" s="8"/>
      <c r="K505" s="8"/>
    </row>
    <row r="506" spans="1:11" x14ac:dyDescent="0.25">
      <c r="A506" s="44"/>
      <c r="B506" s="44"/>
      <c r="C506" s="44"/>
      <c r="D506" s="44"/>
      <c r="E506" s="44"/>
      <c r="F506" s="44"/>
      <c r="G506" s="44"/>
      <c r="H506" s="44"/>
      <c r="I506" s="44"/>
      <c r="J506" s="8"/>
      <c r="K506" s="8"/>
    </row>
    <row r="507" spans="1:11" x14ac:dyDescent="0.25">
      <c r="A507" s="44"/>
      <c r="B507" s="44"/>
      <c r="C507" s="44"/>
      <c r="D507" s="44"/>
      <c r="E507" s="44"/>
      <c r="F507" s="44"/>
      <c r="G507" s="44"/>
      <c r="H507" s="44"/>
      <c r="I507" s="44"/>
      <c r="J507" s="8"/>
      <c r="K507" s="8"/>
    </row>
    <row r="508" spans="1:11" x14ac:dyDescent="0.25">
      <c r="A508" s="44"/>
      <c r="B508" s="44"/>
      <c r="C508" s="44"/>
      <c r="D508" s="44"/>
      <c r="E508" s="44"/>
      <c r="F508" s="44"/>
      <c r="G508" s="44"/>
      <c r="H508" s="44"/>
      <c r="I508" s="44"/>
      <c r="J508" s="8"/>
      <c r="K508" s="8"/>
    </row>
    <row r="509" spans="1:11" x14ac:dyDescent="0.25">
      <c r="A509" s="44"/>
      <c r="B509" s="44"/>
      <c r="C509" s="44"/>
      <c r="D509" s="44"/>
      <c r="E509" s="44"/>
      <c r="F509" s="44"/>
      <c r="G509" s="44"/>
      <c r="H509" s="44"/>
      <c r="I509" s="44"/>
      <c r="J509" s="8"/>
      <c r="K509" s="8"/>
    </row>
    <row r="510" spans="1:11" x14ac:dyDescent="0.25">
      <c r="A510" s="44"/>
      <c r="B510" s="44"/>
      <c r="C510" s="44"/>
      <c r="D510" s="44"/>
      <c r="E510" s="44"/>
      <c r="F510" s="44"/>
      <c r="G510" s="44"/>
      <c r="H510" s="44"/>
      <c r="I510" s="44"/>
      <c r="J510" s="8"/>
      <c r="K510" s="8"/>
    </row>
    <row r="511" spans="1:11" x14ac:dyDescent="0.25">
      <c r="A511" s="44"/>
      <c r="B511" s="44"/>
      <c r="C511" s="44"/>
      <c r="D511" s="44"/>
      <c r="E511" s="44"/>
      <c r="F511" s="44"/>
      <c r="G511" s="44"/>
      <c r="H511" s="44"/>
      <c r="I511" s="44"/>
      <c r="J511" s="8"/>
      <c r="K511" s="8"/>
    </row>
    <row r="512" spans="1:11" x14ac:dyDescent="0.25">
      <c r="A512" s="44"/>
      <c r="B512" s="44"/>
      <c r="C512" s="44"/>
      <c r="D512" s="44"/>
      <c r="E512" s="44"/>
      <c r="F512" s="44"/>
      <c r="G512" s="44"/>
      <c r="H512" s="44"/>
      <c r="I512" s="44"/>
      <c r="J512" s="8"/>
      <c r="K512" s="8"/>
    </row>
    <row r="513" spans="1:11" x14ac:dyDescent="0.25">
      <c r="A513" s="44"/>
      <c r="B513" s="44"/>
      <c r="C513" s="44"/>
      <c r="D513" s="44"/>
      <c r="E513" s="44"/>
      <c r="F513" s="44"/>
      <c r="G513" s="44"/>
      <c r="H513" s="44"/>
      <c r="I513" s="44"/>
      <c r="J513" s="8"/>
      <c r="K513" s="8"/>
    </row>
    <row r="514" spans="1:11" x14ac:dyDescent="0.25">
      <c r="A514" s="44"/>
      <c r="B514" s="44"/>
      <c r="C514" s="44"/>
      <c r="D514" s="44"/>
      <c r="E514" s="44"/>
      <c r="F514" s="44"/>
      <c r="G514" s="44"/>
      <c r="H514" s="44"/>
      <c r="I514" s="44"/>
      <c r="J514" s="8"/>
      <c r="K514" s="8"/>
    </row>
    <row r="515" spans="1:11" x14ac:dyDescent="0.25">
      <c r="A515" s="44"/>
      <c r="B515" s="44"/>
      <c r="C515" s="44"/>
      <c r="D515" s="44"/>
      <c r="E515" s="44"/>
      <c r="F515" s="44"/>
      <c r="G515" s="44"/>
      <c r="H515" s="44"/>
      <c r="I515" s="44"/>
      <c r="J515" s="8"/>
      <c r="K515" s="8"/>
    </row>
    <row r="516" spans="1:11" x14ac:dyDescent="0.25">
      <c r="A516" s="44"/>
      <c r="B516" s="44"/>
      <c r="C516" s="44"/>
      <c r="D516" s="44"/>
      <c r="E516" s="44"/>
      <c r="F516" s="44"/>
      <c r="G516" s="44"/>
      <c r="H516" s="44"/>
      <c r="I516" s="44"/>
      <c r="J516" s="8"/>
      <c r="K516" s="8"/>
    </row>
    <row r="517" spans="1:11" x14ac:dyDescent="0.25">
      <c r="A517" s="44"/>
      <c r="B517" s="44"/>
      <c r="C517" s="44"/>
      <c r="D517" s="44"/>
      <c r="E517" s="44"/>
      <c r="F517" s="44"/>
      <c r="G517" s="44"/>
      <c r="H517" s="44"/>
      <c r="I517" s="44"/>
      <c r="J517" s="8"/>
      <c r="K517" s="8"/>
    </row>
    <row r="518" spans="1:11" x14ac:dyDescent="0.25">
      <c r="A518" s="44"/>
      <c r="B518" s="44"/>
      <c r="C518" s="44"/>
      <c r="D518" s="44"/>
      <c r="E518" s="44"/>
      <c r="F518" s="44"/>
      <c r="G518" s="44"/>
      <c r="H518" s="44"/>
      <c r="I518" s="44"/>
      <c r="J518" s="8"/>
      <c r="K518" s="8"/>
    </row>
    <row r="519" spans="1:11" x14ac:dyDescent="0.25">
      <c r="A519" s="44"/>
      <c r="B519" s="44"/>
      <c r="C519" s="44"/>
      <c r="D519" s="44"/>
      <c r="E519" s="44"/>
      <c r="F519" s="44"/>
      <c r="G519" s="44"/>
      <c r="H519" s="44"/>
      <c r="I519" s="44"/>
      <c r="J519" s="8"/>
      <c r="K519" s="8"/>
    </row>
    <row r="520" spans="1:11" x14ac:dyDescent="0.25">
      <c r="A520" s="44"/>
      <c r="B520" s="44"/>
      <c r="C520" s="44"/>
      <c r="D520" s="44"/>
      <c r="E520" s="44"/>
      <c r="F520" s="44"/>
      <c r="G520" s="44"/>
      <c r="H520" s="44"/>
      <c r="I520" s="44"/>
      <c r="J520" s="8"/>
      <c r="K520" s="8"/>
    </row>
    <row r="521" spans="1:11" x14ac:dyDescent="0.25">
      <c r="A521" s="44"/>
      <c r="B521" s="44"/>
      <c r="C521" s="44"/>
      <c r="D521" s="44"/>
      <c r="E521" s="44"/>
      <c r="F521" s="44"/>
      <c r="G521" s="44"/>
      <c r="H521" s="44"/>
      <c r="I521" s="44"/>
      <c r="J521" s="8"/>
      <c r="K521" s="8"/>
    </row>
    <row r="522" spans="1:11" x14ac:dyDescent="0.25">
      <c r="A522" s="44"/>
      <c r="B522" s="44"/>
      <c r="C522" s="44"/>
      <c r="D522" s="44"/>
      <c r="E522" s="44"/>
      <c r="F522" s="44"/>
      <c r="G522" s="44"/>
      <c r="H522" s="44"/>
      <c r="I522" s="44"/>
      <c r="J522" s="8"/>
      <c r="K522" s="8"/>
    </row>
    <row r="523" spans="1:11" x14ac:dyDescent="0.25">
      <c r="A523" s="44"/>
      <c r="B523" s="44"/>
      <c r="C523" s="44"/>
      <c r="D523" s="44"/>
      <c r="E523" s="44"/>
      <c r="F523" s="44"/>
      <c r="G523" s="44"/>
      <c r="H523" s="44"/>
      <c r="I523" s="44"/>
      <c r="J523" s="8"/>
      <c r="K523" s="8"/>
    </row>
    <row r="524" spans="1:11" x14ac:dyDescent="0.25">
      <c r="A524" s="44"/>
      <c r="B524" s="44"/>
      <c r="C524" s="44"/>
      <c r="D524" s="44"/>
      <c r="E524" s="44"/>
      <c r="F524" s="44"/>
      <c r="G524" s="44"/>
      <c r="H524" s="44"/>
      <c r="I524" s="44"/>
      <c r="J524" s="8"/>
      <c r="K524" s="8"/>
    </row>
    <row r="525" spans="1:11" x14ac:dyDescent="0.25">
      <c r="A525" s="44"/>
      <c r="B525" s="44"/>
      <c r="C525" s="44"/>
      <c r="D525" s="44"/>
      <c r="E525" s="44"/>
      <c r="F525" s="44"/>
      <c r="G525" s="44"/>
      <c r="H525" s="44"/>
      <c r="I525" s="44"/>
      <c r="J525" s="8"/>
      <c r="K525" s="8"/>
    </row>
    <row r="526" spans="1:11" x14ac:dyDescent="0.25">
      <c r="A526" s="44"/>
      <c r="B526" s="44"/>
      <c r="C526" s="44"/>
      <c r="D526" s="44"/>
      <c r="E526" s="44"/>
      <c r="F526" s="44"/>
      <c r="G526" s="44"/>
      <c r="H526" s="44"/>
      <c r="I526" s="44"/>
      <c r="J526" s="8"/>
      <c r="K526" s="8"/>
    </row>
    <row r="527" spans="1:11" x14ac:dyDescent="0.25">
      <c r="A527" s="44"/>
      <c r="B527" s="44"/>
      <c r="C527" s="44"/>
      <c r="D527" s="44"/>
      <c r="E527" s="44"/>
      <c r="F527" s="44"/>
      <c r="G527" s="44"/>
      <c r="H527" s="44"/>
      <c r="I527" s="44"/>
      <c r="J527" s="8"/>
      <c r="K527" s="8"/>
    </row>
    <row r="528" spans="1:11" x14ac:dyDescent="0.25">
      <c r="A528" s="44"/>
      <c r="B528" s="44"/>
      <c r="C528" s="44"/>
      <c r="D528" s="44"/>
      <c r="E528" s="44"/>
      <c r="F528" s="44"/>
      <c r="G528" s="44"/>
      <c r="H528" s="44"/>
      <c r="I528" s="44"/>
      <c r="J528" s="8"/>
      <c r="K528" s="8"/>
    </row>
    <row r="529" spans="1:11" x14ac:dyDescent="0.25">
      <c r="A529" s="44"/>
      <c r="B529" s="44"/>
      <c r="C529" s="44"/>
      <c r="D529" s="44"/>
      <c r="E529" s="44"/>
      <c r="F529" s="44"/>
      <c r="G529" s="44"/>
      <c r="H529" s="44"/>
      <c r="I529" s="44"/>
      <c r="J529" s="8"/>
      <c r="K529" s="8"/>
    </row>
    <row r="530" spans="1:11" x14ac:dyDescent="0.25">
      <c r="A530" s="44"/>
      <c r="B530" s="44"/>
      <c r="C530" s="44"/>
      <c r="D530" s="44"/>
      <c r="E530" s="44"/>
      <c r="F530" s="44"/>
      <c r="G530" s="44"/>
      <c r="H530" s="44"/>
      <c r="I530" s="44"/>
      <c r="J530" s="8"/>
      <c r="K530" s="8"/>
    </row>
    <row r="531" spans="1:11" x14ac:dyDescent="0.25">
      <c r="A531" s="44"/>
      <c r="B531" s="44"/>
      <c r="C531" s="44"/>
      <c r="D531" s="44"/>
      <c r="E531" s="44"/>
      <c r="F531" s="44"/>
      <c r="G531" s="44"/>
      <c r="H531" s="44"/>
      <c r="I531" s="44"/>
      <c r="J531" s="8"/>
      <c r="K531" s="8"/>
    </row>
    <row r="532" spans="1:11" x14ac:dyDescent="0.25">
      <c r="A532" s="44"/>
      <c r="B532" s="44"/>
      <c r="C532" s="44"/>
      <c r="D532" s="44"/>
      <c r="E532" s="44"/>
      <c r="F532" s="44"/>
      <c r="G532" s="44"/>
      <c r="H532" s="44"/>
      <c r="I532" s="44"/>
      <c r="J532" s="8"/>
      <c r="K532" s="8"/>
    </row>
    <row r="533" spans="1:11" x14ac:dyDescent="0.25">
      <c r="A533" s="44"/>
      <c r="B533" s="44"/>
      <c r="C533" s="44"/>
      <c r="D533" s="44"/>
      <c r="E533" s="44"/>
      <c r="F533" s="44"/>
      <c r="G533" s="44"/>
      <c r="H533" s="44"/>
      <c r="I533" s="44"/>
      <c r="J533" s="8"/>
      <c r="K533" s="8"/>
    </row>
    <row r="534" spans="1:11" x14ac:dyDescent="0.25">
      <c r="A534" s="44"/>
      <c r="B534" s="44"/>
      <c r="C534" s="44"/>
      <c r="D534" s="44"/>
      <c r="E534" s="44"/>
      <c r="F534" s="44"/>
      <c r="G534" s="44"/>
      <c r="H534" s="44"/>
      <c r="I534" s="44"/>
      <c r="J534" s="8"/>
      <c r="K534" s="8"/>
    </row>
    <row r="535" spans="1:11" x14ac:dyDescent="0.25">
      <c r="A535" s="44"/>
      <c r="B535" s="44"/>
      <c r="C535" s="44"/>
      <c r="D535" s="44"/>
      <c r="E535" s="44"/>
      <c r="F535" s="44"/>
      <c r="G535" s="44"/>
      <c r="H535" s="44"/>
      <c r="I535" s="44"/>
      <c r="J535" s="8"/>
      <c r="K535" s="8"/>
    </row>
    <row r="536" spans="1:11" x14ac:dyDescent="0.25">
      <c r="A536" s="44"/>
      <c r="B536" s="44"/>
      <c r="C536" s="44"/>
      <c r="D536" s="44"/>
      <c r="E536" s="44"/>
      <c r="F536" s="44"/>
      <c r="G536" s="44"/>
      <c r="H536" s="44"/>
      <c r="I536" s="44"/>
      <c r="J536" s="8"/>
      <c r="K536" s="8"/>
    </row>
    <row r="537" spans="1:11" x14ac:dyDescent="0.25">
      <c r="A537" s="44"/>
      <c r="B537" s="44"/>
      <c r="C537" s="44"/>
      <c r="D537" s="44"/>
      <c r="E537" s="44"/>
      <c r="F537" s="44"/>
      <c r="G537" s="44"/>
      <c r="H537" s="44"/>
      <c r="I537" s="44"/>
      <c r="J537" s="8"/>
      <c r="K537" s="8"/>
    </row>
    <row r="538" spans="1:11" x14ac:dyDescent="0.25">
      <c r="A538" s="44"/>
      <c r="B538" s="44"/>
      <c r="C538" s="44"/>
      <c r="D538" s="44"/>
      <c r="E538" s="44"/>
      <c r="F538" s="44"/>
      <c r="G538" s="44"/>
      <c r="H538" s="44"/>
      <c r="I538" s="44"/>
      <c r="J538" s="8"/>
      <c r="K538" s="8"/>
    </row>
    <row r="539" spans="1:11" x14ac:dyDescent="0.25">
      <c r="A539" s="44"/>
      <c r="B539" s="44"/>
      <c r="C539" s="44"/>
      <c r="D539" s="44"/>
      <c r="E539" s="44"/>
      <c r="F539" s="44"/>
      <c r="G539" s="44"/>
      <c r="H539" s="44"/>
      <c r="I539" s="44"/>
      <c r="J539" s="8"/>
      <c r="K539" s="8"/>
    </row>
    <row r="540" spans="1:11" x14ac:dyDescent="0.25">
      <c r="A540" s="44"/>
      <c r="B540" s="44"/>
      <c r="C540" s="44"/>
      <c r="D540" s="44"/>
      <c r="E540" s="44"/>
      <c r="F540" s="44"/>
      <c r="G540" s="44"/>
      <c r="H540" s="44"/>
      <c r="I540" s="44"/>
      <c r="J540" s="8"/>
      <c r="K540" s="8"/>
    </row>
    <row r="541" spans="1:11" x14ac:dyDescent="0.25">
      <c r="A541" s="44"/>
      <c r="B541" s="44"/>
      <c r="C541" s="44"/>
      <c r="D541" s="44"/>
      <c r="E541" s="44"/>
      <c r="F541" s="44"/>
      <c r="G541" s="44"/>
      <c r="H541" s="44"/>
      <c r="I541" s="44"/>
      <c r="J541" s="8"/>
      <c r="K541" s="8"/>
    </row>
    <row r="542" spans="1:11" x14ac:dyDescent="0.25">
      <c r="A542" s="44"/>
      <c r="B542" s="44"/>
      <c r="C542" s="44"/>
      <c r="D542" s="44"/>
      <c r="E542" s="44"/>
      <c r="F542" s="44"/>
      <c r="G542" s="44"/>
      <c r="H542" s="44"/>
      <c r="I542" s="44"/>
      <c r="J542" s="8"/>
      <c r="K542" s="8"/>
    </row>
    <row r="543" spans="1:11" x14ac:dyDescent="0.25">
      <c r="A543" s="44"/>
      <c r="B543" s="44"/>
      <c r="C543" s="44"/>
      <c r="D543" s="44"/>
      <c r="E543" s="44"/>
      <c r="F543" s="44"/>
      <c r="G543" s="44"/>
      <c r="H543" s="44"/>
      <c r="I543" s="44"/>
      <c r="J543" s="8"/>
      <c r="K543" s="8"/>
    </row>
    <row r="544" spans="1:11" x14ac:dyDescent="0.25">
      <c r="A544" s="44"/>
      <c r="B544" s="44"/>
      <c r="C544" s="44"/>
      <c r="D544" s="44"/>
      <c r="E544" s="44"/>
      <c r="F544" s="44"/>
      <c r="G544" s="44"/>
      <c r="H544" s="44"/>
      <c r="I544" s="44"/>
      <c r="J544" s="8"/>
      <c r="K544" s="8"/>
    </row>
    <row r="545" spans="1:11" x14ac:dyDescent="0.25">
      <c r="A545" s="44"/>
      <c r="B545" s="44"/>
      <c r="C545" s="44"/>
      <c r="D545" s="44"/>
      <c r="E545" s="44"/>
      <c r="F545" s="44"/>
      <c r="G545" s="44"/>
      <c r="H545" s="44"/>
      <c r="I545" s="44"/>
      <c r="J545" s="8"/>
      <c r="K545" s="8"/>
    </row>
    <row r="546" spans="1:11" x14ac:dyDescent="0.25">
      <c r="A546" s="44"/>
      <c r="B546" s="44"/>
      <c r="C546" s="44"/>
      <c r="D546" s="44"/>
      <c r="E546" s="44"/>
      <c r="F546" s="44"/>
      <c r="G546" s="44"/>
      <c r="H546" s="44"/>
      <c r="I546" s="44"/>
      <c r="J546" s="8"/>
      <c r="K546" s="8"/>
    </row>
    <row r="547" spans="1:11" x14ac:dyDescent="0.25">
      <c r="A547" s="44"/>
      <c r="B547" s="44"/>
      <c r="C547" s="44"/>
      <c r="D547" s="44"/>
      <c r="E547" s="44"/>
      <c r="F547" s="44"/>
      <c r="G547" s="44"/>
      <c r="H547" s="44"/>
      <c r="I547" s="44"/>
      <c r="J547" s="8"/>
      <c r="K547" s="8"/>
    </row>
    <row r="548" spans="1:11" x14ac:dyDescent="0.25">
      <c r="A548" s="44"/>
      <c r="B548" s="44"/>
      <c r="C548" s="44"/>
      <c r="D548" s="44"/>
      <c r="E548" s="44"/>
      <c r="F548" s="44"/>
      <c r="G548" s="44"/>
      <c r="H548" s="44"/>
      <c r="I548" s="44"/>
      <c r="J548" s="8"/>
      <c r="K548" s="8"/>
    </row>
    <row r="549" spans="1:11" x14ac:dyDescent="0.25">
      <c r="A549" s="44"/>
      <c r="B549" s="44"/>
      <c r="C549" s="44"/>
      <c r="D549" s="44"/>
      <c r="E549" s="44"/>
      <c r="F549" s="44"/>
      <c r="G549" s="44"/>
      <c r="H549" s="44"/>
      <c r="I549" s="44"/>
      <c r="J549" s="8"/>
      <c r="K549" s="8"/>
    </row>
    <row r="550" spans="1:11" x14ac:dyDescent="0.25">
      <c r="A550" s="44"/>
      <c r="B550" s="44"/>
      <c r="C550" s="44"/>
      <c r="D550" s="44"/>
      <c r="E550" s="44"/>
      <c r="F550" s="44"/>
      <c r="G550" s="44"/>
      <c r="H550" s="44"/>
      <c r="I550" s="44"/>
      <c r="J550" s="8"/>
      <c r="K550" s="8"/>
    </row>
    <row r="551" spans="1:11" x14ac:dyDescent="0.25">
      <c r="A551" s="44"/>
      <c r="B551" s="44"/>
      <c r="C551" s="44"/>
      <c r="D551" s="44"/>
      <c r="E551" s="44"/>
      <c r="F551" s="44"/>
      <c r="G551" s="44"/>
      <c r="H551" s="44"/>
      <c r="I551" s="44"/>
      <c r="J551" s="8"/>
      <c r="K551" s="8"/>
    </row>
    <row r="552" spans="1:11" x14ac:dyDescent="0.25">
      <c r="A552" s="44"/>
      <c r="B552" s="44"/>
      <c r="C552" s="44"/>
      <c r="D552" s="44"/>
      <c r="E552" s="44"/>
      <c r="F552" s="44"/>
      <c r="G552" s="44"/>
      <c r="H552" s="44"/>
      <c r="I552" s="44"/>
      <c r="J552" s="8"/>
      <c r="K552" s="8"/>
    </row>
    <row r="553" spans="1:11" x14ac:dyDescent="0.25">
      <c r="A553" s="44"/>
      <c r="B553" s="44"/>
      <c r="C553" s="44"/>
      <c r="D553" s="44"/>
      <c r="E553" s="44"/>
      <c r="F553" s="44"/>
      <c r="G553" s="44"/>
      <c r="H553" s="44"/>
      <c r="I553" s="44"/>
      <c r="J553" s="8"/>
      <c r="K553" s="8"/>
    </row>
    <row r="554" spans="1:11" x14ac:dyDescent="0.25">
      <c r="A554" s="44"/>
      <c r="B554" s="44"/>
      <c r="C554" s="44"/>
      <c r="D554" s="44"/>
      <c r="E554" s="44"/>
      <c r="F554" s="44"/>
      <c r="G554" s="44"/>
      <c r="H554" s="44"/>
      <c r="I554" s="44"/>
      <c r="J554" s="8"/>
      <c r="K554" s="8"/>
    </row>
    <row r="555" spans="1:11" x14ac:dyDescent="0.25">
      <c r="A555" s="44"/>
      <c r="B555" s="44"/>
      <c r="C555" s="44"/>
      <c r="D555" s="44"/>
      <c r="E555" s="44"/>
      <c r="F555" s="44"/>
      <c r="G555" s="44"/>
      <c r="H555" s="44"/>
      <c r="I555" s="44"/>
      <c r="J555" s="8"/>
      <c r="K555" s="8"/>
    </row>
    <row r="556" spans="1:11" x14ac:dyDescent="0.25">
      <c r="A556" s="44"/>
      <c r="B556" s="44"/>
      <c r="C556" s="44"/>
      <c r="D556" s="44"/>
      <c r="E556" s="44"/>
      <c r="F556" s="44"/>
      <c r="G556" s="44"/>
      <c r="H556" s="44"/>
      <c r="I556" s="44"/>
      <c r="J556" s="8"/>
      <c r="K556" s="8"/>
    </row>
    <row r="557" spans="1:11" x14ac:dyDescent="0.25">
      <c r="A557" s="44"/>
      <c r="B557" s="44"/>
      <c r="C557" s="44"/>
      <c r="D557" s="44"/>
      <c r="E557" s="44"/>
      <c r="F557" s="44"/>
      <c r="G557" s="44"/>
      <c r="H557" s="44"/>
      <c r="I557" s="44"/>
      <c r="J557" s="8"/>
      <c r="K557" s="8"/>
    </row>
    <row r="558" spans="1:11" x14ac:dyDescent="0.25">
      <c r="A558" s="44"/>
      <c r="B558" s="44"/>
      <c r="C558" s="44"/>
      <c r="D558" s="44"/>
      <c r="E558" s="44"/>
      <c r="F558" s="44"/>
      <c r="G558" s="44"/>
      <c r="H558" s="44"/>
      <c r="I558" s="44"/>
      <c r="J558" s="8"/>
      <c r="K558" s="8"/>
    </row>
    <row r="559" spans="1:11" x14ac:dyDescent="0.25">
      <c r="A559" s="44"/>
      <c r="B559" s="44"/>
      <c r="C559" s="44"/>
      <c r="D559" s="44"/>
      <c r="E559" s="44"/>
      <c r="F559" s="44"/>
      <c r="G559" s="44"/>
      <c r="H559" s="44"/>
      <c r="I559" s="44"/>
      <c r="J559" s="8"/>
      <c r="K559" s="8"/>
    </row>
    <row r="560" spans="1:11" x14ac:dyDescent="0.25">
      <c r="A560" s="44"/>
      <c r="B560" s="44"/>
      <c r="C560" s="44"/>
      <c r="D560" s="44"/>
      <c r="E560" s="44"/>
      <c r="F560" s="44"/>
      <c r="G560" s="44"/>
      <c r="H560" s="44"/>
      <c r="I560" s="44"/>
      <c r="J560" s="8"/>
      <c r="K560" s="8"/>
    </row>
    <row r="561" spans="1:11" x14ac:dyDescent="0.25">
      <c r="A561" s="44"/>
      <c r="B561" s="44"/>
      <c r="C561" s="44"/>
      <c r="D561" s="44"/>
      <c r="E561" s="44"/>
      <c r="F561" s="44"/>
      <c r="G561" s="44"/>
      <c r="H561" s="44"/>
      <c r="I561" s="44"/>
      <c r="J561" s="8"/>
      <c r="K561" s="8"/>
    </row>
    <row r="562" spans="1:11" x14ac:dyDescent="0.25">
      <c r="A562" s="44"/>
      <c r="B562" s="44"/>
      <c r="C562" s="44"/>
      <c r="D562" s="44"/>
      <c r="E562" s="44"/>
      <c r="F562" s="44"/>
      <c r="G562" s="44"/>
      <c r="H562" s="44"/>
      <c r="I562" s="44"/>
      <c r="J562" s="8"/>
      <c r="K562" s="8"/>
    </row>
    <row r="563" spans="1:11" x14ac:dyDescent="0.25">
      <c r="A563" s="44"/>
      <c r="B563" s="44"/>
      <c r="C563" s="44"/>
      <c r="D563" s="44"/>
      <c r="E563" s="44"/>
      <c r="F563" s="44"/>
      <c r="G563" s="44"/>
      <c r="H563" s="44"/>
      <c r="I563" s="44"/>
      <c r="J563" s="8"/>
      <c r="K563" s="8"/>
    </row>
    <row r="564" spans="1:11" x14ac:dyDescent="0.25">
      <c r="A564" s="44"/>
      <c r="B564" s="44"/>
      <c r="C564" s="44"/>
      <c r="D564" s="44"/>
      <c r="E564" s="44"/>
      <c r="F564" s="44"/>
      <c r="G564" s="44"/>
      <c r="H564" s="44"/>
      <c r="I564" s="44"/>
      <c r="J564" s="8"/>
      <c r="K564" s="8"/>
    </row>
    <row r="565" spans="1:11" x14ac:dyDescent="0.25">
      <c r="A565" s="44"/>
      <c r="B565" s="44"/>
      <c r="C565" s="44"/>
      <c r="D565" s="44"/>
      <c r="E565" s="44"/>
      <c r="F565" s="44"/>
      <c r="G565" s="44"/>
      <c r="H565" s="44"/>
      <c r="I565" s="44"/>
      <c r="J565" s="8"/>
      <c r="K565" s="8"/>
    </row>
    <row r="566" spans="1:11" x14ac:dyDescent="0.25">
      <c r="A566" s="44"/>
      <c r="B566" s="44"/>
      <c r="C566" s="44"/>
      <c r="D566" s="44"/>
      <c r="E566" s="44"/>
      <c r="F566" s="44"/>
      <c r="G566" s="44"/>
      <c r="H566" s="44"/>
      <c r="I566" s="44"/>
      <c r="J566" s="8"/>
      <c r="K566" s="8"/>
    </row>
    <row r="567" spans="1:11" x14ac:dyDescent="0.25">
      <c r="A567" s="44"/>
      <c r="B567" s="44"/>
      <c r="C567" s="44"/>
      <c r="D567" s="44"/>
      <c r="E567" s="44"/>
      <c r="F567" s="44"/>
      <c r="G567" s="44"/>
      <c r="H567" s="44"/>
      <c r="I567" s="44"/>
      <c r="J567" s="8"/>
      <c r="K567" s="8"/>
    </row>
    <row r="568" spans="1:11" x14ac:dyDescent="0.25">
      <c r="A568" s="44"/>
      <c r="B568" s="44"/>
      <c r="C568" s="44"/>
      <c r="D568" s="44"/>
      <c r="E568" s="44"/>
      <c r="F568" s="44"/>
      <c r="G568" s="44"/>
      <c r="H568" s="44"/>
      <c r="I568" s="44"/>
      <c r="J568" s="8"/>
      <c r="K568" s="8"/>
    </row>
    <row r="569" spans="1:11" x14ac:dyDescent="0.25">
      <c r="A569" s="44"/>
      <c r="B569" s="44"/>
      <c r="C569" s="44"/>
      <c r="D569" s="44"/>
      <c r="E569" s="44"/>
      <c r="F569" s="44"/>
      <c r="G569" s="44"/>
      <c r="H569" s="44"/>
      <c r="I569" s="44"/>
      <c r="J569" s="8"/>
      <c r="K569" s="8"/>
    </row>
    <row r="570" spans="1:11" x14ac:dyDescent="0.25">
      <c r="A570" s="44"/>
      <c r="B570" s="44"/>
      <c r="C570" s="44"/>
      <c r="D570" s="44"/>
      <c r="E570" s="44"/>
      <c r="F570" s="44"/>
      <c r="G570" s="44"/>
      <c r="H570" s="44"/>
      <c r="I570" s="44"/>
      <c r="J570" s="8"/>
      <c r="K570" s="8"/>
    </row>
    <row r="571" spans="1:11" x14ac:dyDescent="0.25">
      <c r="A571" s="44"/>
      <c r="B571" s="44"/>
      <c r="C571" s="44"/>
      <c r="D571" s="44"/>
      <c r="E571" s="44"/>
      <c r="F571" s="44"/>
      <c r="G571" s="44"/>
      <c r="H571" s="44"/>
      <c r="I571" s="44"/>
      <c r="J571" s="8"/>
      <c r="K571" s="8"/>
    </row>
    <row r="572" spans="1:11" x14ac:dyDescent="0.25">
      <c r="A572" s="44"/>
      <c r="B572" s="44"/>
      <c r="C572" s="44"/>
      <c r="D572" s="44"/>
      <c r="E572" s="44"/>
      <c r="F572" s="44"/>
      <c r="G572" s="44"/>
      <c r="H572" s="44"/>
      <c r="I572" s="44"/>
      <c r="J572" s="8"/>
      <c r="K572" s="8"/>
    </row>
    <row r="573" spans="1:11" x14ac:dyDescent="0.25">
      <c r="A573" s="44"/>
      <c r="B573" s="44"/>
      <c r="C573" s="44"/>
      <c r="D573" s="44"/>
      <c r="E573" s="44"/>
      <c r="F573" s="44"/>
      <c r="G573" s="44"/>
      <c r="H573" s="44"/>
      <c r="I573" s="44"/>
      <c r="J573" s="8"/>
      <c r="K573" s="8"/>
    </row>
    <row r="574" spans="1:11" x14ac:dyDescent="0.25">
      <c r="A574" s="44"/>
      <c r="B574" s="44"/>
      <c r="C574" s="44"/>
      <c r="D574" s="44"/>
      <c r="E574" s="44"/>
      <c r="F574" s="44"/>
      <c r="G574" s="44"/>
      <c r="H574" s="44"/>
      <c r="I574" s="44"/>
      <c r="J574" s="8"/>
      <c r="K574" s="8"/>
    </row>
    <row r="575" spans="1:11" x14ac:dyDescent="0.25">
      <c r="A575" s="44"/>
      <c r="B575" s="44"/>
      <c r="C575" s="44"/>
      <c r="D575" s="44"/>
      <c r="E575" s="44"/>
      <c r="F575" s="44"/>
      <c r="G575" s="44"/>
      <c r="H575" s="44"/>
      <c r="I575" s="44"/>
      <c r="J575" s="8"/>
      <c r="K575" s="8"/>
    </row>
    <row r="576" spans="1:11" x14ac:dyDescent="0.25">
      <c r="A576" s="44"/>
      <c r="B576" s="44"/>
      <c r="C576" s="44"/>
      <c r="D576" s="44"/>
      <c r="E576" s="44"/>
      <c r="F576" s="44"/>
      <c r="G576" s="44"/>
      <c r="H576" s="44"/>
      <c r="I576" s="44"/>
      <c r="J576" s="8"/>
      <c r="K576" s="8"/>
    </row>
    <row r="577" spans="1:11" x14ac:dyDescent="0.25">
      <c r="A577" s="44"/>
      <c r="B577" s="44"/>
      <c r="C577" s="44"/>
      <c r="D577" s="44"/>
      <c r="E577" s="44"/>
      <c r="F577" s="44"/>
      <c r="G577" s="44"/>
      <c r="H577" s="44"/>
      <c r="I577" s="44"/>
      <c r="J577" s="8"/>
      <c r="K577" s="8"/>
    </row>
    <row r="578" spans="1:11" x14ac:dyDescent="0.25">
      <c r="A578" s="44"/>
      <c r="B578" s="44"/>
      <c r="C578" s="44"/>
      <c r="D578" s="44"/>
      <c r="E578" s="44"/>
      <c r="F578" s="44"/>
      <c r="G578" s="44"/>
      <c r="H578" s="44"/>
      <c r="I578" s="44"/>
      <c r="J578" s="8"/>
      <c r="K578" s="8"/>
    </row>
    <row r="579" spans="1:11" x14ac:dyDescent="0.25">
      <c r="A579" s="44"/>
      <c r="B579" s="44"/>
      <c r="C579" s="44"/>
      <c r="D579" s="44"/>
      <c r="E579" s="44"/>
      <c r="F579" s="44"/>
      <c r="G579" s="44"/>
      <c r="H579" s="44"/>
      <c r="I579" s="44"/>
      <c r="J579" s="8"/>
      <c r="K579" s="8"/>
    </row>
    <row r="580" spans="1:11" x14ac:dyDescent="0.25">
      <c r="A580" s="44"/>
      <c r="B580" s="44"/>
      <c r="C580" s="44"/>
      <c r="D580" s="44"/>
      <c r="E580" s="44"/>
      <c r="F580" s="44"/>
      <c r="G580" s="44"/>
      <c r="H580" s="44"/>
      <c r="I580" s="44"/>
      <c r="J580" s="8"/>
      <c r="K580" s="8"/>
    </row>
    <row r="581" spans="1:11" x14ac:dyDescent="0.25">
      <c r="A581" s="44"/>
      <c r="B581" s="44"/>
      <c r="C581" s="44"/>
      <c r="D581" s="44"/>
      <c r="E581" s="44"/>
      <c r="F581" s="44"/>
      <c r="G581" s="44"/>
      <c r="H581" s="44"/>
      <c r="I581" s="44"/>
      <c r="J581" s="8"/>
      <c r="K581" s="8"/>
    </row>
    <row r="582" spans="1:11" x14ac:dyDescent="0.25">
      <c r="A582" s="44"/>
      <c r="B582" s="44"/>
      <c r="C582" s="44"/>
      <c r="D582" s="44"/>
      <c r="E582" s="44"/>
      <c r="F582" s="44"/>
      <c r="G582" s="44"/>
      <c r="H582" s="44"/>
      <c r="I582" s="44"/>
      <c r="J582" s="8"/>
      <c r="K582" s="8"/>
    </row>
    <row r="583" spans="1:11" x14ac:dyDescent="0.25">
      <c r="A583" s="44"/>
      <c r="B583" s="44"/>
      <c r="C583" s="44"/>
      <c r="D583" s="44"/>
      <c r="E583" s="44"/>
      <c r="F583" s="44"/>
      <c r="G583" s="44"/>
      <c r="H583" s="44"/>
      <c r="I583" s="44"/>
      <c r="J583" s="8"/>
      <c r="K583" s="8"/>
    </row>
    <row r="584" spans="1:11" x14ac:dyDescent="0.25">
      <c r="A584" s="44"/>
      <c r="B584" s="44"/>
      <c r="C584" s="44"/>
      <c r="D584" s="44"/>
      <c r="E584" s="44"/>
      <c r="F584" s="44"/>
      <c r="G584" s="44"/>
      <c r="H584" s="44"/>
      <c r="I584" s="44"/>
      <c r="J584" s="8"/>
      <c r="K584" s="8"/>
    </row>
    <row r="585" spans="1:11" x14ac:dyDescent="0.25">
      <c r="A585" s="44"/>
      <c r="B585" s="44"/>
      <c r="C585" s="44"/>
      <c r="D585" s="44"/>
      <c r="E585" s="44"/>
      <c r="F585" s="44"/>
      <c r="G585" s="44"/>
      <c r="H585" s="44"/>
      <c r="I585" s="44"/>
      <c r="J585" s="8"/>
      <c r="K585" s="8"/>
    </row>
    <row r="586" spans="1:11" x14ac:dyDescent="0.25">
      <c r="A586" s="44"/>
      <c r="B586" s="44"/>
      <c r="C586" s="44"/>
      <c r="D586" s="44"/>
      <c r="E586" s="44"/>
      <c r="F586" s="44"/>
      <c r="G586" s="44"/>
      <c r="H586" s="44"/>
      <c r="I586" s="44"/>
      <c r="J586" s="8"/>
      <c r="K586" s="8"/>
    </row>
    <row r="587" spans="1:11" x14ac:dyDescent="0.25">
      <c r="A587" s="44"/>
      <c r="B587" s="44"/>
      <c r="C587" s="44"/>
      <c r="D587" s="44"/>
      <c r="E587" s="44"/>
      <c r="F587" s="44"/>
      <c r="G587" s="44"/>
      <c r="H587" s="44"/>
      <c r="I587" s="44"/>
      <c r="J587" s="8"/>
      <c r="K587" s="8"/>
    </row>
    <row r="588" spans="1:11" x14ac:dyDescent="0.25">
      <c r="A588" s="44"/>
      <c r="B588" s="44"/>
      <c r="C588" s="44"/>
      <c r="D588" s="44"/>
      <c r="E588" s="44"/>
      <c r="F588" s="44"/>
      <c r="G588" s="44"/>
      <c r="H588" s="44"/>
      <c r="I588" s="44"/>
      <c r="J588" s="8"/>
      <c r="K588" s="8"/>
    </row>
    <row r="589" spans="1:11" x14ac:dyDescent="0.25">
      <c r="A589" s="44"/>
      <c r="B589" s="44"/>
      <c r="C589" s="44"/>
      <c r="D589" s="44"/>
      <c r="E589" s="44"/>
      <c r="F589" s="44"/>
      <c r="G589" s="44"/>
      <c r="H589" s="44"/>
      <c r="I589" s="44"/>
      <c r="J589" s="8"/>
      <c r="K589" s="8"/>
    </row>
    <row r="590" spans="1:11" x14ac:dyDescent="0.25">
      <c r="A590" s="44"/>
      <c r="B590" s="44"/>
      <c r="C590" s="44"/>
      <c r="D590" s="44"/>
      <c r="E590" s="44"/>
      <c r="F590" s="44"/>
      <c r="G590" s="44"/>
      <c r="H590" s="44"/>
      <c r="I590" s="44"/>
      <c r="J590" s="8"/>
      <c r="K590" s="8"/>
    </row>
    <row r="591" spans="1:11" x14ac:dyDescent="0.25">
      <c r="A591" s="44"/>
      <c r="B591" s="44"/>
      <c r="C591" s="44"/>
      <c r="D591" s="44"/>
      <c r="E591" s="44"/>
      <c r="F591" s="44"/>
      <c r="G591" s="44"/>
      <c r="H591" s="44"/>
      <c r="I591" s="44"/>
      <c r="J591" s="8"/>
      <c r="K591" s="8"/>
    </row>
    <row r="592" spans="1:11" x14ac:dyDescent="0.25">
      <c r="A592" s="44"/>
      <c r="B592" s="44"/>
      <c r="C592" s="44"/>
      <c r="D592" s="44"/>
      <c r="E592" s="44"/>
      <c r="F592" s="44"/>
      <c r="G592" s="44"/>
      <c r="H592" s="44"/>
      <c r="I592" s="44"/>
      <c r="J592" s="8"/>
      <c r="K592" s="8"/>
    </row>
    <row r="593" spans="1:11" x14ac:dyDescent="0.25">
      <c r="A593" s="44"/>
      <c r="B593" s="44"/>
      <c r="C593" s="44"/>
      <c r="D593" s="44"/>
      <c r="E593" s="44"/>
      <c r="F593" s="44"/>
      <c r="G593" s="44"/>
      <c r="H593" s="44"/>
      <c r="I593" s="44"/>
      <c r="J593" s="8"/>
      <c r="K593" s="8"/>
    </row>
    <row r="594" spans="1:11" x14ac:dyDescent="0.25">
      <c r="A594" s="44"/>
      <c r="B594" s="44"/>
      <c r="C594" s="44"/>
      <c r="D594" s="44"/>
      <c r="E594" s="44"/>
      <c r="F594" s="44"/>
      <c r="G594" s="44"/>
      <c r="H594" s="44"/>
      <c r="I594" s="44"/>
      <c r="J594" s="8"/>
      <c r="K594" s="8"/>
    </row>
    <row r="595" spans="1:11" x14ac:dyDescent="0.25">
      <c r="A595" s="44"/>
      <c r="B595" s="44"/>
      <c r="C595" s="44"/>
      <c r="D595" s="44"/>
      <c r="E595" s="44"/>
      <c r="F595" s="44"/>
      <c r="G595" s="44"/>
      <c r="H595" s="44"/>
      <c r="I595" s="44"/>
      <c r="J595" s="8"/>
      <c r="K595" s="8"/>
    </row>
    <row r="596" spans="1:11" x14ac:dyDescent="0.25">
      <c r="A596" s="44"/>
      <c r="B596" s="44"/>
      <c r="C596" s="44"/>
      <c r="D596" s="44"/>
      <c r="E596" s="44"/>
      <c r="F596" s="44"/>
      <c r="G596" s="44"/>
      <c r="H596" s="44"/>
      <c r="I596" s="44"/>
      <c r="J596" s="8"/>
      <c r="K596" s="8"/>
    </row>
    <row r="597" spans="1:11" x14ac:dyDescent="0.25">
      <c r="A597" s="44"/>
      <c r="B597" s="44"/>
      <c r="C597" s="44"/>
      <c r="D597" s="44"/>
      <c r="E597" s="44"/>
      <c r="F597" s="44"/>
      <c r="G597" s="44"/>
      <c r="H597" s="44"/>
      <c r="I597" s="44"/>
      <c r="J597" s="8"/>
      <c r="K597" s="8"/>
    </row>
    <row r="598" spans="1:11" x14ac:dyDescent="0.25">
      <c r="A598" s="44"/>
      <c r="B598" s="44"/>
      <c r="C598" s="44"/>
      <c r="D598" s="44"/>
      <c r="E598" s="44"/>
      <c r="F598" s="44"/>
      <c r="G598" s="44"/>
      <c r="H598" s="44"/>
      <c r="I598" s="44"/>
      <c r="J598" s="8"/>
      <c r="K598" s="8"/>
    </row>
    <row r="599" spans="1:11" x14ac:dyDescent="0.25">
      <c r="A599" s="44"/>
      <c r="B599" s="44"/>
      <c r="C599" s="44"/>
      <c r="D599" s="44"/>
      <c r="E599" s="44"/>
      <c r="F599" s="44"/>
      <c r="G599" s="44"/>
      <c r="H599" s="44"/>
      <c r="I599" s="44"/>
      <c r="J599" s="8"/>
      <c r="K599" s="8"/>
    </row>
    <row r="600" spans="1:11" x14ac:dyDescent="0.25">
      <c r="A600" s="44"/>
      <c r="B600" s="44"/>
      <c r="C600" s="44"/>
      <c r="D600" s="44"/>
      <c r="E600" s="44"/>
      <c r="F600" s="44"/>
      <c r="G600" s="44"/>
      <c r="H600" s="44"/>
      <c r="I600" s="44"/>
      <c r="J600" s="8"/>
      <c r="K600" s="8"/>
    </row>
    <row r="601" spans="1:11" x14ac:dyDescent="0.25">
      <c r="A601" s="44"/>
      <c r="B601" s="44"/>
      <c r="C601" s="44"/>
      <c r="D601" s="44"/>
      <c r="E601" s="44"/>
      <c r="F601" s="44"/>
      <c r="G601" s="44"/>
      <c r="H601" s="44"/>
      <c r="I601" s="44"/>
      <c r="J601" s="8"/>
      <c r="K601" s="8"/>
    </row>
    <row r="602" spans="1:11" x14ac:dyDescent="0.25">
      <c r="A602" s="44"/>
      <c r="B602" s="44"/>
      <c r="C602" s="44"/>
      <c r="D602" s="44"/>
      <c r="E602" s="44"/>
      <c r="F602" s="44"/>
      <c r="G602" s="44"/>
      <c r="H602" s="44"/>
      <c r="I602" s="44"/>
      <c r="J602" s="8"/>
      <c r="K602" s="8"/>
    </row>
    <row r="603" spans="1:11" x14ac:dyDescent="0.25">
      <c r="A603" s="44"/>
      <c r="B603" s="44"/>
      <c r="C603" s="44"/>
      <c r="D603" s="44"/>
      <c r="E603" s="44"/>
      <c r="F603" s="44"/>
      <c r="G603" s="44"/>
      <c r="H603" s="44"/>
      <c r="I603" s="44"/>
      <c r="J603" s="8"/>
      <c r="K603" s="8"/>
    </row>
    <row r="604" spans="1:11" x14ac:dyDescent="0.25">
      <c r="A604" s="44"/>
      <c r="B604" s="44"/>
      <c r="C604" s="44"/>
      <c r="D604" s="44"/>
      <c r="E604" s="44"/>
      <c r="F604" s="44"/>
      <c r="G604" s="44"/>
      <c r="H604" s="44"/>
      <c r="I604" s="44"/>
      <c r="J604" s="8"/>
      <c r="K604" s="8"/>
    </row>
    <row r="605" spans="1:11" x14ac:dyDescent="0.25">
      <c r="A605" s="44"/>
      <c r="B605" s="44"/>
      <c r="C605" s="44"/>
      <c r="D605" s="44"/>
      <c r="E605" s="44"/>
      <c r="F605" s="44"/>
      <c r="G605" s="44"/>
      <c r="H605" s="44"/>
      <c r="I605" s="44"/>
      <c r="J605" s="8"/>
      <c r="K605" s="8"/>
    </row>
    <row r="606" spans="1:11" x14ac:dyDescent="0.25">
      <c r="A606" s="44"/>
      <c r="B606" s="44"/>
      <c r="C606" s="44"/>
      <c r="D606" s="44"/>
      <c r="E606" s="44"/>
      <c r="F606" s="44"/>
      <c r="G606" s="44"/>
      <c r="H606" s="44"/>
      <c r="I606" s="44"/>
      <c r="J606" s="8"/>
      <c r="K606" s="8"/>
    </row>
    <row r="607" spans="1:11" x14ac:dyDescent="0.25">
      <c r="A607" s="44"/>
      <c r="B607" s="44"/>
      <c r="C607" s="44"/>
      <c r="D607" s="44"/>
      <c r="E607" s="44"/>
      <c r="F607" s="44"/>
      <c r="G607" s="44"/>
      <c r="H607" s="44"/>
      <c r="I607" s="44"/>
      <c r="J607" s="8"/>
      <c r="K607" s="8"/>
    </row>
    <row r="608" spans="1:11" x14ac:dyDescent="0.25">
      <c r="A608" s="44"/>
      <c r="B608" s="44"/>
      <c r="C608" s="44"/>
      <c r="D608" s="44"/>
      <c r="E608" s="44"/>
      <c r="F608" s="44"/>
      <c r="G608" s="44"/>
      <c r="H608" s="44"/>
      <c r="I608" s="44"/>
      <c r="J608" s="8"/>
      <c r="K608" s="8"/>
    </row>
    <row r="609" spans="1:11" x14ac:dyDescent="0.25">
      <c r="A609" s="44"/>
      <c r="B609" s="44"/>
      <c r="C609" s="44"/>
      <c r="D609" s="44"/>
      <c r="E609" s="44"/>
      <c r="F609" s="44"/>
      <c r="G609" s="44"/>
      <c r="H609" s="44"/>
      <c r="I609" s="44"/>
      <c r="J609" s="8"/>
      <c r="K609" s="8"/>
    </row>
    <row r="610" spans="1:11" x14ac:dyDescent="0.25">
      <c r="A610" s="44"/>
      <c r="B610" s="44"/>
      <c r="C610" s="44"/>
      <c r="D610" s="44"/>
      <c r="E610" s="44"/>
      <c r="F610" s="44"/>
      <c r="G610" s="44"/>
      <c r="H610" s="44"/>
      <c r="I610" s="44"/>
      <c r="J610" s="8"/>
      <c r="K610" s="8"/>
    </row>
    <row r="611" spans="1:11" x14ac:dyDescent="0.25">
      <c r="A611" s="44"/>
      <c r="B611" s="44"/>
      <c r="C611" s="44"/>
      <c r="D611" s="44"/>
      <c r="E611" s="44"/>
      <c r="F611" s="44"/>
      <c r="G611" s="44"/>
      <c r="H611" s="44"/>
      <c r="I611" s="44"/>
      <c r="J611" s="8"/>
      <c r="K611" s="8"/>
    </row>
    <row r="612" spans="1:11" x14ac:dyDescent="0.25">
      <c r="A612" s="44"/>
      <c r="B612" s="44"/>
      <c r="C612" s="44"/>
      <c r="D612" s="44"/>
      <c r="E612" s="44"/>
      <c r="F612" s="44"/>
      <c r="G612" s="44"/>
      <c r="H612" s="44"/>
      <c r="I612" s="44"/>
      <c r="J612" s="8"/>
      <c r="K612" s="8"/>
    </row>
    <row r="613" spans="1:11" x14ac:dyDescent="0.25">
      <c r="A613" s="44"/>
      <c r="B613" s="44"/>
      <c r="C613" s="44"/>
      <c r="D613" s="44"/>
      <c r="E613" s="44"/>
      <c r="F613" s="44"/>
      <c r="G613" s="44"/>
      <c r="H613" s="44"/>
      <c r="I613" s="44"/>
      <c r="J613" s="8"/>
      <c r="K613" s="8"/>
    </row>
    <row r="614" spans="1:11" x14ac:dyDescent="0.25">
      <c r="A614" s="44"/>
      <c r="B614" s="44"/>
      <c r="C614" s="44"/>
      <c r="D614" s="44"/>
      <c r="E614" s="44"/>
      <c r="F614" s="44"/>
      <c r="G614" s="44"/>
      <c r="H614" s="44"/>
      <c r="I614" s="44"/>
      <c r="J614" s="8"/>
      <c r="K614" s="8"/>
    </row>
    <row r="615" spans="1:11" x14ac:dyDescent="0.25">
      <c r="A615" s="44"/>
      <c r="B615" s="44"/>
      <c r="C615" s="44"/>
      <c r="D615" s="44"/>
      <c r="E615" s="44"/>
      <c r="F615" s="44"/>
      <c r="G615" s="44"/>
      <c r="H615" s="44"/>
      <c r="I615" s="44"/>
      <c r="J615" s="8"/>
      <c r="K615" s="8"/>
    </row>
    <row r="616" spans="1:11" x14ac:dyDescent="0.25">
      <c r="A616" s="44"/>
      <c r="B616" s="44"/>
      <c r="C616" s="44"/>
      <c r="D616" s="44"/>
      <c r="E616" s="44"/>
      <c r="F616" s="44"/>
      <c r="G616" s="44"/>
      <c r="H616" s="44"/>
      <c r="I616" s="44"/>
      <c r="J616" s="8"/>
      <c r="K616" s="8"/>
    </row>
    <row r="617" spans="1:11" x14ac:dyDescent="0.25">
      <c r="A617" s="44"/>
      <c r="B617" s="44"/>
      <c r="C617" s="44"/>
      <c r="D617" s="44"/>
      <c r="E617" s="44"/>
      <c r="F617" s="44"/>
      <c r="G617" s="44"/>
      <c r="H617" s="44"/>
      <c r="I617" s="44"/>
      <c r="J617" s="8"/>
      <c r="K617" s="8"/>
    </row>
    <row r="618" spans="1:11" x14ac:dyDescent="0.25">
      <c r="A618" s="44"/>
      <c r="B618" s="44"/>
      <c r="C618" s="44"/>
      <c r="D618" s="44"/>
      <c r="E618" s="44"/>
      <c r="F618" s="44"/>
      <c r="G618" s="44"/>
      <c r="H618" s="44"/>
      <c r="I618" s="44"/>
      <c r="J618" s="8"/>
      <c r="K618" s="8"/>
    </row>
    <row r="619" spans="1:11" x14ac:dyDescent="0.25">
      <c r="A619" s="44"/>
      <c r="B619" s="44"/>
      <c r="C619" s="44"/>
      <c r="D619" s="44"/>
      <c r="E619" s="44"/>
      <c r="F619" s="44"/>
      <c r="G619" s="44"/>
      <c r="H619" s="44"/>
      <c r="I619" s="44"/>
      <c r="J619" s="8"/>
      <c r="K619" s="8"/>
    </row>
    <row r="620" spans="1:11" x14ac:dyDescent="0.25">
      <c r="A620" s="44"/>
      <c r="B620" s="44"/>
      <c r="C620" s="44"/>
      <c r="D620" s="44"/>
      <c r="E620" s="44"/>
      <c r="F620" s="44"/>
      <c r="G620" s="44"/>
      <c r="H620" s="44"/>
      <c r="I620" s="44"/>
      <c r="J620" s="8"/>
      <c r="K620" s="8"/>
    </row>
    <row r="621" spans="1:11" x14ac:dyDescent="0.25">
      <c r="A621" s="44"/>
      <c r="B621" s="44"/>
      <c r="C621" s="44"/>
      <c r="D621" s="44"/>
      <c r="E621" s="44"/>
      <c r="F621" s="44"/>
      <c r="G621" s="44"/>
      <c r="H621" s="44"/>
      <c r="I621" s="44"/>
      <c r="J621" s="8"/>
      <c r="K621" s="8"/>
    </row>
    <row r="622" spans="1:11" x14ac:dyDescent="0.25">
      <c r="A622" s="44"/>
      <c r="B622" s="44"/>
      <c r="C622" s="44"/>
      <c r="D622" s="44"/>
      <c r="E622" s="44"/>
      <c r="F622" s="44"/>
      <c r="G622" s="44"/>
      <c r="H622" s="44"/>
      <c r="I622" s="44"/>
      <c r="J622" s="8"/>
      <c r="K622" s="8"/>
    </row>
    <row r="623" spans="1:11" x14ac:dyDescent="0.25">
      <c r="A623" s="44"/>
      <c r="B623" s="44"/>
      <c r="C623" s="44"/>
      <c r="D623" s="44"/>
      <c r="E623" s="44"/>
      <c r="F623" s="44"/>
      <c r="G623" s="44"/>
      <c r="H623" s="44"/>
      <c r="I623" s="44"/>
      <c r="J623" s="8"/>
      <c r="K623" s="8"/>
    </row>
    <row r="624" spans="1:11" x14ac:dyDescent="0.25">
      <c r="A624" s="44"/>
      <c r="B624" s="44"/>
      <c r="C624" s="44"/>
      <c r="D624" s="44"/>
      <c r="E624" s="44"/>
      <c r="F624" s="44"/>
      <c r="G624" s="44"/>
      <c r="H624" s="44"/>
      <c r="I624" s="44"/>
      <c r="J624" s="8"/>
      <c r="K624" s="8"/>
    </row>
    <row r="625" spans="1:11" x14ac:dyDescent="0.25">
      <c r="A625" s="44"/>
      <c r="B625" s="44"/>
      <c r="C625" s="44"/>
      <c r="D625" s="44"/>
      <c r="E625" s="44"/>
      <c r="F625" s="44"/>
      <c r="G625" s="44"/>
      <c r="H625" s="44"/>
      <c r="I625" s="44"/>
      <c r="J625" s="8"/>
      <c r="K625" s="8"/>
    </row>
    <row r="626" spans="1:11" x14ac:dyDescent="0.25">
      <c r="A626" s="44"/>
      <c r="B626" s="44"/>
      <c r="C626" s="44"/>
      <c r="D626" s="44"/>
      <c r="E626" s="44"/>
      <c r="F626" s="44"/>
      <c r="G626" s="44"/>
      <c r="H626" s="44"/>
      <c r="I626" s="44"/>
      <c r="J626" s="8"/>
      <c r="K626" s="8"/>
    </row>
    <row r="627" spans="1:11" x14ac:dyDescent="0.25">
      <c r="A627" s="44"/>
      <c r="B627" s="44"/>
      <c r="C627" s="44"/>
      <c r="D627" s="44"/>
      <c r="E627" s="44"/>
      <c r="F627" s="44"/>
      <c r="G627" s="44"/>
      <c r="H627" s="44"/>
      <c r="I627" s="44"/>
      <c r="J627" s="8"/>
      <c r="K627" s="8"/>
    </row>
    <row r="628" spans="1:11" x14ac:dyDescent="0.25">
      <c r="A628" s="44"/>
      <c r="B628" s="44"/>
      <c r="C628" s="44"/>
      <c r="D628" s="44"/>
      <c r="E628" s="44"/>
      <c r="F628" s="44"/>
      <c r="G628" s="44"/>
      <c r="H628" s="44"/>
      <c r="I628" s="44"/>
      <c r="J628" s="8"/>
      <c r="K628" s="8"/>
    </row>
    <row r="629" spans="1:11" x14ac:dyDescent="0.25">
      <c r="A629" s="44"/>
      <c r="B629" s="44"/>
      <c r="C629" s="44"/>
      <c r="D629" s="44"/>
      <c r="E629" s="44"/>
      <c r="F629" s="44"/>
      <c r="G629" s="44"/>
      <c r="H629" s="44"/>
      <c r="I629" s="44"/>
      <c r="J629" s="8"/>
      <c r="K629" s="8"/>
    </row>
    <row r="630" spans="1:11" x14ac:dyDescent="0.25">
      <c r="A630" s="44"/>
      <c r="B630" s="44"/>
      <c r="C630" s="44"/>
      <c r="D630" s="44"/>
      <c r="E630" s="44"/>
      <c r="F630" s="44"/>
      <c r="G630" s="44"/>
      <c r="H630" s="44"/>
      <c r="I630" s="44"/>
      <c r="J630" s="8"/>
      <c r="K630" s="8"/>
    </row>
    <row r="631" spans="1:11" x14ac:dyDescent="0.25">
      <c r="A631" s="44"/>
      <c r="B631" s="44"/>
      <c r="C631" s="44"/>
      <c r="D631" s="44"/>
      <c r="E631" s="44"/>
      <c r="F631" s="44"/>
      <c r="G631" s="44"/>
      <c r="H631" s="44"/>
      <c r="I631" s="44"/>
      <c r="J631" s="8"/>
      <c r="K631" s="8"/>
    </row>
    <row r="632" spans="1:11" x14ac:dyDescent="0.25">
      <c r="A632" s="44"/>
      <c r="B632" s="44"/>
      <c r="C632" s="44"/>
      <c r="D632" s="44"/>
      <c r="E632" s="44"/>
      <c r="F632" s="44"/>
      <c r="G632" s="44"/>
      <c r="H632" s="44"/>
      <c r="I632" s="44"/>
      <c r="J632" s="8"/>
      <c r="K632" s="8"/>
    </row>
    <row r="633" spans="1:11" x14ac:dyDescent="0.25">
      <c r="A633" s="44"/>
      <c r="B633" s="44"/>
      <c r="C633" s="44"/>
      <c r="D633" s="44"/>
      <c r="E633" s="44"/>
      <c r="F633" s="44"/>
      <c r="G633" s="44"/>
      <c r="H633" s="44"/>
      <c r="I633" s="44"/>
      <c r="J633" s="8"/>
      <c r="K633" s="8"/>
    </row>
    <row r="634" spans="1:11" x14ac:dyDescent="0.25">
      <c r="A634" s="44"/>
      <c r="B634" s="44"/>
      <c r="C634" s="44"/>
      <c r="D634" s="44"/>
      <c r="E634" s="44"/>
      <c r="F634" s="44"/>
      <c r="G634" s="44"/>
      <c r="H634" s="44"/>
      <c r="I634" s="44"/>
      <c r="J634" s="8"/>
      <c r="K634" s="8"/>
    </row>
    <row r="635" spans="1:11" x14ac:dyDescent="0.25">
      <c r="A635" s="44"/>
      <c r="B635" s="44"/>
      <c r="C635" s="44"/>
      <c r="D635" s="44"/>
      <c r="E635" s="44"/>
      <c r="F635" s="44"/>
      <c r="G635" s="44"/>
      <c r="H635" s="44"/>
      <c r="I635" s="44"/>
      <c r="J635" s="8"/>
      <c r="K635" s="8"/>
    </row>
    <row r="636" spans="1:11" x14ac:dyDescent="0.25">
      <c r="A636" s="44"/>
      <c r="B636" s="44"/>
      <c r="C636" s="44"/>
      <c r="D636" s="44"/>
      <c r="E636" s="44"/>
      <c r="F636" s="44"/>
      <c r="G636" s="44"/>
      <c r="H636" s="44"/>
      <c r="I636" s="44"/>
      <c r="J636" s="8"/>
      <c r="K636" s="8"/>
    </row>
    <row r="637" spans="1:11" x14ac:dyDescent="0.25">
      <c r="A637" s="44"/>
      <c r="B637" s="44"/>
      <c r="C637" s="44"/>
      <c r="D637" s="44"/>
      <c r="E637" s="44"/>
      <c r="F637" s="44"/>
      <c r="G637" s="44"/>
      <c r="H637" s="44"/>
      <c r="I637" s="44"/>
      <c r="J637" s="8"/>
      <c r="K637" s="8"/>
    </row>
    <row r="638" spans="1:11" x14ac:dyDescent="0.25">
      <c r="A638" s="44"/>
      <c r="B638" s="44"/>
      <c r="C638" s="44"/>
      <c r="D638" s="44"/>
      <c r="E638" s="44"/>
      <c r="F638" s="44"/>
      <c r="G638" s="44"/>
      <c r="H638" s="44"/>
      <c r="I638" s="44"/>
      <c r="J638" s="8"/>
      <c r="K638" s="8"/>
    </row>
    <row r="639" spans="1:11" x14ac:dyDescent="0.25">
      <c r="A639" s="44"/>
      <c r="B639" s="44"/>
      <c r="C639" s="44"/>
      <c r="D639" s="44"/>
      <c r="E639" s="44"/>
      <c r="F639" s="44"/>
      <c r="G639" s="44"/>
      <c r="H639" s="44"/>
      <c r="I639" s="44"/>
      <c r="J639" s="8"/>
      <c r="K639" s="8"/>
    </row>
    <row r="640" spans="1:11" x14ac:dyDescent="0.25">
      <c r="A640" s="44"/>
      <c r="B640" s="44"/>
      <c r="C640" s="44"/>
      <c r="D640" s="44"/>
      <c r="E640" s="44"/>
      <c r="F640" s="44"/>
      <c r="G640" s="44"/>
      <c r="H640" s="44"/>
      <c r="I640" s="44"/>
      <c r="J640" s="8"/>
      <c r="K640" s="8"/>
    </row>
    <row r="641" spans="1:11" x14ac:dyDescent="0.25">
      <c r="A641" s="44"/>
      <c r="B641" s="44"/>
      <c r="C641" s="44"/>
      <c r="D641" s="44"/>
      <c r="E641" s="44"/>
      <c r="F641" s="44"/>
      <c r="G641" s="44"/>
      <c r="H641" s="44"/>
      <c r="I641" s="44"/>
      <c r="J641" s="8"/>
      <c r="K641" s="8"/>
    </row>
    <row r="642" spans="1:11" x14ac:dyDescent="0.25">
      <c r="A642" s="44"/>
      <c r="B642" s="44"/>
      <c r="C642" s="44"/>
      <c r="D642" s="44"/>
      <c r="E642" s="44"/>
      <c r="F642" s="44"/>
      <c r="G642" s="44"/>
      <c r="H642" s="44"/>
      <c r="I642" s="44"/>
      <c r="J642" s="8"/>
      <c r="K642" s="8"/>
    </row>
    <row r="643" spans="1:11" x14ac:dyDescent="0.25">
      <c r="A643" s="44"/>
      <c r="B643" s="44"/>
      <c r="C643" s="44"/>
      <c r="D643" s="44"/>
      <c r="E643" s="44"/>
      <c r="F643" s="44"/>
      <c r="G643" s="44"/>
      <c r="H643" s="44"/>
      <c r="I643" s="44"/>
      <c r="J643" s="8"/>
      <c r="K643" s="8"/>
    </row>
    <row r="644" spans="1:11" x14ac:dyDescent="0.25">
      <c r="A644" s="44"/>
      <c r="B644" s="44"/>
      <c r="C644" s="44"/>
      <c r="D644" s="44"/>
      <c r="E644" s="44"/>
      <c r="F644" s="44"/>
      <c r="G644" s="44"/>
      <c r="H644" s="44"/>
      <c r="I644" s="44"/>
      <c r="J644" s="8"/>
      <c r="K644" s="8"/>
    </row>
    <row r="645" spans="1:11" x14ac:dyDescent="0.25">
      <c r="A645" s="44"/>
      <c r="B645" s="44"/>
      <c r="C645" s="44"/>
      <c r="D645" s="44"/>
      <c r="E645" s="44"/>
      <c r="F645" s="44"/>
      <c r="G645" s="44"/>
      <c r="H645" s="44"/>
      <c r="I645" s="44"/>
      <c r="J645" s="8"/>
      <c r="K645" s="8"/>
    </row>
    <row r="646" spans="1:11" x14ac:dyDescent="0.25">
      <c r="A646" s="44"/>
      <c r="B646" s="44"/>
      <c r="C646" s="44"/>
      <c r="D646" s="44"/>
      <c r="E646" s="44"/>
      <c r="F646" s="44"/>
      <c r="G646" s="44"/>
      <c r="H646" s="44"/>
      <c r="I646" s="44"/>
      <c r="J646" s="8"/>
      <c r="K646" s="8"/>
    </row>
    <row r="647" spans="1:11" x14ac:dyDescent="0.25">
      <c r="A647" s="44"/>
      <c r="B647" s="44"/>
      <c r="C647" s="44"/>
      <c r="D647" s="44"/>
      <c r="E647" s="44"/>
      <c r="F647" s="44"/>
      <c r="G647" s="44"/>
      <c r="H647" s="44"/>
      <c r="I647" s="44"/>
      <c r="J647" s="8"/>
      <c r="K647" s="8"/>
    </row>
    <row r="648" spans="1:11" x14ac:dyDescent="0.25">
      <c r="A648" s="44"/>
      <c r="B648" s="44"/>
      <c r="C648" s="44"/>
      <c r="D648" s="44"/>
      <c r="E648" s="44"/>
      <c r="F648" s="44"/>
      <c r="G648" s="44"/>
      <c r="H648" s="44"/>
      <c r="I648" s="44"/>
      <c r="J648" s="8"/>
      <c r="K648" s="8"/>
    </row>
    <row r="649" spans="1:11" x14ac:dyDescent="0.25">
      <c r="A649" s="44"/>
      <c r="B649" s="44"/>
      <c r="C649" s="44"/>
      <c r="D649" s="44"/>
      <c r="E649" s="44"/>
      <c r="F649" s="44"/>
      <c r="G649" s="44"/>
      <c r="H649" s="44"/>
      <c r="I649" s="44"/>
      <c r="J649" s="8"/>
      <c r="K649" s="8"/>
    </row>
    <row r="650" spans="1:11" x14ac:dyDescent="0.25">
      <c r="A650" s="44"/>
      <c r="B650" s="44"/>
      <c r="C650" s="44"/>
      <c r="D650" s="44"/>
      <c r="E650" s="44"/>
      <c r="F650" s="44"/>
      <c r="G650" s="44"/>
      <c r="H650" s="44"/>
      <c r="I650" s="44"/>
      <c r="J650" s="8"/>
      <c r="K650" s="8"/>
    </row>
    <row r="651" spans="1:11" x14ac:dyDescent="0.25">
      <c r="A651" s="44"/>
      <c r="B651" s="44"/>
      <c r="C651" s="44"/>
      <c r="D651" s="44"/>
      <c r="E651" s="44"/>
      <c r="F651" s="44"/>
      <c r="G651" s="44"/>
      <c r="H651" s="44"/>
      <c r="I651" s="44"/>
      <c r="J651" s="8"/>
      <c r="K651" s="8"/>
    </row>
    <row r="652" spans="1:11" x14ac:dyDescent="0.25">
      <c r="A652" s="44"/>
      <c r="B652" s="44"/>
      <c r="C652" s="44"/>
      <c r="D652" s="44"/>
      <c r="E652" s="44"/>
      <c r="F652" s="44"/>
      <c r="G652" s="44"/>
      <c r="H652" s="44"/>
      <c r="I652" s="44"/>
      <c r="J652" s="8"/>
      <c r="K652" s="8"/>
    </row>
    <row r="653" spans="1:11" x14ac:dyDescent="0.25">
      <c r="A653" s="44"/>
      <c r="B653" s="44"/>
      <c r="C653" s="44"/>
      <c r="D653" s="44"/>
      <c r="E653" s="44"/>
      <c r="F653" s="44"/>
      <c r="G653" s="44"/>
      <c r="H653" s="44"/>
      <c r="I653" s="44"/>
      <c r="J653" s="8"/>
      <c r="K653" s="8"/>
    </row>
    <row r="654" spans="1:11" x14ac:dyDescent="0.25">
      <c r="A654" s="44"/>
      <c r="B654" s="44"/>
      <c r="C654" s="44"/>
      <c r="D654" s="44"/>
      <c r="E654" s="44"/>
      <c r="F654" s="44"/>
      <c r="G654" s="44"/>
      <c r="H654" s="44"/>
      <c r="I654" s="44"/>
      <c r="J654" s="8"/>
      <c r="K654" s="8"/>
    </row>
    <row r="655" spans="1:11" x14ac:dyDescent="0.25">
      <c r="A655" s="44"/>
      <c r="B655" s="44"/>
      <c r="C655" s="44"/>
      <c r="D655" s="44"/>
      <c r="E655" s="44"/>
      <c r="F655" s="44"/>
      <c r="G655" s="44"/>
      <c r="H655" s="44"/>
      <c r="I655" s="44"/>
      <c r="J655" s="8"/>
      <c r="K655" s="8"/>
    </row>
    <row r="656" spans="1:11" x14ac:dyDescent="0.25">
      <c r="A656" s="44"/>
      <c r="B656" s="44"/>
      <c r="C656" s="44"/>
      <c r="D656" s="44"/>
      <c r="E656" s="44"/>
      <c r="F656" s="44"/>
      <c r="G656" s="44"/>
      <c r="H656" s="44"/>
      <c r="I656" s="44"/>
      <c r="J656" s="8"/>
      <c r="K656" s="8"/>
    </row>
    <row r="657" spans="1:11" x14ac:dyDescent="0.25">
      <c r="A657" s="44"/>
      <c r="B657" s="44"/>
      <c r="C657" s="44"/>
      <c r="D657" s="44"/>
      <c r="E657" s="44"/>
      <c r="F657" s="44"/>
      <c r="G657" s="44"/>
      <c r="H657" s="44"/>
      <c r="I657" s="44"/>
      <c r="J657" s="8"/>
      <c r="K657" s="8"/>
    </row>
    <row r="658" spans="1:11" x14ac:dyDescent="0.25">
      <c r="A658" s="44"/>
      <c r="B658" s="44"/>
      <c r="C658" s="44"/>
      <c r="D658" s="44"/>
      <c r="E658" s="44"/>
      <c r="F658" s="44"/>
      <c r="G658" s="44"/>
      <c r="H658" s="44"/>
      <c r="I658" s="44"/>
      <c r="J658" s="8"/>
      <c r="K658" s="8"/>
    </row>
    <row r="659" spans="1:11" x14ac:dyDescent="0.25">
      <c r="A659" s="44"/>
      <c r="B659" s="44"/>
      <c r="C659" s="44"/>
      <c r="D659" s="44"/>
      <c r="E659" s="44"/>
      <c r="F659" s="44"/>
      <c r="G659" s="44"/>
      <c r="H659" s="44"/>
      <c r="I659" s="44"/>
      <c r="J659" s="8"/>
      <c r="K659" s="8"/>
    </row>
    <row r="660" spans="1:11" x14ac:dyDescent="0.25">
      <c r="A660" s="44"/>
      <c r="B660" s="44"/>
      <c r="C660" s="44"/>
      <c r="D660" s="44"/>
      <c r="E660" s="44"/>
      <c r="F660" s="44"/>
      <c r="G660" s="44"/>
      <c r="H660" s="44"/>
      <c r="I660" s="44"/>
      <c r="J660" s="8"/>
      <c r="K660" s="8"/>
    </row>
    <row r="661" spans="1:11" x14ac:dyDescent="0.25">
      <c r="A661" s="44"/>
      <c r="B661" s="44"/>
      <c r="C661" s="44"/>
      <c r="D661" s="44"/>
      <c r="E661" s="44"/>
      <c r="F661" s="44"/>
      <c r="G661" s="44"/>
      <c r="H661" s="44"/>
      <c r="I661" s="44"/>
      <c r="J661" s="8"/>
      <c r="K661" s="8"/>
    </row>
    <row r="662" spans="1:11" x14ac:dyDescent="0.25">
      <c r="A662" s="44"/>
      <c r="B662" s="44"/>
      <c r="C662" s="44"/>
      <c r="D662" s="44"/>
      <c r="E662" s="44"/>
      <c r="F662" s="44"/>
      <c r="G662" s="44"/>
      <c r="H662" s="44"/>
      <c r="I662" s="44"/>
      <c r="J662" s="8"/>
      <c r="K662" s="8"/>
    </row>
    <row r="663" spans="1:11" x14ac:dyDescent="0.25">
      <c r="A663" s="44"/>
      <c r="B663" s="44"/>
      <c r="C663" s="44"/>
      <c r="D663" s="44"/>
      <c r="E663" s="44"/>
      <c r="F663" s="44"/>
      <c r="G663" s="44"/>
      <c r="H663" s="44"/>
      <c r="I663" s="44"/>
      <c r="J663" s="8"/>
      <c r="K663" s="8"/>
    </row>
    <row r="664" spans="1:11" x14ac:dyDescent="0.25">
      <c r="A664" s="44"/>
      <c r="B664" s="44"/>
      <c r="C664" s="44"/>
      <c r="D664" s="44"/>
      <c r="E664" s="44"/>
      <c r="F664" s="44"/>
      <c r="G664" s="44"/>
      <c r="H664" s="44"/>
      <c r="I664" s="44"/>
      <c r="J664" s="8"/>
      <c r="K664" s="8"/>
    </row>
    <row r="665" spans="1:11" x14ac:dyDescent="0.25">
      <c r="A665" s="44"/>
      <c r="B665" s="44"/>
      <c r="C665" s="44"/>
      <c r="D665" s="44"/>
      <c r="E665" s="44"/>
      <c r="F665" s="44"/>
      <c r="G665" s="44"/>
      <c r="H665" s="44"/>
      <c r="I665" s="44"/>
      <c r="J665" s="8"/>
      <c r="K665" s="8"/>
    </row>
    <row r="666" spans="1:11" x14ac:dyDescent="0.25">
      <c r="A666" s="44"/>
      <c r="B666" s="44"/>
      <c r="C666" s="44"/>
      <c r="D666" s="44"/>
      <c r="E666" s="44"/>
      <c r="F666" s="44"/>
      <c r="G666" s="44"/>
      <c r="H666" s="44"/>
      <c r="I666" s="44"/>
      <c r="J666" s="8"/>
      <c r="K666" s="8"/>
    </row>
    <row r="667" spans="1:11" x14ac:dyDescent="0.25">
      <c r="A667" s="44"/>
      <c r="B667" s="44"/>
      <c r="C667" s="44"/>
      <c r="D667" s="44"/>
      <c r="E667" s="44"/>
      <c r="F667" s="44"/>
      <c r="G667" s="44"/>
      <c r="H667" s="44"/>
      <c r="I667" s="44"/>
      <c r="J667" s="8"/>
      <c r="K667" s="8"/>
    </row>
    <row r="668" spans="1:11" x14ac:dyDescent="0.25">
      <c r="A668" s="44"/>
      <c r="B668" s="44"/>
      <c r="C668" s="44"/>
      <c r="D668" s="44"/>
      <c r="E668" s="44"/>
      <c r="F668" s="44"/>
      <c r="G668" s="44"/>
      <c r="H668" s="44"/>
      <c r="I668" s="44"/>
      <c r="J668" s="8"/>
      <c r="K668" s="8"/>
    </row>
    <row r="669" spans="1:11" x14ac:dyDescent="0.25">
      <c r="A669" s="44"/>
      <c r="B669" s="44"/>
      <c r="C669" s="44"/>
      <c r="D669" s="44"/>
      <c r="E669" s="44"/>
      <c r="F669" s="44"/>
      <c r="G669" s="44"/>
      <c r="H669" s="44"/>
      <c r="I669" s="44"/>
      <c r="J669" s="8"/>
      <c r="K669" s="8"/>
    </row>
    <row r="670" spans="1:11" x14ac:dyDescent="0.25">
      <c r="A670" s="44"/>
      <c r="B670" s="44"/>
      <c r="C670" s="44"/>
      <c r="D670" s="44"/>
      <c r="E670" s="44"/>
      <c r="F670" s="44"/>
      <c r="G670" s="44"/>
      <c r="H670" s="44"/>
      <c r="I670" s="44"/>
      <c r="J670" s="8"/>
      <c r="K670" s="8"/>
    </row>
    <row r="671" spans="1:11" x14ac:dyDescent="0.25">
      <c r="A671" s="44"/>
      <c r="B671" s="44"/>
      <c r="C671" s="44"/>
      <c r="D671" s="44"/>
      <c r="E671" s="44"/>
      <c r="F671" s="44"/>
      <c r="G671" s="44"/>
      <c r="H671" s="44"/>
      <c r="I671" s="44"/>
      <c r="J671" s="8"/>
      <c r="K671" s="8"/>
    </row>
    <row r="672" spans="1:11" x14ac:dyDescent="0.25">
      <c r="A672" s="44"/>
      <c r="B672" s="44"/>
      <c r="C672" s="44"/>
      <c r="D672" s="44"/>
      <c r="E672" s="44"/>
      <c r="F672" s="44"/>
      <c r="G672" s="44"/>
      <c r="H672" s="44"/>
      <c r="I672" s="44"/>
      <c r="J672" s="8"/>
      <c r="K672" s="8"/>
    </row>
    <row r="673" spans="1:11" x14ac:dyDescent="0.25">
      <c r="A673" s="44"/>
      <c r="B673" s="44"/>
      <c r="C673" s="44"/>
      <c r="D673" s="44"/>
      <c r="E673" s="44"/>
      <c r="F673" s="44"/>
      <c r="G673" s="44"/>
      <c r="H673" s="44"/>
      <c r="I673" s="44"/>
      <c r="J673" s="8"/>
      <c r="K673" s="8"/>
    </row>
    <row r="674" spans="1:11" x14ac:dyDescent="0.25">
      <c r="A674" s="44"/>
      <c r="B674" s="44"/>
      <c r="C674" s="44"/>
      <c r="D674" s="44"/>
      <c r="E674" s="44"/>
      <c r="F674" s="44"/>
      <c r="G674" s="44"/>
      <c r="H674" s="44"/>
      <c r="I674" s="44"/>
      <c r="J674" s="8"/>
      <c r="K674" s="8"/>
    </row>
    <row r="675" spans="1:11" x14ac:dyDescent="0.25">
      <c r="A675" s="44"/>
      <c r="B675" s="44"/>
      <c r="C675" s="44"/>
      <c r="D675" s="44"/>
      <c r="E675" s="44"/>
      <c r="F675" s="44"/>
      <c r="G675" s="44"/>
      <c r="H675" s="44"/>
      <c r="I675" s="44"/>
      <c r="J675" s="8"/>
      <c r="K675" s="8"/>
    </row>
    <row r="676" spans="1:11" x14ac:dyDescent="0.25">
      <c r="A676" s="44"/>
      <c r="B676" s="44"/>
      <c r="C676" s="44"/>
      <c r="D676" s="44"/>
      <c r="E676" s="44"/>
      <c r="F676" s="44"/>
      <c r="G676" s="44"/>
      <c r="H676" s="44"/>
      <c r="I676" s="44"/>
      <c r="J676" s="8"/>
      <c r="K676" s="8"/>
    </row>
    <row r="677" spans="1:11" x14ac:dyDescent="0.25">
      <c r="A677" s="44"/>
      <c r="B677" s="44"/>
      <c r="C677" s="44"/>
      <c r="D677" s="44"/>
      <c r="E677" s="44"/>
      <c r="F677" s="44"/>
      <c r="G677" s="44"/>
      <c r="H677" s="44"/>
      <c r="I677" s="44"/>
      <c r="J677" s="8"/>
      <c r="K677" s="8"/>
    </row>
    <row r="678" spans="1:11" x14ac:dyDescent="0.25">
      <c r="A678" s="44"/>
      <c r="B678" s="44"/>
      <c r="C678" s="44"/>
      <c r="D678" s="44"/>
      <c r="E678" s="44"/>
      <c r="F678" s="44"/>
      <c r="G678" s="44"/>
      <c r="H678" s="44"/>
      <c r="I678" s="44"/>
      <c r="J678" s="8"/>
      <c r="K678" s="8"/>
    </row>
    <row r="679" spans="1:11" x14ac:dyDescent="0.25">
      <c r="A679" s="44"/>
      <c r="B679" s="44"/>
      <c r="C679" s="44"/>
      <c r="D679" s="44"/>
      <c r="E679" s="44"/>
      <c r="F679" s="44"/>
      <c r="G679" s="44"/>
      <c r="H679" s="44"/>
      <c r="I679" s="44"/>
      <c r="J679" s="8"/>
      <c r="K679" s="8"/>
    </row>
    <row r="680" spans="1:11" x14ac:dyDescent="0.25">
      <c r="A680" s="44"/>
      <c r="B680" s="44"/>
      <c r="C680" s="44"/>
      <c r="D680" s="44"/>
      <c r="E680" s="44"/>
      <c r="F680" s="44"/>
      <c r="G680" s="44"/>
      <c r="H680" s="44"/>
      <c r="I680" s="44"/>
      <c r="J680" s="8"/>
      <c r="K680" s="8"/>
    </row>
    <row r="681" spans="1:11" x14ac:dyDescent="0.25">
      <c r="A681" s="44"/>
      <c r="B681" s="44"/>
      <c r="C681" s="44"/>
      <c r="D681" s="44"/>
      <c r="E681" s="44"/>
      <c r="F681" s="44"/>
      <c r="G681" s="44"/>
      <c r="H681" s="44"/>
      <c r="I681" s="44"/>
      <c r="J681" s="8"/>
      <c r="K681" s="8"/>
    </row>
    <row r="682" spans="1:11" x14ac:dyDescent="0.25">
      <c r="A682" s="44"/>
      <c r="B682" s="44"/>
      <c r="C682" s="44"/>
      <c r="D682" s="44"/>
      <c r="E682" s="44"/>
      <c r="F682" s="44"/>
      <c r="G682" s="44"/>
      <c r="H682" s="44"/>
      <c r="I682" s="44"/>
      <c r="J682" s="8"/>
      <c r="K682" s="8"/>
    </row>
    <row r="683" spans="1:11" x14ac:dyDescent="0.25">
      <c r="A683" s="44"/>
      <c r="B683" s="44"/>
      <c r="C683" s="44"/>
      <c r="D683" s="44"/>
      <c r="E683" s="44"/>
      <c r="F683" s="44"/>
      <c r="G683" s="44"/>
      <c r="H683" s="44"/>
      <c r="I683" s="44"/>
      <c r="J683" s="8"/>
      <c r="K683" s="8"/>
    </row>
    <row r="684" spans="1:11" x14ac:dyDescent="0.25">
      <c r="A684" s="44"/>
      <c r="B684" s="44"/>
      <c r="C684" s="44"/>
      <c r="D684" s="44"/>
      <c r="E684" s="44"/>
      <c r="F684" s="44"/>
      <c r="G684" s="44"/>
      <c r="H684" s="44"/>
      <c r="I684" s="44"/>
      <c r="J684" s="8"/>
      <c r="K684" s="8"/>
    </row>
    <row r="685" spans="1:11" x14ac:dyDescent="0.25">
      <c r="A685" s="44"/>
      <c r="B685" s="44"/>
      <c r="C685" s="44"/>
      <c r="D685" s="44"/>
      <c r="E685" s="44"/>
      <c r="F685" s="44"/>
      <c r="G685" s="44"/>
      <c r="H685" s="44"/>
      <c r="I685" s="44"/>
      <c r="J685" s="8"/>
      <c r="K685" s="8"/>
    </row>
    <row r="686" spans="1:11" x14ac:dyDescent="0.25">
      <c r="A686" s="44"/>
      <c r="B686" s="44"/>
      <c r="C686" s="44"/>
      <c r="D686" s="44"/>
      <c r="E686" s="44"/>
      <c r="F686" s="44"/>
      <c r="G686" s="44"/>
      <c r="H686" s="44"/>
      <c r="I686" s="44"/>
      <c r="J686" s="8"/>
      <c r="K686" s="8"/>
    </row>
    <row r="687" spans="1:11" x14ac:dyDescent="0.25">
      <c r="A687" s="44"/>
      <c r="B687" s="44"/>
      <c r="C687" s="44"/>
      <c r="D687" s="44"/>
      <c r="E687" s="44"/>
      <c r="F687" s="44"/>
      <c r="G687" s="44"/>
      <c r="H687" s="44"/>
      <c r="I687" s="44"/>
      <c r="J687" s="8"/>
      <c r="K687" s="8"/>
    </row>
    <row r="688" spans="1:11" x14ac:dyDescent="0.25">
      <c r="A688" s="44"/>
      <c r="B688" s="44"/>
      <c r="C688" s="44"/>
      <c r="D688" s="44"/>
      <c r="E688" s="44"/>
      <c r="F688" s="44"/>
      <c r="G688" s="44"/>
      <c r="H688" s="44"/>
      <c r="I688" s="44"/>
      <c r="J688" s="8"/>
      <c r="K688" s="8"/>
    </row>
    <row r="689" spans="1:11" x14ac:dyDescent="0.25">
      <c r="A689" s="44"/>
      <c r="B689" s="44"/>
      <c r="C689" s="44"/>
      <c r="D689" s="44"/>
      <c r="E689" s="44"/>
      <c r="F689" s="44"/>
      <c r="G689" s="44"/>
      <c r="H689" s="44"/>
      <c r="I689" s="44"/>
      <c r="J689" s="8"/>
      <c r="K689" s="8"/>
    </row>
    <row r="690" spans="1:11" x14ac:dyDescent="0.25">
      <c r="A690" s="44"/>
      <c r="B690" s="44"/>
      <c r="C690" s="44"/>
      <c r="D690" s="44"/>
      <c r="E690" s="44"/>
      <c r="F690" s="44"/>
      <c r="G690" s="44"/>
      <c r="H690" s="44"/>
      <c r="I690" s="44"/>
      <c r="J690" s="8"/>
      <c r="K690" s="8"/>
    </row>
    <row r="691" spans="1:11" x14ac:dyDescent="0.25">
      <c r="A691" s="44"/>
      <c r="B691" s="44"/>
      <c r="C691" s="44"/>
      <c r="D691" s="44"/>
      <c r="E691" s="44"/>
      <c r="F691" s="44"/>
      <c r="G691" s="44"/>
      <c r="H691" s="44"/>
      <c r="I691" s="44"/>
      <c r="J691" s="8"/>
      <c r="K691" s="8"/>
    </row>
    <row r="692" spans="1:11" x14ac:dyDescent="0.25">
      <c r="A692" s="44"/>
      <c r="B692" s="44"/>
      <c r="C692" s="44"/>
      <c r="D692" s="44"/>
      <c r="E692" s="44"/>
      <c r="F692" s="44"/>
      <c r="G692" s="44"/>
      <c r="H692" s="44"/>
      <c r="I692" s="44"/>
      <c r="J692" s="8"/>
      <c r="K692" s="8"/>
    </row>
    <row r="693" spans="1:11" x14ac:dyDescent="0.25">
      <c r="A693" s="44"/>
      <c r="B693" s="44"/>
      <c r="C693" s="44"/>
      <c r="D693" s="44"/>
      <c r="E693" s="44"/>
      <c r="F693" s="44"/>
      <c r="G693" s="44"/>
      <c r="H693" s="44"/>
      <c r="I693" s="44"/>
      <c r="J693" s="8"/>
      <c r="K693" s="8"/>
    </row>
    <row r="694" spans="1:11" x14ac:dyDescent="0.25">
      <c r="A694" s="44"/>
      <c r="B694" s="44"/>
      <c r="C694" s="44"/>
      <c r="D694" s="44"/>
      <c r="E694" s="44"/>
      <c r="F694" s="44"/>
      <c r="G694" s="44"/>
      <c r="H694" s="44"/>
      <c r="I694" s="44"/>
      <c r="J694" s="8"/>
      <c r="K694" s="8"/>
    </row>
    <row r="695" spans="1:11" x14ac:dyDescent="0.25">
      <c r="A695" s="44"/>
      <c r="B695" s="44"/>
      <c r="C695" s="44"/>
      <c r="D695" s="44"/>
      <c r="E695" s="44"/>
      <c r="F695" s="44"/>
      <c r="G695" s="44"/>
      <c r="H695" s="44"/>
      <c r="I695" s="44"/>
      <c r="J695" s="8"/>
      <c r="K695" s="8"/>
    </row>
    <row r="696" spans="1:11" x14ac:dyDescent="0.25">
      <c r="A696" s="44"/>
      <c r="B696" s="44"/>
      <c r="C696" s="44"/>
      <c r="D696" s="44"/>
      <c r="E696" s="44"/>
      <c r="F696" s="44"/>
      <c r="G696" s="44"/>
      <c r="H696" s="44"/>
      <c r="I696" s="44"/>
      <c r="J696" s="8"/>
      <c r="K696" s="8"/>
    </row>
    <row r="697" spans="1:11" x14ac:dyDescent="0.25">
      <c r="A697" s="44"/>
      <c r="B697" s="44"/>
      <c r="C697" s="44"/>
      <c r="D697" s="44"/>
      <c r="E697" s="44"/>
      <c r="F697" s="44"/>
      <c r="G697" s="44"/>
      <c r="H697" s="44"/>
      <c r="I697" s="44"/>
      <c r="J697" s="8"/>
      <c r="K697" s="8"/>
    </row>
    <row r="698" spans="1:11" x14ac:dyDescent="0.25">
      <c r="A698" s="44"/>
      <c r="B698" s="44"/>
      <c r="C698" s="44"/>
      <c r="D698" s="44"/>
      <c r="E698" s="44"/>
      <c r="F698" s="44"/>
      <c r="G698" s="44"/>
      <c r="H698" s="44"/>
      <c r="I698" s="44"/>
      <c r="J698" s="8"/>
      <c r="K698" s="8"/>
    </row>
    <row r="699" spans="1:11" x14ac:dyDescent="0.25">
      <c r="A699" s="44"/>
      <c r="B699" s="44"/>
      <c r="C699" s="44"/>
      <c r="D699" s="44"/>
      <c r="E699" s="44"/>
      <c r="F699" s="44"/>
      <c r="G699" s="44"/>
      <c r="H699" s="44"/>
      <c r="I699" s="44"/>
      <c r="J699" s="8"/>
      <c r="K699" s="8"/>
    </row>
    <row r="700" spans="1:11" x14ac:dyDescent="0.25">
      <c r="A700" s="44"/>
      <c r="B700" s="44"/>
      <c r="C700" s="44"/>
      <c r="D700" s="44"/>
      <c r="E700" s="44"/>
      <c r="F700" s="44"/>
      <c r="G700" s="44"/>
      <c r="H700" s="44"/>
      <c r="I700" s="44"/>
      <c r="J700" s="8"/>
      <c r="K700" s="8"/>
    </row>
    <row r="701" spans="1:11" x14ac:dyDescent="0.25">
      <c r="A701" s="44"/>
      <c r="B701" s="44"/>
      <c r="C701" s="44"/>
      <c r="D701" s="44"/>
      <c r="E701" s="44"/>
      <c r="F701" s="44"/>
      <c r="G701" s="44"/>
      <c r="H701" s="44"/>
      <c r="I701" s="44"/>
      <c r="J701" s="8"/>
      <c r="K701" s="8"/>
    </row>
    <row r="702" spans="1:11" x14ac:dyDescent="0.25">
      <c r="A702" s="44"/>
      <c r="B702" s="44"/>
      <c r="C702" s="44"/>
      <c r="D702" s="44"/>
      <c r="E702" s="44"/>
      <c r="F702" s="44"/>
      <c r="G702" s="44"/>
      <c r="H702" s="44"/>
      <c r="I702" s="44"/>
      <c r="J702" s="8"/>
      <c r="K702" s="8"/>
    </row>
    <row r="703" spans="1:11" x14ac:dyDescent="0.25">
      <c r="A703" s="44"/>
      <c r="B703" s="44"/>
      <c r="C703" s="44"/>
      <c r="D703" s="44"/>
      <c r="E703" s="44"/>
      <c r="F703" s="44"/>
      <c r="G703" s="44"/>
      <c r="H703" s="44"/>
      <c r="I703" s="44"/>
      <c r="J703" s="8"/>
      <c r="K703" s="8"/>
    </row>
    <row r="704" spans="1:11" x14ac:dyDescent="0.25">
      <c r="A704" s="44"/>
      <c r="B704" s="44"/>
      <c r="C704" s="44"/>
      <c r="D704" s="44"/>
      <c r="E704" s="44"/>
      <c r="F704" s="44"/>
      <c r="G704" s="44"/>
      <c r="H704" s="44"/>
      <c r="I704" s="44"/>
      <c r="J704" s="8"/>
      <c r="K704" s="8"/>
    </row>
    <row r="705" spans="1:11" x14ac:dyDescent="0.25">
      <c r="A705" s="44"/>
      <c r="B705" s="44"/>
      <c r="C705" s="44"/>
      <c r="D705" s="44"/>
      <c r="E705" s="44"/>
      <c r="F705" s="44"/>
      <c r="G705" s="44"/>
      <c r="H705" s="44"/>
      <c r="I705" s="44"/>
      <c r="J705" s="8"/>
      <c r="K705" s="8"/>
    </row>
    <row r="706" spans="1:11" x14ac:dyDescent="0.25">
      <c r="A706" s="44"/>
      <c r="B706" s="44"/>
      <c r="C706" s="44"/>
      <c r="D706" s="44"/>
      <c r="E706" s="44"/>
      <c r="F706" s="44"/>
      <c r="G706" s="44"/>
      <c r="H706" s="44"/>
      <c r="I706" s="44"/>
      <c r="J706" s="8"/>
      <c r="K706" s="8"/>
    </row>
    <row r="707" spans="1:11" x14ac:dyDescent="0.25">
      <c r="A707" s="44"/>
      <c r="B707" s="44"/>
      <c r="C707" s="44"/>
      <c r="D707" s="44"/>
      <c r="E707" s="44"/>
      <c r="F707" s="44"/>
      <c r="G707" s="44"/>
      <c r="H707" s="44"/>
      <c r="I707" s="44"/>
      <c r="J707" s="8"/>
      <c r="K707" s="8"/>
    </row>
    <row r="708" spans="1:11" x14ac:dyDescent="0.25">
      <c r="A708" s="44"/>
      <c r="B708" s="44"/>
      <c r="C708" s="44"/>
      <c r="D708" s="44"/>
      <c r="E708" s="44"/>
      <c r="F708" s="44"/>
      <c r="G708" s="44"/>
      <c r="H708" s="44"/>
      <c r="I708" s="44"/>
      <c r="J708" s="8"/>
      <c r="K708" s="8"/>
    </row>
    <row r="709" spans="1:11" x14ac:dyDescent="0.25">
      <c r="A709" s="44"/>
      <c r="B709" s="44"/>
      <c r="C709" s="44"/>
      <c r="D709" s="44"/>
      <c r="E709" s="44"/>
      <c r="F709" s="44"/>
      <c r="G709" s="44"/>
      <c r="H709" s="44"/>
      <c r="I709" s="44"/>
      <c r="J709" s="8"/>
      <c r="K709" s="8"/>
    </row>
    <row r="710" spans="1:11" x14ac:dyDescent="0.25">
      <c r="A710" s="44"/>
      <c r="B710" s="44"/>
      <c r="C710" s="44"/>
      <c r="D710" s="44"/>
      <c r="E710" s="44"/>
      <c r="F710" s="44"/>
      <c r="G710" s="44"/>
      <c r="H710" s="44"/>
      <c r="I710" s="44"/>
      <c r="J710" s="8"/>
      <c r="K710" s="8"/>
    </row>
    <row r="711" spans="1:11" x14ac:dyDescent="0.25">
      <c r="A711" s="44"/>
      <c r="B711" s="44"/>
      <c r="C711" s="44"/>
      <c r="D711" s="44"/>
      <c r="E711" s="44"/>
      <c r="F711" s="44"/>
      <c r="G711" s="44"/>
      <c r="H711" s="44"/>
      <c r="I711" s="44"/>
      <c r="J711" s="8"/>
      <c r="K711" s="8"/>
    </row>
    <row r="712" spans="1:11" x14ac:dyDescent="0.25">
      <c r="A712" s="44"/>
      <c r="B712" s="44"/>
      <c r="C712" s="44"/>
      <c r="D712" s="44"/>
      <c r="E712" s="44"/>
      <c r="F712" s="44"/>
      <c r="G712" s="44"/>
      <c r="H712" s="44"/>
      <c r="I712" s="44"/>
      <c r="J712" s="8"/>
      <c r="K712" s="8"/>
    </row>
    <row r="713" spans="1:11" x14ac:dyDescent="0.25">
      <c r="A713" s="44"/>
      <c r="B713" s="44"/>
      <c r="C713" s="44"/>
      <c r="D713" s="44"/>
      <c r="E713" s="44"/>
      <c r="F713" s="44"/>
      <c r="G713" s="44"/>
      <c r="H713" s="44"/>
      <c r="I713" s="44"/>
      <c r="J713" s="8"/>
      <c r="K713" s="8"/>
    </row>
    <row r="714" spans="1:11" x14ac:dyDescent="0.25">
      <c r="A714" s="44"/>
      <c r="B714" s="44"/>
      <c r="C714" s="44"/>
      <c r="D714" s="44"/>
      <c r="E714" s="44"/>
      <c r="F714" s="44"/>
      <c r="G714" s="44"/>
      <c r="H714" s="44"/>
      <c r="I714" s="44"/>
      <c r="J714" s="8"/>
      <c r="K714" s="8"/>
    </row>
    <row r="715" spans="1:11" x14ac:dyDescent="0.25">
      <c r="A715" s="44"/>
      <c r="B715" s="44"/>
      <c r="C715" s="44"/>
      <c r="D715" s="44"/>
      <c r="E715" s="44"/>
      <c r="F715" s="44"/>
      <c r="G715" s="44"/>
      <c r="H715" s="44"/>
      <c r="I715" s="44"/>
      <c r="J715" s="8"/>
      <c r="K715" s="8"/>
    </row>
    <row r="716" spans="1:11" x14ac:dyDescent="0.25">
      <c r="A716" s="44"/>
      <c r="B716" s="44"/>
      <c r="C716" s="44"/>
      <c r="D716" s="44"/>
      <c r="E716" s="44"/>
      <c r="F716" s="44"/>
      <c r="G716" s="44"/>
      <c r="H716" s="44"/>
      <c r="I716" s="44"/>
      <c r="J716" s="8"/>
      <c r="K716" s="8"/>
    </row>
    <row r="717" spans="1:11" x14ac:dyDescent="0.25">
      <c r="A717" s="44"/>
      <c r="B717" s="44"/>
      <c r="C717" s="44"/>
      <c r="D717" s="44"/>
      <c r="E717" s="44"/>
      <c r="F717" s="44"/>
      <c r="G717" s="44"/>
      <c r="H717" s="44"/>
      <c r="I717" s="44"/>
      <c r="J717" s="8"/>
      <c r="K717" s="8"/>
    </row>
    <row r="718" spans="1:11" x14ac:dyDescent="0.25">
      <c r="A718" s="44"/>
      <c r="B718" s="44"/>
      <c r="C718" s="44"/>
      <c r="D718" s="44"/>
      <c r="E718" s="44"/>
      <c r="F718" s="44"/>
      <c r="G718" s="44"/>
      <c r="H718" s="44"/>
      <c r="I718" s="44"/>
      <c r="J718" s="8"/>
      <c r="K718" s="8"/>
    </row>
    <row r="719" spans="1:11" x14ac:dyDescent="0.25">
      <c r="A719" s="44"/>
      <c r="B719" s="44"/>
      <c r="C719" s="44"/>
      <c r="D719" s="44"/>
      <c r="E719" s="44"/>
      <c r="F719" s="44"/>
      <c r="G719" s="44"/>
      <c r="H719" s="44"/>
      <c r="I719" s="44"/>
      <c r="J719" s="8"/>
      <c r="K719" s="8"/>
    </row>
    <row r="720" spans="1:11" x14ac:dyDescent="0.25">
      <c r="A720" s="44"/>
      <c r="B720" s="44"/>
      <c r="C720" s="44"/>
      <c r="D720" s="44"/>
      <c r="E720" s="44"/>
      <c r="F720" s="44"/>
      <c r="G720" s="44"/>
      <c r="H720" s="44"/>
      <c r="I720" s="44"/>
      <c r="J720" s="8"/>
      <c r="K720" s="8"/>
    </row>
    <row r="721" spans="1:11" x14ac:dyDescent="0.25">
      <c r="A721" s="44"/>
      <c r="B721" s="44"/>
      <c r="C721" s="44"/>
      <c r="D721" s="44"/>
      <c r="E721" s="44"/>
      <c r="F721" s="44"/>
      <c r="G721" s="44"/>
      <c r="H721" s="44"/>
      <c r="I721" s="44"/>
      <c r="J721" s="8"/>
      <c r="K721" s="8"/>
    </row>
    <row r="722" spans="1:11" x14ac:dyDescent="0.25">
      <c r="A722" s="44"/>
      <c r="B722" s="44"/>
      <c r="C722" s="44"/>
      <c r="D722" s="44"/>
      <c r="E722" s="44"/>
      <c r="F722" s="44"/>
      <c r="G722" s="44"/>
      <c r="H722" s="44"/>
      <c r="I722" s="44"/>
      <c r="J722" s="8"/>
      <c r="K722" s="8"/>
    </row>
    <row r="723" spans="1:11" x14ac:dyDescent="0.25">
      <c r="A723" s="44"/>
      <c r="B723" s="44"/>
      <c r="C723" s="44"/>
      <c r="D723" s="44"/>
      <c r="E723" s="44"/>
      <c r="F723" s="44"/>
      <c r="G723" s="44"/>
      <c r="H723" s="44"/>
      <c r="I723" s="44"/>
      <c r="J723" s="8"/>
      <c r="K723" s="8"/>
    </row>
    <row r="724" spans="1:11" x14ac:dyDescent="0.25">
      <c r="A724" s="44"/>
      <c r="B724" s="44"/>
      <c r="C724" s="44"/>
      <c r="D724" s="44"/>
      <c r="E724" s="44"/>
      <c r="F724" s="44"/>
      <c r="G724" s="44"/>
      <c r="H724" s="44"/>
      <c r="I724" s="44"/>
      <c r="J724" s="8"/>
      <c r="K724" s="8"/>
    </row>
    <row r="725" spans="1:11" x14ac:dyDescent="0.25">
      <c r="A725" s="44"/>
      <c r="B725" s="44"/>
      <c r="C725" s="44"/>
      <c r="D725" s="44"/>
      <c r="E725" s="44"/>
      <c r="F725" s="44"/>
      <c r="G725" s="44"/>
      <c r="H725" s="44"/>
      <c r="I725" s="44"/>
      <c r="J725" s="8"/>
      <c r="K725" s="8"/>
    </row>
    <row r="726" spans="1:11" x14ac:dyDescent="0.25">
      <c r="A726" s="44"/>
      <c r="B726" s="44"/>
      <c r="C726" s="44"/>
      <c r="D726" s="44"/>
      <c r="E726" s="44"/>
      <c r="F726" s="44"/>
      <c r="G726" s="44"/>
      <c r="H726" s="44"/>
      <c r="I726" s="44"/>
      <c r="J726" s="8"/>
      <c r="K726" s="8"/>
    </row>
    <row r="727" spans="1:11" x14ac:dyDescent="0.25">
      <c r="A727" s="44"/>
      <c r="B727" s="44"/>
      <c r="C727" s="44"/>
      <c r="D727" s="44"/>
      <c r="E727" s="44"/>
      <c r="F727" s="44"/>
      <c r="G727" s="44"/>
      <c r="H727" s="44"/>
      <c r="I727" s="44"/>
      <c r="J727" s="8"/>
      <c r="K727" s="8"/>
    </row>
    <row r="728" spans="1:11" x14ac:dyDescent="0.25">
      <c r="A728" s="44"/>
      <c r="B728" s="44"/>
      <c r="C728" s="44"/>
      <c r="D728" s="44"/>
      <c r="E728" s="44"/>
      <c r="F728" s="44"/>
      <c r="G728" s="44"/>
      <c r="H728" s="44"/>
      <c r="I728" s="44"/>
      <c r="J728" s="8"/>
      <c r="K728" s="8"/>
    </row>
    <row r="729" spans="1:11" x14ac:dyDescent="0.25">
      <c r="A729" s="44"/>
      <c r="B729" s="44"/>
      <c r="C729" s="44"/>
      <c r="D729" s="44"/>
      <c r="E729" s="44"/>
      <c r="F729" s="44"/>
      <c r="G729" s="44"/>
      <c r="H729" s="44"/>
      <c r="I729" s="44"/>
      <c r="J729" s="8"/>
      <c r="K729" s="8"/>
    </row>
    <row r="730" spans="1:11" x14ac:dyDescent="0.25">
      <c r="A730" s="44"/>
      <c r="B730" s="44"/>
      <c r="C730" s="44"/>
      <c r="D730" s="44"/>
      <c r="E730" s="44"/>
      <c r="F730" s="44"/>
      <c r="G730" s="44"/>
      <c r="H730" s="44"/>
      <c r="I730" s="44"/>
      <c r="J730" s="8"/>
      <c r="K730" s="8"/>
    </row>
    <row r="731" spans="1:11" x14ac:dyDescent="0.25">
      <c r="A731" s="44"/>
      <c r="B731" s="44"/>
      <c r="C731" s="44"/>
      <c r="D731" s="44"/>
      <c r="E731" s="44"/>
      <c r="F731" s="44"/>
      <c r="G731" s="44"/>
      <c r="H731" s="44"/>
      <c r="I731" s="44"/>
      <c r="J731" s="8"/>
      <c r="K731" s="8"/>
    </row>
    <row r="732" spans="1:11" x14ac:dyDescent="0.25">
      <c r="A732" s="44"/>
      <c r="B732" s="44"/>
      <c r="C732" s="44"/>
      <c r="D732" s="44"/>
      <c r="E732" s="44"/>
      <c r="F732" s="44"/>
      <c r="G732" s="44"/>
      <c r="H732" s="44"/>
      <c r="I732" s="44"/>
      <c r="J732" s="8"/>
      <c r="K732" s="8"/>
    </row>
    <row r="733" spans="1:11" x14ac:dyDescent="0.25">
      <c r="A733" s="44"/>
      <c r="B733" s="44"/>
      <c r="C733" s="44"/>
      <c r="D733" s="44"/>
      <c r="E733" s="44"/>
      <c r="F733" s="44"/>
      <c r="G733" s="44"/>
      <c r="H733" s="44"/>
      <c r="I733" s="44"/>
      <c r="J733" s="8"/>
      <c r="K733" s="8"/>
    </row>
    <row r="734" spans="1:11" x14ac:dyDescent="0.25">
      <c r="A734" s="44"/>
      <c r="B734" s="44"/>
      <c r="C734" s="44"/>
      <c r="D734" s="44"/>
      <c r="E734" s="44"/>
      <c r="F734" s="44"/>
      <c r="G734" s="44"/>
      <c r="H734" s="44"/>
      <c r="I734" s="44"/>
      <c r="J734" s="8"/>
      <c r="K734" s="8"/>
    </row>
    <row r="735" spans="1:11" x14ac:dyDescent="0.25">
      <c r="A735" s="44"/>
      <c r="B735" s="44"/>
      <c r="C735" s="44"/>
      <c r="D735" s="44"/>
      <c r="E735" s="44"/>
      <c r="F735" s="44"/>
      <c r="G735" s="44"/>
      <c r="H735" s="44"/>
      <c r="I735" s="44"/>
      <c r="J735" s="8"/>
      <c r="K735" s="8"/>
    </row>
    <row r="736" spans="1:11" x14ac:dyDescent="0.25">
      <c r="A736" s="44"/>
      <c r="B736" s="44"/>
      <c r="C736" s="44"/>
      <c r="D736" s="44"/>
      <c r="E736" s="44"/>
      <c r="F736" s="44"/>
      <c r="G736" s="44"/>
      <c r="H736" s="44"/>
      <c r="I736" s="44"/>
      <c r="J736" s="8"/>
      <c r="K736" s="8"/>
    </row>
    <row r="737" spans="1:11" x14ac:dyDescent="0.25">
      <c r="A737" s="44"/>
      <c r="B737" s="44"/>
      <c r="C737" s="44"/>
      <c r="D737" s="44"/>
      <c r="E737" s="44"/>
      <c r="F737" s="44"/>
      <c r="G737" s="44"/>
      <c r="H737" s="44"/>
      <c r="I737" s="44"/>
      <c r="J737" s="8"/>
      <c r="K737" s="8"/>
    </row>
    <row r="738" spans="1:11" x14ac:dyDescent="0.25">
      <c r="A738" s="44"/>
      <c r="B738" s="44"/>
      <c r="C738" s="44"/>
      <c r="D738" s="44"/>
      <c r="E738" s="44"/>
      <c r="F738" s="44"/>
      <c r="G738" s="44"/>
      <c r="H738" s="44"/>
      <c r="I738" s="44"/>
      <c r="J738" s="8"/>
      <c r="K738" s="8"/>
    </row>
    <row r="739" spans="1:11" x14ac:dyDescent="0.25">
      <c r="A739" s="44"/>
      <c r="B739" s="44"/>
      <c r="C739" s="44"/>
      <c r="D739" s="44"/>
      <c r="E739" s="44"/>
      <c r="F739" s="44"/>
      <c r="G739" s="44"/>
      <c r="H739" s="44"/>
      <c r="I739" s="44"/>
      <c r="J739" s="8"/>
      <c r="K739" s="8"/>
    </row>
    <row r="740" spans="1:11" x14ac:dyDescent="0.25">
      <c r="A740" s="44"/>
      <c r="B740" s="44"/>
      <c r="C740" s="44"/>
      <c r="D740" s="44"/>
      <c r="E740" s="44"/>
      <c r="F740" s="44"/>
      <c r="G740" s="44"/>
      <c r="H740" s="44"/>
      <c r="I740" s="44"/>
      <c r="J740" s="8"/>
      <c r="K740" s="8"/>
    </row>
    <row r="741" spans="1:11" x14ac:dyDescent="0.25">
      <c r="A741" s="44"/>
      <c r="B741" s="44"/>
      <c r="C741" s="44"/>
      <c r="D741" s="44"/>
      <c r="E741" s="44"/>
      <c r="F741" s="44"/>
      <c r="G741" s="44"/>
      <c r="H741" s="44"/>
      <c r="I741" s="44"/>
      <c r="J741" s="8"/>
      <c r="K741" s="8"/>
    </row>
    <row r="742" spans="1:11" x14ac:dyDescent="0.25">
      <c r="A742" s="44"/>
      <c r="B742" s="44"/>
      <c r="C742" s="44"/>
      <c r="D742" s="44"/>
      <c r="E742" s="44"/>
      <c r="F742" s="44"/>
      <c r="G742" s="44"/>
      <c r="H742" s="44"/>
      <c r="I742" s="44"/>
      <c r="J742" s="8"/>
      <c r="K742" s="8"/>
    </row>
    <row r="743" spans="1:11" x14ac:dyDescent="0.25">
      <c r="A743" s="44"/>
      <c r="B743" s="44"/>
      <c r="C743" s="44"/>
      <c r="D743" s="44"/>
      <c r="E743" s="44"/>
      <c r="F743" s="44"/>
      <c r="G743" s="44"/>
      <c r="H743" s="44"/>
      <c r="I743" s="44"/>
      <c r="J743" s="8"/>
      <c r="K743" s="8"/>
    </row>
    <row r="744" spans="1:11" x14ac:dyDescent="0.25">
      <c r="A744" s="44"/>
      <c r="B744" s="44"/>
      <c r="C744" s="44"/>
      <c r="D744" s="44"/>
      <c r="E744" s="44"/>
      <c r="F744" s="44"/>
      <c r="G744" s="44"/>
      <c r="H744" s="44"/>
      <c r="I744" s="44"/>
      <c r="J744" s="8"/>
      <c r="K744" s="8"/>
    </row>
    <row r="745" spans="1:11" x14ac:dyDescent="0.25">
      <c r="A745" s="44"/>
      <c r="B745" s="44"/>
      <c r="C745" s="44"/>
      <c r="D745" s="44"/>
      <c r="E745" s="44"/>
      <c r="F745" s="44"/>
      <c r="G745" s="44"/>
      <c r="H745" s="44"/>
      <c r="I745" s="44"/>
      <c r="J745" s="8"/>
      <c r="K745" s="8"/>
    </row>
    <row r="746" spans="1:11" x14ac:dyDescent="0.25">
      <c r="A746" s="44"/>
      <c r="B746" s="44"/>
      <c r="C746" s="44"/>
      <c r="D746" s="44"/>
      <c r="E746" s="44"/>
      <c r="F746" s="44"/>
      <c r="G746" s="44"/>
      <c r="H746" s="44"/>
      <c r="I746" s="44"/>
      <c r="J746" s="8"/>
      <c r="K746" s="8"/>
    </row>
    <row r="747" spans="1:11" x14ac:dyDescent="0.25">
      <c r="A747" s="44"/>
      <c r="B747" s="44"/>
      <c r="C747" s="44"/>
      <c r="D747" s="44"/>
      <c r="E747" s="44"/>
      <c r="F747" s="44"/>
      <c r="G747" s="44"/>
      <c r="H747" s="44"/>
      <c r="I747" s="44"/>
      <c r="J747" s="8"/>
      <c r="K747" s="8"/>
    </row>
    <row r="748" spans="1:11" x14ac:dyDescent="0.25">
      <c r="A748" s="44"/>
      <c r="B748" s="44"/>
      <c r="C748" s="44"/>
      <c r="D748" s="44"/>
      <c r="E748" s="44"/>
      <c r="F748" s="44"/>
      <c r="G748" s="44"/>
      <c r="H748" s="44"/>
      <c r="I748" s="44"/>
      <c r="J748" s="8"/>
      <c r="K748" s="8"/>
    </row>
    <row r="749" spans="1:11" x14ac:dyDescent="0.25">
      <c r="A749" s="44"/>
      <c r="B749" s="44"/>
      <c r="C749" s="44"/>
      <c r="D749" s="44"/>
      <c r="E749" s="44"/>
      <c r="F749" s="44"/>
      <c r="G749" s="44"/>
      <c r="H749" s="44"/>
      <c r="I749" s="44"/>
      <c r="J749" s="8"/>
      <c r="K749" s="8"/>
    </row>
    <row r="750" spans="1:11" x14ac:dyDescent="0.25">
      <c r="A750" s="44"/>
      <c r="B750" s="44"/>
      <c r="C750" s="44"/>
      <c r="D750" s="44"/>
      <c r="E750" s="44"/>
      <c r="F750" s="44"/>
      <c r="G750" s="44"/>
      <c r="H750" s="44"/>
      <c r="I750" s="44"/>
      <c r="J750" s="8"/>
      <c r="K750" s="8"/>
    </row>
    <row r="751" spans="1:11" x14ac:dyDescent="0.25">
      <c r="A751" s="44"/>
      <c r="B751" s="44"/>
      <c r="C751" s="44"/>
      <c r="D751" s="44"/>
      <c r="E751" s="44"/>
      <c r="F751" s="44"/>
      <c r="G751" s="44"/>
      <c r="H751" s="44"/>
      <c r="I751" s="44"/>
      <c r="J751" s="8"/>
      <c r="K751" s="8"/>
    </row>
    <row r="752" spans="1:11" x14ac:dyDescent="0.25">
      <c r="A752" s="44"/>
      <c r="B752" s="44"/>
      <c r="C752" s="44"/>
      <c r="D752" s="44"/>
      <c r="E752" s="44"/>
      <c r="F752" s="44"/>
      <c r="G752" s="44"/>
      <c r="H752" s="44"/>
      <c r="I752" s="44"/>
      <c r="J752" s="8"/>
      <c r="K752" s="8"/>
    </row>
    <row r="753" spans="1:11" x14ac:dyDescent="0.25">
      <c r="A753" s="44"/>
      <c r="B753" s="44"/>
      <c r="C753" s="44"/>
      <c r="D753" s="44"/>
      <c r="E753" s="44"/>
      <c r="F753" s="44"/>
      <c r="G753" s="44"/>
      <c r="H753" s="44"/>
      <c r="I753" s="44"/>
      <c r="J753" s="8"/>
      <c r="K753" s="8"/>
    </row>
    <row r="754" spans="1:11" x14ac:dyDescent="0.25">
      <c r="A754" s="44"/>
      <c r="B754" s="44"/>
      <c r="C754" s="44"/>
      <c r="D754" s="44"/>
      <c r="E754" s="44"/>
      <c r="F754" s="44"/>
      <c r="G754" s="44"/>
      <c r="H754" s="44"/>
      <c r="I754" s="44"/>
      <c r="J754" s="8"/>
      <c r="K754" s="8"/>
    </row>
    <row r="755" spans="1:11" x14ac:dyDescent="0.25">
      <c r="A755" s="44"/>
      <c r="B755" s="44"/>
      <c r="C755" s="44"/>
      <c r="D755" s="44"/>
      <c r="E755" s="44"/>
      <c r="F755" s="44"/>
      <c r="G755" s="44"/>
      <c r="H755" s="44"/>
      <c r="I755" s="44"/>
      <c r="J755" s="8"/>
      <c r="K755" s="8"/>
    </row>
    <row r="756" spans="1:11" x14ac:dyDescent="0.25">
      <c r="A756" s="44"/>
      <c r="B756" s="44"/>
      <c r="C756" s="44"/>
      <c r="D756" s="44"/>
      <c r="E756" s="44"/>
      <c r="F756" s="44"/>
      <c r="G756" s="44"/>
      <c r="H756" s="44"/>
      <c r="I756" s="44"/>
      <c r="J756" s="8"/>
      <c r="K756" s="8"/>
    </row>
    <row r="757" spans="1:11" x14ac:dyDescent="0.25">
      <c r="A757" s="44"/>
      <c r="B757" s="44"/>
      <c r="C757" s="44"/>
      <c r="D757" s="44"/>
      <c r="E757" s="44"/>
      <c r="F757" s="44"/>
      <c r="G757" s="44"/>
      <c r="H757" s="44"/>
      <c r="I757" s="44"/>
      <c r="J757" s="8"/>
      <c r="K757" s="8"/>
    </row>
    <row r="758" spans="1:11" x14ac:dyDescent="0.25">
      <c r="A758" s="44"/>
      <c r="B758" s="44"/>
      <c r="C758" s="44"/>
      <c r="D758" s="44"/>
      <c r="E758" s="44"/>
      <c r="F758" s="44"/>
      <c r="G758" s="44"/>
      <c r="H758" s="44"/>
      <c r="I758" s="44"/>
      <c r="J758" s="8"/>
      <c r="K758" s="8"/>
    </row>
    <row r="759" spans="1:11" x14ac:dyDescent="0.25">
      <c r="A759" s="44"/>
      <c r="B759" s="44"/>
      <c r="C759" s="44"/>
      <c r="D759" s="44"/>
      <c r="E759" s="44"/>
      <c r="F759" s="44"/>
      <c r="G759" s="44"/>
      <c r="H759" s="44"/>
      <c r="I759" s="44"/>
      <c r="J759" s="8"/>
      <c r="K759" s="8"/>
    </row>
    <row r="760" spans="1:11" x14ac:dyDescent="0.25">
      <c r="A760" s="44"/>
      <c r="B760" s="44"/>
      <c r="C760" s="44"/>
      <c r="D760" s="44"/>
      <c r="E760" s="44"/>
      <c r="F760" s="44"/>
      <c r="G760" s="44"/>
      <c r="H760" s="44"/>
      <c r="I760" s="44"/>
      <c r="J760" s="8"/>
      <c r="K760" s="8"/>
    </row>
    <row r="761" spans="1:11" x14ac:dyDescent="0.25">
      <c r="A761" s="44"/>
      <c r="B761" s="44"/>
      <c r="C761" s="44"/>
      <c r="D761" s="44"/>
      <c r="E761" s="44"/>
      <c r="F761" s="44"/>
      <c r="G761" s="44"/>
      <c r="H761" s="44"/>
      <c r="I761" s="44"/>
      <c r="J761" s="8"/>
      <c r="K761" s="8"/>
    </row>
    <row r="762" spans="1:11" x14ac:dyDescent="0.25">
      <c r="A762" s="44"/>
      <c r="B762" s="44"/>
      <c r="C762" s="44"/>
      <c r="D762" s="44"/>
      <c r="E762" s="44"/>
      <c r="F762" s="44"/>
      <c r="G762" s="44"/>
      <c r="H762" s="44"/>
      <c r="I762" s="44"/>
      <c r="J762" s="8"/>
      <c r="K762" s="8"/>
    </row>
    <row r="763" spans="1:11" x14ac:dyDescent="0.25">
      <c r="A763" s="44"/>
      <c r="B763" s="44"/>
      <c r="C763" s="44"/>
      <c r="D763" s="44"/>
      <c r="E763" s="44"/>
      <c r="F763" s="44"/>
      <c r="G763" s="44"/>
      <c r="H763" s="44"/>
      <c r="I763" s="44"/>
      <c r="J763" s="8"/>
      <c r="K763" s="8"/>
    </row>
    <row r="764" spans="1:11" x14ac:dyDescent="0.25">
      <c r="A764" s="44"/>
      <c r="B764" s="44"/>
      <c r="C764" s="44"/>
      <c r="D764" s="44"/>
      <c r="E764" s="44"/>
      <c r="F764" s="44"/>
      <c r="G764" s="44"/>
      <c r="H764" s="44"/>
      <c r="I764" s="44"/>
      <c r="J764" s="8"/>
      <c r="K764" s="8"/>
    </row>
    <row r="765" spans="1:11" x14ac:dyDescent="0.25">
      <c r="A765" s="44"/>
      <c r="B765" s="44"/>
      <c r="C765" s="44"/>
      <c r="D765" s="44"/>
      <c r="E765" s="44"/>
      <c r="F765" s="44"/>
      <c r="G765" s="44"/>
      <c r="H765" s="44"/>
      <c r="I765" s="44"/>
      <c r="J765" s="8"/>
      <c r="K765" s="8"/>
    </row>
    <row r="766" spans="1:11" x14ac:dyDescent="0.25">
      <c r="A766" s="44"/>
      <c r="B766" s="44"/>
      <c r="C766" s="44"/>
      <c r="D766" s="44"/>
      <c r="E766" s="44"/>
      <c r="F766" s="44"/>
      <c r="G766" s="44"/>
      <c r="H766" s="44"/>
      <c r="I766" s="44"/>
      <c r="J766" s="8"/>
      <c r="K766" s="8"/>
    </row>
    <row r="767" spans="1:11" x14ac:dyDescent="0.25">
      <c r="A767" s="44"/>
      <c r="B767" s="44"/>
      <c r="C767" s="44"/>
      <c r="D767" s="44"/>
      <c r="E767" s="44"/>
      <c r="F767" s="44"/>
      <c r="G767" s="44"/>
      <c r="H767" s="44"/>
      <c r="I767" s="44"/>
      <c r="J767" s="8"/>
      <c r="K767" s="8"/>
    </row>
    <row r="768" spans="1:11" x14ac:dyDescent="0.25">
      <c r="A768" s="44"/>
      <c r="B768" s="44"/>
      <c r="C768" s="44"/>
      <c r="D768" s="44"/>
      <c r="E768" s="44"/>
      <c r="F768" s="44"/>
      <c r="G768" s="44"/>
      <c r="H768" s="44"/>
      <c r="I768" s="44"/>
      <c r="J768" s="8"/>
      <c r="K768" s="8"/>
    </row>
    <row r="769" spans="1:11" x14ac:dyDescent="0.25">
      <c r="A769" s="44"/>
      <c r="B769" s="44"/>
      <c r="C769" s="44"/>
      <c r="D769" s="44"/>
      <c r="E769" s="44"/>
      <c r="F769" s="44"/>
      <c r="G769" s="44"/>
      <c r="H769" s="44"/>
      <c r="I769" s="44"/>
      <c r="J769" s="8"/>
      <c r="K769" s="8"/>
    </row>
    <row r="770" spans="1:11" x14ac:dyDescent="0.25">
      <c r="A770" s="44"/>
      <c r="B770" s="44"/>
      <c r="C770" s="44"/>
      <c r="D770" s="44"/>
      <c r="E770" s="44"/>
      <c r="F770" s="44"/>
      <c r="G770" s="44"/>
      <c r="H770" s="44"/>
      <c r="I770" s="44"/>
      <c r="J770" s="8"/>
      <c r="K770" s="8"/>
    </row>
    <row r="771" spans="1:11" x14ac:dyDescent="0.25">
      <c r="A771" s="44"/>
      <c r="B771" s="44"/>
      <c r="C771" s="44"/>
      <c r="D771" s="44"/>
      <c r="E771" s="44"/>
      <c r="F771" s="44"/>
      <c r="G771" s="44"/>
      <c r="H771" s="44"/>
      <c r="I771" s="44"/>
      <c r="J771" s="8"/>
      <c r="K771" s="8"/>
    </row>
    <row r="772" spans="1:11" x14ac:dyDescent="0.25">
      <c r="A772" s="44"/>
      <c r="B772" s="44"/>
      <c r="C772" s="44"/>
      <c r="D772" s="44"/>
      <c r="E772" s="44"/>
      <c r="F772" s="44"/>
      <c r="G772" s="44"/>
      <c r="H772" s="44"/>
      <c r="I772" s="44"/>
      <c r="J772" s="8"/>
      <c r="K772" s="8"/>
    </row>
    <row r="773" spans="1:11" x14ac:dyDescent="0.25">
      <c r="A773" s="44"/>
      <c r="B773" s="44"/>
      <c r="C773" s="44"/>
      <c r="D773" s="44"/>
      <c r="E773" s="44"/>
      <c r="F773" s="44"/>
      <c r="G773" s="44"/>
      <c r="H773" s="44"/>
      <c r="I773" s="44"/>
      <c r="J773" s="8"/>
      <c r="K773" s="8"/>
    </row>
    <row r="774" spans="1:11" x14ac:dyDescent="0.25">
      <c r="A774" s="44"/>
      <c r="B774" s="44"/>
      <c r="C774" s="44"/>
      <c r="D774" s="44"/>
      <c r="E774" s="44"/>
      <c r="F774" s="44"/>
      <c r="G774" s="44"/>
      <c r="H774" s="44"/>
      <c r="I774" s="44"/>
      <c r="J774" s="8"/>
      <c r="K774" s="8"/>
    </row>
    <row r="775" spans="1:11" x14ac:dyDescent="0.25">
      <c r="A775" s="44"/>
      <c r="B775" s="44"/>
      <c r="C775" s="44"/>
      <c r="D775" s="44"/>
      <c r="E775" s="44"/>
      <c r="F775" s="44"/>
      <c r="G775" s="44"/>
      <c r="H775" s="44"/>
      <c r="I775" s="44"/>
      <c r="J775" s="8"/>
      <c r="K775" s="8"/>
    </row>
    <row r="776" spans="1:11" x14ac:dyDescent="0.25">
      <c r="A776" s="44"/>
      <c r="B776" s="44"/>
      <c r="C776" s="44"/>
      <c r="D776" s="44"/>
      <c r="E776" s="44"/>
      <c r="F776" s="44"/>
      <c r="G776" s="44"/>
      <c r="H776" s="44"/>
      <c r="I776" s="44"/>
      <c r="J776" s="8"/>
      <c r="K776" s="8"/>
    </row>
    <row r="777" spans="1:11" x14ac:dyDescent="0.25">
      <c r="A777" s="44"/>
      <c r="B777" s="44"/>
      <c r="C777" s="44"/>
      <c r="D777" s="44"/>
      <c r="E777" s="44"/>
      <c r="F777" s="44"/>
      <c r="G777" s="44"/>
      <c r="H777" s="44"/>
      <c r="I777" s="44"/>
      <c r="J777" s="8"/>
      <c r="K777" s="8"/>
    </row>
    <row r="778" spans="1:11" x14ac:dyDescent="0.25">
      <c r="A778" s="44"/>
      <c r="B778" s="44"/>
      <c r="C778" s="44"/>
      <c r="D778" s="44"/>
      <c r="E778" s="44"/>
      <c r="F778" s="44"/>
      <c r="G778" s="44"/>
      <c r="H778" s="44"/>
      <c r="I778" s="44"/>
      <c r="J778" s="8"/>
      <c r="K778" s="8"/>
    </row>
    <row r="779" spans="1:11" x14ac:dyDescent="0.25">
      <c r="A779" s="44"/>
      <c r="B779" s="44"/>
      <c r="C779" s="44"/>
      <c r="D779" s="44"/>
      <c r="E779" s="44"/>
      <c r="F779" s="44"/>
      <c r="G779" s="44"/>
      <c r="H779" s="44"/>
      <c r="I779" s="44"/>
      <c r="J779" s="8"/>
      <c r="K779" s="8"/>
    </row>
    <row r="780" spans="1:11" x14ac:dyDescent="0.25">
      <c r="A780" s="44"/>
      <c r="B780" s="44"/>
      <c r="C780" s="44"/>
      <c r="D780" s="44"/>
      <c r="E780" s="44"/>
      <c r="F780" s="44"/>
      <c r="G780" s="44"/>
      <c r="H780" s="44"/>
      <c r="I780" s="44"/>
      <c r="J780" s="8"/>
      <c r="K780" s="8"/>
    </row>
    <row r="781" spans="1:11" x14ac:dyDescent="0.25">
      <c r="A781" s="44"/>
      <c r="B781" s="44"/>
      <c r="C781" s="44"/>
      <c r="D781" s="44"/>
      <c r="E781" s="44"/>
      <c r="F781" s="44"/>
      <c r="G781" s="44"/>
      <c r="H781" s="44"/>
      <c r="I781" s="44"/>
      <c r="J781" s="8"/>
      <c r="K781" s="8"/>
    </row>
    <row r="782" spans="1:11" x14ac:dyDescent="0.25">
      <c r="A782" s="44"/>
      <c r="B782" s="44"/>
      <c r="C782" s="44"/>
      <c r="D782" s="44"/>
      <c r="E782" s="44"/>
      <c r="F782" s="44"/>
      <c r="G782" s="44"/>
      <c r="H782" s="44"/>
      <c r="I782" s="44"/>
      <c r="J782" s="8"/>
      <c r="K782" s="8"/>
    </row>
    <row r="783" spans="1:11" x14ac:dyDescent="0.25">
      <c r="A783" s="44"/>
      <c r="B783" s="44"/>
      <c r="C783" s="44"/>
      <c r="D783" s="44"/>
      <c r="E783" s="44"/>
      <c r="F783" s="44"/>
      <c r="G783" s="44"/>
      <c r="H783" s="44"/>
      <c r="I783" s="44"/>
      <c r="J783" s="8"/>
      <c r="K783" s="8"/>
    </row>
    <row r="784" spans="1:11" x14ac:dyDescent="0.25">
      <c r="A784" s="44"/>
      <c r="B784" s="44"/>
      <c r="C784" s="44"/>
      <c r="D784" s="44"/>
      <c r="E784" s="44"/>
      <c r="F784" s="44"/>
      <c r="G784" s="44"/>
      <c r="H784" s="44"/>
      <c r="I784" s="44"/>
      <c r="J784" s="8"/>
      <c r="K784" s="8"/>
    </row>
    <row r="785" spans="1:11" x14ac:dyDescent="0.25">
      <c r="A785" s="44"/>
      <c r="B785" s="44"/>
      <c r="C785" s="44"/>
      <c r="D785" s="44"/>
      <c r="E785" s="44"/>
      <c r="F785" s="44"/>
      <c r="G785" s="44"/>
      <c r="H785" s="44"/>
      <c r="I785" s="44"/>
      <c r="J785" s="8"/>
      <c r="K785" s="8"/>
    </row>
    <row r="786" spans="1:11" x14ac:dyDescent="0.25">
      <c r="A786" s="44"/>
      <c r="B786" s="44"/>
      <c r="C786" s="44"/>
      <c r="D786" s="44"/>
      <c r="E786" s="44"/>
      <c r="F786" s="44"/>
      <c r="G786" s="44"/>
      <c r="H786" s="44"/>
      <c r="I786" s="44"/>
      <c r="J786" s="8"/>
      <c r="K786" s="8"/>
    </row>
    <row r="787" spans="1:11" x14ac:dyDescent="0.25">
      <c r="A787" s="44"/>
      <c r="B787" s="44"/>
      <c r="C787" s="44"/>
      <c r="D787" s="44"/>
      <c r="E787" s="44"/>
      <c r="F787" s="44"/>
      <c r="G787" s="44"/>
      <c r="H787" s="44"/>
      <c r="I787" s="44"/>
      <c r="J787" s="8"/>
      <c r="K787" s="8"/>
    </row>
    <row r="788" spans="1:11" x14ac:dyDescent="0.25">
      <c r="A788" s="44"/>
      <c r="B788" s="44"/>
      <c r="C788" s="44"/>
      <c r="D788" s="44"/>
      <c r="E788" s="44"/>
      <c r="F788" s="44"/>
      <c r="G788" s="44"/>
      <c r="H788" s="44"/>
      <c r="I788" s="44"/>
      <c r="J788" s="8"/>
      <c r="K788" s="8"/>
    </row>
    <row r="789" spans="1:11" x14ac:dyDescent="0.25">
      <c r="A789" s="44"/>
      <c r="B789" s="44"/>
      <c r="C789" s="44"/>
      <c r="D789" s="44"/>
      <c r="E789" s="44"/>
      <c r="F789" s="44"/>
      <c r="G789" s="44"/>
      <c r="H789" s="44"/>
      <c r="I789" s="44"/>
      <c r="J789" s="8"/>
      <c r="K789" s="8"/>
    </row>
    <row r="790" spans="1:11" x14ac:dyDescent="0.25">
      <c r="A790" s="44"/>
      <c r="B790" s="44"/>
      <c r="C790" s="44"/>
      <c r="D790" s="44"/>
      <c r="E790" s="44"/>
      <c r="F790" s="44"/>
      <c r="G790" s="44"/>
      <c r="H790" s="44"/>
      <c r="I790" s="44"/>
      <c r="J790" s="8"/>
      <c r="K790" s="8"/>
    </row>
    <row r="791" spans="1:11" x14ac:dyDescent="0.25">
      <c r="A791" s="44"/>
      <c r="B791" s="44"/>
      <c r="C791" s="44"/>
      <c r="D791" s="44"/>
      <c r="E791" s="44"/>
      <c r="F791" s="44"/>
      <c r="G791" s="44"/>
      <c r="H791" s="44"/>
      <c r="I791" s="44"/>
      <c r="J791" s="8"/>
      <c r="K791" s="8"/>
    </row>
    <row r="792" spans="1:11" x14ac:dyDescent="0.25">
      <c r="A792" s="44"/>
      <c r="B792" s="44"/>
      <c r="C792" s="44"/>
      <c r="D792" s="44"/>
      <c r="E792" s="44"/>
      <c r="F792" s="44"/>
      <c r="G792" s="44"/>
      <c r="H792" s="44"/>
      <c r="I792" s="44"/>
      <c r="J792" s="8"/>
      <c r="K792" s="8"/>
    </row>
    <row r="793" spans="1:11" x14ac:dyDescent="0.25">
      <c r="A793" s="44"/>
      <c r="B793" s="44"/>
      <c r="C793" s="44"/>
      <c r="D793" s="44"/>
      <c r="E793" s="44"/>
      <c r="F793" s="44"/>
      <c r="G793" s="44"/>
      <c r="H793" s="44"/>
      <c r="I793" s="44"/>
      <c r="J793" s="8"/>
      <c r="K793" s="8"/>
    </row>
    <row r="794" spans="1:11" x14ac:dyDescent="0.25">
      <c r="A794" s="44"/>
      <c r="B794" s="44"/>
      <c r="C794" s="44"/>
      <c r="D794" s="44"/>
      <c r="E794" s="44"/>
      <c r="F794" s="44"/>
      <c r="G794" s="44"/>
      <c r="H794" s="44"/>
      <c r="I794" s="44"/>
      <c r="J794" s="8"/>
      <c r="K794" s="8"/>
    </row>
    <row r="795" spans="1:11" x14ac:dyDescent="0.25">
      <c r="A795" s="44"/>
      <c r="B795" s="44"/>
      <c r="C795" s="44"/>
      <c r="D795" s="44"/>
      <c r="E795" s="44"/>
      <c r="F795" s="44"/>
      <c r="G795" s="44"/>
      <c r="H795" s="44"/>
      <c r="I795" s="44"/>
      <c r="J795" s="8"/>
      <c r="K795" s="8"/>
    </row>
    <row r="796" spans="1:11" x14ac:dyDescent="0.25">
      <c r="A796" s="44"/>
      <c r="B796" s="44"/>
      <c r="C796" s="44"/>
      <c r="D796" s="44"/>
      <c r="E796" s="44"/>
      <c r="F796" s="44"/>
      <c r="G796" s="44"/>
      <c r="H796" s="44"/>
      <c r="I796" s="44"/>
      <c r="J796" s="8"/>
      <c r="K796" s="8"/>
    </row>
    <row r="797" spans="1:11" x14ac:dyDescent="0.25">
      <c r="A797" s="44"/>
      <c r="B797" s="44"/>
      <c r="C797" s="44"/>
      <c r="D797" s="44"/>
      <c r="E797" s="44"/>
      <c r="F797" s="44"/>
      <c r="G797" s="44"/>
      <c r="H797" s="44"/>
      <c r="I797" s="44"/>
      <c r="J797" s="8"/>
      <c r="K797" s="8"/>
    </row>
    <row r="798" spans="1:11" x14ac:dyDescent="0.25">
      <c r="A798" s="44"/>
      <c r="B798" s="44"/>
      <c r="C798" s="44"/>
      <c r="D798" s="44"/>
      <c r="E798" s="44"/>
      <c r="F798" s="44"/>
      <c r="G798" s="44"/>
      <c r="H798" s="44"/>
      <c r="I798" s="44"/>
      <c r="J798" s="8"/>
      <c r="K798" s="8"/>
    </row>
    <row r="799" spans="1:11" x14ac:dyDescent="0.25">
      <c r="A799" s="44"/>
      <c r="B799" s="44"/>
      <c r="C799" s="44"/>
      <c r="D799" s="44"/>
      <c r="E799" s="44"/>
      <c r="F799" s="44"/>
      <c r="G799" s="44"/>
      <c r="H799" s="44"/>
      <c r="I799" s="44"/>
      <c r="J799" s="8"/>
      <c r="K799" s="8"/>
    </row>
    <row r="800" spans="1:11" x14ac:dyDescent="0.25">
      <c r="A800" s="44"/>
      <c r="B800" s="44"/>
      <c r="C800" s="44"/>
      <c r="D800" s="44"/>
      <c r="E800" s="44"/>
      <c r="F800" s="44"/>
      <c r="G800" s="44"/>
      <c r="H800" s="44"/>
      <c r="I800" s="44"/>
      <c r="J800" s="8"/>
      <c r="K800" s="8"/>
    </row>
    <row r="801" spans="1:11" x14ac:dyDescent="0.25">
      <c r="A801" s="44"/>
      <c r="B801" s="44"/>
      <c r="C801" s="44"/>
      <c r="D801" s="44"/>
      <c r="E801" s="44"/>
      <c r="F801" s="44"/>
      <c r="G801" s="44"/>
      <c r="H801" s="44"/>
      <c r="I801" s="44"/>
      <c r="J801" s="8"/>
      <c r="K801" s="8"/>
    </row>
    <row r="802" spans="1:11" x14ac:dyDescent="0.25">
      <c r="A802" s="44"/>
      <c r="B802" s="44"/>
      <c r="C802" s="44"/>
      <c r="D802" s="44"/>
      <c r="E802" s="44"/>
      <c r="F802" s="44"/>
      <c r="G802" s="44"/>
      <c r="H802" s="44"/>
      <c r="I802" s="44"/>
      <c r="J802" s="8"/>
      <c r="K802" s="8"/>
    </row>
    <row r="803" spans="1:11" x14ac:dyDescent="0.25">
      <c r="A803" s="44"/>
      <c r="B803" s="44"/>
      <c r="C803" s="44"/>
      <c r="D803" s="44"/>
      <c r="E803" s="44"/>
      <c r="F803" s="44"/>
      <c r="G803" s="44"/>
      <c r="H803" s="44"/>
      <c r="I803" s="44"/>
      <c r="J803" s="8"/>
      <c r="K803" s="8"/>
    </row>
    <row r="804" spans="1:11" x14ac:dyDescent="0.25">
      <c r="A804" s="44"/>
      <c r="B804" s="44"/>
      <c r="C804" s="44"/>
      <c r="D804" s="44"/>
      <c r="E804" s="44"/>
      <c r="F804" s="44"/>
      <c r="G804" s="44"/>
      <c r="H804" s="44"/>
      <c r="I804" s="44"/>
      <c r="J804" s="8"/>
      <c r="K804" s="8"/>
    </row>
    <row r="805" spans="1:11" x14ac:dyDescent="0.25">
      <c r="A805" s="44"/>
      <c r="B805" s="44"/>
      <c r="C805" s="44"/>
      <c r="D805" s="44"/>
      <c r="E805" s="44"/>
      <c r="F805" s="44"/>
      <c r="G805" s="44"/>
      <c r="H805" s="44"/>
      <c r="I805" s="44"/>
      <c r="J805" s="8"/>
      <c r="K805" s="8"/>
    </row>
    <row r="806" spans="1:11" x14ac:dyDescent="0.25">
      <c r="A806" s="44"/>
      <c r="B806" s="44"/>
      <c r="C806" s="44"/>
      <c r="D806" s="44"/>
      <c r="E806" s="44"/>
      <c r="F806" s="44"/>
      <c r="G806" s="44"/>
      <c r="H806" s="44"/>
      <c r="I806" s="44"/>
      <c r="J806" s="8"/>
      <c r="K806" s="8"/>
    </row>
    <row r="807" spans="1:11" x14ac:dyDescent="0.25">
      <c r="A807" s="44"/>
      <c r="B807" s="44"/>
      <c r="C807" s="44"/>
      <c r="D807" s="44"/>
      <c r="E807" s="44"/>
      <c r="F807" s="44"/>
      <c r="G807" s="44"/>
      <c r="H807" s="44"/>
      <c r="I807" s="44"/>
      <c r="J807" s="8"/>
      <c r="K807" s="8"/>
    </row>
    <row r="808" spans="1:11" x14ac:dyDescent="0.25">
      <c r="A808" s="44"/>
      <c r="B808" s="44"/>
      <c r="C808" s="44"/>
      <c r="D808" s="44"/>
      <c r="E808" s="44"/>
      <c r="F808" s="44"/>
      <c r="G808" s="44"/>
      <c r="H808" s="44"/>
      <c r="I808" s="44"/>
      <c r="J808" s="8"/>
      <c r="K808" s="8"/>
    </row>
    <row r="809" spans="1:11" x14ac:dyDescent="0.25">
      <c r="A809" s="44"/>
      <c r="B809" s="44"/>
      <c r="C809" s="44"/>
      <c r="D809" s="44"/>
      <c r="E809" s="44"/>
      <c r="F809" s="44"/>
      <c r="G809" s="44"/>
      <c r="H809" s="44"/>
      <c r="I809" s="44"/>
      <c r="J809" s="8"/>
      <c r="K809" s="8"/>
    </row>
    <row r="810" spans="1:11" x14ac:dyDescent="0.25">
      <c r="A810" s="44"/>
      <c r="B810" s="44"/>
      <c r="C810" s="44"/>
      <c r="D810" s="44"/>
      <c r="E810" s="44"/>
      <c r="F810" s="44"/>
      <c r="G810" s="44"/>
      <c r="H810" s="44"/>
      <c r="I810" s="44"/>
      <c r="J810" s="8"/>
      <c r="K810" s="8"/>
    </row>
    <row r="811" spans="1:11" x14ac:dyDescent="0.25">
      <c r="A811" s="44"/>
      <c r="B811" s="44"/>
      <c r="C811" s="44"/>
      <c r="D811" s="44"/>
      <c r="E811" s="44"/>
      <c r="F811" s="44"/>
      <c r="G811" s="44"/>
      <c r="H811" s="44"/>
      <c r="I811" s="44"/>
      <c r="J811" s="8"/>
      <c r="K811" s="8"/>
    </row>
    <row r="812" spans="1:11" x14ac:dyDescent="0.25">
      <c r="A812" s="44"/>
      <c r="B812" s="44"/>
      <c r="C812" s="44"/>
      <c r="D812" s="44"/>
      <c r="E812" s="44"/>
      <c r="F812" s="44"/>
      <c r="G812" s="44"/>
      <c r="H812" s="44"/>
      <c r="I812" s="44"/>
      <c r="J812" s="8"/>
      <c r="K812" s="8"/>
    </row>
    <row r="813" spans="1:11" x14ac:dyDescent="0.25">
      <c r="A813" s="44"/>
      <c r="B813" s="44"/>
      <c r="C813" s="44"/>
      <c r="D813" s="44"/>
      <c r="E813" s="44"/>
      <c r="F813" s="44"/>
      <c r="G813" s="44"/>
      <c r="H813" s="44"/>
      <c r="I813" s="44"/>
      <c r="J813" s="8"/>
      <c r="K813" s="8"/>
    </row>
    <row r="814" spans="1:11" x14ac:dyDescent="0.25">
      <c r="A814" s="44"/>
      <c r="B814" s="44"/>
      <c r="C814" s="44"/>
      <c r="D814" s="44"/>
      <c r="E814" s="44"/>
      <c r="F814" s="44"/>
      <c r="G814" s="44"/>
      <c r="H814" s="44"/>
      <c r="I814" s="44"/>
      <c r="J814" s="8"/>
      <c r="K814" s="8"/>
    </row>
    <row r="815" spans="1:11" x14ac:dyDescent="0.25">
      <c r="A815" s="44"/>
      <c r="B815" s="44"/>
      <c r="C815" s="44"/>
      <c r="D815" s="44"/>
      <c r="E815" s="44"/>
      <c r="F815" s="44"/>
      <c r="G815" s="44"/>
      <c r="H815" s="44"/>
      <c r="I815" s="44"/>
      <c r="J815" s="8"/>
      <c r="K815" s="8"/>
    </row>
    <row r="816" spans="1:11" x14ac:dyDescent="0.25">
      <c r="A816" s="44"/>
      <c r="B816" s="44"/>
      <c r="C816" s="44"/>
      <c r="D816" s="44"/>
      <c r="E816" s="44"/>
      <c r="F816" s="44"/>
      <c r="G816" s="44"/>
      <c r="H816" s="44"/>
      <c r="I816" s="44"/>
      <c r="J816" s="8"/>
      <c r="K816" s="8"/>
    </row>
    <row r="817" spans="1:11" x14ac:dyDescent="0.25">
      <c r="A817" s="44"/>
      <c r="B817" s="44"/>
      <c r="C817" s="44"/>
      <c r="D817" s="44"/>
      <c r="E817" s="44"/>
      <c r="F817" s="44"/>
      <c r="G817" s="44"/>
      <c r="H817" s="44"/>
      <c r="I817" s="44"/>
      <c r="J817" s="8"/>
      <c r="K817" s="8"/>
    </row>
    <row r="818" spans="1:11" x14ac:dyDescent="0.25">
      <c r="A818" s="44"/>
      <c r="B818" s="44"/>
      <c r="C818" s="44"/>
      <c r="D818" s="44"/>
      <c r="E818" s="44"/>
      <c r="F818" s="44"/>
      <c r="G818" s="44"/>
      <c r="H818" s="44"/>
      <c r="I818" s="44"/>
      <c r="J818" s="8"/>
      <c r="K818" s="8"/>
    </row>
    <row r="819" spans="1:11" x14ac:dyDescent="0.25">
      <c r="A819" s="44"/>
      <c r="B819" s="44"/>
      <c r="C819" s="44"/>
      <c r="D819" s="44"/>
      <c r="E819" s="44"/>
      <c r="F819" s="44"/>
      <c r="G819" s="44"/>
      <c r="H819" s="44"/>
      <c r="I819" s="44"/>
      <c r="J819" s="8"/>
      <c r="K819" s="8"/>
    </row>
    <row r="820" spans="1:11" x14ac:dyDescent="0.25">
      <c r="A820" s="44"/>
      <c r="B820" s="44"/>
      <c r="C820" s="44"/>
      <c r="D820" s="44"/>
      <c r="E820" s="44"/>
      <c r="F820" s="44"/>
      <c r="G820" s="44"/>
      <c r="H820" s="44"/>
      <c r="I820" s="44"/>
      <c r="J820" s="8"/>
      <c r="K820" s="8"/>
    </row>
    <row r="821" spans="1:11" x14ac:dyDescent="0.25">
      <c r="A821" s="44"/>
      <c r="B821" s="44"/>
      <c r="C821" s="44"/>
      <c r="D821" s="44"/>
      <c r="E821" s="44"/>
      <c r="F821" s="44"/>
      <c r="G821" s="44"/>
      <c r="H821" s="44"/>
      <c r="I821" s="44"/>
      <c r="J821" s="8"/>
      <c r="K821" s="8"/>
    </row>
    <row r="822" spans="1:11" x14ac:dyDescent="0.25">
      <c r="A822" s="44"/>
      <c r="B822" s="44"/>
      <c r="C822" s="44"/>
      <c r="D822" s="44"/>
      <c r="E822" s="44"/>
      <c r="F822" s="44"/>
      <c r="G822" s="44"/>
      <c r="H822" s="44"/>
      <c r="I822" s="44"/>
      <c r="J822" s="8"/>
      <c r="K822" s="8"/>
    </row>
    <row r="823" spans="1:11" x14ac:dyDescent="0.25">
      <c r="A823" s="44"/>
      <c r="B823" s="44"/>
      <c r="C823" s="44"/>
      <c r="D823" s="44"/>
      <c r="E823" s="44"/>
      <c r="F823" s="44"/>
      <c r="G823" s="44"/>
      <c r="H823" s="44"/>
      <c r="I823" s="44"/>
      <c r="J823" s="8"/>
      <c r="K823" s="8"/>
    </row>
    <row r="824" spans="1:11" x14ac:dyDescent="0.25">
      <c r="A824" s="44"/>
      <c r="B824" s="44"/>
      <c r="C824" s="44"/>
      <c r="D824" s="44"/>
      <c r="E824" s="44"/>
      <c r="F824" s="44"/>
      <c r="G824" s="44"/>
      <c r="H824" s="44"/>
      <c r="I824" s="44"/>
      <c r="J824" s="8"/>
      <c r="K824" s="8"/>
    </row>
    <row r="825" spans="1:11" x14ac:dyDescent="0.25">
      <c r="A825" s="44"/>
      <c r="B825" s="44"/>
      <c r="C825" s="44"/>
      <c r="D825" s="44"/>
      <c r="E825" s="44"/>
      <c r="F825" s="44"/>
      <c r="G825" s="44"/>
      <c r="H825" s="44"/>
      <c r="I825" s="44"/>
      <c r="J825" s="8"/>
      <c r="K825" s="8"/>
    </row>
    <row r="826" spans="1:11" x14ac:dyDescent="0.25">
      <c r="A826" s="44"/>
      <c r="B826" s="44"/>
      <c r="C826" s="44"/>
      <c r="D826" s="44"/>
      <c r="E826" s="44"/>
      <c r="F826" s="44"/>
      <c r="G826" s="44"/>
      <c r="H826" s="44"/>
      <c r="I826" s="44"/>
      <c r="J826" s="8"/>
      <c r="K826" s="8"/>
    </row>
    <row r="827" spans="1:11" x14ac:dyDescent="0.25">
      <c r="A827" s="44"/>
      <c r="B827" s="44"/>
      <c r="C827" s="44"/>
      <c r="D827" s="44"/>
      <c r="E827" s="44"/>
      <c r="F827" s="44"/>
      <c r="G827" s="44"/>
      <c r="H827" s="44"/>
      <c r="I827" s="44"/>
      <c r="J827" s="8"/>
      <c r="K827" s="8"/>
    </row>
    <row r="828" spans="1:11" x14ac:dyDescent="0.25">
      <c r="A828" s="44"/>
      <c r="B828" s="44"/>
      <c r="C828" s="44"/>
      <c r="D828" s="44"/>
      <c r="E828" s="44"/>
      <c r="F828" s="44"/>
      <c r="G828" s="44"/>
      <c r="H828" s="44"/>
      <c r="I828" s="44"/>
      <c r="J828" s="8"/>
      <c r="K828" s="8"/>
    </row>
    <row r="829" spans="1:11" x14ac:dyDescent="0.25">
      <c r="A829" s="44"/>
      <c r="B829" s="44"/>
      <c r="C829" s="44"/>
      <c r="D829" s="44"/>
      <c r="E829" s="44"/>
      <c r="F829" s="44"/>
      <c r="G829" s="44"/>
      <c r="H829" s="44"/>
      <c r="I829" s="44"/>
      <c r="J829" s="8"/>
      <c r="K829" s="8"/>
    </row>
    <row r="830" spans="1:11" x14ac:dyDescent="0.25">
      <c r="A830" s="44"/>
      <c r="B830" s="44"/>
      <c r="C830" s="44"/>
      <c r="D830" s="44"/>
      <c r="E830" s="44"/>
      <c r="F830" s="44"/>
      <c r="G830" s="44"/>
      <c r="H830" s="44"/>
      <c r="I830" s="44"/>
      <c r="J830" s="8"/>
      <c r="K830" s="8"/>
    </row>
    <row r="831" spans="1:11" x14ac:dyDescent="0.25">
      <c r="A831" s="44"/>
      <c r="B831" s="44"/>
      <c r="C831" s="44"/>
      <c r="D831" s="44"/>
      <c r="E831" s="44"/>
      <c r="F831" s="44"/>
      <c r="G831" s="44"/>
      <c r="H831" s="44"/>
      <c r="I831" s="44"/>
      <c r="J831" s="8"/>
      <c r="K831" s="8"/>
    </row>
    <row r="832" spans="1:11" x14ac:dyDescent="0.25">
      <c r="A832" s="44"/>
      <c r="B832" s="44"/>
      <c r="C832" s="44"/>
      <c r="D832" s="44"/>
      <c r="E832" s="44"/>
      <c r="F832" s="44"/>
      <c r="G832" s="44"/>
      <c r="H832" s="44"/>
      <c r="I832" s="44"/>
      <c r="J832" s="8"/>
      <c r="K832" s="8"/>
    </row>
    <row r="833" spans="1:11" x14ac:dyDescent="0.25">
      <c r="A833" s="44"/>
      <c r="B833" s="44"/>
      <c r="C833" s="44"/>
      <c r="D833" s="44"/>
      <c r="E833" s="44"/>
      <c r="F833" s="44"/>
      <c r="G833" s="44"/>
      <c r="H833" s="44"/>
      <c r="I833" s="44"/>
      <c r="J833" s="8"/>
      <c r="K833" s="8"/>
    </row>
    <row r="834" spans="1:11" x14ac:dyDescent="0.25">
      <c r="A834" s="44"/>
      <c r="B834" s="44"/>
      <c r="C834" s="44"/>
      <c r="D834" s="44"/>
      <c r="E834" s="44"/>
      <c r="F834" s="44"/>
      <c r="G834" s="44"/>
      <c r="H834" s="44"/>
      <c r="I834" s="44"/>
      <c r="J834" s="8"/>
      <c r="K834" s="8"/>
    </row>
    <row r="835" spans="1:11" x14ac:dyDescent="0.25">
      <c r="A835" s="44"/>
      <c r="B835" s="44"/>
      <c r="C835" s="44"/>
      <c r="D835" s="44"/>
      <c r="E835" s="44"/>
      <c r="F835" s="44"/>
      <c r="G835" s="44"/>
      <c r="H835" s="44"/>
      <c r="I835" s="44"/>
      <c r="J835" s="8"/>
      <c r="K835" s="8"/>
    </row>
    <row r="836" spans="1:11" x14ac:dyDescent="0.25">
      <c r="A836" s="44"/>
      <c r="B836" s="44"/>
      <c r="C836" s="44"/>
      <c r="D836" s="44"/>
      <c r="E836" s="44"/>
      <c r="F836" s="44"/>
      <c r="G836" s="44"/>
      <c r="H836" s="44"/>
      <c r="I836" s="44"/>
      <c r="J836" s="8"/>
      <c r="K836" s="8"/>
    </row>
    <row r="837" spans="1:11" x14ac:dyDescent="0.25">
      <c r="A837" s="44"/>
      <c r="B837" s="44"/>
      <c r="C837" s="44"/>
      <c r="D837" s="44"/>
      <c r="E837" s="44"/>
      <c r="F837" s="44"/>
      <c r="G837" s="44"/>
      <c r="H837" s="44"/>
      <c r="I837" s="44"/>
      <c r="J837" s="8"/>
      <c r="K837" s="8"/>
    </row>
    <row r="838" spans="1:11" x14ac:dyDescent="0.25">
      <c r="A838" s="44"/>
      <c r="B838" s="44"/>
      <c r="C838" s="44"/>
      <c r="D838" s="44"/>
      <c r="E838" s="44"/>
      <c r="F838" s="44"/>
      <c r="G838" s="44"/>
      <c r="H838" s="44"/>
      <c r="I838" s="44"/>
      <c r="J838" s="8"/>
      <c r="K838" s="8"/>
    </row>
    <row r="839" spans="1:11" x14ac:dyDescent="0.25">
      <c r="A839" s="44"/>
      <c r="B839" s="44"/>
      <c r="C839" s="44"/>
      <c r="D839" s="44"/>
      <c r="E839" s="44"/>
      <c r="F839" s="44"/>
      <c r="G839" s="44"/>
      <c r="H839" s="44"/>
      <c r="I839" s="44"/>
      <c r="J839" s="8"/>
      <c r="K839" s="8"/>
    </row>
    <row r="840" spans="1:11" x14ac:dyDescent="0.25">
      <c r="A840" s="44"/>
      <c r="B840" s="44"/>
      <c r="C840" s="44"/>
      <c r="D840" s="44"/>
      <c r="E840" s="44"/>
      <c r="F840" s="44"/>
      <c r="G840" s="44"/>
      <c r="H840" s="44"/>
      <c r="I840" s="44"/>
      <c r="J840" s="8"/>
      <c r="K840" s="8"/>
    </row>
    <row r="841" spans="1:11" x14ac:dyDescent="0.25">
      <c r="A841" s="44"/>
      <c r="B841" s="44"/>
      <c r="C841" s="44"/>
      <c r="D841" s="44"/>
      <c r="E841" s="44"/>
      <c r="F841" s="44"/>
      <c r="G841" s="44"/>
      <c r="H841" s="44"/>
      <c r="I841" s="44"/>
      <c r="J841" s="8"/>
      <c r="K841" s="8"/>
    </row>
    <row r="842" spans="1:11" x14ac:dyDescent="0.25">
      <c r="A842" s="44"/>
      <c r="B842" s="44"/>
      <c r="C842" s="44"/>
      <c r="D842" s="44"/>
      <c r="E842" s="44"/>
      <c r="F842" s="44"/>
      <c r="G842" s="44"/>
      <c r="H842" s="44"/>
      <c r="I842" s="44"/>
      <c r="J842" s="8"/>
      <c r="K842" s="8"/>
    </row>
    <row r="843" spans="1:11" x14ac:dyDescent="0.25">
      <c r="A843" s="44"/>
      <c r="B843" s="44"/>
      <c r="C843" s="44"/>
      <c r="D843" s="44"/>
      <c r="E843" s="44"/>
      <c r="F843" s="44"/>
      <c r="G843" s="44"/>
      <c r="H843" s="44"/>
      <c r="I843" s="44"/>
      <c r="J843" s="8"/>
      <c r="K843" s="8"/>
    </row>
    <row r="844" spans="1:11" x14ac:dyDescent="0.25">
      <c r="A844" s="44"/>
      <c r="B844" s="44"/>
      <c r="C844" s="44"/>
      <c r="D844" s="44"/>
      <c r="E844" s="44"/>
      <c r="F844" s="44"/>
      <c r="G844" s="44"/>
      <c r="H844" s="44"/>
      <c r="I844" s="44"/>
      <c r="J844" s="8"/>
      <c r="K844" s="8"/>
    </row>
    <row r="845" spans="1:11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8"/>
      <c r="K845" s="8"/>
    </row>
    <row r="846" spans="1:11" x14ac:dyDescent="0.25">
      <c r="A846" s="44"/>
      <c r="B846" s="44"/>
      <c r="C846" s="44"/>
      <c r="D846" s="44"/>
      <c r="E846" s="44"/>
      <c r="F846" s="44"/>
      <c r="G846" s="44"/>
      <c r="H846" s="44"/>
      <c r="I846" s="44"/>
      <c r="J846" s="8"/>
      <c r="K846" s="8"/>
    </row>
    <row r="847" spans="1:11" x14ac:dyDescent="0.25">
      <c r="A847" s="44"/>
      <c r="B847" s="44"/>
      <c r="C847" s="44"/>
      <c r="D847" s="44"/>
      <c r="E847" s="44"/>
      <c r="F847" s="44"/>
      <c r="G847" s="44"/>
      <c r="H847" s="44"/>
      <c r="I847" s="44"/>
      <c r="J847" s="8"/>
      <c r="K847" s="8"/>
    </row>
    <row r="848" spans="1:11" x14ac:dyDescent="0.25">
      <c r="A848" s="44"/>
      <c r="B848" s="44"/>
      <c r="C848" s="44"/>
      <c r="D848" s="44"/>
      <c r="E848" s="44"/>
      <c r="F848" s="44"/>
      <c r="G848" s="44"/>
      <c r="H848" s="44"/>
      <c r="I848" s="44"/>
      <c r="J848" s="8"/>
      <c r="K848" s="8"/>
    </row>
    <row r="849" spans="1:11" x14ac:dyDescent="0.25">
      <c r="A849" s="44"/>
      <c r="B849" s="44"/>
      <c r="C849" s="44"/>
      <c r="D849" s="44"/>
      <c r="E849" s="44"/>
      <c r="F849" s="44"/>
      <c r="G849" s="44"/>
      <c r="H849" s="44"/>
      <c r="I849" s="44"/>
      <c r="J849" s="8"/>
      <c r="K849" s="8"/>
    </row>
    <row r="850" spans="1:11" x14ac:dyDescent="0.25">
      <c r="A850" s="44"/>
      <c r="B850" s="44"/>
      <c r="C850" s="44"/>
      <c r="D850" s="44"/>
      <c r="E850" s="44"/>
      <c r="F850" s="44"/>
      <c r="G850" s="44"/>
      <c r="H850" s="44"/>
      <c r="I850" s="44"/>
      <c r="J850" s="8"/>
      <c r="K850" s="8"/>
    </row>
    <row r="851" spans="1:11" x14ac:dyDescent="0.25">
      <c r="A851" s="44"/>
      <c r="B851" s="44"/>
      <c r="C851" s="44"/>
      <c r="D851" s="44"/>
      <c r="E851" s="44"/>
      <c r="F851" s="44"/>
      <c r="G851" s="44"/>
      <c r="H851" s="44"/>
      <c r="I851" s="44"/>
      <c r="J851" s="8"/>
      <c r="K851" s="8"/>
    </row>
    <row r="852" spans="1:11" x14ac:dyDescent="0.25">
      <c r="A852" s="44"/>
      <c r="B852" s="44"/>
      <c r="C852" s="44"/>
      <c r="D852" s="44"/>
      <c r="E852" s="44"/>
      <c r="F852" s="44"/>
      <c r="G852" s="44"/>
      <c r="H852" s="44"/>
      <c r="I852" s="44"/>
      <c r="J852" s="8"/>
      <c r="K852" s="8"/>
    </row>
    <row r="853" spans="1:11" x14ac:dyDescent="0.25">
      <c r="A853" s="44"/>
      <c r="B853" s="44"/>
      <c r="C853" s="44"/>
      <c r="D853" s="44"/>
      <c r="E853" s="44"/>
      <c r="F853" s="44"/>
      <c r="G853" s="44"/>
      <c r="H853" s="44"/>
      <c r="I853" s="44"/>
      <c r="J853" s="8"/>
      <c r="K853" s="8"/>
    </row>
    <row r="854" spans="1:11" x14ac:dyDescent="0.25">
      <c r="A854" s="44"/>
      <c r="B854" s="44"/>
      <c r="C854" s="44"/>
      <c r="D854" s="44"/>
      <c r="E854" s="44"/>
      <c r="F854" s="44"/>
      <c r="G854" s="44"/>
      <c r="H854" s="44"/>
      <c r="I854" s="44"/>
      <c r="J854" s="8"/>
      <c r="K854" s="8"/>
    </row>
    <row r="855" spans="1:11" x14ac:dyDescent="0.25">
      <c r="A855" s="44"/>
      <c r="B855" s="44"/>
      <c r="C855" s="44"/>
      <c r="D855" s="44"/>
      <c r="E855" s="44"/>
      <c r="F855" s="44"/>
      <c r="G855" s="44"/>
      <c r="H855" s="44"/>
      <c r="I855" s="44"/>
      <c r="J855" s="8"/>
      <c r="K855" s="8"/>
    </row>
    <row r="856" spans="1:11" x14ac:dyDescent="0.25">
      <c r="A856" s="44"/>
      <c r="B856" s="44"/>
      <c r="C856" s="44"/>
      <c r="D856" s="44"/>
      <c r="E856" s="44"/>
      <c r="F856" s="44"/>
      <c r="G856" s="44"/>
      <c r="H856" s="44"/>
      <c r="I856" s="44"/>
      <c r="J856" s="8"/>
      <c r="K856" s="8"/>
    </row>
    <row r="857" spans="1:11" x14ac:dyDescent="0.25">
      <c r="A857" s="44"/>
      <c r="B857" s="44"/>
      <c r="C857" s="44"/>
      <c r="D857" s="44"/>
      <c r="E857" s="44"/>
      <c r="F857" s="44"/>
      <c r="G857" s="44"/>
      <c r="H857" s="44"/>
      <c r="I857" s="44"/>
      <c r="J857" s="8"/>
      <c r="K857" s="8"/>
    </row>
    <row r="858" spans="1:11" x14ac:dyDescent="0.25">
      <c r="A858" s="44"/>
      <c r="B858" s="44"/>
      <c r="C858" s="44"/>
      <c r="D858" s="44"/>
      <c r="E858" s="44"/>
      <c r="F858" s="44"/>
      <c r="G858" s="44"/>
      <c r="H858" s="44"/>
      <c r="I858" s="44"/>
      <c r="J858" s="8"/>
      <c r="K858" s="8"/>
    </row>
    <row r="859" spans="1:11" x14ac:dyDescent="0.25">
      <c r="A859" s="44"/>
      <c r="B859" s="44"/>
      <c r="C859" s="44"/>
      <c r="D859" s="44"/>
      <c r="E859" s="44"/>
      <c r="F859" s="44"/>
      <c r="G859" s="44"/>
      <c r="H859" s="44"/>
      <c r="I859" s="44"/>
      <c r="J859" s="8"/>
      <c r="K859" s="8"/>
    </row>
    <row r="860" spans="1:11" x14ac:dyDescent="0.25">
      <c r="A860" s="44"/>
      <c r="B860" s="44"/>
      <c r="C860" s="44"/>
      <c r="D860" s="44"/>
      <c r="E860" s="44"/>
      <c r="F860" s="44"/>
      <c r="G860" s="44"/>
      <c r="H860" s="44"/>
      <c r="I860" s="44"/>
      <c r="J860" s="8"/>
      <c r="K860" s="8"/>
    </row>
    <row r="861" spans="1:11" x14ac:dyDescent="0.25">
      <c r="A861" s="44"/>
      <c r="B861" s="44"/>
      <c r="C861" s="44"/>
      <c r="D861" s="44"/>
      <c r="E861" s="44"/>
      <c r="F861" s="44"/>
      <c r="G861" s="44"/>
      <c r="H861" s="44"/>
      <c r="I861" s="44"/>
      <c r="J861" s="8"/>
      <c r="K861" s="8"/>
    </row>
    <row r="862" spans="1:11" x14ac:dyDescent="0.25">
      <c r="A862" s="44"/>
      <c r="B862" s="44"/>
      <c r="C862" s="44"/>
      <c r="D862" s="44"/>
      <c r="E862" s="44"/>
      <c r="F862" s="44"/>
      <c r="G862" s="44"/>
      <c r="H862" s="44"/>
      <c r="I862" s="44"/>
      <c r="J862" s="8"/>
      <c r="K862" s="8"/>
    </row>
    <row r="863" spans="1:11" x14ac:dyDescent="0.25">
      <c r="A863" s="44"/>
      <c r="B863" s="44"/>
      <c r="C863" s="44"/>
      <c r="D863" s="44"/>
      <c r="E863" s="44"/>
      <c r="F863" s="44"/>
      <c r="G863" s="44"/>
      <c r="H863" s="44"/>
      <c r="I863" s="44"/>
      <c r="J863" s="8"/>
      <c r="K863" s="8"/>
    </row>
    <row r="864" spans="1:11" x14ac:dyDescent="0.25">
      <c r="A864" s="44"/>
      <c r="B864" s="44"/>
      <c r="C864" s="44"/>
      <c r="D864" s="44"/>
      <c r="E864" s="44"/>
      <c r="F864" s="44"/>
      <c r="G864" s="44"/>
      <c r="H864" s="44"/>
      <c r="I864" s="44"/>
      <c r="J864" s="8"/>
      <c r="K864" s="8"/>
    </row>
    <row r="865" spans="1:11" x14ac:dyDescent="0.25">
      <c r="A865" s="44"/>
      <c r="B865" s="44"/>
      <c r="C865" s="44"/>
      <c r="D865" s="44"/>
      <c r="E865" s="44"/>
      <c r="F865" s="44"/>
      <c r="G865" s="44"/>
      <c r="H865" s="44"/>
      <c r="I865" s="44"/>
      <c r="J865" s="8"/>
      <c r="K865" s="8"/>
    </row>
    <row r="866" spans="1:11" x14ac:dyDescent="0.25">
      <c r="A866" s="44"/>
      <c r="B866" s="44"/>
      <c r="C866" s="44"/>
      <c r="D866" s="44"/>
      <c r="E866" s="44"/>
      <c r="F866" s="44"/>
      <c r="G866" s="44"/>
      <c r="H866" s="44"/>
      <c r="I866" s="44"/>
      <c r="J866" s="8"/>
      <c r="K866" s="8"/>
    </row>
    <row r="867" spans="1:11" x14ac:dyDescent="0.25">
      <c r="A867" s="44"/>
      <c r="B867" s="44"/>
      <c r="C867" s="44"/>
      <c r="D867" s="44"/>
      <c r="E867" s="44"/>
      <c r="F867" s="44"/>
      <c r="G867" s="44"/>
      <c r="H867" s="44"/>
      <c r="I867" s="44"/>
      <c r="J867" s="8"/>
      <c r="K867" s="8"/>
    </row>
    <row r="868" spans="1:11" x14ac:dyDescent="0.25">
      <c r="A868" s="44"/>
      <c r="B868" s="44"/>
      <c r="C868" s="44"/>
      <c r="D868" s="44"/>
      <c r="E868" s="44"/>
      <c r="F868" s="44"/>
      <c r="G868" s="44"/>
      <c r="H868" s="44"/>
      <c r="I868" s="44"/>
      <c r="J868" s="8"/>
      <c r="K868" s="8"/>
    </row>
    <row r="869" spans="1:11" x14ac:dyDescent="0.25">
      <c r="A869" s="44"/>
      <c r="B869" s="44"/>
      <c r="C869" s="44"/>
      <c r="D869" s="44"/>
      <c r="E869" s="44"/>
      <c r="F869" s="44"/>
      <c r="G869" s="44"/>
      <c r="H869" s="44"/>
      <c r="I869" s="44"/>
      <c r="J869" s="8"/>
      <c r="K869" s="8"/>
    </row>
    <row r="870" spans="1:11" x14ac:dyDescent="0.25">
      <c r="A870" s="44"/>
      <c r="B870" s="44"/>
      <c r="C870" s="44"/>
      <c r="D870" s="44"/>
      <c r="E870" s="44"/>
      <c r="F870" s="44"/>
      <c r="G870" s="44"/>
      <c r="H870" s="44"/>
      <c r="I870" s="44"/>
      <c r="J870" s="8"/>
      <c r="K870" s="8"/>
    </row>
    <row r="871" spans="1:11" x14ac:dyDescent="0.25">
      <c r="A871" s="44"/>
      <c r="B871" s="44"/>
      <c r="C871" s="44"/>
      <c r="D871" s="44"/>
      <c r="E871" s="44"/>
      <c r="F871" s="44"/>
      <c r="G871" s="44"/>
      <c r="H871" s="44"/>
      <c r="I871" s="44"/>
      <c r="J871" s="8"/>
      <c r="K871" s="8"/>
    </row>
    <row r="872" spans="1:11" x14ac:dyDescent="0.25">
      <c r="A872" s="44"/>
      <c r="B872" s="44"/>
      <c r="C872" s="44"/>
      <c r="D872" s="44"/>
      <c r="E872" s="44"/>
      <c r="F872" s="44"/>
      <c r="G872" s="44"/>
      <c r="H872" s="44"/>
      <c r="I872" s="44"/>
      <c r="J872" s="8"/>
      <c r="K872" s="8"/>
    </row>
    <row r="873" spans="1:11" x14ac:dyDescent="0.25">
      <c r="A873" s="44"/>
      <c r="B873" s="44"/>
      <c r="C873" s="44"/>
      <c r="D873" s="44"/>
      <c r="E873" s="44"/>
      <c r="F873" s="44"/>
      <c r="G873" s="44"/>
      <c r="H873" s="44"/>
      <c r="I873" s="44"/>
      <c r="J873" s="8"/>
      <c r="K873" s="8"/>
    </row>
    <row r="874" spans="1:11" x14ac:dyDescent="0.25">
      <c r="A874" s="44"/>
      <c r="B874" s="44"/>
      <c r="C874" s="44"/>
      <c r="D874" s="44"/>
      <c r="E874" s="44"/>
      <c r="F874" s="44"/>
      <c r="G874" s="44"/>
      <c r="H874" s="44"/>
      <c r="I874" s="44"/>
      <c r="J874" s="8"/>
      <c r="K874" s="8"/>
    </row>
    <row r="875" spans="1:11" x14ac:dyDescent="0.25">
      <c r="A875" s="44"/>
      <c r="B875" s="44"/>
      <c r="C875" s="44"/>
      <c r="D875" s="44"/>
      <c r="E875" s="44"/>
      <c r="F875" s="44"/>
      <c r="G875" s="44"/>
      <c r="H875" s="44"/>
      <c r="I875" s="44"/>
      <c r="J875" s="8"/>
      <c r="K875" s="8"/>
    </row>
    <row r="876" spans="1:11" x14ac:dyDescent="0.25">
      <c r="A876" s="44"/>
      <c r="B876" s="44"/>
      <c r="C876" s="44"/>
      <c r="D876" s="44"/>
      <c r="E876" s="44"/>
      <c r="F876" s="44"/>
      <c r="G876" s="44"/>
      <c r="H876" s="44"/>
      <c r="I876" s="44"/>
      <c r="J876" s="8"/>
      <c r="K876" s="8"/>
    </row>
    <row r="877" spans="1:11" x14ac:dyDescent="0.25">
      <c r="A877" s="44"/>
      <c r="B877" s="44"/>
      <c r="C877" s="44"/>
      <c r="D877" s="44"/>
      <c r="E877" s="44"/>
      <c r="F877" s="44"/>
      <c r="G877" s="44"/>
      <c r="H877" s="44"/>
      <c r="I877" s="44"/>
      <c r="J877" s="8"/>
      <c r="K877" s="8"/>
    </row>
    <row r="878" spans="1:11" x14ac:dyDescent="0.25">
      <c r="A878" s="44"/>
      <c r="B878" s="44"/>
      <c r="C878" s="44"/>
      <c r="D878" s="44"/>
      <c r="E878" s="44"/>
      <c r="F878" s="44"/>
      <c r="G878" s="44"/>
      <c r="H878" s="44"/>
      <c r="I878" s="44"/>
      <c r="J878" s="8"/>
      <c r="K878" s="8"/>
    </row>
    <row r="879" spans="1:11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8"/>
      <c r="K879" s="8"/>
    </row>
    <row r="880" spans="1:11" x14ac:dyDescent="0.25">
      <c r="A880" s="44"/>
      <c r="B880" s="44"/>
      <c r="C880" s="44"/>
      <c r="D880" s="44"/>
      <c r="E880" s="44"/>
      <c r="F880" s="44"/>
      <c r="G880" s="44"/>
      <c r="H880" s="44"/>
      <c r="I880" s="44"/>
      <c r="J880" s="8"/>
      <c r="K880" s="8"/>
    </row>
    <row r="881" spans="1:11" x14ac:dyDescent="0.25">
      <c r="A881" s="44"/>
      <c r="B881" s="44"/>
      <c r="C881" s="44"/>
      <c r="D881" s="44"/>
      <c r="E881" s="44"/>
      <c r="F881" s="44"/>
      <c r="G881" s="44"/>
      <c r="H881" s="44"/>
      <c r="I881" s="44"/>
      <c r="J881" s="8"/>
      <c r="K881" s="8"/>
    </row>
    <row r="882" spans="1:11" x14ac:dyDescent="0.25">
      <c r="A882" s="44"/>
      <c r="B882" s="44"/>
      <c r="C882" s="44"/>
      <c r="D882" s="44"/>
      <c r="E882" s="44"/>
      <c r="F882" s="44"/>
      <c r="G882" s="44"/>
      <c r="H882" s="44"/>
      <c r="I882" s="44"/>
      <c r="J882" s="8"/>
      <c r="K882" s="8"/>
    </row>
    <row r="883" spans="1:11" x14ac:dyDescent="0.25">
      <c r="A883" s="44"/>
      <c r="B883" s="44"/>
      <c r="C883" s="44"/>
      <c r="D883" s="44"/>
      <c r="E883" s="44"/>
      <c r="F883" s="44"/>
      <c r="G883" s="44"/>
      <c r="H883" s="44"/>
      <c r="I883" s="44"/>
      <c r="J883" s="8"/>
      <c r="K883" s="8"/>
    </row>
    <row r="884" spans="1:11" x14ac:dyDescent="0.25">
      <c r="A884" s="44"/>
      <c r="B884" s="44"/>
      <c r="C884" s="44"/>
      <c r="D884" s="44"/>
      <c r="E884" s="44"/>
      <c r="F884" s="44"/>
      <c r="G884" s="44"/>
      <c r="H884" s="44"/>
      <c r="I884" s="44"/>
      <c r="J884" s="8"/>
      <c r="K884" s="8"/>
    </row>
    <row r="885" spans="1:11" x14ac:dyDescent="0.25">
      <c r="A885" s="44"/>
      <c r="B885" s="44"/>
      <c r="C885" s="44"/>
      <c r="D885" s="44"/>
      <c r="E885" s="44"/>
      <c r="F885" s="44"/>
      <c r="G885" s="44"/>
      <c r="H885" s="44"/>
      <c r="I885" s="44"/>
      <c r="J885" s="8"/>
      <c r="K885" s="8"/>
    </row>
    <row r="886" spans="1:11" x14ac:dyDescent="0.25">
      <c r="A886" s="44"/>
      <c r="B886" s="44"/>
      <c r="C886" s="44"/>
      <c r="D886" s="44"/>
      <c r="E886" s="44"/>
      <c r="F886" s="44"/>
      <c r="G886" s="44"/>
      <c r="H886" s="44"/>
      <c r="I886" s="44"/>
      <c r="J886" s="8"/>
      <c r="K886" s="8"/>
    </row>
    <row r="887" spans="1:11" x14ac:dyDescent="0.25">
      <c r="A887" s="44"/>
      <c r="B887" s="44"/>
      <c r="C887" s="44"/>
      <c r="D887" s="44"/>
      <c r="E887" s="44"/>
      <c r="F887" s="44"/>
      <c r="G887" s="44"/>
      <c r="H887" s="44"/>
      <c r="I887" s="44"/>
      <c r="J887" s="8"/>
      <c r="K887" s="8"/>
    </row>
    <row r="888" spans="1:11" x14ac:dyDescent="0.25">
      <c r="A888" s="44"/>
      <c r="B888" s="44"/>
      <c r="C888" s="44"/>
      <c r="D888" s="44"/>
      <c r="E888" s="44"/>
      <c r="F888" s="44"/>
      <c r="G888" s="44"/>
      <c r="H888" s="44"/>
      <c r="I888" s="44"/>
      <c r="J888" s="8"/>
      <c r="K888" s="8"/>
    </row>
    <row r="889" spans="1:11" x14ac:dyDescent="0.25">
      <c r="A889" s="44"/>
      <c r="B889" s="44"/>
      <c r="C889" s="44"/>
      <c r="D889" s="44"/>
      <c r="E889" s="44"/>
      <c r="F889" s="44"/>
      <c r="G889" s="44"/>
      <c r="H889" s="44"/>
      <c r="I889" s="44"/>
      <c r="J889" s="8"/>
      <c r="K889" s="8"/>
    </row>
    <row r="890" spans="1:11" x14ac:dyDescent="0.25">
      <c r="A890" s="44"/>
      <c r="B890" s="44"/>
      <c r="C890" s="44"/>
      <c r="D890" s="44"/>
      <c r="E890" s="44"/>
      <c r="F890" s="44"/>
      <c r="G890" s="44"/>
      <c r="H890" s="44"/>
      <c r="I890" s="44"/>
      <c r="J890" s="8"/>
      <c r="K890" s="8"/>
    </row>
    <row r="891" spans="1:11" x14ac:dyDescent="0.25">
      <c r="A891" s="44"/>
      <c r="B891" s="44"/>
      <c r="C891" s="44"/>
      <c r="D891" s="44"/>
      <c r="E891" s="44"/>
      <c r="F891" s="44"/>
      <c r="G891" s="44"/>
      <c r="H891" s="44"/>
      <c r="I891" s="44"/>
      <c r="J891" s="8"/>
      <c r="K891" s="8"/>
    </row>
    <row r="892" spans="1:11" x14ac:dyDescent="0.25">
      <c r="A892" s="44"/>
      <c r="B892" s="44"/>
      <c r="C892" s="44"/>
      <c r="D892" s="44"/>
      <c r="E892" s="44"/>
      <c r="F892" s="44"/>
      <c r="G892" s="44"/>
      <c r="H892" s="44"/>
      <c r="I892" s="44"/>
      <c r="J892" s="8"/>
      <c r="K892" s="8"/>
    </row>
    <row r="893" spans="1:11" x14ac:dyDescent="0.25">
      <c r="A893" s="44"/>
      <c r="B893" s="44"/>
      <c r="C893" s="44"/>
      <c r="D893" s="44"/>
      <c r="E893" s="44"/>
      <c r="F893" s="44"/>
      <c r="G893" s="44"/>
      <c r="H893" s="44"/>
      <c r="I893" s="44"/>
      <c r="J893" s="8"/>
      <c r="K893" s="8"/>
    </row>
    <row r="894" spans="1:11" x14ac:dyDescent="0.25">
      <c r="A894" s="44"/>
      <c r="B894" s="44"/>
      <c r="C894" s="44"/>
      <c r="D894" s="44"/>
      <c r="E894" s="44"/>
      <c r="F894" s="44"/>
      <c r="G894" s="44"/>
      <c r="H894" s="44"/>
      <c r="I894" s="44"/>
      <c r="J894" s="8"/>
      <c r="K894" s="8"/>
    </row>
    <row r="895" spans="1:11" x14ac:dyDescent="0.25">
      <c r="A895" s="44"/>
      <c r="B895" s="44"/>
      <c r="C895" s="44"/>
      <c r="D895" s="44"/>
      <c r="E895" s="44"/>
      <c r="F895" s="44"/>
      <c r="G895" s="44"/>
      <c r="H895" s="44"/>
      <c r="I895" s="44"/>
      <c r="J895" s="8"/>
      <c r="K895" s="8"/>
    </row>
    <row r="896" spans="1:11" x14ac:dyDescent="0.25">
      <c r="A896" s="44"/>
      <c r="B896" s="44"/>
      <c r="C896" s="44"/>
      <c r="D896" s="44"/>
      <c r="E896" s="44"/>
      <c r="F896" s="44"/>
      <c r="G896" s="44"/>
      <c r="H896" s="44"/>
      <c r="I896" s="44"/>
      <c r="J896" s="8"/>
      <c r="K896" s="8"/>
    </row>
    <row r="897" spans="1:11" x14ac:dyDescent="0.25">
      <c r="A897" s="44"/>
      <c r="B897" s="44"/>
      <c r="C897" s="44"/>
      <c r="D897" s="44"/>
      <c r="E897" s="44"/>
      <c r="F897" s="44"/>
      <c r="G897" s="44"/>
      <c r="H897" s="44"/>
      <c r="I897" s="44"/>
      <c r="J897" s="8"/>
      <c r="K897" s="8"/>
    </row>
    <row r="898" spans="1:11" x14ac:dyDescent="0.25">
      <c r="A898" s="44"/>
      <c r="B898" s="44"/>
      <c r="C898" s="44"/>
      <c r="D898" s="44"/>
      <c r="E898" s="44"/>
      <c r="F898" s="44"/>
      <c r="G898" s="44"/>
      <c r="H898" s="44"/>
      <c r="I898" s="44"/>
      <c r="J898" s="8"/>
      <c r="K898" s="8"/>
    </row>
    <row r="899" spans="1:11" x14ac:dyDescent="0.25">
      <c r="A899" s="44"/>
      <c r="B899" s="44"/>
      <c r="C899" s="44"/>
      <c r="D899" s="44"/>
      <c r="E899" s="44"/>
      <c r="F899" s="44"/>
      <c r="G899" s="44"/>
      <c r="H899" s="44"/>
      <c r="I899" s="44"/>
      <c r="J899" s="8"/>
      <c r="K899" s="8"/>
    </row>
    <row r="900" spans="1:11" x14ac:dyDescent="0.25">
      <c r="A900" s="44"/>
      <c r="B900" s="44"/>
      <c r="C900" s="44"/>
      <c r="D900" s="44"/>
      <c r="E900" s="44"/>
      <c r="F900" s="44"/>
      <c r="G900" s="44"/>
      <c r="H900" s="44"/>
      <c r="I900" s="44"/>
      <c r="J900" s="8"/>
      <c r="K900" s="8"/>
    </row>
    <row r="901" spans="1:11" x14ac:dyDescent="0.25">
      <c r="A901" s="44"/>
      <c r="B901" s="44"/>
      <c r="C901" s="44"/>
      <c r="D901" s="44"/>
      <c r="E901" s="44"/>
      <c r="F901" s="44"/>
      <c r="G901" s="44"/>
      <c r="H901" s="44"/>
      <c r="I901" s="44"/>
      <c r="J901" s="8"/>
      <c r="K901" s="8"/>
    </row>
    <row r="902" spans="1:11" x14ac:dyDescent="0.25">
      <c r="A902" s="44"/>
      <c r="B902" s="44"/>
      <c r="C902" s="44"/>
      <c r="D902" s="44"/>
      <c r="E902" s="44"/>
      <c r="F902" s="44"/>
      <c r="G902" s="44"/>
      <c r="H902" s="44"/>
      <c r="I902" s="44"/>
      <c r="J902" s="8"/>
      <c r="K902" s="8"/>
    </row>
    <row r="903" spans="1:11" x14ac:dyDescent="0.25">
      <c r="A903" s="44"/>
      <c r="B903" s="44"/>
      <c r="C903" s="44"/>
      <c r="D903" s="44"/>
      <c r="E903" s="44"/>
      <c r="F903" s="44"/>
      <c r="G903" s="44"/>
      <c r="H903" s="44"/>
      <c r="I903" s="44"/>
      <c r="J903" s="8"/>
      <c r="K903" s="8"/>
    </row>
    <row r="904" spans="1:11" x14ac:dyDescent="0.25">
      <c r="A904" s="44"/>
      <c r="B904" s="44"/>
      <c r="C904" s="44"/>
      <c r="D904" s="44"/>
      <c r="E904" s="44"/>
      <c r="F904" s="44"/>
      <c r="G904" s="44"/>
      <c r="H904" s="44"/>
      <c r="I904" s="44"/>
      <c r="J904" s="8"/>
      <c r="K904" s="8"/>
    </row>
    <row r="905" spans="1:11" x14ac:dyDescent="0.25">
      <c r="A905" s="44"/>
      <c r="B905" s="44"/>
      <c r="C905" s="44"/>
      <c r="D905" s="44"/>
      <c r="E905" s="44"/>
      <c r="F905" s="44"/>
      <c r="G905" s="44"/>
      <c r="H905" s="44"/>
      <c r="I905" s="44"/>
      <c r="J905" s="8"/>
      <c r="K905" s="8"/>
    </row>
    <row r="906" spans="1:11" x14ac:dyDescent="0.25">
      <c r="A906" s="44"/>
      <c r="B906" s="44"/>
      <c r="C906" s="44"/>
      <c r="D906" s="44"/>
      <c r="E906" s="44"/>
      <c r="F906" s="44"/>
      <c r="G906" s="44"/>
      <c r="H906" s="44"/>
      <c r="I906" s="44"/>
      <c r="J906" s="8"/>
      <c r="K906" s="8"/>
    </row>
    <row r="907" spans="1:11" x14ac:dyDescent="0.25">
      <c r="A907" s="44"/>
      <c r="B907" s="44"/>
      <c r="C907" s="44"/>
      <c r="D907" s="44"/>
      <c r="E907" s="44"/>
      <c r="F907" s="44"/>
      <c r="G907" s="44"/>
      <c r="H907" s="44"/>
      <c r="I907" s="44"/>
      <c r="J907" s="8"/>
      <c r="K907" s="8"/>
    </row>
    <row r="908" spans="1:11" x14ac:dyDescent="0.25">
      <c r="A908" s="44"/>
      <c r="B908" s="44"/>
      <c r="C908" s="44"/>
      <c r="D908" s="44"/>
      <c r="E908" s="44"/>
      <c r="F908" s="44"/>
      <c r="G908" s="44"/>
      <c r="H908" s="44"/>
      <c r="I908" s="44"/>
      <c r="J908" s="8"/>
      <c r="K908" s="8"/>
    </row>
    <row r="909" spans="1:11" x14ac:dyDescent="0.25">
      <c r="A909" s="44"/>
      <c r="B909" s="44"/>
      <c r="C909" s="44"/>
      <c r="D909" s="44"/>
      <c r="E909" s="44"/>
      <c r="F909" s="44"/>
      <c r="G909" s="44"/>
      <c r="H909" s="44"/>
      <c r="I909" s="44"/>
      <c r="J909" s="8"/>
      <c r="K909" s="8"/>
    </row>
    <row r="910" spans="1:11" x14ac:dyDescent="0.25">
      <c r="A910" s="44"/>
      <c r="B910" s="44"/>
      <c r="C910" s="44"/>
      <c r="D910" s="44"/>
      <c r="E910" s="44"/>
      <c r="F910" s="44"/>
      <c r="G910" s="44"/>
      <c r="H910" s="44"/>
      <c r="I910" s="44"/>
      <c r="J910" s="8"/>
      <c r="K910" s="8"/>
    </row>
    <row r="911" spans="1:11" x14ac:dyDescent="0.25">
      <c r="A911" s="44"/>
      <c r="B911" s="44"/>
      <c r="C911" s="44"/>
      <c r="D911" s="44"/>
      <c r="E911" s="44"/>
      <c r="F911" s="44"/>
      <c r="G911" s="44"/>
      <c r="H911" s="44"/>
      <c r="I911" s="44"/>
      <c r="J911" s="8"/>
      <c r="K911" s="8"/>
    </row>
    <row r="912" spans="1:11" x14ac:dyDescent="0.25">
      <c r="A912" s="44"/>
      <c r="B912" s="44"/>
      <c r="C912" s="44"/>
      <c r="D912" s="44"/>
      <c r="E912" s="44"/>
      <c r="F912" s="44"/>
      <c r="G912" s="44"/>
      <c r="H912" s="44"/>
      <c r="I912" s="44"/>
      <c r="J912" s="8"/>
      <c r="K912" s="8"/>
    </row>
    <row r="913" spans="1:11" x14ac:dyDescent="0.25">
      <c r="A913" s="44"/>
      <c r="B913" s="44"/>
      <c r="C913" s="44"/>
      <c r="D913" s="44"/>
      <c r="E913" s="44"/>
      <c r="F913" s="44"/>
      <c r="G913" s="44"/>
      <c r="H913" s="44"/>
      <c r="I913" s="44"/>
      <c r="J913" s="8"/>
      <c r="K913" s="8"/>
    </row>
    <row r="914" spans="1:11" x14ac:dyDescent="0.25">
      <c r="A914" s="44"/>
      <c r="B914" s="44"/>
      <c r="C914" s="44"/>
      <c r="D914" s="44"/>
      <c r="E914" s="44"/>
      <c r="F914" s="44"/>
      <c r="G914" s="44"/>
      <c r="H914" s="44"/>
      <c r="I914" s="44"/>
      <c r="J914" s="8"/>
      <c r="K914" s="8"/>
    </row>
    <row r="915" spans="1:11" x14ac:dyDescent="0.25">
      <c r="A915" s="44"/>
      <c r="B915" s="44"/>
      <c r="C915" s="44"/>
      <c r="D915" s="44"/>
      <c r="E915" s="44"/>
      <c r="F915" s="44"/>
      <c r="G915" s="44"/>
      <c r="H915" s="44"/>
      <c r="I915" s="44"/>
      <c r="J915" s="8"/>
      <c r="K915" s="8"/>
    </row>
    <row r="916" spans="1:11" x14ac:dyDescent="0.25">
      <c r="A916" s="44"/>
      <c r="B916" s="44"/>
      <c r="C916" s="44"/>
      <c r="D916" s="44"/>
      <c r="E916" s="44"/>
      <c r="F916" s="44"/>
      <c r="G916" s="44"/>
      <c r="H916" s="44"/>
      <c r="I916" s="44"/>
      <c r="J916" s="8"/>
      <c r="K916" s="8"/>
    </row>
    <row r="917" spans="1:11" x14ac:dyDescent="0.25">
      <c r="A917" s="44"/>
      <c r="B917" s="44"/>
      <c r="C917" s="44"/>
      <c r="D917" s="44"/>
      <c r="E917" s="44"/>
      <c r="F917" s="44"/>
      <c r="G917" s="44"/>
      <c r="H917" s="44"/>
      <c r="I917" s="44"/>
      <c r="J917" s="8"/>
      <c r="K917" s="8"/>
    </row>
    <row r="918" spans="1:11" x14ac:dyDescent="0.25">
      <c r="A918" s="44"/>
      <c r="B918" s="44"/>
      <c r="C918" s="44"/>
      <c r="D918" s="44"/>
      <c r="E918" s="44"/>
      <c r="F918" s="44"/>
      <c r="G918" s="44"/>
      <c r="H918" s="44"/>
      <c r="I918" s="44"/>
      <c r="J918" s="8"/>
      <c r="K918" s="8"/>
    </row>
    <row r="919" spans="1:11" x14ac:dyDescent="0.25">
      <c r="A919" s="44"/>
      <c r="B919" s="44"/>
      <c r="C919" s="44"/>
      <c r="D919" s="44"/>
      <c r="E919" s="44"/>
      <c r="F919" s="44"/>
      <c r="G919" s="44"/>
      <c r="H919" s="44"/>
      <c r="I919" s="44"/>
      <c r="J919" s="8"/>
      <c r="K919" s="8"/>
    </row>
    <row r="920" spans="1:11" x14ac:dyDescent="0.25">
      <c r="A920" s="44"/>
      <c r="B920" s="44"/>
      <c r="C920" s="44"/>
      <c r="D920" s="44"/>
      <c r="E920" s="44"/>
      <c r="F920" s="44"/>
      <c r="G920" s="44"/>
      <c r="H920" s="44"/>
      <c r="I920" s="44"/>
      <c r="J920" s="8"/>
      <c r="K920" s="8"/>
    </row>
    <row r="921" spans="1:11" x14ac:dyDescent="0.25">
      <c r="A921" s="44"/>
      <c r="B921" s="44"/>
      <c r="C921" s="44"/>
      <c r="D921" s="44"/>
      <c r="E921" s="44"/>
      <c r="F921" s="44"/>
      <c r="G921" s="44"/>
      <c r="H921" s="44"/>
      <c r="I921" s="44"/>
      <c r="J921" s="8"/>
      <c r="K921" s="8"/>
    </row>
    <row r="922" spans="1:11" x14ac:dyDescent="0.25">
      <c r="A922" s="44"/>
      <c r="B922" s="44"/>
      <c r="C922" s="44"/>
      <c r="D922" s="44"/>
      <c r="E922" s="44"/>
      <c r="F922" s="44"/>
      <c r="G922" s="44"/>
      <c r="H922" s="44"/>
      <c r="I922" s="44"/>
      <c r="J922" s="8"/>
      <c r="K922" s="8"/>
    </row>
    <row r="923" spans="1:11" x14ac:dyDescent="0.25">
      <c r="A923" s="44"/>
      <c r="B923" s="44"/>
      <c r="C923" s="44"/>
      <c r="D923" s="44"/>
      <c r="E923" s="44"/>
      <c r="F923" s="44"/>
      <c r="G923" s="44"/>
      <c r="H923" s="44"/>
      <c r="I923" s="44"/>
      <c r="J923" s="8"/>
      <c r="K923" s="8"/>
    </row>
    <row r="924" spans="1:11" x14ac:dyDescent="0.25">
      <c r="A924" s="44"/>
      <c r="B924" s="44"/>
      <c r="C924" s="44"/>
      <c r="D924" s="44"/>
      <c r="E924" s="44"/>
      <c r="F924" s="44"/>
      <c r="G924" s="44"/>
      <c r="H924" s="44"/>
      <c r="I924" s="44"/>
      <c r="J924" s="8"/>
      <c r="K924" s="8"/>
    </row>
    <row r="925" spans="1:11" x14ac:dyDescent="0.25">
      <c r="A925" s="44"/>
      <c r="B925" s="44"/>
      <c r="C925" s="44"/>
      <c r="D925" s="44"/>
      <c r="E925" s="44"/>
      <c r="F925" s="44"/>
      <c r="G925" s="44"/>
      <c r="H925" s="44"/>
      <c r="I925" s="44"/>
      <c r="J925" s="8"/>
      <c r="K925" s="8"/>
    </row>
    <row r="926" spans="1:11" x14ac:dyDescent="0.25">
      <c r="A926" s="44"/>
      <c r="B926" s="44"/>
      <c r="C926" s="44"/>
      <c r="D926" s="44"/>
      <c r="E926" s="44"/>
      <c r="F926" s="44"/>
      <c r="G926" s="44"/>
      <c r="H926" s="44"/>
      <c r="I926" s="44"/>
      <c r="J926" s="8"/>
      <c r="K926" s="8"/>
    </row>
    <row r="927" spans="1:11" x14ac:dyDescent="0.25">
      <c r="A927" s="44"/>
      <c r="B927" s="44"/>
      <c r="C927" s="44"/>
      <c r="D927" s="44"/>
      <c r="E927" s="44"/>
      <c r="F927" s="44"/>
      <c r="G927" s="44"/>
      <c r="H927" s="44"/>
      <c r="I927" s="44"/>
      <c r="J927" s="8"/>
      <c r="K927" s="8"/>
    </row>
    <row r="928" spans="1:11" x14ac:dyDescent="0.25">
      <c r="A928" s="44"/>
      <c r="B928" s="44"/>
      <c r="C928" s="44"/>
      <c r="D928" s="44"/>
      <c r="E928" s="44"/>
      <c r="F928" s="44"/>
      <c r="G928" s="44"/>
      <c r="H928" s="44"/>
      <c r="I928" s="44"/>
      <c r="J928" s="8"/>
      <c r="K928" s="8"/>
    </row>
    <row r="929" spans="1:11" x14ac:dyDescent="0.25">
      <c r="A929" s="44"/>
      <c r="B929" s="44"/>
      <c r="C929" s="44"/>
      <c r="D929" s="44"/>
      <c r="E929" s="44"/>
      <c r="F929" s="44"/>
      <c r="G929" s="44"/>
      <c r="H929" s="44"/>
      <c r="I929" s="44"/>
      <c r="J929" s="8"/>
      <c r="K929" s="8"/>
    </row>
    <row r="930" spans="1:11" x14ac:dyDescent="0.25">
      <c r="A930" s="44"/>
      <c r="B930" s="44"/>
      <c r="C930" s="44"/>
      <c r="D930" s="44"/>
      <c r="E930" s="44"/>
      <c r="F930" s="44"/>
      <c r="G930" s="44"/>
      <c r="H930" s="44"/>
      <c r="I930" s="44"/>
      <c r="J930" s="8"/>
      <c r="K930" s="8"/>
    </row>
    <row r="931" spans="1:11" x14ac:dyDescent="0.25">
      <c r="A931" s="44"/>
      <c r="B931" s="44"/>
      <c r="C931" s="44"/>
      <c r="D931" s="44"/>
      <c r="E931" s="44"/>
      <c r="F931" s="44"/>
      <c r="G931" s="44"/>
      <c r="H931" s="44"/>
      <c r="I931" s="44"/>
      <c r="J931" s="8"/>
      <c r="K931" s="8"/>
    </row>
    <row r="932" spans="1:11" x14ac:dyDescent="0.25">
      <c r="A932" s="44"/>
      <c r="B932" s="44"/>
      <c r="C932" s="44"/>
      <c r="D932" s="44"/>
      <c r="E932" s="44"/>
      <c r="F932" s="44"/>
      <c r="G932" s="44"/>
      <c r="H932" s="44"/>
      <c r="I932" s="44"/>
      <c r="J932" s="8"/>
      <c r="K932" s="8"/>
    </row>
    <row r="933" spans="1:11" x14ac:dyDescent="0.25">
      <c r="A933" s="44"/>
      <c r="B933" s="44"/>
      <c r="C933" s="44"/>
      <c r="D933" s="44"/>
      <c r="E933" s="44"/>
      <c r="F933" s="44"/>
      <c r="G933" s="44"/>
      <c r="H933" s="44"/>
      <c r="I933" s="44"/>
      <c r="J933" s="8"/>
      <c r="K933" s="8"/>
    </row>
    <row r="934" spans="1:11" x14ac:dyDescent="0.25">
      <c r="A934" s="44"/>
      <c r="B934" s="44"/>
      <c r="C934" s="44"/>
      <c r="D934" s="44"/>
      <c r="E934" s="44"/>
      <c r="F934" s="44"/>
      <c r="G934" s="44"/>
      <c r="H934" s="44"/>
      <c r="I934" s="44"/>
      <c r="J934" s="8"/>
      <c r="K934" s="8"/>
    </row>
    <row r="935" spans="1:11" x14ac:dyDescent="0.25">
      <c r="A935" s="44"/>
      <c r="B935" s="44"/>
      <c r="C935" s="44"/>
      <c r="D935" s="44"/>
      <c r="E935" s="44"/>
      <c r="F935" s="44"/>
      <c r="G935" s="44"/>
      <c r="H935" s="44"/>
      <c r="I935" s="44"/>
      <c r="J935" s="8"/>
      <c r="K935" s="8"/>
    </row>
    <row r="936" spans="1:11" x14ac:dyDescent="0.25">
      <c r="A936" s="44"/>
      <c r="B936" s="44"/>
      <c r="C936" s="44"/>
      <c r="D936" s="44"/>
      <c r="E936" s="44"/>
      <c r="F936" s="44"/>
      <c r="G936" s="44"/>
      <c r="H936" s="44"/>
      <c r="I936" s="44"/>
      <c r="J936" s="8"/>
      <c r="K936" s="8"/>
    </row>
    <row r="937" spans="1:11" x14ac:dyDescent="0.25">
      <c r="A937" s="44"/>
      <c r="B937" s="44"/>
      <c r="C937" s="44"/>
      <c r="D937" s="44"/>
      <c r="E937" s="44"/>
      <c r="F937" s="44"/>
      <c r="G937" s="44"/>
      <c r="H937" s="44"/>
      <c r="I937" s="44"/>
      <c r="J937" s="8"/>
      <c r="K937" s="8"/>
    </row>
    <row r="938" spans="1:11" x14ac:dyDescent="0.25">
      <c r="A938" s="44"/>
      <c r="B938" s="44"/>
      <c r="C938" s="44"/>
      <c r="D938" s="44"/>
      <c r="E938" s="44"/>
      <c r="F938" s="44"/>
      <c r="G938" s="44"/>
      <c r="H938" s="44"/>
      <c r="I938" s="44"/>
      <c r="J938" s="8"/>
      <c r="K938" s="8"/>
    </row>
    <row r="939" spans="1:11" x14ac:dyDescent="0.25">
      <c r="A939" s="44"/>
      <c r="B939" s="44"/>
      <c r="C939" s="44"/>
      <c r="D939" s="44"/>
      <c r="E939" s="44"/>
      <c r="F939" s="44"/>
      <c r="G939" s="44"/>
      <c r="H939" s="44"/>
      <c r="I939" s="44"/>
      <c r="J939" s="8"/>
      <c r="K939" s="8"/>
    </row>
    <row r="940" spans="1:11" x14ac:dyDescent="0.25">
      <c r="A940" s="44"/>
      <c r="B940" s="44"/>
      <c r="C940" s="44"/>
      <c r="D940" s="44"/>
      <c r="E940" s="44"/>
      <c r="F940" s="44"/>
      <c r="G940" s="44"/>
      <c r="H940" s="44"/>
      <c r="I940" s="44"/>
      <c r="J940" s="8"/>
      <c r="K940" s="8"/>
    </row>
    <row r="941" spans="1:11" x14ac:dyDescent="0.25">
      <c r="A941" s="44"/>
      <c r="B941" s="44"/>
      <c r="C941" s="44"/>
      <c r="D941" s="44"/>
      <c r="E941" s="44"/>
      <c r="F941" s="44"/>
      <c r="G941" s="44"/>
      <c r="H941" s="44"/>
      <c r="I941" s="44"/>
      <c r="J941" s="8"/>
      <c r="K941" s="8"/>
    </row>
    <row r="942" spans="1:11" x14ac:dyDescent="0.25">
      <c r="A942" s="44"/>
      <c r="B942" s="44"/>
      <c r="C942" s="44"/>
      <c r="D942" s="44"/>
      <c r="E942" s="44"/>
      <c r="F942" s="44"/>
      <c r="G942" s="44"/>
      <c r="H942" s="44"/>
      <c r="I942" s="44"/>
      <c r="J942" s="8"/>
      <c r="K942" s="8"/>
    </row>
    <row r="943" spans="1:11" x14ac:dyDescent="0.25">
      <c r="A943" s="44"/>
      <c r="B943" s="44"/>
      <c r="C943" s="44"/>
      <c r="D943" s="44"/>
      <c r="E943" s="44"/>
      <c r="F943" s="44"/>
      <c r="G943" s="44"/>
      <c r="H943" s="44"/>
      <c r="I943" s="44"/>
      <c r="J943" s="8"/>
      <c r="K943" s="8"/>
    </row>
    <row r="944" spans="1:11" x14ac:dyDescent="0.25">
      <c r="A944" s="44"/>
      <c r="B944" s="44"/>
      <c r="C944" s="44"/>
      <c r="D944" s="44"/>
      <c r="E944" s="44"/>
      <c r="F944" s="44"/>
      <c r="G944" s="44"/>
      <c r="H944" s="44"/>
      <c r="I944" s="44"/>
      <c r="J944" s="8"/>
      <c r="K944" s="8"/>
    </row>
    <row r="945" spans="1:11" x14ac:dyDescent="0.25">
      <c r="A945" s="44"/>
      <c r="B945" s="44"/>
      <c r="C945" s="44"/>
      <c r="D945" s="44"/>
      <c r="E945" s="44"/>
      <c r="F945" s="44"/>
      <c r="G945" s="44"/>
      <c r="H945" s="44"/>
      <c r="I945" s="44"/>
      <c r="J945" s="8"/>
      <c r="K945" s="8"/>
    </row>
    <row r="946" spans="1:11" x14ac:dyDescent="0.25">
      <c r="A946" s="44"/>
      <c r="B946" s="44"/>
      <c r="C946" s="44"/>
      <c r="D946" s="44"/>
      <c r="E946" s="44"/>
      <c r="F946" s="44"/>
      <c r="G946" s="44"/>
      <c r="H946" s="44"/>
      <c r="I946" s="44"/>
      <c r="J946" s="8"/>
      <c r="K946" s="8"/>
    </row>
    <row r="947" spans="1:11" x14ac:dyDescent="0.25">
      <c r="A947" s="44"/>
      <c r="B947" s="44"/>
      <c r="C947" s="44"/>
      <c r="D947" s="44"/>
      <c r="E947" s="44"/>
      <c r="F947" s="44"/>
      <c r="G947" s="44"/>
      <c r="H947" s="44"/>
      <c r="I947" s="44"/>
      <c r="J947" s="8"/>
      <c r="K947" s="8"/>
    </row>
    <row r="948" spans="1:11" x14ac:dyDescent="0.25">
      <c r="A948" s="44"/>
      <c r="B948" s="44"/>
      <c r="C948" s="44"/>
      <c r="D948" s="44"/>
      <c r="E948" s="44"/>
      <c r="F948" s="44"/>
      <c r="G948" s="44"/>
      <c r="H948" s="44"/>
      <c r="I948" s="44"/>
      <c r="J948" s="8"/>
      <c r="K948" s="8"/>
    </row>
    <row r="949" spans="1:11" x14ac:dyDescent="0.25">
      <c r="A949" s="44"/>
      <c r="B949" s="44"/>
      <c r="C949" s="44"/>
      <c r="D949" s="44"/>
      <c r="E949" s="44"/>
      <c r="F949" s="44"/>
      <c r="G949" s="44"/>
      <c r="H949" s="44"/>
      <c r="I949" s="44"/>
      <c r="J949" s="8"/>
      <c r="K949" s="8"/>
    </row>
    <row r="950" spans="1:11" x14ac:dyDescent="0.25">
      <c r="A950" s="44"/>
      <c r="B950" s="44"/>
      <c r="C950" s="44"/>
      <c r="D950" s="44"/>
      <c r="E950" s="44"/>
      <c r="F950" s="44"/>
      <c r="G950" s="44"/>
      <c r="H950" s="44"/>
      <c r="I950" s="44"/>
      <c r="J950" s="8"/>
      <c r="K950" s="8"/>
    </row>
    <row r="951" spans="1:11" x14ac:dyDescent="0.25">
      <c r="A951" s="44"/>
      <c r="B951" s="44"/>
      <c r="C951" s="44"/>
      <c r="D951" s="44"/>
      <c r="E951" s="44"/>
      <c r="F951" s="44"/>
      <c r="G951" s="44"/>
      <c r="H951" s="44"/>
      <c r="I951" s="44"/>
      <c r="J951" s="8"/>
      <c r="K951" s="8"/>
    </row>
    <row r="952" spans="1:11" x14ac:dyDescent="0.25">
      <c r="A952" s="44"/>
      <c r="B952" s="44"/>
      <c r="C952" s="44"/>
      <c r="D952" s="44"/>
      <c r="E952" s="44"/>
      <c r="F952" s="44"/>
      <c r="G952" s="44"/>
      <c r="H952" s="44"/>
      <c r="I952" s="44"/>
      <c r="J952" s="8"/>
      <c r="K952" s="8"/>
    </row>
    <row r="953" spans="1:11" x14ac:dyDescent="0.25">
      <c r="A953" s="44"/>
      <c r="B953" s="44"/>
      <c r="C953" s="44"/>
      <c r="D953" s="44"/>
      <c r="E953" s="44"/>
      <c r="F953" s="44"/>
      <c r="G953" s="44"/>
      <c r="H953" s="44"/>
      <c r="I953" s="44"/>
      <c r="J953" s="8"/>
      <c r="K953" s="8"/>
    </row>
    <row r="954" spans="1:11" x14ac:dyDescent="0.25">
      <c r="A954" s="44"/>
      <c r="B954" s="44"/>
      <c r="C954" s="44"/>
      <c r="D954" s="44"/>
      <c r="E954" s="44"/>
      <c r="F954" s="44"/>
      <c r="G954" s="44"/>
      <c r="H954" s="44"/>
      <c r="I954" s="44"/>
      <c r="J954" s="8"/>
      <c r="K954" s="8"/>
    </row>
    <row r="955" spans="1:11" x14ac:dyDescent="0.25">
      <c r="A955" s="44"/>
      <c r="B955" s="44"/>
      <c r="C955" s="44"/>
      <c r="D955" s="44"/>
      <c r="E955" s="44"/>
      <c r="F955" s="44"/>
      <c r="G955" s="44"/>
      <c r="H955" s="44"/>
      <c r="I955" s="44"/>
      <c r="J955" s="8"/>
      <c r="K955" s="8"/>
    </row>
    <row r="956" spans="1:11" x14ac:dyDescent="0.25">
      <c r="A956" s="44"/>
      <c r="B956" s="44"/>
      <c r="C956" s="44"/>
      <c r="D956" s="44"/>
      <c r="E956" s="44"/>
      <c r="F956" s="44"/>
      <c r="G956" s="44"/>
      <c r="H956" s="44"/>
      <c r="I956" s="44"/>
      <c r="J956" s="8"/>
      <c r="K956" s="8"/>
    </row>
    <row r="957" spans="1:11" x14ac:dyDescent="0.25">
      <c r="A957" s="44"/>
      <c r="B957" s="44"/>
      <c r="C957" s="44"/>
      <c r="D957" s="44"/>
      <c r="E957" s="44"/>
      <c r="F957" s="44"/>
      <c r="G957" s="44"/>
      <c r="H957" s="44"/>
      <c r="I957" s="44"/>
      <c r="J957" s="8"/>
      <c r="K957" s="8"/>
    </row>
    <row r="958" spans="1:11" x14ac:dyDescent="0.25">
      <c r="A958" s="44"/>
      <c r="B958" s="44"/>
      <c r="C958" s="44"/>
      <c r="D958" s="44"/>
      <c r="E958" s="44"/>
      <c r="F958" s="44"/>
      <c r="G958" s="44"/>
      <c r="H958" s="44"/>
      <c r="I958" s="44"/>
      <c r="J958" s="8"/>
      <c r="K958" s="8"/>
    </row>
    <row r="959" spans="1:11" x14ac:dyDescent="0.25">
      <c r="A959" s="44"/>
      <c r="B959" s="44"/>
      <c r="C959" s="44"/>
      <c r="D959" s="44"/>
      <c r="E959" s="44"/>
      <c r="F959" s="44"/>
      <c r="G959" s="44"/>
      <c r="H959" s="44"/>
      <c r="I959" s="44"/>
      <c r="J959" s="8"/>
      <c r="K959" s="8"/>
    </row>
    <row r="960" spans="1:11" x14ac:dyDescent="0.25">
      <c r="A960" s="44"/>
      <c r="B960" s="44"/>
      <c r="C960" s="44"/>
      <c r="D960" s="44"/>
      <c r="E960" s="44"/>
      <c r="F960" s="44"/>
      <c r="G960" s="44"/>
      <c r="H960" s="44"/>
      <c r="I960" s="44"/>
      <c r="J960" s="8"/>
      <c r="K960" s="8"/>
    </row>
    <row r="961" spans="1:11" x14ac:dyDescent="0.25">
      <c r="A961" s="44"/>
      <c r="B961" s="44"/>
      <c r="C961" s="44"/>
      <c r="D961" s="44"/>
      <c r="E961" s="44"/>
      <c r="F961" s="44"/>
      <c r="G961" s="44"/>
      <c r="H961" s="44"/>
      <c r="I961" s="44"/>
      <c r="J961" s="8"/>
      <c r="K961" s="8"/>
    </row>
    <row r="962" spans="1:11" x14ac:dyDescent="0.25">
      <c r="A962" s="44"/>
      <c r="B962" s="44"/>
      <c r="C962" s="44"/>
      <c r="D962" s="44"/>
      <c r="E962" s="44"/>
      <c r="F962" s="44"/>
      <c r="G962" s="44"/>
      <c r="H962" s="44"/>
      <c r="I962" s="44"/>
      <c r="J962" s="8"/>
      <c r="K962" s="8"/>
    </row>
    <row r="963" spans="1:11" x14ac:dyDescent="0.25">
      <c r="A963" s="44"/>
      <c r="B963" s="44"/>
      <c r="C963" s="44"/>
      <c r="D963" s="44"/>
      <c r="E963" s="44"/>
      <c r="F963" s="44"/>
      <c r="G963" s="44"/>
      <c r="H963" s="44"/>
      <c r="I963" s="44"/>
      <c r="J963" s="8"/>
      <c r="K963" s="8"/>
    </row>
    <row r="964" spans="1:11" x14ac:dyDescent="0.25">
      <c r="A964" s="44"/>
      <c r="B964" s="44"/>
      <c r="C964" s="44"/>
      <c r="D964" s="44"/>
      <c r="E964" s="44"/>
      <c r="F964" s="44"/>
      <c r="G964" s="44"/>
      <c r="H964" s="44"/>
      <c r="I964" s="44"/>
      <c r="J964" s="8"/>
      <c r="K964" s="8"/>
    </row>
    <row r="965" spans="1:11" x14ac:dyDescent="0.25">
      <c r="A965" s="44"/>
      <c r="B965" s="44"/>
      <c r="C965" s="44"/>
      <c r="D965" s="44"/>
      <c r="E965" s="44"/>
      <c r="F965" s="44"/>
      <c r="G965" s="44"/>
      <c r="H965" s="44"/>
      <c r="I965" s="44"/>
      <c r="J965" s="8"/>
      <c r="K965" s="8"/>
    </row>
    <row r="966" spans="1:11" x14ac:dyDescent="0.25">
      <c r="A966" s="44"/>
      <c r="B966" s="44"/>
      <c r="C966" s="44"/>
      <c r="D966" s="44"/>
      <c r="E966" s="44"/>
      <c r="F966" s="44"/>
      <c r="G966" s="44"/>
      <c r="H966" s="44"/>
      <c r="I966" s="44"/>
      <c r="J966" s="8"/>
      <c r="K966" s="8"/>
    </row>
    <row r="967" spans="1:11" x14ac:dyDescent="0.25">
      <c r="A967" s="44"/>
      <c r="B967" s="44"/>
      <c r="C967" s="44"/>
      <c r="D967" s="44"/>
      <c r="E967" s="44"/>
      <c r="F967" s="44"/>
      <c r="G967" s="44"/>
      <c r="H967" s="44"/>
      <c r="I967" s="44"/>
      <c r="J967" s="8"/>
      <c r="K967" s="8"/>
    </row>
    <row r="968" spans="1:11" x14ac:dyDescent="0.25">
      <c r="A968" s="44"/>
      <c r="B968" s="44"/>
      <c r="C968" s="44"/>
      <c r="D968" s="44"/>
      <c r="E968" s="44"/>
      <c r="F968" s="44"/>
      <c r="G968" s="44"/>
      <c r="H968" s="44"/>
      <c r="I968" s="44"/>
      <c r="J968" s="8"/>
      <c r="K968" s="8"/>
    </row>
    <row r="969" spans="1:11" x14ac:dyDescent="0.25">
      <c r="A969" s="44"/>
      <c r="B969" s="44"/>
      <c r="C969" s="44"/>
      <c r="D969" s="44"/>
      <c r="E969" s="44"/>
      <c r="F969" s="44"/>
      <c r="G969" s="44"/>
      <c r="H969" s="44"/>
      <c r="I969" s="44"/>
      <c r="J969" s="8"/>
      <c r="K969" s="8"/>
    </row>
    <row r="970" spans="1:11" x14ac:dyDescent="0.25">
      <c r="A970" s="44"/>
      <c r="B970" s="44"/>
      <c r="C970" s="44"/>
      <c r="D970" s="44"/>
      <c r="E970" s="44"/>
      <c r="F970" s="44"/>
      <c r="G970" s="44"/>
      <c r="H970" s="44"/>
      <c r="I970" s="44"/>
      <c r="J970" s="8"/>
      <c r="K970" s="8"/>
    </row>
    <row r="971" spans="1:11" x14ac:dyDescent="0.25">
      <c r="A971" s="44"/>
      <c r="B971" s="44"/>
      <c r="C971" s="44"/>
      <c r="D971" s="44"/>
      <c r="E971" s="44"/>
      <c r="F971" s="44"/>
      <c r="G971" s="44"/>
      <c r="H971" s="44"/>
      <c r="I971" s="44"/>
      <c r="J971" s="8"/>
      <c r="K971" s="8"/>
    </row>
    <row r="972" spans="1:11" x14ac:dyDescent="0.25">
      <c r="A972" s="44"/>
      <c r="B972" s="44"/>
      <c r="C972" s="44"/>
      <c r="D972" s="44"/>
      <c r="E972" s="44"/>
      <c r="F972" s="44"/>
      <c r="G972" s="44"/>
      <c r="H972" s="44"/>
      <c r="I972" s="44"/>
      <c r="J972" s="8"/>
      <c r="K972" s="8"/>
    </row>
    <row r="973" spans="1:11" x14ac:dyDescent="0.25">
      <c r="A973" s="44"/>
      <c r="B973" s="44"/>
      <c r="C973" s="44"/>
      <c r="D973" s="44"/>
      <c r="E973" s="44"/>
      <c r="F973" s="44"/>
      <c r="G973" s="44"/>
      <c r="H973" s="44"/>
      <c r="I973" s="44"/>
      <c r="J973" s="8"/>
      <c r="K973" s="8"/>
    </row>
    <row r="974" spans="1:11" x14ac:dyDescent="0.25">
      <c r="A974" s="44"/>
      <c r="B974" s="44"/>
      <c r="C974" s="44"/>
      <c r="D974" s="44"/>
      <c r="E974" s="44"/>
      <c r="F974" s="44"/>
      <c r="G974" s="44"/>
      <c r="H974" s="44"/>
      <c r="I974" s="44"/>
      <c r="J974" s="8"/>
      <c r="K974" s="8"/>
    </row>
    <row r="975" spans="1:11" x14ac:dyDescent="0.25">
      <c r="A975" s="44"/>
      <c r="B975" s="44"/>
      <c r="C975" s="44"/>
      <c r="D975" s="44"/>
      <c r="E975" s="44"/>
      <c r="F975" s="44"/>
      <c r="G975" s="44"/>
      <c r="H975" s="44"/>
      <c r="I975" s="44"/>
      <c r="J975" s="8"/>
      <c r="K975" s="8"/>
    </row>
    <row r="976" spans="1:11" x14ac:dyDescent="0.25">
      <c r="A976" s="44"/>
      <c r="B976" s="44"/>
      <c r="C976" s="44"/>
      <c r="D976" s="44"/>
      <c r="E976" s="44"/>
      <c r="F976" s="44"/>
      <c r="G976" s="44"/>
      <c r="H976" s="44"/>
      <c r="I976" s="44"/>
      <c r="J976" s="8"/>
      <c r="K976" s="8"/>
    </row>
    <row r="977" spans="1:11" x14ac:dyDescent="0.25">
      <c r="A977" s="44"/>
      <c r="B977" s="44"/>
      <c r="C977" s="44"/>
      <c r="D977" s="44"/>
      <c r="E977" s="44"/>
      <c r="F977" s="44"/>
      <c r="G977" s="44"/>
      <c r="H977" s="44"/>
      <c r="I977" s="44"/>
      <c r="J977" s="8"/>
      <c r="K977" s="8"/>
    </row>
    <row r="978" spans="1:11" x14ac:dyDescent="0.25">
      <c r="A978" s="44"/>
      <c r="B978" s="44"/>
      <c r="C978" s="44"/>
      <c r="D978" s="44"/>
      <c r="E978" s="44"/>
      <c r="F978" s="44"/>
      <c r="G978" s="44"/>
      <c r="H978" s="44"/>
      <c r="I978" s="44"/>
      <c r="J978" s="8"/>
      <c r="K978" s="8"/>
    </row>
    <row r="979" spans="1:11" x14ac:dyDescent="0.25">
      <c r="A979" s="44"/>
      <c r="B979" s="44"/>
      <c r="C979" s="44"/>
      <c r="D979" s="44"/>
      <c r="E979" s="44"/>
      <c r="F979" s="44"/>
      <c r="G979" s="44"/>
      <c r="H979" s="44"/>
      <c r="I979" s="44"/>
      <c r="J979" s="8"/>
      <c r="K979" s="8"/>
    </row>
    <row r="980" spans="1:11" x14ac:dyDescent="0.25">
      <c r="A980" s="44"/>
      <c r="B980" s="44"/>
      <c r="C980" s="44"/>
      <c r="D980" s="44"/>
      <c r="E980" s="44"/>
      <c r="F980" s="44"/>
      <c r="G980" s="44"/>
      <c r="H980" s="44"/>
      <c r="I980" s="44"/>
      <c r="J980" s="8"/>
      <c r="K980" s="8"/>
    </row>
    <row r="981" spans="1:11" x14ac:dyDescent="0.25">
      <c r="A981" s="44"/>
      <c r="B981" s="44"/>
      <c r="C981" s="44"/>
      <c r="D981" s="44"/>
      <c r="E981" s="44"/>
      <c r="F981" s="44"/>
      <c r="G981" s="44"/>
      <c r="H981" s="44"/>
      <c r="I981" s="44"/>
      <c r="J981" s="8"/>
      <c r="K981" s="8"/>
    </row>
    <row r="982" spans="1:11" x14ac:dyDescent="0.25">
      <c r="A982" s="44"/>
      <c r="B982" s="44"/>
      <c r="C982" s="44"/>
      <c r="D982" s="44"/>
      <c r="E982" s="44"/>
      <c r="F982" s="44"/>
      <c r="G982" s="44"/>
      <c r="H982" s="44"/>
      <c r="I982" s="44"/>
      <c r="J982" s="8"/>
      <c r="K982" s="8"/>
    </row>
    <row r="983" spans="1:11" x14ac:dyDescent="0.25">
      <c r="A983" s="44"/>
      <c r="B983" s="44"/>
      <c r="C983" s="44"/>
      <c r="D983" s="44"/>
      <c r="E983" s="44"/>
      <c r="F983" s="44"/>
      <c r="G983" s="44"/>
      <c r="H983" s="44"/>
      <c r="I983" s="44"/>
      <c r="J983" s="8"/>
      <c r="K983" s="8"/>
    </row>
    <row r="984" spans="1:11" x14ac:dyDescent="0.25">
      <c r="A984" s="44"/>
      <c r="B984" s="44"/>
      <c r="C984" s="44"/>
      <c r="D984" s="44"/>
      <c r="E984" s="44"/>
      <c r="F984" s="44"/>
      <c r="G984" s="44"/>
      <c r="H984" s="44"/>
      <c r="I984" s="44"/>
      <c r="J984" s="8"/>
      <c r="K984" s="8"/>
    </row>
    <row r="985" spans="1:11" x14ac:dyDescent="0.25">
      <c r="A985" s="44"/>
      <c r="B985" s="44"/>
      <c r="C985" s="44"/>
      <c r="D985" s="44"/>
      <c r="E985" s="44"/>
      <c r="F985" s="44"/>
      <c r="G985" s="44"/>
      <c r="H985" s="44"/>
      <c r="I985" s="44"/>
      <c r="J985" s="8"/>
      <c r="K985" s="8"/>
    </row>
    <row r="986" spans="1:11" x14ac:dyDescent="0.25">
      <c r="A986" s="44"/>
      <c r="B986" s="44"/>
      <c r="C986" s="44"/>
      <c r="D986" s="44"/>
      <c r="E986" s="44"/>
      <c r="F986" s="44"/>
      <c r="G986" s="44"/>
      <c r="H986" s="44"/>
      <c r="I986" s="44"/>
      <c r="J986" s="8"/>
      <c r="K986" s="8"/>
    </row>
    <row r="987" spans="1:11" x14ac:dyDescent="0.25">
      <c r="A987" s="44"/>
      <c r="B987" s="44"/>
      <c r="C987" s="44"/>
      <c r="D987" s="44"/>
      <c r="E987" s="44"/>
      <c r="F987" s="44"/>
      <c r="G987" s="44"/>
      <c r="H987" s="44"/>
      <c r="I987" s="44"/>
      <c r="J987" s="8"/>
      <c r="K987" s="8"/>
    </row>
    <row r="988" spans="1:11" x14ac:dyDescent="0.25">
      <c r="A988" s="44"/>
      <c r="B988" s="44"/>
      <c r="C988" s="44"/>
      <c r="D988" s="44"/>
      <c r="E988" s="44"/>
      <c r="F988" s="44"/>
      <c r="G988" s="44"/>
      <c r="H988" s="44"/>
      <c r="I988" s="44"/>
      <c r="J988" s="8"/>
      <c r="K988" s="8"/>
    </row>
    <row r="989" spans="1:11" x14ac:dyDescent="0.25">
      <c r="A989" s="44"/>
      <c r="B989" s="44"/>
      <c r="C989" s="44"/>
      <c r="D989" s="44"/>
      <c r="E989" s="44"/>
      <c r="F989" s="44"/>
      <c r="G989" s="44"/>
      <c r="H989" s="44"/>
      <c r="I989" s="44"/>
      <c r="J989" s="8"/>
      <c r="K989" s="8"/>
    </row>
    <row r="990" spans="1:11" x14ac:dyDescent="0.25">
      <c r="A990" s="44"/>
      <c r="B990" s="44"/>
      <c r="C990" s="44"/>
      <c r="D990" s="44"/>
      <c r="E990" s="44"/>
      <c r="F990" s="44"/>
      <c r="G990" s="44"/>
      <c r="H990" s="44"/>
      <c r="I990" s="44"/>
      <c r="J990" s="8"/>
      <c r="K990" s="8"/>
    </row>
    <row r="991" spans="1:11" x14ac:dyDescent="0.25">
      <c r="A991" s="44"/>
      <c r="B991" s="44"/>
      <c r="C991" s="44"/>
      <c r="D991" s="44"/>
      <c r="E991" s="44"/>
      <c r="F991" s="44"/>
      <c r="G991" s="44"/>
      <c r="H991" s="44"/>
      <c r="I991" s="44"/>
      <c r="J991" s="8"/>
      <c r="K991" s="8"/>
    </row>
    <row r="992" spans="1:11" x14ac:dyDescent="0.25">
      <c r="A992" s="44"/>
      <c r="B992" s="44"/>
      <c r="C992" s="44"/>
      <c r="D992" s="44"/>
      <c r="E992" s="44"/>
      <c r="F992" s="44"/>
      <c r="G992" s="44"/>
      <c r="H992" s="44"/>
      <c r="I992" s="44"/>
      <c r="J992" s="8"/>
      <c r="K992" s="8"/>
    </row>
    <row r="993" spans="1:11" x14ac:dyDescent="0.25">
      <c r="A993" s="44"/>
      <c r="B993" s="44"/>
      <c r="C993" s="44"/>
      <c r="D993" s="44"/>
      <c r="E993" s="44"/>
      <c r="F993" s="44"/>
      <c r="G993" s="44"/>
      <c r="H993" s="44"/>
      <c r="I993" s="44"/>
      <c r="J993" s="8"/>
      <c r="K993" s="8"/>
    </row>
    <row r="994" spans="1:11" x14ac:dyDescent="0.25">
      <c r="A994" s="44"/>
      <c r="B994" s="44"/>
      <c r="C994" s="44"/>
      <c r="D994" s="44"/>
      <c r="E994" s="44"/>
      <c r="F994" s="44"/>
      <c r="G994" s="44"/>
      <c r="H994" s="44"/>
      <c r="I994" s="44"/>
      <c r="J994" s="8"/>
      <c r="K994" s="8"/>
    </row>
    <row r="995" spans="1:11" x14ac:dyDescent="0.25">
      <c r="A995" s="44"/>
      <c r="B995" s="44"/>
      <c r="C995" s="44"/>
      <c r="D995" s="44"/>
      <c r="E995" s="44"/>
      <c r="F995" s="44"/>
      <c r="G995" s="44"/>
      <c r="H995" s="44"/>
      <c r="I995" s="44"/>
      <c r="J995" s="8"/>
      <c r="K995" s="8"/>
    </row>
    <row r="996" spans="1:11" x14ac:dyDescent="0.25">
      <c r="A996" s="44"/>
      <c r="B996" s="44"/>
      <c r="C996" s="44"/>
      <c r="D996" s="44"/>
      <c r="E996" s="44"/>
      <c r="F996" s="44"/>
      <c r="G996" s="44"/>
      <c r="H996" s="44"/>
      <c r="I996" s="44"/>
      <c r="J996" s="8"/>
      <c r="K996" s="8"/>
    </row>
    <row r="997" spans="1:11" x14ac:dyDescent="0.25">
      <c r="A997" s="44"/>
      <c r="B997" s="44"/>
      <c r="C997" s="44"/>
      <c r="D997" s="44"/>
      <c r="E997" s="44"/>
      <c r="F997" s="44"/>
      <c r="G997" s="44"/>
      <c r="H997" s="44"/>
      <c r="I997" s="44"/>
      <c r="J997" s="8"/>
      <c r="K997" s="8"/>
    </row>
    <row r="998" spans="1:11" x14ac:dyDescent="0.25">
      <c r="A998" s="44"/>
      <c r="B998" s="44"/>
      <c r="C998" s="44"/>
      <c r="D998" s="44"/>
      <c r="E998" s="44"/>
      <c r="F998" s="44"/>
      <c r="G998" s="44"/>
      <c r="H998" s="44"/>
      <c r="I998" s="44"/>
      <c r="J998" s="8"/>
      <c r="K998" s="8"/>
    </row>
    <row r="999" spans="1:11" x14ac:dyDescent="0.25">
      <c r="A999" s="44"/>
      <c r="B999" s="44"/>
      <c r="C999" s="44"/>
      <c r="D999" s="44"/>
      <c r="E999" s="44"/>
      <c r="F999" s="44"/>
      <c r="G999" s="44"/>
      <c r="H999" s="44"/>
      <c r="I999" s="44"/>
      <c r="J999" s="8"/>
      <c r="K999" s="8"/>
    </row>
    <row r="1000" spans="1:11" x14ac:dyDescent="0.25">
      <c r="A1000" s="44"/>
      <c r="B1000" s="44"/>
      <c r="C1000" s="44"/>
      <c r="D1000" s="44"/>
      <c r="E1000" s="44"/>
      <c r="F1000" s="44"/>
      <c r="G1000" s="44"/>
      <c r="H1000" s="44"/>
      <c r="I1000" s="44"/>
      <c r="J1000" s="8"/>
      <c r="K1000" s="8"/>
    </row>
    <row r="1001" spans="1:11" x14ac:dyDescent="0.25">
      <c r="A1001" s="44"/>
      <c r="B1001" s="44"/>
      <c r="C1001" s="44"/>
      <c r="D1001" s="44"/>
      <c r="E1001" s="44"/>
      <c r="F1001" s="44"/>
      <c r="G1001" s="44"/>
      <c r="H1001" s="44"/>
      <c r="I1001" s="44"/>
      <c r="J1001" s="8"/>
      <c r="K1001" s="8"/>
    </row>
    <row r="1002" spans="1:11" x14ac:dyDescent="0.25">
      <c r="A1002" s="44"/>
      <c r="B1002" s="44"/>
      <c r="C1002" s="44"/>
      <c r="D1002" s="44"/>
      <c r="E1002" s="44"/>
      <c r="F1002" s="44"/>
      <c r="G1002" s="44"/>
      <c r="H1002" s="44"/>
      <c r="I1002" s="44"/>
      <c r="J1002" s="8"/>
      <c r="K1002" s="8"/>
    </row>
  </sheetData>
  <mergeCells count="6">
    <mergeCell ref="J169:K169"/>
    <mergeCell ref="J15:K15"/>
    <mergeCell ref="J53:K53"/>
    <mergeCell ref="J64:K64"/>
    <mergeCell ref="J134:K134"/>
    <mergeCell ref="J136:K1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W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3" x14ac:dyDescent="0.25">
      <c r="A1" s="50" t="s">
        <v>0</v>
      </c>
      <c r="B1" s="50" t="s">
        <v>4354</v>
      </c>
      <c r="C1" s="50" t="s">
        <v>4355</v>
      </c>
      <c r="D1" s="50" t="s">
        <v>6</v>
      </c>
      <c r="E1" s="50" t="s">
        <v>4356</v>
      </c>
      <c r="F1" s="50" t="s">
        <v>4357</v>
      </c>
      <c r="G1" s="50" t="s">
        <v>4358</v>
      </c>
      <c r="H1" s="50" t="s">
        <v>4359</v>
      </c>
      <c r="I1" s="50" t="s">
        <v>4360</v>
      </c>
      <c r="J1" s="50"/>
      <c r="K1" s="50"/>
      <c r="L1" s="50"/>
      <c r="M1" s="50"/>
      <c r="N1" s="38"/>
      <c r="O1" s="38"/>
      <c r="P1" s="38"/>
      <c r="Q1" s="38"/>
      <c r="R1" s="38"/>
      <c r="S1" s="38"/>
      <c r="T1" s="38"/>
      <c r="U1" s="38"/>
      <c r="V1" s="38"/>
      <c r="W1" s="38"/>
    </row>
    <row r="2" spans="1:23" x14ac:dyDescent="0.25">
      <c r="A2" s="44" t="s">
        <v>3867</v>
      </c>
      <c r="B2" s="20">
        <v>6017060421.8999996</v>
      </c>
      <c r="C2" s="20">
        <v>7944715233.4000006</v>
      </c>
      <c r="D2" s="44">
        <f t="shared" ref="D2:D187" si="0">((C2-B2)/B2)*100</f>
        <v>32.036487526101787</v>
      </c>
      <c r="E2" s="39">
        <v>1</v>
      </c>
      <c r="F2" s="39">
        <v>0</v>
      </c>
      <c r="G2" s="39">
        <v>0</v>
      </c>
      <c r="H2" s="44">
        <f t="shared" ref="H2:H187" si="1">(E2/(E2+F2+G2))*100</f>
        <v>100</v>
      </c>
      <c r="I2" s="44">
        <f t="shared" ref="I2:I187" si="2">(F2/(E2+F2+G2))*100</f>
        <v>0</v>
      </c>
      <c r="J2" s="44"/>
      <c r="K2" s="44"/>
      <c r="L2" s="44"/>
      <c r="M2" s="53"/>
    </row>
    <row r="3" spans="1:23" x14ac:dyDescent="0.25">
      <c r="A3" s="44" t="s">
        <v>4230</v>
      </c>
      <c r="B3" s="20">
        <v>7834279057.3000002</v>
      </c>
      <c r="C3" s="20">
        <v>8737011780.7000008</v>
      </c>
      <c r="D3" s="44">
        <f t="shared" si="0"/>
        <v>11.522856370029761</v>
      </c>
      <c r="E3" s="39">
        <v>1</v>
      </c>
      <c r="F3" s="39">
        <v>0</v>
      </c>
      <c r="G3" s="39">
        <v>0</v>
      </c>
      <c r="H3" s="44">
        <f t="shared" si="1"/>
        <v>100</v>
      </c>
      <c r="I3" s="44">
        <f t="shared" si="2"/>
        <v>0</v>
      </c>
      <c r="J3" s="44"/>
      <c r="K3" s="44"/>
      <c r="L3" s="44"/>
      <c r="M3" s="53"/>
    </row>
    <row r="4" spans="1:23" x14ac:dyDescent="0.25">
      <c r="A4" s="44" t="s">
        <v>3883</v>
      </c>
      <c r="B4" s="20">
        <v>488051860261</v>
      </c>
      <c r="C4" s="20">
        <v>543700120749.90002</v>
      </c>
      <c r="D4" s="44">
        <f t="shared" si="0"/>
        <v>11.402120352361834</v>
      </c>
      <c r="E4" s="39">
        <v>4</v>
      </c>
      <c r="F4" s="39">
        <v>0</v>
      </c>
      <c r="G4" s="39">
        <v>0</v>
      </c>
      <c r="H4" s="44">
        <f t="shared" si="1"/>
        <v>100</v>
      </c>
      <c r="I4" s="44">
        <f t="shared" si="2"/>
        <v>0</v>
      </c>
      <c r="J4" s="44"/>
      <c r="K4" s="44"/>
      <c r="L4" s="44"/>
      <c r="M4" s="53"/>
    </row>
    <row r="5" spans="1:23" x14ac:dyDescent="0.25">
      <c r="A5" s="44" t="s">
        <v>4068</v>
      </c>
      <c r="B5" s="20">
        <v>38970858262.599998</v>
      </c>
      <c r="C5" s="20">
        <v>42380214243.5</v>
      </c>
      <c r="D5" s="44">
        <f t="shared" si="0"/>
        <v>8.7484754837230039</v>
      </c>
      <c r="E5" s="39">
        <v>2</v>
      </c>
      <c r="F5" s="39">
        <v>0</v>
      </c>
      <c r="G5" s="39">
        <v>0</v>
      </c>
      <c r="H5" s="44">
        <f t="shared" si="1"/>
        <v>100</v>
      </c>
      <c r="I5" s="44">
        <f t="shared" si="2"/>
        <v>0</v>
      </c>
      <c r="J5" s="44"/>
      <c r="K5" s="44"/>
      <c r="L5" s="44"/>
      <c r="M5" s="53"/>
    </row>
    <row r="6" spans="1:23" x14ac:dyDescent="0.25">
      <c r="A6" s="44" t="s">
        <v>4051</v>
      </c>
      <c r="B6" s="20">
        <v>37752555192</v>
      </c>
      <c r="C6" s="20">
        <v>40169290732.699997</v>
      </c>
      <c r="D6" s="44">
        <f t="shared" si="0"/>
        <v>6.4015151515151425</v>
      </c>
      <c r="E6" s="39">
        <v>1</v>
      </c>
      <c r="F6" s="39">
        <v>0</v>
      </c>
      <c r="G6" s="39">
        <v>0</v>
      </c>
      <c r="H6" s="44">
        <f t="shared" si="1"/>
        <v>100</v>
      </c>
      <c r="I6" s="44">
        <f t="shared" si="2"/>
        <v>0</v>
      </c>
      <c r="J6" s="44"/>
      <c r="K6" s="44"/>
      <c r="L6" s="44"/>
      <c r="M6" s="53"/>
    </row>
    <row r="7" spans="1:23" x14ac:dyDescent="0.25">
      <c r="A7" s="44" t="s">
        <v>2778</v>
      </c>
      <c r="B7" s="20">
        <v>3641812879.25</v>
      </c>
      <c r="C7" s="20">
        <v>3843202138.8400002</v>
      </c>
      <c r="D7" s="44">
        <f t="shared" si="0"/>
        <v>5.5299178257471189</v>
      </c>
      <c r="E7" s="39">
        <v>2</v>
      </c>
      <c r="F7" s="39">
        <v>0</v>
      </c>
      <c r="G7" s="39">
        <v>0</v>
      </c>
      <c r="H7" s="44">
        <f t="shared" si="1"/>
        <v>100</v>
      </c>
      <c r="I7" s="44">
        <f t="shared" si="2"/>
        <v>0</v>
      </c>
      <c r="J7" s="44"/>
      <c r="K7" s="44"/>
      <c r="L7" s="44"/>
      <c r="M7" s="53"/>
    </row>
    <row r="8" spans="1:23" x14ac:dyDescent="0.25">
      <c r="A8" s="44" t="s">
        <v>4133</v>
      </c>
      <c r="B8" s="20">
        <v>4888695810.5999994</v>
      </c>
      <c r="C8" s="20">
        <v>4967204823</v>
      </c>
      <c r="D8" s="44">
        <f t="shared" si="0"/>
        <v>1.6059295861643108</v>
      </c>
      <c r="E8" s="39">
        <v>1</v>
      </c>
      <c r="F8" s="39">
        <v>0</v>
      </c>
      <c r="G8" s="39">
        <v>0</v>
      </c>
      <c r="H8" s="44">
        <f t="shared" si="1"/>
        <v>100</v>
      </c>
      <c r="I8" s="44">
        <f t="shared" si="2"/>
        <v>0</v>
      </c>
      <c r="J8" s="44"/>
      <c r="K8" s="44"/>
      <c r="L8" s="44"/>
      <c r="M8" s="53"/>
    </row>
    <row r="9" spans="1:23" x14ac:dyDescent="0.25">
      <c r="A9" s="44" t="s">
        <v>4077</v>
      </c>
      <c r="B9" s="20">
        <v>4649280041.25</v>
      </c>
      <c r="C9" s="20">
        <v>4713898702.5</v>
      </c>
      <c r="D9" s="44">
        <f t="shared" si="0"/>
        <v>1.3898638214235575</v>
      </c>
      <c r="E9" s="39">
        <v>1</v>
      </c>
      <c r="F9" s="39">
        <v>0</v>
      </c>
      <c r="G9" s="39">
        <v>0</v>
      </c>
      <c r="H9" s="44">
        <f t="shared" si="1"/>
        <v>100</v>
      </c>
      <c r="I9" s="44">
        <f t="shared" si="2"/>
        <v>0</v>
      </c>
      <c r="J9" s="44"/>
      <c r="K9" s="44"/>
      <c r="L9" s="44"/>
      <c r="M9" s="53"/>
    </row>
    <row r="10" spans="1:23" x14ac:dyDescent="0.25">
      <c r="A10" s="44" t="s">
        <v>4177</v>
      </c>
      <c r="B10" s="20">
        <v>59130619886</v>
      </c>
      <c r="C10" s="20">
        <v>59377165186.749992</v>
      </c>
      <c r="D10" s="44">
        <f t="shared" si="0"/>
        <v>0.41695030633082436</v>
      </c>
      <c r="E10" s="39">
        <v>1</v>
      </c>
      <c r="F10" s="39">
        <v>0</v>
      </c>
      <c r="G10" s="39">
        <v>0</v>
      </c>
      <c r="H10" s="44">
        <f t="shared" si="1"/>
        <v>100</v>
      </c>
      <c r="I10" s="44">
        <f t="shared" si="2"/>
        <v>0</v>
      </c>
      <c r="J10" s="44"/>
      <c r="K10" s="44"/>
      <c r="L10" s="44"/>
      <c r="M10" s="53"/>
    </row>
    <row r="11" spans="1:23" x14ac:dyDescent="0.25">
      <c r="A11" s="44" t="s">
        <v>1907</v>
      </c>
      <c r="B11" s="20">
        <v>732594922980.05005</v>
      </c>
      <c r="C11" s="20">
        <v>775688313129.15002</v>
      </c>
      <c r="D11" s="44">
        <f t="shared" si="0"/>
        <v>5.882294402724586</v>
      </c>
      <c r="E11" s="39">
        <v>12</v>
      </c>
      <c r="F11" s="39">
        <v>2</v>
      </c>
      <c r="G11" s="39">
        <v>0</v>
      </c>
      <c r="H11" s="44">
        <f t="shared" si="1"/>
        <v>85.714285714285708</v>
      </c>
      <c r="I11" s="44">
        <f t="shared" si="2"/>
        <v>14.285714285714285</v>
      </c>
      <c r="J11" s="44"/>
      <c r="K11" s="44"/>
      <c r="L11" s="44"/>
      <c r="M11" s="53"/>
    </row>
    <row r="12" spans="1:23" x14ac:dyDescent="0.25">
      <c r="A12" s="44" t="s">
        <v>9</v>
      </c>
      <c r="B12" s="20">
        <v>3610570248854.5894</v>
      </c>
      <c r="C12" s="20">
        <v>3720739493925.9897</v>
      </c>
      <c r="D12" s="44">
        <f t="shared" si="0"/>
        <v>3.0512976476873779</v>
      </c>
      <c r="E12" s="39">
        <v>6</v>
      </c>
      <c r="F12" s="39">
        <v>1</v>
      </c>
      <c r="G12" s="39">
        <v>0</v>
      </c>
      <c r="H12" s="44">
        <f t="shared" si="1"/>
        <v>85.714285714285708</v>
      </c>
      <c r="I12" s="44">
        <f t="shared" si="2"/>
        <v>14.285714285714285</v>
      </c>
      <c r="J12" s="44"/>
      <c r="K12" s="44"/>
      <c r="L12" s="44"/>
      <c r="M12" s="53"/>
    </row>
    <row r="13" spans="1:23" x14ac:dyDescent="0.25">
      <c r="A13" s="44" t="s">
        <v>2265</v>
      </c>
      <c r="B13" s="20">
        <v>26617462472.079998</v>
      </c>
      <c r="C13" s="20">
        <v>28082130277.870003</v>
      </c>
      <c r="D13" s="44">
        <f t="shared" si="0"/>
        <v>5.5026575404261271</v>
      </c>
      <c r="E13" s="39">
        <v>4</v>
      </c>
      <c r="F13" s="39">
        <v>1</v>
      </c>
      <c r="G13" s="39">
        <v>0</v>
      </c>
      <c r="H13" s="44">
        <f t="shared" si="1"/>
        <v>80</v>
      </c>
      <c r="I13" s="44">
        <f t="shared" si="2"/>
        <v>20</v>
      </c>
      <c r="J13" s="44"/>
      <c r="K13" s="44"/>
      <c r="L13" s="44"/>
      <c r="M13" s="53"/>
    </row>
    <row r="14" spans="1:23" x14ac:dyDescent="0.25">
      <c r="A14" s="44" t="s">
        <v>183</v>
      </c>
      <c r="B14" s="20">
        <v>967062968690.97986</v>
      </c>
      <c r="C14" s="20">
        <v>979270006500.2998</v>
      </c>
      <c r="D14" s="44">
        <f t="shared" si="0"/>
        <v>1.2622795210371296</v>
      </c>
      <c r="E14" s="39">
        <v>4</v>
      </c>
      <c r="F14" s="39">
        <v>1</v>
      </c>
      <c r="G14" s="39">
        <v>0</v>
      </c>
      <c r="H14" s="44">
        <f t="shared" si="1"/>
        <v>80</v>
      </c>
      <c r="I14" s="44">
        <f t="shared" si="2"/>
        <v>20</v>
      </c>
      <c r="J14" s="44"/>
      <c r="K14" s="44"/>
      <c r="L14" s="44"/>
      <c r="M14" s="53"/>
    </row>
    <row r="15" spans="1:23" x14ac:dyDescent="0.25">
      <c r="A15" s="44" t="s">
        <v>4168</v>
      </c>
      <c r="B15" s="20">
        <v>117671052504.59999</v>
      </c>
      <c r="C15" s="20">
        <v>129900343324</v>
      </c>
      <c r="D15" s="44">
        <f t="shared" si="0"/>
        <v>10.392777628059324</v>
      </c>
      <c r="E15" s="39">
        <v>3</v>
      </c>
      <c r="F15" s="39">
        <v>1</v>
      </c>
      <c r="G15" s="39">
        <v>0</v>
      </c>
      <c r="H15" s="44">
        <f t="shared" si="1"/>
        <v>75</v>
      </c>
      <c r="I15" s="44">
        <f t="shared" si="2"/>
        <v>25</v>
      </c>
      <c r="J15" s="44"/>
      <c r="K15" s="44"/>
      <c r="L15" s="44"/>
      <c r="M15" s="53"/>
    </row>
    <row r="16" spans="1:23" x14ac:dyDescent="0.25">
      <c r="A16" s="44" t="s">
        <v>4053</v>
      </c>
      <c r="B16" s="20">
        <v>19178321960.950001</v>
      </c>
      <c r="C16" s="20">
        <v>20834580418.799999</v>
      </c>
      <c r="D16" s="44">
        <f t="shared" si="0"/>
        <v>8.6360968452943592</v>
      </c>
      <c r="E16" s="39">
        <v>3</v>
      </c>
      <c r="F16" s="39">
        <v>1</v>
      </c>
      <c r="G16" s="39">
        <v>0</v>
      </c>
      <c r="H16" s="44">
        <f t="shared" si="1"/>
        <v>75</v>
      </c>
      <c r="I16" s="44">
        <f t="shared" si="2"/>
        <v>25</v>
      </c>
      <c r="J16" s="44"/>
      <c r="K16" s="44"/>
      <c r="L16" s="44"/>
      <c r="M16" s="53"/>
    </row>
    <row r="17" spans="1:13" x14ac:dyDescent="0.25">
      <c r="A17" s="44" t="s">
        <v>1598</v>
      </c>
      <c r="B17" s="20">
        <v>1800992195886.75</v>
      </c>
      <c r="C17" s="20">
        <v>1940694145614.2498</v>
      </c>
      <c r="D17" s="44">
        <f t="shared" si="0"/>
        <v>7.7569436473163096</v>
      </c>
      <c r="E17" s="39">
        <v>3</v>
      </c>
      <c r="F17" s="39">
        <v>1</v>
      </c>
      <c r="G17" s="39">
        <v>0</v>
      </c>
      <c r="H17" s="44">
        <f t="shared" si="1"/>
        <v>75</v>
      </c>
      <c r="I17" s="44">
        <f t="shared" si="2"/>
        <v>25</v>
      </c>
      <c r="J17" s="44"/>
      <c r="K17" s="44"/>
      <c r="L17" s="44"/>
      <c r="M17" s="53"/>
    </row>
    <row r="18" spans="1:13" x14ac:dyDescent="0.25">
      <c r="A18" s="44" t="s">
        <v>2286</v>
      </c>
      <c r="B18" s="20">
        <v>645165284885.63989</v>
      </c>
      <c r="C18" s="20">
        <v>750718545055.18994</v>
      </c>
      <c r="D18" s="44">
        <f t="shared" si="0"/>
        <v>16.360654028100736</v>
      </c>
      <c r="E18" s="39">
        <v>22</v>
      </c>
      <c r="F18" s="39">
        <v>9</v>
      </c>
      <c r="G18" s="39">
        <v>1</v>
      </c>
      <c r="H18" s="44">
        <f t="shared" si="1"/>
        <v>68.75</v>
      </c>
      <c r="I18" s="44">
        <f t="shared" si="2"/>
        <v>28.125</v>
      </c>
      <c r="J18" s="44"/>
      <c r="K18" s="44"/>
      <c r="L18" s="44"/>
      <c r="M18" s="53"/>
    </row>
    <row r="19" spans="1:13" x14ac:dyDescent="0.25">
      <c r="A19" s="44" t="s">
        <v>4057</v>
      </c>
      <c r="B19" s="20">
        <v>8590024406.7800007</v>
      </c>
      <c r="C19" s="20">
        <v>12942107385.18</v>
      </c>
      <c r="D19" s="44">
        <f t="shared" si="0"/>
        <v>50.664384317289645</v>
      </c>
      <c r="E19" s="39">
        <v>2</v>
      </c>
      <c r="F19" s="39">
        <v>1</v>
      </c>
      <c r="G19" s="39">
        <v>0</v>
      </c>
      <c r="H19" s="44">
        <f t="shared" si="1"/>
        <v>66.666666666666657</v>
      </c>
      <c r="I19" s="44">
        <f t="shared" si="2"/>
        <v>33.333333333333329</v>
      </c>
      <c r="J19" s="44"/>
      <c r="K19" s="44"/>
      <c r="L19" s="44"/>
      <c r="M19" s="53"/>
    </row>
    <row r="20" spans="1:13" x14ac:dyDescent="0.25">
      <c r="A20" s="44" t="s">
        <v>1538</v>
      </c>
      <c r="B20" s="20">
        <v>1067564758.2199999</v>
      </c>
      <c r="C20" s="20">
        <v>1120212910.4100001</v>
      </c>
      <c r="D20" s="44">
        <f t="shared" si="0"/>
        <v>4.9316120436368536</v>
      </c>
      <c r="E20" s="39">
        <v>4</v>
      </c>
      <c r="F20" s="39">
        <v>2</v>
      </c>
      <c r="G20" s="39">
        <v>0</v>
      </c>
      <c r="H20" s="44">
        <f t="shared" si="1"/>
        <v>66.666666666666657</v>
      </c>
      <c r="I20" s="44">
        <f t="shared" si="2"/>
        <v>33.333333333333329</v>
      </c>
      <c r="J20" s="44"/>
      <c r="K20" s="44"/>
      <c r="L20" s="44"/>
      <c r="M20" s="53"/>
    </row>
    <row r="21" spans="1:13" x14ac:dyDescent="0.25">
      <c r="A21" s="44" t="s">
        <v>350</v>
      </c>
      <c r="B21" s="20">
        <v>1005563939824.4199</v>
      </c>
      <c r="C21" s="20">
        <v>1054045694099.0502</v>
      </c>
      <c r="D21" s="44">
        <f t="shared" si="0"/>
        <v>4.8213497277055879</v>
      </c>
      <c r="E21" s="39">
        <v>4</v>
      </c>
      <c r="F21" s="39">
        <v>2</v>
      </c>
      <c r="G21" s="39">
        <v>0</v>
      </c>
      <c r="H21" s="44">
        <f t="shared" si="1"/>
        <v>66.666666666666657</v>
      </c>
      <c r="I21" s="44">
        <f t="shared" si="2"/>
        <v>33.333333333333329</v>
      </c>
      <c r="J21" s="44"/>
      <c r="K21" s="44"/>
      <c r="L21" s="44"/>
      <c r="M21" s="53"/>
    </row>
    <row r="22" spans="1:13" x14ac:dyDescent="0.25">
      <c r="A22" s="44" t="s">
        <v>2321</v>
      </c>
      <c r="B22" s="20">
        <v>199178465760.75</v>
      </c>
      <c r="C22" s="20">
        <v>208738959744.20001</v>
      </c>
      <c r="D22" s="44">
        <f t="shared" si="0"/>
        <v>4.7999636642115346</v>
      </c>
      <c r="E22" s="39">
        <v>4</v>
      </c>
      <c r="F22" s="39">
        <v>2</v>
      </c>
      <c r="G22" s="39">
        <v>0</v>
      </c>
      <c r="H22" s="44">
        <f t="shared" si="1"/>
        <v>66.666666666666657</v>
      </c>
      <c r="I22" s="44">
        <f t="shared" si="2"/>
        <v>33.333333333333329</v>
      </c>
      <c r="J22" s="44"/>
      <c r="K22" s="44"/>
      <c r="L22" s="44"/>
      <c r="M22" s="53"/>
    </row>
    <row r="23" spans="1:13" x14ac:dyDescent="0.25">
      <c r="A23" s="44" t="s">
        <v>3287</v>
      </c>
      <c r="B23" s="20">
        <v>225739955757.72</v>
      </c>
      <c r="C23" s="20">
        <v>231106161176.81</v>
      </c>
      <c r="D23" s="44">
        <f t="shared" si="0"/>
        <v>2.3771624305842365</v>
      </c>
      <c r="E23" s="39">
        <v>4</v>
      </c>
      <c r="F23" s="39">
        <v>2</v>
      </c>
      <c r="G23" s="39">
        <v>0</v>
      </c>
      <c r="H23" s="44">
        <f t="shared" si="1"/>
        <v>66.666666666666657</v>
      </c>
      <c r="I23" s="44">
        <f t="shared" si="2"/>
        <v>33.333333333333329</v>
      </c>
      <c r="J23" s="44"/>
      <c r="K23" s="44"/>
      <c r="L23" s="44"/>
      <c r="M23" s="53"/>
    </row>
    <row r="24" spans="1:13" x14ac:dyDescent="0.25">
      <c r="A24" s="44" t="s">
        <v>831</v>
      </c>
      <c r="B24" s="20">
        <v>210011276481.10004</v>
      </c>
      <c r="C24" s="20">
        <v>211897018768.95001</v>
      </c>
      <c r="D24" s="44">
        <f t="shared" si="0"/>
        <v>0.89792430170752424</v>
      </c>
      <c r="E24" s="39">
        <v>4</v>
      </c>
      <c r="F24" s="39">
        <v>2</v>
      </c>
      <c r="G24" s="39">
        <v>0</v>
      </c>
      <c r="H24" s="44">
        <f t="shared" si="1"/>
        <v>66.666666666666657</v>
      </c>
      <c r="I24" s="44">
        <f t="shared" si="2"/>
        <v>33.333333333333329</v>
      </c>
      <c r="J24" s="44"/>
      <c r="K24" s="44"/>
      <c r="L24" s="44"/>
      <c r="M24" s="53"/>
    </row>
    <row r="25" spans="1:13" x14ac:dyDescent="0.25">
      <c r="A25" s="44" t="s">
        <v>1351</v>
      </c>
      <c r="B25" s="20">
        <v>43831262029.75</v>
      </c>
      <c r="C25" s="20">
        <v>43978634344.650002</v>
      </c>
      <c r="D25" s="44">
        <f t="shared" si="0"/>
        <v>0.33622649240620578</v>
      </c>
      <c r="E25" s="39">
        <v>4</v>
      </c>
      <c r="F25" s="39">
        <v>2</v>
      </c>
      <c r="G25" s="39">
        <v>0</v>
      </c>
      <c r="H25" s="44">
        <f t="shared" si="1"/>
        <v>66.666666666666657</v>
      </c>
      <c r="I25" s="44">
        <f t="shared" si="2"/>
        <v>33.333333333333329</v>
      </c>
      <c r="J25" s="44"/>
      <c r="K25" s="44"/>
      <c r="L25" s="44"/>
      <c r="M25" s="53"/>
    </row>
    <row r="26" spans="1:13" x14ac:dyDescent="0.25">
      <c r="A26" s="44" t="s">
        <v>2892</v>
      </c>
      <c r="B26" s="20">
        <v>2729123864125.3999</v>
      </c>
      <c r="C26" s="20">
        <v>2619574292209.8999</v>
      </c>
      <c r="D26" s="44">
        <f t="shared" si="0"/>
        <v>-4.0140930705102775</v>
      </c>
      <c r="E26" s="39">
        <v>2</v>
      </c>
      <c r="F26" s="39">
        <v>1</v>
      </c>
      <c r="G26" s="39">
        <v>0</v>
      </c>
      <c r="H26" s="44">
        <f t="shared" si="1"/>
        <v>66.666666666666657</v>
      </c>
      <c r="I26" s="44">
        <f t="shared" si="2"/>
        <v>33.333333333333329</v>
      </c>
      <c r="J26" s="44"/>
      <c r="K26" s="44"/>
      <c r="L26" s="44"/>
      <c r="M26" s="53"/>
    </row>
    <row r="27" spans="1:13" x14ac:dyDescent="0.25">
      <c r="A27" s="44" t="s">
        <v>4194</v>
      </c>
      <c r="B27" s="20">
        <v>6888113200</v>
      </c>
      <c r="C27" s="20">
        <v>6100320850</v>
      </c>
      <c r="D27" s="44">
        <f t="shared" si="0"/>
        <v>-11.436983207534974</v>
      </c>
      <c r="E27" s="39">
        <v>2</v>
      </c>
      <c r="F27" s="39">
        <v>1</v>
      </c>
      <c r="G27" s="39">
        <v>0</v>
      </c>
      <c r="H27" s="44">
        <f t="shared" si="1"/>
        <v>66.666666666666657</v>
      </c>
      <c r="I27" s="44">
        <f t="shared" si="2"/>
        <v>33.333333333333329</v>
      </c>
      <c r="J27" s="44"/>
      <c r="K27" s="44"/>
      <c r="L27" s="44"/>
      <c r="M27" s="53"/>
    </row>
    <row r="28" spans="1:13" x14ac:dyDescent="0.25">
      <c r="A28" s="44" t="s">
        <v>2905</v>
      </c>
      <c r="B28" s="20">
        <v>68108470334.089996</v>
      </c>
      <c r="C28" s="20">
        <v>86361223727.949997</v>
      </c>
      <c r="D28" s="44">
        <f t="shared" si="0"/>
        <v>26.799535071519642</v>
      </c>
      <c r="E28" s="39">
        <v>7</v>
      </c>
      <c r="F28" s="39">
        <v>4</v>
      </c>
      <c r="G28" s="39">
        <v>0</v>
      </c>
      <c r="H28" s="44">
        <f t="shared" si="1"/>
        <v>63.636363636363633</v>
      </c>
      <c r="I28" s="44">
        <f t="shared" si="2"/>
        <v>36.363636363636367</v>
      </c>
      <c r="J28" s="44"/>
      <c r="K28" s="44"/>
      <c r="L28" s="44"/>
      <c r="M28" s="53"/>
    </row>
    <row r="29" spans="1:13" x14ac:dyDescent="0.25">
      <c r="A29" s="44" t="s">
        <v>788</v>
      </c>
      <c r="B29" s="20">
        <v>18158248747711.379</v>
      </c>
      <c r="C29" s="20">
        <v>17987216108847.828</v>
      </c>
      <c r="D29" s="44">
        <f t="shared" si="0"/>
        <v>-0.94190051716913137</v>
      </c>
      <c r="E29" s="39">
        <v>7</v>
      </c>
      <c r="F29" s="39">
        <v>4</v>
      </c>
      <c r="G29" s="39">
        <v>0</v>
      </c>
      <c r="H29" s="44">
        <f t="shared" si="1"/>
        <v>63.636363636363633</v>
      </c>
      <c r="I29" s="44">
        <f t="shared" si="2"/>
        <v>36.363636363636367</v>
      </c>
      <c r="J29" s="44"/>
      <c r="K29" s="44"/>
      <c r="L29" s="44"/>
      <c r="M29" s="53"/>
    </row>
    <row r="30" spans="1:13" x14ac:dyDescent="0.25">
      <c r="A30" s="44" t="s">
        <v>2998</v>
      </c>
      <c r="B30" s="20">
        <v>12569025201.979998</v>
      </c>
      <c r="C30" s="20">
        <v>14047565221.759998</v>
      </c>
      <c r="D30" s="44">
        <f t="shared" si="0"/>
        <v>11.763362679446981</v>
      </c>
      <c r="E30" s="39">
        <v>3</v>
      </c>
      <c r="F30" s="39">
        <v>2</v>
      </c>
      <c r="G30" s="39">
        <v>0</v>
      </c>
      <c r="H30" s="44">
        <f t="shared" si="1"/>
        <v>60</v>
      </c>
      <c r="I30" s="44">
        <f t="shared" si="2"/>
        <v>40</v>
      </c>
      <c r="J30" s="44"/>
      <c r="K30" s="44"/>
      <c r="L30" s="44"/>
      <c r="M30" s="53"/>
    </row>
    <row r="31" spans="1:13" x14ac:dyDescent="0.25">
      <c r="A31" s="44" t="s">
        <v>3793</v>
      </c>
      <c r="B31" s="20">
        <v>1207170671240.8</v>
      </c>
      <c r="C31" s="20">
        <v>1182322324827.1599</v>
      </c>
      <c r="D31" s="44">
        <f t="shared" si="0"/>
        <v>-2.0583954701367588</v>
      </c>
      <c r="E31" s="39">
        <v>3</v>
      </c>
      <c r="F31" s="39">
        <v>1</v>
      </c>
      <c r="G31" s="39">
        <v>1</v>
      </c>
      <c r="H31" s="44">
        <f t="shared" si="1"/>
        <v>60</v>
      </c>
      <c r="I31" s="44">
        <f t="shared" si="2"/>
        <v>20</v>
      </c>
      <c r="J31" s="44"/>
      <c r="K31" s="44"/>
      <c r="L31" s="44"/>
      <c r="M31" s="53"/>
    </row>
    <row r="32" spans="1:13" x14ac:dyDescent="0.25">
      <c r="A32" s="44" t="s">
        <v>3707</v>
      </c>
      <c r="B32" s="20">
        <v>233020597854.88998</v>
      </c>
      <c r="C32" s="20">
        <v>226758439968.82999</v>
      </c>
      <c r="D32" s="44">
        <f t="shared" si="0"/>
        <v>-2.6873838380415025</v>
      </c>
      <c r="E32" s="39">
        <v>6</v>
      </c>
      <c r="F32" s="39">
        <v>4</v>
      </c>
      <c r="G32" s="39">
        <v>0</v>
      </c>
      <c r="H32" s="44">
        <f t="shared" si="1"/>
        <v>60</v>
      </c>
      <c r="I32" s="44">
        <f t="shared" si="2"/>
        <v>40</v>
      </c>
      <c r="J32" s="44"/>
      <c r="K32" s="44"/>
      <c r="L32" s="44"/>
      <c r="M32" s="53"/>
    </row>
    <row r="33" spans="1:13" x14ac:dyDescent="0.25">
      <c r="A33" s="44" t="s">
        <v>1685</v>
      </c>
      <c r="B33" s="20">
        <v>343441776059.68011</v>
      </c>
      <c r="C33" s="20">
        <v>343186368097.92999</v>
      </c>
      <c r="D33" s="44">
        <f t="shared" si="0"/>
        <v>-7.436717940386485E-2</v>
      </c>
      <c r="E33" s="39">
        <v>31</v>
      </c>
      <c r="F33" s="39">
        <v>21</v>
      </c>
      <c r="G33" s="39">
        <v>2</v>
      </c>
      <c r="H33" s="44">
        <f t="shared" si="1"/>
        <v>57.407407407407405</v>
      </c>
      <c r="I33" s="44">
        <f t="shared" si="2"/>
        <v>38.888888888888893</v>
      </c>
      <c r="J33" s="44"/>
      <c r="K33" s="44"/>
      <c r="L33" s="44"/>
      <c r="M33" s="53"/>
    </row>
    <row r="34" spans="1:13" x14ac:dyDescent="0.25">
      <c r="A34" s="44" t="s">
        <v>3906</v>
      </c>
      <c r="B34" s="20">
        <v>550215710601.49988</v>
      </c>
      <c r="C34" s="20">
        <v>544875790271.01001</v>
      </c>
      <c r="D34" s="44">
        <f t="shared" si="0"/>
        <v>-0.9705139689036193</v>
      </c>
      <c r="E34" s="39">
        <v>25</v>
      </c>
      <c r="F34" s="39">
        <v>17</v>
      </c>
      <c r="G34" s="39">
        <v>2</v>
      </c>
      <c r="H34" s="44">
        <f t="shared" si="1"/>
        <v>56.81818181818182</v>
      </c>
      <c r="I34" s="44">
        <f t="shared" si="2"/>
        <v>38.636363636363633</v>
      </c>
      <c r="J34" s="70" t="s">
        <v>4402</v>
      </c>
      <c r="K34" s="67"/>
      <c r="L34" s="44"/>
      <c r="M34" s="53"/>
    </row>
    <row r="35" spans="1:13" x14ac:dyDescent="0.25">
      <c r="A35" s="44" t="s">
        <v>4066</v>
      </c>
      <c r="B35" s="20">
        <v>96678919423.330002</v>
      </c>
      <c r="C35" s="20">
        <v>100637236806.14001</v>
      </c>
      <c r="D35" s="44">
        <f t="shared" si="0"/>
        <v>4.0942921232679961</v>
      </c>
      <c r="E35" s="39">
        <v>5</v>
      </c>
      <c r="F35" s="39">
        <v>4</v>
      </c>
      <c r="G35" s="39">
        <v>0</v>
      </c>
      <c r="H35" s="44">
        <f t="shared" si="1"/>
        <v>55.555555555555557</v>
      </c>
      <c r="I35" s="44">
        <f t="shared" si="2"/>
        <v>44.444444444444443</v>
      </c>
      <c r="J35" s="44"/>
      <c r="K35" s="44"/>
      <c r="L35" s="44"/>
      <c r="M35" s="53"/>
    </row>
    <row r="36" spans="1:13" x14ac:dyDescent="0.25">
      <c r="A36" s="44" t="s">
        <v>3023</v>
      </c>
      <c r="B36" s="20">
        <v>37977231897.909996</v>
      </c>
      <c r="C36" s="20">
        <v>37767968333.070007</v>
      </c>
      <c r="D36" s="44">
        <f t="shared" si="0"/>
        <v>-0.55102374339058957</v>
      </c>
      <c r="E36" s="39">
        <v>6</v>
      </c>
      <c r="F36" s="39">
        <v>5</v>
      </c>
      <c r="G36" s="39">
        <v>0</v>
      </c>
      <c r="H36" s="44">
        <f t="shared" si="1"/>
        <v>54.54545454545454</v>
      </c>
      <c r="I36" s="44">
        <f t="shared" si="2"/>
        <v>45.454545454545453</v>
      </c>
      <c r="J36" s="44"/>
      <c r="K36" s="44"/>
      <c r="L36" s="44"/>
      <c r="M36" s="53"/>
    </row>
    <row r="37" spans="1:13" x14ac:dyDescent="0.25">
      <c r="A37" s="44" t="s">
        <v>110</v>
      </c>
      <c r="B37" s="20">
        <v>512632198650.23993</v>
      </c>
      <c r="C37" s="20">
        <v>486171537489.40009</v>
      </c>
      <c r="D37" s="44">
        <f t="shared" si="0"/>
        <v>-5.1617243767579835</v>
      </c>
      <c r="E37" s="39">
        <v>12</v>
      </c>
      <c r="F37" s="39">
        <v>10</v>
      </c>
      <c r="G37" s="39">
        <v>0</v>
      </c>
      <c r="H37" s="44">
        <f t="shared" si="1"/>
        <v>54.54545454545454</v>
      </c>
      <c r="I37" s="44">
        <f t="shared" si="2"/>
        <v>45.454545454545453</v>
      </c>
      <c r="J37" s="44"/>
      <c r="K37" s="44"/>
      <c r="L37" s="44"/>
      <c r="M37" s="53"/>
    </row>
    <row r="38" spans="1:13" x14ac:dyDescent="0.25">
      <c r="A38" s="44" t="s">
        <v>1478</v>
      </c>
      <c r="B38" s="20">
        <v>557517640708.84009</v>
      </c>
      <c r="C38" s="20">
        <v>570300830514.68994</v>
      </c>
      <c r="D38" s="44">
        <f t="shared" si="0"/>
        <v>2.2928762916985064</v>
      </c>
      <c r="E38" s="39">
        <v>25</v>
      </c>
      <c r="F38" s="39">
        <v>21</v>
      </c>
      <c r="G38" s="39">
        <v>0</v>
      </c>
      <c r="H38" s="44">
        <f t="shared" si="1"/>
        <v>54.347826086956516</v>
      </c>
      <c r="I38" s="44">
        <f t="shared" si="2"/>
        <v>45.652173913043477</v>
      </c>
      <c r="J38" s="44"/>
      <c r="K38" s="44"/>
      <c r="L38" s="44"/>
      <c r="M38" s="53"/>
    </row>
    <row r="39" spans="1:13" x14ac:dyDescent="0.25">
      <c r="A39" s="44" t="s">
        <v>356</v>
      </c>
      <c r="B39" s="20">
        <v>3532503024031.8394</v>
      </c>
      <c r="C39" s="20">
        <v>3592568078449.8809</v>
      </c>
      <c r="D39" s="44">
        <f t="shared" si="0"/>
        <v>1.7003539419333875</v>
      </c>
      <c r="E39" s="39">
        <v>41</v>
      </c>
      <c r="F39" s="39">
        <v>30</v>
      </c>
      <c r="G39" s="39">
        <v>5</v>
      </c>
      <c r="H39" s="44">
        <f t="shared" si="1"/>
        <v>53.94736842105263</v>
      </c>
      <c r="I39" s="44">
        <f t="shared" si="2"/>
        <v>39.473684210526315</v>
      </c>
      <c r="J39" s="70" t="s">
        <v>4403</v>
      </c>
      <c r="K39" s="67"/>
      <c r="L39" s="44"/>
      <c r="M39" s="53"/>
    </row>
    <row r="40" spans="1:13" x14ac:dyDescent="0.25">
      <c r="A40" s="44" t="s">
        <v>893</v>
      </c>
      <c r="B40" s="20">
        <v>1447766563218.6799</v>
      </c>
      <c r="C40" s="20">
        <v>1482635844655.8296</v>
      </c>
      <c r="D40" s="44">
        <f t="shared" si="0"/>
        <v>2.4084878269068559</v>
      </c>
      <c r="E40" s="39">
        <v>8</v>
      </c>
      <c r="F40" s="39">
        <v>7</v>
      </c>
      <c r="G40" s="39">
        <v>0</v>
      </c>
      <c r="H40" s="44">
        <f t="shared" si="1"/>
        <v>53.333333333333336</v>
      </c>
      <c r="I40" s="44">
        <f t="shared" si="2"/>
        <v>46.666666666666664</v>
      </c>
      <c r="J40" s="44"/>
      <c r="K40" s="44"/>
      <c r="L40" s="44"/>
      <c r="M40" s="53"/>
    </row>
    <row r="41" spans="1:13" x14ac:dyDescent="0.25">
      <c r="A41" s="44" t="s">
        <v>3831</v>
      </c>
      <c r="B41" s="20">
        <v>3022833847.7600002</v>
      </c>
      <c r="C41" s="20">
        <v>3091948127.9000001</v>
      </c>
      <c r="D41" s="44">
        <f t="shared" si="0"/>
        <v>2.2864068493614154</v>
      </c>
      <c r="E41" s="39">
        <v>9</v>
      </c>
      <c r="F41" s="39">
        <v>7</v>
      </c>
      <c r="G41" s="39">
        <v>1</v>
      </c>
      <c r="H41" s="44">
        <f t="shared" si="1"/>
        <v>52.941176470588239</v>
      </c>
      <c r="I41" s="44">
        <f t="shared" si="2"/>
        <v>41.17647058823529</v>
      </c>
      <c r="J41" s="44"/>
      <c r="K41" s="44"/>
      <c r="L41" s="44"/>
      <c r="M41" s="53"/>
    </row>
    <row r="42" spans="1:13" x14ac:dyDescent="0.25">
      <c r="A42" s="44" t="s">
        <v>2346</v>
      </c>
      <c r="B42" s="20">
        <v>34069877802.5</v>
      </c>
      <c r="C42" s="20">
        <v>42001707253.56002</v>
      </c>
      <c r="D42" s="44">
        <f t="shared" si="0"/>
        <v>23.281062224643474</v>
      </c>
      <c r="E42" s="39">
        <v>12</v>
      </c>
      <c r="F42" s="39">
        <v>10</v>
      </c>
      <c r="G42" s="39">
        <v>2</v>
      </c>
      <c r="H42" s="44">
        <f t="shared" si="1"/>
        <v>50</v>
      </c>
      <c r="I42" s="44">
        <f t="shared" si="2"/>
        <v>41.666666666666671</v>
      </c>
      <c r="J42" s="70" t="s">
        <v>4404</v>
      </c>
      <c r="K42" s="67"/>
      <c r="L42" s="44"/>
      <c r="M42" s="53"/>
    </row>
    <row r="43" spans="1:13" x14ac:dyDescent="0.25">
      <c r="A43" s="44" t="s">
        <v>2594</v>
      </c>
      <c r="B43" s="20">
        <v>4326535430.9500008</v>
      </c>
      <c r="C43" s="20">
        <v>4836020137.8500004</v>
      </c>
      <c r="D43" s="44">
        <f t="shared" si="0"/>
        <v>11.775812657291224</v>
      </c>
      <c r="E43" s="39">
        <v>4</v>
      </c>
      <c r="F43" s="39">
        <v>4</v>
      </c>
      <c r="G43" s="39">
        <v>0</v>
      </c>
      <c r="H43" s="44">
        <f t="shared" si="1"/>
        <v>50</v>
      </c>
      <c r="I43" s="44">
        <f t="shared" si="2"/>
        <v>50</v>
      </c>
      <c r="J43" s="44"/>
      <c r="K43" s="44"/>
      <c r="L43" s="44"/>
      <c r="M43" s="53"/>
    </row>
    <row r="44" spans="1:13" x14ac:dyDescent="0.25">
      <c r="A44" s="44" t="s">
        <v>2825</v>
      </c>
      <c r="B44" s="20">
        <v>2183542279.2999997</v>
      </c>
      <c r="C44" s="20">
        <v>2309694670.9500003</v>
      </c>
      <c r="D44" s="44">
        <f t="shared" si="0"/>
        <v>5.7774192350625118</v>
      </c>
      <c r="E44" s="39">
        <v>1</v>
      </c>
      <c r="F44" s="39">
        <v>1</v>
      </c>
      <c r="G44" s="39">
        <v>0</v>
      </c>
      <c r="H44" s="44">
        <f t="shared" si="1"/>
        <v>50</v>
      </c>
      <c r="I44" s="44">
        <f t="shared" si="2"/>
        <v>50</v>
      </c>
      <c r="J44" s="44"/>
      <c r="K44" s="44"/>
      <c r="L44" s="44"/>
      <c r="M44" s="53"/>
    </row>
    <row r="45" spans="1:13" x14ac:dyDescent="0.25">
      <c r="A45" s="44" t="s">
        <v>3874</v>
      </c>
      <c r="B45" s="20">
        <v>219256568771.85001</v>
      </c>
      <c r="C45" s="20">
        <v>231869432018.14999</v>
      </c>
      <c r="D45" s="44">
        <f t="shared" si="0"/>
        <v>5.7525588934233713</v>
      </c>
      <c r="E45" s="39">
        <v>1</v>
      </c>
      <c r="F45" s="39">
        <v>1</v>
      </c>
      <c r="G45" s="39">
        <v>0</v>
      </c>
      <c r="H45" s="44">
        <f t="shared" si="1"/>
        <v>50</v>
      </c>
      <c r="I45" s="44">
        <f t="shared" si="2"/>
        <v>50</v>
      </c>
      <c r="J45" s="44"/>
      <c r="K45" s="44"/>
      <c r="L45" s="44"/>
      <c r="M45" s="53"/>
    </row>
    <row r="46" spans="1:13" x14ac:dyDescent="0.25">
      <c r="A46" s="44" t="s">
        <v>1695</v>
      </c>
      <c r="B46" s="20">
        <v>183203218229.94998</v>
      </c>
      <c r="C46" s="20">
        <v>192881848605.35001</v>
      </c>
      <c r="D46" s="44">
        <f t="shared" si="0"/>
        <v>5.2830023778576649</v>
      </c>
      <c r="E46" s="39">
        <v>10</v>
      </c>
      <c r="F46" s="39">
        <v>10</v>
      </c>
      <c r="G46" s="39">
        <v>0</v>
      </c>
      <c r="H46" s="44">
        <f t="shared" si="1"/>
        <v>50</v>
      </c>
      <c r="I46" s="44">
        <f t="shared" si="2"/>
        <v>50</v>
      </c>
      <c r="J46" s="70" t="s">
        <v>4405</v>
      </c>
      <c r="K46" s="67"/>
      <c r="L46" s="44"/>
      <c r="M46" s="44"/>
    </row>
    <row r="47" spans="1:13" x14ac:dyDescent="0.25">
      <c r="A47" s="44" t="s">
        <v>3663</v>
      </c>
      <c r="B47" s="20">
        <v>91300056563</v>
      </c>
      <c r="C47" s="20">
        <v>94011905785.800003</v>
      </c>
      <c r="D47" s="44">
        <f t="shared" si="0"/>
        <v>2.9702601782384868</v>
      </c>
      <c r="E47" s="39">
        <v>1</v>
      </c>
      <c r="F47" s="39">
        <v>1</v>
      </c>
      <c r="G47" s="39">
        <v>0</v>
      </c>
      <c r="H47" s="44">
        <f t="shared" si="1"/>
        <v>50</v>
      </c>
      <c r="I47" s="44">
        <f t="shared" si="2"/>
        <v>50</v>
      </c>
      <c r="J47" s="44"/>
      <c r="K47" s="44"/>
      <c r="L47" s="44"/>
      <c r="M47" s="53"/>
    </row>
    <row r="48" spans="1:13" x14ac:dyDescent="0.25">
      <c r="A48" s="44" t="s">
        <v>4235</v>
      </c>
      <c r="B48" s="20">
        <v>586113700</v>
      </c>
      <c r="C48" s="20">
        <v>603316060</v>
      </c>
      <c r="D48" s="44">
        <f t="shared" si="0"/>
        <v>2.9349868464088114</v>
      </c>
      <c r="E48" s="44">
        <v>1</v>
      </c>
      <c r="F48" s="44">
        <v>1</v>
      </c>
      <c r="G48" s="44">
        <v>0</v>
      </c>
      <c r="H48" s="44">
        <f t="shared" si="1"/>
        <v>50</v>
      </c>
      <c r="I48" s="44">
        <f t="shared" si="2"/>
        <v>50</v>
      </c>
      <c r="J48" s="44"/>
      <c r="K48" s="44"/>
      <c r="L48" s="44"/>
      <c r="M48" s="53"/>
    </row>
    <row r="49" spans="1:13" x14ac:dyDescent="0.25">
      <c r="A49" s="44" t="s">
        <v>642</v>
      </c>
      <c r="B49" s="20">
        <v>1603912827675.75</v>
      </c>
      <c r="C49" s="20">
        <v>1638624405347.5002</v>
      </c>
      <c r="D49" s="44">
        <f t="shared" si="0"/>
        <v>2.1641810622620445</v>
      </c>
      <c r="E49" s="39">
        <v>2</v>
      </c>
      <c r="F49" s="39">
        <v>2</v>
      </c>
      <c r="G49" s="39">
        <v>0</v>
      </c>
      <c r="H49" s="44">
        <f t="shared" si="1"/>
        <v>50</v>
      </c>
      <c r="I49" s="44">
        <f t="shared" si="2"/>
        <v>50</v>
      </c>
      <c r="J49" s="44"/>
      <c r="K49" s="44"/>
      <c r="L49" s="44"/>
      <c r="M49" s="53"/>
    </row>
    <row r="50" spans="1:13" x14ac:dyDescent="0.25">
      <c r="A50" s="44" t="s">
        <v>3918</v>
      </c>
      <c r="B50" s="20">
        <v>63958862116.619995</v>
      </c>
      <c r="C50" s="20">
        <v>64982559456.12999</v>
      </c>
      <c r="D50" s="44">
        <f t="shared" si="0"/>
        <v>1.6005558973882716</v>
      </c>
      <c r="E50" s="39">
        <v>4</v>
      </c>
      <c r="F50" s="39">
        <v>4</v>
      </c>
      <c r="G50" s="39">
        <v>0</v>
      </c>
      <c r="H50" s="44">
        <f t="shared" si="1"/>
        <v>50</v>
      </c>
      <c r="I50" s="44">
        <f t="shared" si="2"/>
        <v>50</v>
      </c>
      <c r="J50" s="44"/>
      <c r="K50" s="44"/>
      <c r="L50" s="44"/>
      <c r="M50" s="53"/>
    </row>
    <row r="51" spans="1:13" x14ac:dyDescent="0.25">
      <c r="A51" s="44" t="s">
        <v>758</v>
      </c>
      <c r="B51" s="20">
        <v>78976573347</v>
      </c>
      <c r="C51" s="20">
        <v>79723159443.5</v>
      </c>
      <c r="D51" s="44">
        <f t="shared" si="0"/>
        <v>0.94532601866596411</v>
      </c>
      <c r="E51" s="39">
        <v>1</v>
      </c>
      <c r="F51" s="39">
        <v>1</v>
      </c>
      <c r="G51" s="39">
        <v>0</v>
      </c>
      <c r="H51" s="44">
        <f t="shared" si="1"/>
        <v>50</v>
      </c>
      <c r="I51" s="44">
        <f t="shared" si="2"/>
        <v>50</v>
      </c>
      <c r="J51" s="44"/>
      <c r="K51" s="44"/>
      <c r="L51" s="44"/>
      <c r="M51" s="53"/>
    </row>
    <row r="52" spans="1:13" x14ac:dyDescent="0.25">
      <c r="A52" s="44" t="s">
        <v>3536</v>
      </c>
      <c r="B52" s="20">
        <v>2673494183298.6196</v>
      </c>
      <c r="C52" s="20">
        <v>2697652523279.6802</v>
      </c>
      <c r="D52" s="44">
        <f t="shared" si="0"/>
        <v>0.90362418336191863</v>
      </c>
      <c r="E52" s="39">
        <v>3</v>
      </c>
      <c r="F52" s="39">
        <v>3</v>
      </c>
      <c r="G52" s="39">
        <v>0</v>
      </c>
      <c r="H52" s="44">
        <f t="shared" si="1"/>
        <v>50</v>
      </c>
      <c r="I52" s="44">
        <f t="shared" si="2"/>
        <v>50</v>
      </c>
      <c r="J52" s="44"/>
      <c r="K52" s="44"/>
      <c r="L52" s="44"/>
      <c r="M52" s="53"/>
    </row>
    <row r="53" spans="1:13" x14ac:dyDescent="0.25">
      <c r="A53" s="44" t="s">
        <v>3974</v>
      </c>
      <c r="B53" s="20">
        <v>267896525290.29996</v>
      </c>
      <c r="C53" s="20">
        <v>269815763696.34</v>
      </c>
      <c r="D53" s="44">
        <f t="shared" si="0"/>
        <v>0.71641033938767962</v>
      </c>
      <c r="E53" s="39">
        <v>5</v>
      </c>
      <c r="F53" s="39">
        <v>5</v>
      </c>
      <c r="G53" s="39">
        <v>0</v>
      </c>
      <c r="H53" s="44">
        <f t="shared" si="1"/>
        <v>50</v>
      </c>
      <c r="I53" s="44">
        <f t="shared" si="2"/>
        <v>50</v>
      </c>
      <c r="J53" s="44"/>
      <c r="K53" s="44"/>
      <c r="L53" s="44"/>
      <c r="M53" s="53"/>
    </row>
    <row r="54" spans="1:13" x14ac:dyDescent="0.25">
      <c r="A54" s="44" t="s">
        <v>2816</v>
      </c>
      <c r="B54" s="20">
        <v>441636585930</v>
      </c>
      <c r="C54" s="20">
        <v>440717568986.20001</v>
      </c>
      <c r="D54" s="44">
        <f t="shared" si="0"/>
        <v>-0.20809348072119488</v>
      </c>
      <c r="E54" s="39">
        <v>1</v>
      </c>
      <c r="F54" s="39">
        <v>1</v>
      </c>
      <c r="G54" s="39">
        <v>0</v>
      </c>
      <c r="H54" s="44">
        <f t="shared" si="1"/>
        <v>50</v>
      </c>
      <c r="I54" s="44">
        <f t="shared" si="2"/>
        <v>50</v>
      </c>
      <c r="J54" s="44"/>
      <c r="K54" s="44"/>
      <c r="L54" s="44"/>
      <c r="M54" s="53"/>
    </row>
    <row r="55" spans="1:13" x14ac:dyDescent="0.25">
      <c r="A55" s="44" t="s">
        <v>1935</v>
      </c>
      <c r="B55" s="20">
        <v>498170068519.75006</v>
      </c>
      <c r="C55" s="20">
        <v>496080429596.85004</v>
      </c>
      <c r="D55" s="44">
        <f t="shared" si="0"/>
        <v>-0.41946296153623286</v>
      </c>
      <c r="E55" s="39">
        <v>4</v>
      </c>
      <c r="F55" s="39">
        <v>4</v>
      </c>
      <c r="G55" s="39">
        <v>0</v>
      </c>
      <c r="H55" s="44">
        <f t="shared" si="1"/>
        <v>50</v>
      </c>
      <c r="I55" s="44">
        <f t="shared" si="2"/>
        <v>50</v>
      </c>
      <c r="J55" s="44"/>
      <c r="K55" s="44"/>
      <c r="L55" s="44"/>
      <c r="M55" s="53"/>
    </row>
    <row r="56" spans="1:13" x14ac:dyDescent="0.25">
      <c r="A56" s="44" t="s">
        <v>3814</v>
      </c>
      <c r="B56" s="20">
        <v>3290855611.3200002</v>
      </c>
      <c r="C56" s="20">
        <v>3253944339.8400002</v>
      </c>
      <c r="D56" s="44">
        <f t="shared" si="0"/>
        <v>-1.1216314490684836</v>
      </c>
      <c r="E56" s="39">
        <v>2</v>
      </c>
      <c r="F56" s="39">
        <v>2</v>
      </c>
      <c r="G56" s="39">
        <v>0</v>
      </c>
      <c r="H56" s="44">
        <f t="shared" si="1"/>
        <v>50</v>
      </c>
      <c r="I56" s="44">
        <f t="shared" si="2"/>
        <v>50</v>
      </c>
      <c r="J56" s="44"/>
      <c r="K56" s="44"/>
      <c r="L56" s="44"/>
      <c r="M56" s="53"/>
    </row>
    <row r="57" spans="1:13" x14ac:dyDescent="0.25">
      <c r="A57" s="44" t="s">
        <v>815</v>
      </c>
      <c r="B57" s="20">
        <v>38872486329.5</v>
      </c>
      <c r="C57" s="20">
        <v>38435540179.299995</v>
      </c>
      <c r="D57" s="44">
        <f t="shared" si="0"/>
        <v>-1.1240499166846702</v>
      </c>
      <c r="E57" s="39">
        <v>2</v>
      </c>
      <c r="F57" s="39">
        <v>2</v>
      </c>
      <c r="G57" s="39">
        <v>0</v>
      </c>
      <c r="H57" s="44">
        <f t="shared" si="1"/>
        <v>50</v>
      </c>
      <c r="I57" s="44">
        <f t="shared" si="2"/>
        <v>50</v>
      </c>
      <c r="J57" s="44"/>
      <c r="K57" s="44"/>
      <c r="L57" s="44"/>
      <c r="M57" s="53"/>
    </row>
    <row r="58" spans="1:13" x14ac:dyDescent="0.25">
      <c r="A58" s="44" t="s">
        <v>3068</v>
      </c>
      <c r="B58" s="20">
        <v>3691810829.0500002</v>
      </c>
      <c r="C58" s="20">
        <v>3628862068.8799996</v>
      </c>
      <c r="D58" s="44">
        <f t="shared" si="0"/>
        <v>-1.7050917039050701</v>
      </c>
      <c r="E58" s="39">
        <v>2</v>
      </c>
      <c r="F58" s="39">
        <v>2</v>
      </c>
      <c r="G58" s="39">
        <v>0</v>
      </c>
      <c r="H58" s="44">
        <f t="shared" si="1"/>
        <v>50</v>
      </c>
      <c r="I58" s="44">
        <f t="shared" si="2"/>
        <v>50</v>
      </c>
      <c r="J58" s="44"/>
      <c r="K58" s="44"/>
      <c r="L58" s="44"/>
      <c r="M58" s="53"/>
    </row>
    <row r="59" spans="1:13" x14ac:dyDescent="0.25">
      <c r="A59" s="44" t="s">
        <v>1333</v>
      </c>
      <c r="B59" s="20">
        <v>137056710990.3</v>
      </c>
      <c r="C59" s="20">
        <v>134622423278.95</v>
      </c>
      <c r="D59" s="44">
        <f t="shared" si="0"/>
        <v>-1.7761171224386738</v>
      </c>
      <c r="E59" s="39">
        <v>2</v>
      </c>
      <c r="F59" s="39">
        <v>2</v>
      </c>
      <c r="G59" s="39">
        <v>0</v>
      </c>
      <c r="H59" s="44">
        <f t="shared" si="1"/>
        <v>50</v>
      </c>
      <c r="I59" s="44">
        <f t="shared" si="2"/>
        <v>50</v>
      </c>
      <c r="J59" s="44"/>
      <c r="K59" s="44"/>
      <c r="L59" s="44"/>
      <c r="M59" s="53"/>
    </row>
    <row r="60" spans="1:13" x14ac:dyDescent="0.25">
      <c r="A60" s="44" t="s">
        <v>3501</v>
      </c>
      <c r="B60" s="20">
        <v>41835330283.900002</v>
      </c>
      <c r="C60" s="20">
        <v>40928577788.949997</v>
      </c>
      <c r="D60" s="44">
        <f t="shared" si="0"/>
        <v>-2.1674323802314071</v>
      </c>
      <c r="E60" s="39">
        <v>2</v>
      </c>
      <c r="F60" s="39">
        <v>2</v>
      </c>
      <c r="G60" s="39">
        <v>0</v>
      </c>
      <c r="H60" s="44">
        <f t="shared" si="1"/>
        <v>50</v>
      </c>
      <c r="I60" s="44">
        <f t="shared" si="2"/>
        <v>50</v>
      </c>
      <c r="J60" s="44"/>
      <c r="K60" s="44"/>
      <c r="L60" s="44"/>
      <c r="M60" s="53"/>
    </row>
    <row r="61" spans="1:13" x14ac:dyDescent="0.25">
      <c r="A61" s="44" t="s">
        <v>668</v>
      </c>
      <c r="B61" s="20">
        <v>56468861078.5</v>
      </c>
      <c r="C61" s="20">
        <v>54805641379.699997</v>
      </c>
      <c r="D61" s="44">
        <f t="shared" si="0"/>
        <v>-2.9453749677860226</v>
      </c>
      <c r="E61" s="39">
        <v>1</v>
      </c>
      <c r="F61" s="39">
        <v>1</v>
      </c>
      <c r="G61" s="39">
        <v>0</v>
      </c>
      <c r="H61" s="44">
        <f t="shared" si="1"/>
        <v>50</v>
      </c>
      <c r="I61" s="44">
        <f t="shared" si="2"/>
        <v>50</v>
      </c>
      <c r="J61" s="44"/>
      <c r="K61" s="44"/>
      <c r="L61" s="44"/>
      <c r="M61" s="53"/>
    </row>
    <row r="62" spans="1:13" x14ac:dyDescent="0.25">
      <c r="A62" s="44" t="s">
        <v>4082</v>
      </c>
      <c r="B62" s="20">
        <v>1295955201914.25</v>
      </c>
      <c r="C62" s="20">
        <v>1247607088627</v>
      </c>
      <c r="D62" s="44">
        <f t="shared" si="0"/>
        <v>-3.7306932535812356</v>
      </c>
      <c r="E62" s="39">
        <v>1</v>
      </c>
      <c r="F62" s="39">
        <v>1</v>
      </c>
      <c r="G62" s="39">
        <v>0</v>
      </c>
      <c r="H62" s="44">
        <f t="shared" si="1"/>
        <v>50</v>
      </c>
      <c r="I62" s="44">
        <f t="shared" si="2"/>
        <v>50</v>
      </c>
      <c r="J62" s="44"/>
      <c r="K62" s="44"/>
      <c r="L62" s="44"/>
      <c r="M62" s="53"/>
    </row>
    <row r="63" spans="1:13" x14ac:dyDescent="0.25">
      <c r="A63" s="44" t="s">
        <v>204</v>
      </c>
      <c r="B63" s="20">
        <v>1247067188137.3501</v>
      </c>
      <c r="C63" s="20">
        <v>1196519021497.8599</v>
      </c>
      <c r="D63" s="44">
        <f t="shared" si="0"/>
        <v>-4.0533635332824538</v>
      </c>
      <c r="E63" s="39">
        <v>7</v>
      </c>
      <c r="F63" s="39">
        <v>7</v>
      </c>
      <c r="G63" s="39">
        <v>0</v>
      </c>
      <c r="H63" s="44">
        <f t="shared" si="1"/>
        <v>50</v>
      </c>
      <c r="I63" s="44">
        <f t="shared" si="2"/>
        <v>50</v>
      </c>
      <c r="J63" s="44"/>
      <c r="K63" s="44"/>
      <c r="L63" s="44"/>
      <c r="M63" s="53"/>
    </row>
    <row r="64" spans="1:13" x14ac:dyDescent="0.25">
      <c r="A64" s="44" t="s">
        <v>1616</v>
      </c>
      <c r="B64" s="20">
        <v>671987977568.80005</v>
      </c>
      <c r="C64" s="20">
        <v>644257960589</v>
      </c>
      <c r="D64" s="44">
        <f t="shared" si="0"/>
        <v>-4.126564448388657</v>
      </c>
      <c r="E64" s="39">
        <v>2</v>
      </c>
      <c r="F64" s="39">
        <v>2</v>
      </c>
      <c r="G64" s="39">
        <v>0</v>
      </c>
      <c r="H64" s="44">
        <f t="shared" si="1"/>
        <v>50</v>
      </c>
      <c r="I64" s="44">
        <f t="shared" si="2"/>
        <v>50</v>
      </c>
      <c r="J64" s="44"/>
      <c r="K64" s="44"/>
      <c r="L64" s="44"/>
      <c r="M64" s="53"/>
    </row>
    <row r="65" spans="1:13" x14ac:dyDescent="0.25">
      <c r="A65" s="44" t="s">
        <v>807</v>
      </c>
      <c r="B65" s="20">
        <v>4781058793721.4199</v>
      </c>
      <c r="C65" s="20">
        <v>4540964680264.2305</v>
      </c>
      <c r="D65" s="44">
        <f t="shared" si="0"/>
        <v>-5.021777054331265</v>
      </c>
      <c r="E65" s="39">
        <v>15</v>
      </c>
      <c r="F65" s="39">
        <v>15</v>
      </c>
      <c r="G65" s="39">
        <v>0</v>
      </c>
      <c r="H65" s="44">
        <f t="shared" si="1"/>
        <v>50</v>
      </c>
      <c r="I65" s="44">
        <f t="shared" si="2"/>
        <v>50</v>
      </c>
      <c r="J65" s="44"/>
      <c r="K65" s="44"/>
      <c r="L65" s="44"/>
      <c r="M65" s="53"/>
    </row>
    <row r="66" spans="1:13" x14ac:dyDescent="0.25">
      <c r="A66" s="44" t="s">
        <v>4036</v>
      </c>
      <c r="B66" s="20">
        <v>177431939381.59998</v>
      </c>
      <c r="C66" s="20">
        <v>166594351868.74997</v>
      </c>
      <c r="D66" s="44">
        <f t="shared" si="0"/>
        <v>-6.1080251676344375</v>
      </c>
      <c r="E66" s="39">
        <v>13</v>
      </c>
      <c r="F66" s="39">
        <v>12</v>
      </c>
      <c r="G66" s="39">
        <v>1</v>
      </c>
      <c r="H66" s="44">
        <f t="shared" si="1"/>
        <v>50</v>
      </c>
      <c r="I66" s="44">
        <f t="shared" si="2"/>
        <v>46.153846153846153</v>
      </c>
      <c r="J66" s="44"/>
      <c r="K66" s="44"/>
      <c r="L66" s="44"/>
      <c r="M66" s="53"/>
    </row>
    <row r="67" spans="1:13" x14ac:dyDescent="0.25">
      <c r="A67" s="44" t="s">
        <v>2757</v>
      </c>
      <c r="B67" s="20">
        <v>671503195233.46008</v>
      </c>
      <c r="C67" s="20">
        <v>608903833312.21008</v>
      </c>
      <c r="D67" s="44">
        <f t="shared" si="0"/>
        <v>-9.3222731277527604</v>
      </c>
      <c r="E67" s="39">
        <v>3</v>
      </c>
      <c r="F67" s="39">
        <v>3</v>
      </c>
      <c r="G67" s="39">
        <v>0</v>
      </c>
      <c r="H67" s="44">
        <f t="shared" si="1"/>
        <v>50</v>
      </c>
      <c r="I67" s="44">
        <f t="shared" si="2"/>
        <v>50</v>
      </c>
      <c r="J67" s="44"/>
      <c r="K67" s="44"/>
      <c r="L67" s="44"/>
      <c r="M67" s="53"/>
    </row>
    <row r="68" spans="1:13" x14ac:dyDescent="0.25">
      <c r="A68" s="44" t="s">
        <v>1999</v>
      </c>
      <c r="B68" s="20">
        <v>1113235458503.98</v>
      </c>
      <c r="C68" s="20">
        <v>1099244113676.2299</v>
      </c>
      <c r="D68" s="44">
        <f t="shared" si="0"/>
        <v>-1.2568181080534726</v>
      </c>
      <c r="E68" s="39">
        <v>28</v>
      </c>
      <c r="F68" s="39">
        <v>23</v>
      </c>
      <c r="G68" s="39">
        <v>6</v>
      </c>
      <c r="H68" s="44">
        <f t="shared" si="1"/>
        <v>49.122807017543856</v>
      </c>
      <c r="I68" s="44">
        <f t="shared" si="2"/>
        <v>40.350877192982452</v>
      </c>
      <c r="J68" s="44"/>
      <c r="K68" s="44"/>
      <c r="L68" s="44"/>
      <c r="M68" s="53"/>
    </row>
    <row r="69" spans="1:13" x14ac:dyDescent="0.25">
      <c r="A69" s="44" t="s">
        <v>2297</v>
      </c>
      <c r="B69" s="20">
        <v>1606307465909.7598</v>
      </c>
      <c r="C69" s="20">
        <v>1647290181442.3499</v>
      </c>
      <c r="D69" s="44">
        <f t="shared" si="0"/>
        <v>2.5513618284391666</v>
      </c>
      <c r="E69" s="39">
        <v>55</v>
      </c>
      <c r="F69" s="39">
        <v>48</v>
      </c>
      <c r="G69" s="39">
        <v>10</v>
      </c>
      <c r="H69" s="44">
        <f t="shared" si="1"/>
        <v>48.672566371681413</v>
      </c>
      <c r="I69" s="44">
        <f t="shared" si="2"/>
        <v>42.477876106194692</v>
      </c>
      <c r="J69" s="70" t="s">
        <v>4406</v>
      </c>
      <c r="K69" s="67"/>
      <c r="L69" s="67"/>
      <c r="M69" s="53"/>
    </row>
    <row r="70" spans="1:13" x14ac:dyDescent="0.25">
      <c r="A70" s="44" t="s">
        <v>1337</v>
      </c>
      <c r="B70" s="20">
        <v>1203566133175.4998</v>
      </c>
      <c r="C70" s="20">
        <v>1185918038088.73</v>
      </c>
      <c r="D70" s="44">
        <f t="shared" si="0"/>
        <v>-1.4663170224146207</v>
      </c>
      <c r="E70" s="39">
        <v>29</v>
      </c>
      <c r="F70" s="39">
        <v>29</v>
      </c>
      <c r="G70" s="39">
        <v>2</v>
      </c>
      <c r="H70" s="44">
        <f t="shared" si="1"/>
        <v>48.333333333333336</v>
      </c>
      <c r="I70" s="44">
        <f t="shared" si="2"/>
        <v>48.333333333333336</v>
      </c>
      <c r="J70" s="70" t="s">
        <v>4407</v>
      </c>
      <c r="K70" s="67"/>
      <c r="L70" s="44"/>
      <c r="M70" s="53"/>
    </row>
    <row r="71" spans="1:13" x14ac:dyDescent="0.25">
      <c r="A71" s="44" t="s">
        <v>13</v>
      </c>
      <c r="B71" s="20">
        <v>11792436259761.4</v>
      </c>
      <c r="C71" s="20">
        <v>11320208415098.85</v>
      </c>
      <c r="D71" s="44">
        <f t="shared" si="0"/>
        <v>-4.0044977497474763</v>
      </c>
      <c r="E71" s="39">
        <v>132</v>
      </c>
      <c r="F71" s="39">
        <v>121</v>
      </c>
      <c r="G71" s="39">
        <v>24</v>
      </c>
      <c r="H71" s="44">
        <f t="shared" si="1"/>
        <v>47.653429602888089</v>
      </c>
      <c r="I71" s="44">
        <f t="shared" si="2"/>
        <v>43.682310469314075</v>
      </c>
      <c r="J71" s="44"/>
      <c r="K71" s="44"/>
      <c r="L71" s="44"/>
      <c r="M71" s="53"/>
    </row>
    <row r="72" spans="1:13" x14ac:dyDescent="0.25">
      <c r="A72" s="44" t="s">
        <v>2755</v>
      </c>
      <c r="B72" s="20">
        <v>3786352321206.6699</v>
      </c>
      <c r="C72" s="20">
        <v>3939470444806.5298</v>
      </c>
      <c r="D72" s="44">
        <f t="shared" si="0"/>
        <v>4.0439481223729006</v>
      </c>
      <c r="E72" s="39">
        <v>20</v>
      </c>
      <c r="F72" s="39">
        <v>21</v>
      </c>
      <c r="G72" s="39">
        <v>1</v>
      </c>
      <c r="H72" s="44">
        <f t="shared" si="1"/>
        <v>47.619047619047613</v>
      </c>
      <c r="I72" s="44">
        <f t="shared" si="2"/>
        <v>50</v>
      </c>
      <c r="J72" s="44"/>
      <c r="K72" s="44"/>
      <c r="L72" s="44"/>
      <c r="M72" s="53"/>
    </row>
    <row r="73" spans="1:13" x14ac:dyDescent="0.25">
      <c r="A73" s="44" t="s">
        <v>1136</v>
      </c>
      <c r="B73" s="20">
        <v>7361573150323.1689</v>
      </c>
      <c r="C73" s="20">
        <v>7297386013460.6992</v>
      </c>
      <c r="D73" s="44">
        <f t="shared" si="0"/>
        <v>-0.87192147047607549</v>
      </c>
      <c r="E73" s="39">
        <v>20</v>
      </c>
      <c r="F73" s="39">
        <v>22</v>
      </c>
      <c r="G73" s="39">
        <v>1</v>
      </c>
      <c r="H73" s="44">
        <f t="shared" si="1"/>
        <v>46.511627906976742</v>
      </c>
      <c r="I73" s="44">
        <f t="shared" si="2"/>
        <v>51.162790697674424</v>
      </c>
      <c r="J73" s="44"/>
      <c r="K73" s="44"/>
      <c r="L73" s="44"/>
      <c r="M73" s="53"/>
    </row>
    <row r="74" spans="1:13" x14ac:dyDescent="0.25">
      <c r="A74" s="44" t="s">
        <v>1793</v>
      </c>
      <c r="B74" s="20">
        <v>1154368343592.1899</v>
      </c>
      <c r="C74" s="20">
        <v>1195646796493.4702</v>
      </c>
      <c r="D74" s="44">
        <f t="shared" si="0"/>
        <v>3.5758476166133453</v>
      </c>
      <c r="E74" s="39">
        <v>105</v>
      </c>
      <c r="F74" s="39">
        <v>113</v>
      </c>
      <c r="G74" s="39">
        <v>11</v>
      </c>
      <c r="H74" s="44">
        <f t="shared" si="1"/>
        <v>45.851528384279476</v>
      </c>
      <c r="I74" s="44">
        <f t="shared" si="2"/>
        <v>49.344978165938862</v>
      </c>
      <c r="J74" s="44"/>
      <c r="K74" s="44"/>
      <c r="L74" s="44"/>
      <c r="M74" s="53"/>
    </row>
    <row r="75" spans="1:13" x14ac:dyDescent="0.25">
      <c r="A75" s="44" t="s">
        <v>1968</v>
      </c>
      <c r="B75" s="20">
        <v>30194841590828.711</v>
      </c>
      <c r="C75" s="20">
        <v>29282528438739.121</v>
      </c>
      <c r="D75" s="44">
        <f t="shared" si="0"/>
        <v>-3.0214205606784605</v>
      </c>
      <c r="E75" s="39">
        <v>32</v>
      </c>
      <c r="F75" s="39">
        <v>35</v>
      </c>
      <c r="G75" s="39">
        <v>4</v>
      </c>
      <c r="H75" s="44">
        <f t="shared" si="1"/>
        <v>45.070422535211272</v>
      </c>
      <c r="I75" s="44">
        <f t="shared" si="2"/>
        <v>49.295774647887328</v>
      </c>
      <c r="J75" s="44"/>
      <c r="K75" s="44"/>
      <c r="L75" s="44"/>
      <c r="M75" s="53"/>
    </row>
    <row r="76" spans="1:13" x14ac:dyDescent="0.25">
      <c r="A76" s="44" t="s">
        <v>3951</v>
      </c>
      <c r="B76" s="20">
        <v>1088004609287.15</v>
      </c>
      <c r="C76" s="20">
        <v>1208708542500.1099</v>
      </c>
      <c r="D76" s="44">
        <f t="shared" si="0"/>
        <v>11.094064508793199</v>
      </c>
      <c r="E76" s="39">
        <v>9</v>
      </c>
      <c r="F76" s="39">
        <v>11</v>
      </c>
      <c r="G76" s="39">
        <v>0</v>
      </c>
      <c r="H76" s="44">
        <f t="shared" si="1"/>
        <v>45</v>
      </c>
      <c r="I76" s="44">
        <f t="shared" si="2"/>
        <v>55.000000000000007</v>
      </c>
      <c r="J76" s="44"/>
      <c r="K76" s="44"/>
      <c r="L76" s="44"/>
      <c r="M76" s="53"/>
    </row>
    <row r="77" spans="1:13" x14ac:dyDescent="0.25">
      <c r="A77" s="44" t="s">
        <v>3976</v>
      </c>
      <c r="B77" s="20">
        <v>1350120436770.1399</v>
      </c>
      <c r="C77" s="20">
        <v>1371929978668.9099</v>
      </c>
      <c r="D77" s="44">
        <f t="shared" si="0"/>
        <v>1.6153775103904398</v>
      </c>
      <c r="E77" s="39">
        <v>8</v>
      </c>
      <c r="F77" s="39">
        <v>10</v>
      </c>
      <c r="G77" s="39">
        <v>0</v>
      </c>
      <c r="H77" s="44">
        <f t="shared" si="1"/>
        <v>44.444444444444443</v>
      </c>
      <c r="I77" s="44">
        <f t="shared" si="2"/>
        <v>55.555555555555557</v>
      </c>
      <c r="J77" s="44"/>
      <c r="K77" s="44"/>
      <c r="L77" s="44"/>
      <c r="M77" s="53"/>
    </row>
    <row r="78" spans="1:13" x14ac:dyDescent="0.25">
      <c r="A78" s="44" t="s">
        <v>1606</v>
      </c>
      <c r="B78" s="20">
        <v>231174603605.82004</v>
      </c>
      <c r="C78" s="20">
        <v>219883577249.01001</v>
      </c>
      <c r="D78" s="44">
        <f t="shared" si="0"/>
        <v>-4.8841984286745266</v>
      </c>
      <c r="E78" s="39">
        <v>4</v>
      </c>
      <c r="F78" s="39">
        <v>4</v>
      </c>
      <c r="G78" s="39">
        <v>1</v>
      </c>
      <c r="H78" s="44">
        <f t="shared" si="1"/>
        <v>44.444444444444443</v>
      </c>
      <c r="I78" s="44">
        <f t="shared" si="2"/>
        <v>44.444444444444443</v>
      </c>
      <c r="J78" s="44"/>
      <c r="K78" s="44"/>
      <c r="L78" s="44"/>
      <c r="M78" s="53"/>
    </row>
    <row r="79" spans="1:13" x14ac:dyDescent="0.25">
      <c r="A79" s="44" t="s">
        <v>1453</v>
      </c>
      <c r="B79" s="20">
        <v>471202944274.62</v>
      </c>
      <c r="C79" s="20">
        <v>440947278353.91998</v>
      </c>
      <c r="D79" s="44">
        <f t="shared" si="0"/>
        <v>-6.4209416108968158</v>
      </c>
      <c r="E79" s="39">
        <v>4</v>
      </c>
      <c r="F79" s="39">
        <v>5</v>
      </c>
      <c r="G79" s="39">
        <v>0</v>
      </c>
      <c r="H79" s="44">
        <f t="shared" si="1"/>
        <v>44.444444444444443</v>
      </c>
      <c r="I79" s="44">
        <f t="shared" si="2"/>
        <v>55.555555555555557</v>
      </c>
      <c r="J79" s="44"/>
      <c r="K79" s="44"/>
      <c r="L79" s="44"/>
      <c r="M79" s="53"/>
    </row>
    <row r="80" spans="1:13" x14ac:dyDescent="0.25">
      <c r="A80" s="44" t="s">
        <v>2753</v>
      </c>
      <c r="B80" s="20">
        <v>1458077108105.8701</v>
      </c>
      <c r="C80" s="20">
        <v>1418848413527.6006</v>
      </c>
      <c r="D80" s="44">
        <f t="shared" si="0"/>
        <v>-2.690440331323078</v>
      </c>
      <c r="E80" s="39">
        <v>26</v>
      </c>
      <c r="F80" s="39">
        <v>33</v>
      </c>
      <c r="G80" s="39">
        <v>1</v>
      </c>
      <c r="H80" s="44">
        <f t="shared" si="1"/>
        <v>43.333333333333336</v>
      </c>
      <c r="I80" s="44">
        <f t="shared" si="2"/>
        <v>55.000000000000007</v>
      </c>
      <c r="J80" s="70" t="s">
        <v>4408</v>
      </c>
      <c r="K80" s="67"/>
      <c r="L80" s="44"/>
      <c r="M80" s="53"/>
    </row>
    <row r="81" spans="1:13" x14ac:dyDescent="0.25">
      <c r="A81" s="44" t="s">
        <v>295</v>
      </c>
      <c r="B81" s="20">
        <v>88317173804.350006</v>
      </c>
      <c r="C81" s="20">
        <v>94056828012.350006</v>
      </c>
      <c r="D81" s="44">
        <f t="shared" si="0"/>
        <v>6.4989106430365613</v>
      </c>
      <c r="E81" s="39">
        <v>3</v>
      </c>
      <c r="F81" s="39">
        <v>4</v>
      </c>
      <c r="G81" s="39">
        <v>0</v>
      </c>
      <c r="H81" s="44">
        <f t="shared" si="1"/>
        <v>42.857142857142854</v>
      </c>
      <c r="I81" s="44">
        <f t="shared" si="2"/>
        <v>57.142857142857139</v>
      </c>
      <c r="J81" s="44"/>
      <c r="K81" s="44"/>
      <c r="L81" s="44"/>
      <c r="M81" s="53"/>
    </row>
    <row r="82" spans="1:13" x14ac:dyDescent="0.25">
      <c r="A82" s="44" t="s">
        <v>3402</v>
      </c>
      <c r="B82" s="20">
        <v>7442290273292.0703</v>
      </c>
      <c r="C82" s="20">
        <v>7376997627325.0693</v>
      </c>
      <c r="D82" s="44">
        <f t="shared" si="0"/>
        <v>-0.87731926019218553</v>
      </c>
      <c r="E82" s="39">
        <v>3</v>
      </c>
      <c r="F82" s="39">
        <v>4</v>
      </c>
      <c r="G82" s="39">
        <v>0</v>
      </c>
      <c r="H82" s="44">
        <f t="shared" si="1"/>
        <v>42.857142857142854</v>
      </c>
      <c r="I82" s="44">
        <f t="shared" si="2"/>
        <v>57.142857142857139</v>
      </c>
      <c r="J82" s="44"/>
      <c r="K82" s="44"/>
      <c r="L82" s="44"/>
      <c r="M82" s="53"/>
    </row>
    <row r="83" spans="1:13" x14ac:dyDescent="0.25">
      <c r="A83" s="44" t="s">
        <v>67</v>
      </c>
      <c r="B83" s="20">
        <v>881450529097.8999</v>
      </c>
      <c r="C83" s="20">
        <v>842418365049.40002</v>
      </c>
      <c r="D83" s="44">
        <f t="shared" si="0"/>
        <v>-4.4281741016647231</v>
      </c>
      <c r="E83" s="39">
        <v>3</v>
      </c>
      <c r="F83" s="39">
        <v>4</v>
      </c>
      <c r="G83" s="39">
        <v>0</v>
      </c>
      <c r="H83" s="44">
        <f t="shared" si="1"/>
        <v>42.857142857142854</v>
      </c>
      <c r="I83" s="44">
        <f t="shared" si="2"/>
        <v>57.142857142857139</v>
      </c>
      <c r="J83" s="44"/>
      <c r="K83" s="44"/>
      <c r="L83" s="44"/>
      <c r="M83" s="53"/>
    </row>
    <row r="84" spans="1:13" x14ac:dyDescent="0.25">
      <c r="A84" s="44" t="s">
        <v>1064</v>
      </c>
      <c r="B84" s="20">
        <v>1358028185209.2295</v>
      </c>
      <c r="C84" s="20">
        <v>1276742237778.1902</v>
      </c>
      <c r="D84" s="44">
        <f t="shared" si="0"/>
        <v>-5.9855861841715523</v>
      </c>
      <c r="E84" s="39">
        <v>22</v>
      </c>
      <c r="F84" s="39">
        <v>29</v>
      </c>
      <c r="G84" s="39">
        <v>1</v>
      </c>
      <c r="H84" s="44">
        <f t="shared" si="1"/>
        <v>42.307692307692307</v>
      </c>
      <c r="I84" s="44">
        <f t="shared" si="2"/>
        <v>55.769230769230774</v>
      </c>
      <c r="J84" s="44"/>
      <c r="K84" s="44"/>
      <c r="L84" s="44"/>
      <c r="M84" s="53"/>
    </row>
    <row r="85" spans="1:13" x14ac:dyDescent="0.25">
      <c r="A85" s="44" t="s">
        <v>2671</v>
      </c>
      <c r="B85" s="20">
        <v>371413082834.62</v>
      </c>
      <c r="C85" s="20">
        <v>431047774011.84998</v>
      </c>
      <c r="D85" s="44">
        <f t="shared" si="0"/>
        <v>16.056163321469121</v>
      </c>
      <c r="E85" s="39">
        <v>5</v>
      </c>
      <c r="F85" s="39">
        <v>7</v>
      </c>
      <c r="G85" s="39">
        <v>0</v>
      </c>
      <c r="H85" s="44">
        <f t="shared" si="1"/>
        <v>41.666666666666671</v>
      </c>
      <c r="I85" s="44">
        <f t="shared" si="2"/>
        <v>58.333333333333336</v>
      </c>
      <c r="J85" s="44"/>
      <c r="K85" s="44"/>
      <c r="L85" s="44"/>
      <c r="M85" s="53"/>
    </row>
    <row r="86" spans="1:13" x14ac:dyDescent="0.25">
      <c r="A86" s="44" t="s">
        <v>1171</v>
      </c>
      <c r="B86" s="20">
        <v>801048015320.02002</v>
      </c>
      <c r="C86" s="20">
        <v>807446063589.82983</v>
      </c>
      <c r="D86" s="44">
        <f t="shared" si="0"/>
        <v>0.79870970871250246</v>
      </c>
      <c r="E86" s="39">
        <v>52</v>
      </c>
      <c r="F86" s="39">
        <v>50</v>
      </c>
      <c r="G86" s="39">
        <v>23</v>
      </c>
      <c r="H86" s="44">
        <f t="shared" si="1"/>
        <v>41.6</v>
      </c>
      <c r="I86" s="44">
        <f t="shared" si="2"/>
        <v>40</v>
      </c>
      <c r="J86" s="44"/>
      <c r="K86" s="44"/>
      <c r="L86" s="44"/>
      <c r="M86" s="53"/>
    </row>
    <row r="87" spans="1:13" x14ac:dyDescent="0.25">
      <c r="A87" s="44" t="s">
        <v>858</v>
      </c>
      <c r="B87" s="20">
        <v>4688033938069.21</v>
      </c>
      <c r="C87" s="20">
        <v>4850106470419.8018</v>
      </c>
      <c r="D87" s="44">
        <f t="shared" si="0"/>
        <v>3.4571535635542383</v>
      </c>
      <c r="E87" s="39">
        <v>64</v>
      </c>
      <c r="F87" s="39">
        <v>81</v>
      </c>
      <c r="G87" s="39">
        <v>10</v>
      </c>
      <c r="H87" s="44">
        <f t="shared" si="1"/>
        <v>41.29032258064516</v>
      </c>
      <c r="I87" s="44">
        <f t="shared" si="2"/>
        <v>52.258064516129032</v>
      </c>
      <c r="J87" s="70" t="s">
        <v>4409</v>
      </c>
      <c r="K87" s="67"/>
      <c r="L87" s="44"/>
      <c r="M87" s="53"/>
    </row>
    <row r="88" spans="1:13" x14ac:dyDescent="0.25">
      <c r="A88" s="44" t="s">
        <v>1645</v>
      </c>
      <c r="B88" s="20">
        <v>709853018913.40002</v>
      </c>
      <c r="C88" s="20">
        <v>688932040813.96008</v>
      </c>
      <c r="D88" s="44">
        <f t="shared" si="0"/>
        <v>-2.9472267556830998</v>
      </c>
      <c r="E88" s="39">
        <v>16</v>
      </c>
      <c r="F88" s="39">
        <v>19</v>
      </c>
      <c r="G88" s="39">
        <v>4</v>
      </c>
      <c r="H88" s="44">
        <f t="shared" si="1"/>
        <v>41.025641025641022</v>
      </c>
      <c r="I88" s="44">
        <f t="shared" si="2"/>
        <v>48.717948717948715</v>
      </c>
      <c r="J88" s="44"/>
      <c r="K88" s="44"/>
      <c r="L88" s="44"/>
      <c r="M88" s="53"/>
    </row>
    <row r="89" spans="1:13" x14ac:dyDescent="0.25">
      <c r="A89" s="44" t="s">
        <v>1315</v>
      </c>
      <c r="B89" s="20">
        <v>163222227911.45999</v>
      </c>
      <c r="C89" s="20">
        <v>165907618427.29999</v>
      </c>
      <c r="D89" s="44">
        <f t="shared" si="0"/>
        <v>1.6452357930665475</v>
      </c>
      <c r="E89" s="39">
        <v>2</v>
      </c>
      <c r="F89" s="39">
        <v>3</v>
      </c>
      <c r="G89" s="39">
        <v>0</v>
      </c>
      <c r="H89" s="44">
        <f t="shared" si="1"/>
        <v>40</v>
      </c>
      <c r="I89" s="44">
        <f t="shared" si="2"/>
        <v>60</v>
      </c>
      <c r="J89" s="44"/>
      <c r="K89" s="44"/>
      <c r="L89" s="44"/>
      <c r="M89" s="53"/>
    </row>
    <row r="90" spans="1:13" x14ac:dyDescent="0.25">
      <c r="A90" s="44" t="s">
        <v>767</v>
      </c>
      <c r="B90" s="20">
        <v>997665858848.81006</v>
      </c>
      <c r="C90" s="20">
        <v>1009274645307.38</v>
      </c>
      <c r="D90" s="44">
        <f t="shared" si="0"/>
        <v>1.1635946399894981</v>
      </c>
      <c r="E90" s="39">
        <v>2</v>
      </c>
      <c r="F90" s="39">
        <v>2</v>
      </c>
      <c r="G90" s="39">
        <v>1</v>
      </c>
      <c r="H90" s="44">
        <f t="shared" si="1"/>
        <v>40</v>
      </c>
      <c r="I90" s="44">
        <f t="shared" si="2"/>
        <v>40</v>
      </c>
      <c r="J90" s="44"/>
      <c r="K90" s="44"/>
      <c r="L90" s="44"/>
      <c r="M90" s="53"/>
    </row>
    <row r="91" spans="1:13" x14ac:dyDescent="0.25">
      <c r="A91" s="44" t="s">
        <v>959</v>
      </c>
      <c r="B91" s="20">
        <v>225032067058.03995</v>
      </c>
      <c r="C91" s="20">
        <v>226497444453.26999</v>
      </c>
      <c r="D91" s="44">
        <f t="shared" si="0"/>
        <v>0.6511860351227603</v>
      </c>
      <c r="E91" s="39">
        <v>4</v>
      </c>
      <c r="F91" s="39">
        <v>5</v>
      </c>
      <c r="G91" s="39">
        <v>1</v>
      </c>
      <c r="H91" s="44">
        <f t="shared" si="1"/>
        <v>40</v>
      </c>
      <c r="I91" s="44">
        <f t="shared" si="2"/>
        <v>50</v>
      </c>
      <c r="J91" s="44"/>
      <c r="K91" s="44"/>
      <c r="L91" s="44"/>
      <c r="M91" s="53"/>
    </row>
    <row r="92" spans="1:13" x14ac:dyDescent="0.25">
      <c r="A92" s="44" t="s">
        <v>2422</v>
      </c>
      <c r="B92" s="20">
        <v>551300172943.28992</v>
      </c>
      <c r="C92" s="20">
        <v>538684359971.97998</v>
      </c>
      <c r="D92" s="44">
        <f t="shared" si="0"/>
        <v>-2.2883745716886752</v>
      </c>
      <c r="E92" s="39">
        <v>14</v>
      </c>
      <c r="F92" s="39">
        <v>20</v>
      </c>
      <c r="G92" s="39">
        <v>1</v>
      </c>
      <c r="H92" s="44">
        <f t="shared" si="1"/>
        <v>40</v>
      </c>
      <c r="I92" s="44">
        <f t="shared" si="2"/>
        <v>57.142857142857139</v>
      </c>
      <c r="J92" s="44"/>
      <c r="K92" s="44"/>
      <c r="L92" s="44"/>
      <c r="M92" s="53"/>
    </row>
    <row r="93" spans="1:13" x14ac:dyDescent="0.25">
      <c r="A93" s="44" t="s">
        <v>4016</v>
      </c>
      <c r="B93" s="20">
        <v>2147392098044.3</v>
      </c>
      <c r="C93" s="20">
        <v>2073175684603.1199</v>
      </c>
      <c r="D93" s="44">
        <f t="shared" si="0"/>
        <v>-3.4561184009558139</v>
      </c>
      <c r="E93" s="39">
        <v>2</v>
      </c>
      <c r="F93" s="39">
        <v>3</v>
      </c>
      <c r="G93" s="39">
        <v>0</v>
      </c>
      <c r="H93" s="44">
        <f t="shared" si="1"/>
        <v>40</v>
      </c>
      <c r="I93" s="44">
        <f t="shared" si="2"/>
        <v>60</v>
      </c>
      <c r="J93" s="70" t="s">
        <v>4410</v>
      </c>
      <c r="K93" s="67"/>
      <c r="L93" s="44"/>
      <c r="M93" s="53"/>
    </row>
    <row r="94" spans="1:13" x14ac:dyDescent="0.25">
      <c r="A94" s="44" t="s">
        <v>3618</v>
      </c>
      <c r="B94" s="20">
        <v>187190569919.14999</v>
      </c>
      <c r="C94" s="20">
        <v>179772993642.25</v>
      </c>
      <c r="D94" s="44">
        <f t="shared" si="0"/>
        <v>-3.9625801022475331</v>
      </c>
      <c r="E94" s="39">
        <v>2</v>
      </c>
      <c r="F94" s="39">
        <v>3</v>
      </c>
      <c r="G94" s="39">
        <v>0</v>
      </c>
      <c r="H94" s="44">
        <f t="shared" si="1"/>
        <v>40</v>
      </c>
      <c r="I94" s="44">
        <f t="shared" si="2"/>
        <v>60</v>
      </c>
      <c r="J94" s="44"/>
      <c r="K94" s="44"/>
      <c r="L94" s="44"/>
      <c r="M94" s="53"/>
    </row>
    <row r="95" spans="1:13" x14ac:dyDescent="0.25">
      <c r="A95" s="44" t="s">
        <v>2501</v>
      </c>
      <c r="B95" s="20">
        <v>158743680304.89999</v>
      </c>
      <c r="C95" s="20">
        <v>141655964146.10995</v>
      </c>
      <c r="D95" s="44">
        <f t="shared" si="0"/>
        <v>-10.76434420946368</v>
      </c>
      <c r="E95" s="39">
        <v>2</v>
      </c>
      <c r="F95" s="39">
        <v>3</v>
      </c>
      <c r="G95" s="39">
        <v>0</v>
      </c>
      <c r="H95" s="44">
        <f t="shared" si="1"/>
        <v>40</v>
      </c>
      <c r="I95" s="44">
        <f t="shared" si="2"/>
        <v>60</v>
      </c>
      <c r="J95" s="44"/>
      <c r="K95" s="44"/>
      <c r="L95" s="44"/>
      <c r="M95" s="53"/>
    </row>
    <row r="96" spans="1:13" x14ac:dyDescent="0.25">
      <c r="A96" s="44" t="s">
        <v>2929</v>
      </c>
      <c r="B96" s="20">
        <v>427522150321.7099</v>
      </c>
      <c r="C96" s="20">
        <v>416198953746.78992</v>
      </c>
      <c r="D96" s="44">
        <f t="shared" si="0"/>
        <v>-2.6485637215286486</v>
      </c>
      <c r="E96" s="39">
        <v>25</v>
      </c>
      <c r="F96" s="39">
        <v>38</v>
      </c>
      <c r="G96" s="39">
        <v>0</v>
      </c>
      <c r="H96" s="44">
        <f t="shared" si="1"/>
        <v>39.682539682539684</v>
      </c>
      <c r="I96" s="44">
        <f t="shared" si="2"/>
        <v>60.317460317460316</v>
      </c>
      <c r="J96" s="44"/>
      <c r="K96" s="44"/>
      <c r="L96" s="44"/>
      <c r="M96" s="53"/>
    </row>
    <row r="97" spans="1:13" x14ac:dyDescent="0.25">
      <c r="A97" s="44" t="s">
        <v>3683</v>
      </c>
      <c r="B97" s="20">
        <v>5797323615013.0498</v>
      </c>
      <c r="C97" s="20">
        <v>5511369588436.4014</v>
      </c>
      <c r="D97" s="44">
        <f t="shared" si="0"/>
        <v>-4.9325179266537251</v>
      </c>
      <c r="E97" s="39">
        <v>15</v>
      </c>
      <c r="F97" s="39">
        <v>23</v>
      </c>
      <c r="G97" s="39">
        <v>0</v>
      </c>
      <c r="H97" s="44">
        <f t="shared" si="1"/>
        <v>39.473684210526315</v>
      </c>
      <c r="I97" s="44">
        <f t="shared" si="2"/>
        <v>60.526315789473685</v>
      </c>
      <c r="J97" s="44"/>
      <c r="K97" s="44"/>
      <c r="L97" s="44"/>
      <c r="M97" s="53"/>
    </row>
    <row r="98" spans="1:13" x14ac:dyDescent="0.25">
      <c r="A98" s="44" t="s">
        <v>3561</v>
      </c>
      <c r="B98" s="20">
        <v>384467640840.1499</v>
      </c>
      <c r="C98" s="20">
        <v>356358559743.70996</v>
      </c>
      <c r="D98" s="44">
        <f t="shared" si="0"/>
        <v>-7.3111695525311715</v>
      </c>
      <c r="E98" s="39">
        <v>19</v>
      </c>
      <c r="F98" s="39">
        <v>28</v>
      </c>
      <c r="G98" s="39">
        <v>2</v>
      </c>
      <c r="H98" s="44">
        <f t="shared" si="1"/>
        <v>38.775510204081634</v>
      </c>
      <c r="I98" s="44">
        <f t="shared" si="2"/>
        <v>57.142857142857139</v>
      </c>
      <c r="J98" s="44"/>
      <c r="K98" s="44"/>
      <c r="L98" s="44"/>
      <c r="M98" s="53"/>
    </row>
    <row r="99" spans="1:13" x14ac:dyDescent="0.25">
      <c r="A99" s="44" t="s">
        <v>3110</v>
      </c>
      <c r="B99" s="20">
        <v>1437978208937.1602</v>
      </c>
      <c r="C99" s="20">
        <v>1397100723094.0703</v>
      </c>
      <c r="D99" s="44">
        <f t="shared" si="0"/>
        <v>-2.8427055145225912</v>
      </c>
      <c r="E99" s="39">
        <v>15</v>
      </c>
      <c r="F99" s="39">
        <v>22</v>
      </c>
      <c r="G99" s="39">
        <v>2</v>
      </c>
      <c r="H99" s="44">
        <f t="shared" si="1"/>
        <v>38.461538461538467</v>
      </c>
      <c r="I99" s="44">
        <f t="shared" si="2"/>
        <v>56.410256410256409</v>
      </c>
      <c r="J99" s="44"/>
      <c r="K99" s="44"/>
      <c r="L99" s="44"/>
      <c r="M99" s="53"/>
    </row>
    <row r="100" spans="1:13" x14ac:dyDescent="0.25">
      <c r="A100" s="44" t="s">
        <v>2787</v>
      </c>
      <c r="B100" s="20">
        <v>703031208081.37</v>
      </c>
      <c r="C100" s="20">
        <v>681385344203.25</v>
      </c>
      <c r="D100" s="44">
        <f t="shared" si="0"/>
        <v>-3.0789335707007002</v>
      </c>
      <c r="E100" s="39">
        <v>3</v>
      </c>
      <c r="F100" s="39">
        <v>5</v>
      </c>
      <c r="G100" s="39">
        <v>0</v>
      </c>
      <c r="H100" s="44">
        <f t="shared" si="1"/>
        <v>37.5</v>
      </c>
      <c r="I100" s="44">
        <f t="shared" si="2"/>
        <v>62.5</v>
      </c>
      <c r="J100" s="70" t="s">
        <v>4411</v>
      </c>
      <c r="K100" s="67"/>
      <c r="L100" s="44"/>
      <c r="M100" s="53"/>
    </row>
    <row r="101" spans="1:13" x14ac:dyDescent="0.25">
      <c r="A101" s="44" t="s">
        <v>262</v>
      </c>
      <c r="B101" s="20">
        <v>19377368959.170002</v>
      </c>
      <c r="C101" s="20">
        <v>17659260688.559998</v>
      </c>
      <c r="D101" s="44">
        <f t="shared" si="0"/>
        <v>-8.8665714846542141</v>
      </c>
      <c r="E101" s="39">
        <v>3</v>
      </c>
      <c r="F101" s="39">
        <v>5</v>
      </c>
      <c r="G101" s="39">
        <v>0</v>
      </c>
      <c r="H101" s="44">
        <f t="shared" si="1"/>
        <v>37.5</v>
      </c>
      <c r="I101" s="44">
        <f t="shared" si="2"/>
        <v>62.5</v>
      </c>
      <c r="J101" s="44"/>
      <c r="K101" s="44"/>
      <c r="L101" s="44"/>
      <c r="M101" s="53"/>
    </row>
    <row r="102" spans="1:13" x14ac:dyDescent="0.25">
      <c r="A102" s="44" t="s">
        <v>2951</v>
      </c>
      <c r="B102" s="20">
        <v>362924614800.54999</v>
      </c>
      <c r="C102" s="20">
        <v>343700444506.5199</v>
      </c>
      <c r="D102" s="44">
        <f t="shared" si="0"/>
        <v>-5.2970147270377312</v>
      </c>
      <c r="E102" s="39">
        <v>76</v>
      </c>
      <c r="F102" s="39">
        <v>100</v>
      </c>
      <c r="G102" s="39">
        <v>35</v>
      </c>
      <c r="H102" s="44">
        <f t="shared" si="1"/>
        <v>36.018957345971565</v>
      </c>
      <c r="I102" s="44">
        <f t="shared" si="2"/>
        <v>47.393364928909953</v>
      </c>
      <c r="J102" s="44"/>
      <c r="K102" s="44"/>
      <c r="L102" s="44"/>
      <c r="M102" s="53"/>
    </row>
    <row r="103" spans="1:13" x14ac:dyDescent="0.25">
      <c r="A103" s="44" t="s">
        <v>206</v>
      </c>
      <c r="B103" s="20">
        <v>1183526271369.1499</v>
      </c>
      <c r="C103" s="20">
        <v>1185626612392.96</v>
      </c>
      <c r="D103" s="44">
        <f t="shared" si="0"/>
        <v>0.17746467270053085</v>
      </c>
      <c r="E103" s="39">
        <v>12</v>
      </c>
      <c r="F103" s="39">
        <v>22</v>
      </c>
      <c r="G103" s="39">
        <v>0</v>
      </c>
      <c r="H103" s="44">
        <f t="shared" si="1"/>
        <v>35.294117647058826</v>
      </c>
      <c r="I103" s="44">
        <f t="shared" si="2"/>
        <v>64.705882352941174</v>
      </c>
      <c r="J103" s="44"/>
      <c r="K103" s="44"/>
      <c r="L103" s="44"/>
      <c r="M103" s="53"/>
    </row>
    <row r="104" spans="1:13" x14ac:dyDescent="0.25">
      <c r="A104" s="44" t="s">
        <v>3475</v>
      </c>
      <c r="B104" s="20">
        <v>8720364392360.2598</v>
      </c>
      <c r="C104" s="20">
        <v>8319744816770.4277</v>
      </c>
      <c r="D104" s="44">
        <f t="shared" si="0"/>
        <v>-4.5940692104656424</v>
      </c>
      <c r="E104" s="39">
        <v>12</v>
      </c>
      <c r="F104" s="39">
        <v>22</v>
      </c>
      <c r="G104" s="39">
        <v>0</v>
      </c>
      <c r="H104" s="44">
        <f t="shared" si="1"/>
        <v>35.294117647058826</v>
      </c>
      <c r="I104" s="44">
        <f t="shared" si="2"/>
        <v>64.705882352941174</v>
      </c>
      <c r="J104" s="44"/>
      <c r="K104" s="44"/>
      <c r="L104" s="44"/>
      <c r="M104" s="53"/>
    </row>
    <row r="105" spans="1:13" x14ac:dyDescent="0.25">
      <c r="A105" s="44" t="s">
        <v>376</v>
      </c>
      <c r="B105" s="20">
        <v>5290730302313.2197</v>
      </c>
      <c r="C105" s="20">
        <v>5135734924776.9512</v>
      </c>
      <c r="D105" s="44">
        <f t="shared" si="0"/>
        <v>-2.9295648933097436</v>
      </c>
      <c r="E105" s="39">
        <v>38</v>
      </c>
      <c r="F105" s="39">
        <v>68</v>
      </c>
      <c r="G105" s="39">
        <v>2</v>
      </c>
      <c r="H105" s="44">
        <f t="shared" si="1"/>
        <v>35.185185185185183</v>
      </c>
      <c r="I105" s="44">
        <f t="shared" si="2"/>
        <v>62.962962962962962</v>
      </c>
      <c r="J105" s="44"/>
      <c r="K105" s="44"/>
      <c r="L105" s="44"/>
      <c r="M105" s="53"/>
    </row>
    <row r="106" spans="1:13" x14ac:dyDescent="0.25">
      <c r="A106" s="44" t="s">
        <v>3369</v>
      </c>
      <c r="B106" s="20">
        <v>58405577916.630005</v>
      </c>
      <c r="C106" s="20">
        <v>58469126686.32</v>
      </c>
      <c r="D106" s="44">
        <f t="shared" si="0"/>
        <v>0.10880599414786436</v>
      </c>
      <c r="E106" s="39">
        <v>7</v>
      </c>
      <c r="F106" s="39">
        <v>11</v>
      </c>
      <c r="G106" s="39">
        <v>2</v>
      </c>
      <c r="H106" s="44">
        <f t="shared" si="1"/>
        <v>35</v>
      </c>
      <c r="I106" s="44">
        <f t="shared" si="2"/>
        <v>55.000000000000007</v>
      </c>
      <c r="J106" s="44"/>
      <c r="K106" s="44"/>
      <c r="L106" s="44"/>
      <c r="M106" s="53"/>
    </row>
    <row r="107" spans="1:13" x14ac:dyDescent="0.25">
      <c r="A107" s="44" t="s">
        <v>3503</v>
      </c>
      <c r="B107" s="20">
        <v>1781171286783.7998</v>
      </c>
      <c r="C107" s="20">
        <v>1677108485698.4302</v>
      </c>
      <c r="D107" s="44">
        <f t="shared" si="0"/>
        <v>-5.8423803402575771</v>
      </c>
      <c r="E107" s="39">
        <v>9</v>
      </c>
      <c r="F107" s="39">
        <v>17</v>
      </c>
      <c r="G107" s="39">
        <v>0</v>
      </c>
      <c r="H107" s="44">
        <f t="shared" si="1"/>
        <v>34.615384615384613</v>
      </c>
      <c r="I107" s="44">
        <f t="shared" si="2"/>
        <v>65.384615384615387</v>
      </c>
      <c r="J107" s="44"/>
      <c r="K107" s="44"/>
      <c r="L107" s="44"/>
      <c r="M107" s="53"/>
    </row>
    <row r="108" spans="1:13" x14ac:dyDescent="0.25">
      <c r="A108" s="44" t="s">
        <v>3690</v>
      </c>
      <c r="B108" s="20">
        <v>144244113362.35001</v>
      </c>
      <c r="C108" s="20">
        <v>154152781788.89999</v>
      </c>
      <c r="D108" s="44">
        <f t="shared" si="0"/>
        <v>6.869374559264549</v>
      </c>
      <c r="E108" s="39">
        <v>1</v>
      </c>
      <c r="F108" s="39">
        <v>2</v>
      </c>
      <c r="G108" s="39">
        <v>0</v>
      </c>
      <c r="H108" s="44">
        <f t="shared" si="1"/>
        <v>33.333333333333329</v>
      </c>
      <c r="I108" s="44">
        <f t="shared" si="2"/>
        <v>66.666666666666657</v>
      </c>
      <c r="J108" s="44"/>
      <c r="K108" s="44"/>
      <c r="L108" s="44"/>
      <c r="M108" s="53"/>
    </row>
    <row r="109" spans="1:13" x14ac:dyDescent="0.25">
      <c r="A109" s="44" t="s">
        <v>3232</v>
      </c>
      <c r="B109" s="20">
        <v>960395877982.32996</v>
      </c>
      <c r="C109" s="20">
        <v>997752775252.19019</v>
      </c>
      <c r="D109" s="44">
        <f t="shared" si="0"/>
        <v>3.8897394424830658</v>
      </c>
      <c r="E109" s="39">
        <v>11</v>
      </c>
      <c r="F109" s="39">
        <v>21</v>
      </c>
      <c r="G109" s="39">
        <v>1</v>
      </c>
      <c r="H109" s="44">
        <f t="shared" si="1"/>
        <v>33.333333333333329</v>
      </c>
      <c r="I109" s="44">
        <f t="shared" si="2"/>
        <v>63.636363636363633</v>
      </c>
      <c r="J109" s="44"/>
      <c r="K109" s="44"/>
      <c r="L109" s="44"/>
      <c r="M109" s="53"/>
    </row>
    <row r="110" spans="1:13" x14ac:dyDescent="0.25">
      <c r="A110" s="44" t="s">
        <v>2247</v>
      </c>
      <c r="B110" s="20">
        <v>202105312832.56</v>
      </c>
      <c r="C110" s="20">
        <v>206814921760.62</v>
      </c>
      <c r="D110" s="44">
        <f t="shared" si="0"/>
        <v>2.3302746781138848</v>
      </c>
      <c r="E110" s="39">
        <v>1</v>
      </c>
      <c r="F110" s="39">
        <v>2</v>
      </c>
      <c r="G110" s="39">
        <v>0</v>
      </c>
      <c r="H110" s="44">
        <f t="shared" si="1"/>
        <v>33.333333333333329</v>
      </c>
      <c r="I110" s="44">
        <f t="shared" si="2"/>
        <v>66.666666666666657</v>
      </c>
      <c r="J110" s="44"/>
      <c r="K110" s="44"/>
      <c r="L110" s="44"/>
      <c r="M110" s="53"/>
    </row>
    <row r="111" spans="1:13" x14ac:dyDescent="0.25">
      <c r="A111" s="44" t="s">
        <v>324</v>
      </c>
      <c r="B111" s="20">
        <v>353069531110.40002</v>
      </c>
      <c r="C111" s="20">
        <v>357166971483.65002</v>
      </c>
      <c r="D111" s="44">
        <f t="shared" si="0"/>
        <v>1.1605193912835221</v>
      </c>
      <c r="E111" s="39">
        <v>2</v>
      </c>
      <c r="F111" s="39">
        <v>4</v>
      </c>
      <c r="G111" s="39">
        <v>0</v>
      </c>
      <c r="H111" s="44">
        <f t="shared" si="1"/>
        <v>33.333333333333329</v>
      </c>
      <c r="I111" s="44">
        <f t="shared" si="2"/>
        <v>66.666666666666657</v>
      </c>
      <c r="J111" s="44"/>
      <c r="K111" s="44"/>
      <c r="L111" s="44"/>
      <c r="M111" s="53"/>
    </row>
    <row r="112" spans="1:13" x14ac:dyDescent="0.25">
      <c r="A112" s="44" t="s">
        <v>52</v>
      </c>
      <c r="B112" s="20">
        <v>907521998897.30005</v>
      </c>
      <c r="C112" s="20">
        <v>910795684627.44006</v>
      </c>
      <c r="D112" s="44">
        <f t="shared" si="0"/>
        <v>0.3607279750923682</v>
      </c>
      <c r="E112" s="39">
        <v>1</v>
      </c>
      <c r="F112" s="39">
        <v>2</v>
      </c>
      <c r="G112" s="39">
        <v>0</v>
      </c>
      <c r="H112" s="44">
        <f t="shared" si="1"/>
        <v>33.333333333333329</v>
      </c>
      <c r="I112" s="44">
        <f t="shared" si="2"/>
        <v>66.666666666666657</v>
      </c>
      <c r="J112" s="44"/>
      <c r="K112" s="44"/>
      <c r="L112" s="44"/>
      <c r="M112" s="53"/>
    </row>
    <row r="113" spans="1:13" x14ac:dyDescent="0.25">
      <c r="A113" s="44" t="s">
        <v>1672</v>
      </c>
      <c r="B113" s="20">
        <v>519419573568.54999</v>
      </c>
      <c r="C113" s="20">
        <v>519951030973.14996</v>
      </c>
      <c r="D113" s="44">
        <f t="shared" si="0"/>
        <v>0.10231755437106894</v>
      </c>
      <c r="E113" s="39">
        <v>1</v>
      </c>
      <c r="F113" s="39">
        <v>2</v>
      </c>
      <c r="G113" s="39">
        <v>0</v>
      </c>
      <c r="H113" s="44">
        <f t="shared" si="1"/>
        <v>33.333333333333329</v>
      </c>
      <c r="I113" s="44">
        <f t="shared" si="2"/>
        <v>66.666666666666657</v>
      </c>
      <c r="J113" s="44"/>
      <c r="K113" s="44"/>
      <c r="L113" s="44"/>
      <c r="M113" s="53"/>
    </row>
    <row r="114" spans="1:13" x14ac:dyDescent="0.25">
      <c r="A114" s="44" t="s">
        <v>3118</v>
      </c>
      <c r="B114" s="20">
        <v>10464056874149.301</v>
      </c>
      <c r="C114" s="20">
        <v>10374570715111.102</v>
      </c>
      <c r="D114" s="44">
        <f t="shared" si="0"/>
        <v>-0.85517653539583049</v>
      </c>
      <c r="E114" s="39">
        <v>1</v>
      </c>
      <c r="F114" s="39">
        <v>2</v>
      </c>
      <c r="G114" s="39">
        <v>0</v>
      </c>
      <c r="H114" s="44">
        <f t="shared" si="1"/>
        <v>33.333333333333329</v>
      </c>
      <c r="I114" s="44">
        <f t="shared" si="2"/>
        <v>66.666666666666657</v>
      </c>
      <c r="J114" s="44"/>
      <c r="K114" s="44"/>
      <c r="L114" s="44"/>
      <c r="M114" s="53"/>
    </row>
    <row r="115" spans="1:13" x14ac:dyDescent="0.25">
      <c r="A115" s="44" t="s">
        <v>3312</v>
      </c>
      <c r="B115" s="20">
        <v>207345021899.85999</v>
      </c>
      <c r="C115" s="20">
        <v>204145743376.60001</v>
      </c>
      <c r="D115" s="44">
        <f t="shared" si="0"/>
        <v>-1.5429733947531727</v>
      </c>
      <c r="E115" s="39">
        <v>4</v>
      </c>
      <c r="F115" s="39">
        <v>5</v>
      </c>
      <c r="G115" s="39">
        <v>3</v>
      </c>
      <c r="H115" s="44">
        <f t="shared" si="1"/>
        <v>33.333333333333329</v>
      </c>
      <c r="I115" s="44">
        <f t="shared" si="2"/>
        <v>41.666666666666671</v>
      </c>
      <c r="J115" s="44"/>
      <c r="K115" s="44"/>
      <c r="L115" s="44"/>
      <c r="M115" s="53"/>
    </row>
    <row r="116" spans="1:13" x14ac:dyDescent="0.25">
      <c r="A116" s="44" t="s">
        <v>96</v>
      </c>
      <c r="B116" s="20">
        <v>30393291736.619999</v>
      </c>
      <c r="C116" s="20">
        <v>29631055615.200001</v>
      </c>
      <c r="D116" s="44">
        <f t="shared" si="0"/>
        <v>-2.5079090742303567</v>
      </c>
      <c r="E116" s="39">
        <v>1</v>
      </c>
      <c r="F116" s="39">
        <v>2</v>
      </c>
      <c r="G116" s="39">
        <v>0</v>
      </c>
      <c r="H116" s="44">
        <f t="shared" si="1"/>
        <v>33.333333333333329</v>
      </c>
      <c r="I116" s="44">
        <f t="shared" si="2"/>
        <v>66.666666666666657</v>
      </c>
      <c r="J116" s="44"/>
      <c r="K116" s="44"/>
      <c r="L116" s="44"/>
      <c r="M116" s="53"/>
    </row>
    <row r="117" spans="1:13" x14ac:dyDescent="0.25">
      <c r="A117" s="44" t="s">
        <v>3847</v>
      </c>
      <c r="B117" s="20">
        <v>1148328189460.1699</v>
      </c>
      <c r="C117" s="20">
        <v>1117271586062.05</v>
      </c>
      <c r="D117" s="44">
        <f t="shared" si="0"/>
        <v>-2.7045058793444414</v>
      </c>
      <c r="E117" s="39">
        <v>3</v>
      </c>
      <c r="F117" s="39">
        <v>6</v>
      </c>
      <c r="G117" s="39">
        <v>0</v>
      </c>
      <c r="H117" s="44">
        <f t="shared" si="1"/>
        <v>33.333333333333329</v>
      </c>
      <c r="I117" s="44">
        <f t="shared" si="2"/>
        <v>66.666666666666657</v>
      </c>
      <c r="J117" s="44"/>
      <c r="K117" s="44"/>
      <c r="L117" s="44"/>
      <c r="M117" s="53"/>
    </row>
    <row r="118" spans="1:13" x14ac:dyDescent="0.25">
      <c r="A118" s="44" t="s">
        <v>1760</v>
      </c>
      <c r="B118" s="20">
        <v>253831139943.60999</v>
      </c>
      <c r="C118" s="20">
        <v>245639064603.23996</v>
      </c>
      <c r="D118" s="44">
        <f t="shared" si="0"/>
        <v>-3.227372079796806</v>
      </c>
      <c r="E118" s="39">
        <v>3</v>
      </c>
      <c r="F118" s="39">
        <v>6</v>
      </c>
      <c r="G118" s="39">
        <v>0</v>
      </c>
      <c r="H118" s="44">
        <f t="shared" si="1"/>
        <v>33.333333333333329</v>
      </c>
      <c r="I118" s="44">
        <f t="shared" si="2"/>
        <v>66.666666666666657</v>
      </c>
      <c r="J118" s="44"/>
      <c r="K118" s="44"/>
      <c r="L118" s="44"/>
      <c r="M118" s="53"/>
    </row>
    <row r="119" spans="1:13" x14ac:dyDescent="0.25">
      <c r="A119" s="44" t="s">
        <v>3085</v>
      </c>
      <c r="B119" s="20">
        <v>8260853411461.75</v>
      </c>
      <c r="C119" s="20">
        <v>7969177646546.6494</v>
      </c>
      <c r="D119" s="44">
        <f t="shared" si="0"/>
        <v>-3.5308187954334955</v>
      </c>
      <c r="E119" s="39">
        <v>2</v>
      </c>
      <c r="F119" s="39">
        <v>4</v>
      </c>
      <c r="G119" s="39">
        <v>0</v>
      </c>
      <c r="H119" s="44">
        <f t="shared" si="1"/>
        <v>33.333333333333329</v>
      </c>
      <c r="I119" s="44">
        <f t="shared" si="2"/>
        <v>66.666666666666657</v>
      </c>
      <c r="J119" s="44"/>
      <c r="K119" s="44"/>
      <c r="L119" s="44"/>
      <c r="M119" s="53"/>
    </row>
    <row r="120" spans="1:13" x14ac:dyDescent="0.25">
      <c r="A120" s="44" t="s">
        <v>41</v>
      </c>
      <c r="B120" s="20">
        <v>479984019491.09998</v>
      </c>
      <c r="C120" s="20">
        <v>461996477743.40002</v>
      </c>
      <c r="D120" s="44">
        <f t="shared" si="0"/>
        <v>-3.7475292962401388</v>
      </c>
      <c r="E120" s="39">
        <v>1</v>
      </c>
      <c r="F120" s="39">
        <v>2</v>
      </c>
      <c r="G120" s="39">
        <v>0</v>
      </c>
      <c r="H120" s="44">
        <f t="shared" si="1"/>
        <v>33.333333333333329</v>
      </c>
      <c r="I120" s="44">
        <f t="shared" si="2"/>
        <v>66.666666666666657</v>
      </c>
      <c r="J120" s="44"/>
      <c r="K120" s="44"/>
      <c r="L120" s="44"/>
      <c r="M120" s="53"/>
    </row>
    <row r="121" spans="1:13" x14ac:dyDescent="0.25">
      <c r="A121" s="44" t="s">
        <v>3639</v>
      </c>
      <c r="B121" s="20">
        <v>3889625094.5500002</v>
      </c>
      <c r="C121" s="20">
        <v>3590561771.9499998</v>
      </c>
      <c r="D121" s="44">
        <f t="shared" si="0"/>
        <v>-7.6887441676329411</v>
      </c>
      <c r="E121" s="39">
        <v>1</v>
      </c>
      <c r="F121" s="39">
        <v>2</v>
      </c>
      <c r="G121" s="39">
        <v>0</v>
      </c>
      <c r="H121" s="44">
        <f t="shared" si="1"/>
        <v>33.333333333333329</v>
      </c>
      <c r="I121" s="44">
        <f t="shared" si="2"/>
        <v>66.666666666666657</v>
      </c>
      <c r="J121" s="44"/>
      <c r="K121" s="44"/>
      <c r="L121" s="44"/>
      <c r="M121" s="53"/>
    </row>
    <row r="122" spans="1:13" x14ac:dyDescent="0.25">
      <c r="A122" s="44" t="s">
        <v>2627</v>
      </c>
      <c r="B122" s="20">
        <v>569013508685.98999</v>
      </c>
      <c r="C122" s="20">
        <v>523155919389.21997</v>
      </c>
      <c r="D122" s="44">
        <f t="shared" si="0"/>
        <v>-8.059138947802472</v>
      </c>
      <c r="E122" s="39">
        <v>4</v>
      </c>
      <c r="F122" s="39">
        <v>7</v>
      </c>
      <c r="G122" s="39">
        <v>1</v>
      </c>
      <c r="H122" s="44">
        <f t="shared" si="1"/>
        <v>33.333333333333329</v>
      </c>
      <c r="I122" s="44">
        <f t="shared" si="2"/>
        <v>58.333333333333336</v>
      </c>
      <c r="J122" s="44"/>
      <c r="K122" s="44"/>
      <c r="L122" s="44"/>
      <c r="M122" s="53"/>
    </row>
    <row r="123" spans="1:13" x14ac:dyDescent="0.25">
      <c r="A123" s="51" t="s">
        <v>2567</v>
      </c>
      <c r="B123" s="20">
        <v>207575510312.5</v>
      </c>
      <c r="C123" s="20">
        <v>189436176958.54999</v>
      </c>
      <c r="D123" s="44">
        <f t="shared" si="0"/>
        <v>-8.7386673536977835</v>
      </c>
      <c r="E123" s="39">
        <v>1</v>
      </c>
      <c r="F123" s="39">
        <v>2</v>
      </c>
      <c r="G123" s="39">
        <v>0</v>
      </c>
      <c r="H123" s="44">
        <f t="shared" si="1"/>
        <v>33.333333333333329</v>
      </c>
      <c r="I123" s="44">
        <f t="shared" si="2"/>
        <v>66.666666666666657</v>
      </c>
      <c r="J123" s="44"/>
      <c r="K123" s="44"/>
      <c r="L123" s="44"/>
      <c r="M123" s="53"/>
    </row>
    <row r="124" spans="1:13" x14ac:dyDescent="0.25">
      <c r="A124" s="44" t="s">
        <v>2681</v>
      </c>
      <c r="B124" s="20">
        <v>415503601010.23004</v>
      </c>
      <c r="C124" s="20">
        <v>399191334566.02002</v>
      </c>
      <c r="D124" s="44">
        <f t="shared" si="0"/>
        <v>-3.9259025444182374</v>
      </c>
      <c r="E124" s="39">
        <v>35</v>
      </c>
      <c r="F124" s="39">
        <v>37</v>
      </c>
      <c r="G124" s="39">
        <v>34</v>
      </c>
      <c r="H124" s="44">
        <f t="shared" si="1"/>
        <v>33.018867924528301</v>
      </c>
      <c r="I124" s="44">
        <f t="shared" si="2"/>
        <v>34.905660377358487</v>
      </c>
      <c r="J124" s="44"/>
      <c r="K124" s="44"/>
      <c r="L124" s="44"/>
      <c r="M124" s="53"/>
    </row>
    <row r="125" spans="1:13" x14ac:dyDescent="0.25">
      <c r="A125" s="44" t="s">
        <v>15</v>
      </c>
      <c r="B125" s="20">
        <v>13423993754241.607</v>
      </c>
      <c r="C125" s="20">
        <v>12894220908285.797</v>
      </c>
      <c r="D125" s="44">
        <f t="shared" si="0"/>
        <v>-3.9464622500171909</v>
      </c>
      <c r="E125" s="39">
        <v>53</v>
      </c>
      <c r="F125" s="39">
        <v>106</v>
      </c>
      <c r="G125" s="39">
        <v>3</v>
      </c>
      <c r="H125" s="44">
        <f t="shared" si="1"/>
        <v>32.716049382716051</v>
      </c>
      <c r="I125" s="44">
        <f t="shared" si="2"/>
        <v>65.432098765432102</v>
      </c>
      <c r="J125" s="70" t="s">
        <v>4412</v>
      </c>
      <c r="K125" s="67"/>
      <c r="L125" s="44"/>
      <c r="M125" s="53"/>
    </row>
    <row r="126" spans="1:13" x14ac:dyDescent="0.25">
      <c r="A126" s="44" t="s">
        <v>1046</v>
      </c>
      <c r="B126" s="20">
        <v>1071261666938.8499</v>
      </c>
      <c r="C126" s="20">
        <v>1042821304454.73</v>
      </c>
      <c r="D126" s="44">
        <f t="shared" si="0"/>
        <v>-2.654847397404664</v>
      </c>
      <c r="E126" s="39">
        <v>7</v>
      </c>
      <c r="F126" s="39">
        <v>15</v>
      </c>
      <c r="G126" s="39">
        <v>0</v>
      </c>
      <c r="H126" s="44">
        <f t="shared" si="1"/>
        <v>31.818181818181817</v>
      </c>
      <c r="I126" s="44">
        <f t="shared" si="2"/>
        <v>68.181818181818173</v>
      </c>
      <c r="J126" s="44"/>
      <c r="K126" s="44"/>
      <c r="L126" s="44"/>
      <c r="M126" s="53"/>
    </row>
    <row r="127" spans="1:13" x14ac:dyDescent="0.25">
      <c r="A127" s="44" t="s">
        <v>1807</v>
      </c>
      <c r="B127" s="20">
        <v>1514582220423.4102</v>
      </c>
      <c r="C127" s="20">
        <v>1563054858636.8999</v>
      </c>
      <c r="D127" s="44">
        <f t="shared" si="0"/>
        <v>3.2003966215805</v>
      </c>
      <c r="E127" s="39">
        <v>6</v>
      </c>
      <c r="F127" s="39">
        <v>13</v>
      </c>
      <c r="G127" s="39">
        <v>0</v>
      </c>
      <c r="H127" s="44">
        <f t="shared" si="1"/>
        <v>31.578947368421051</v>
      </c>
      <c r="I127" s="44">
        <f t="shared" si="2"/>
        <v>68.421052631578945</v>
      </c>
      <c r="J127" s="70" t="s">
        <v>4413</v>
      </c>
      <c r="K127" s="67"/>
      <c r="L127" s="44"/>
      <c r="M127" s="53"/>
    </row>
    <row r="128" spans="1:13" x14ac:dyDescent="0.25">
      <c r="A128" s="44" t="s">
        <v>1271</v>
      </c>
      <c r="B128" s="20">
        <v>1015981141083.65</v>
      </c>
      <c r="C128" s="20">
        <v>981193349471.55017</v>
      </c>
      <c r="D128" s="44">
        <f t="shared" si="0"/>
        <v>-3.4240587945357963</v>
      </c>
      <c r="E128" s="39">
        <v>5</v>
      </c>
      <c r="F128" s="39">
        <v>11</v>
      </c>
      <c r="G128" s="39">
        <v>0</v>
      </c>
      <c r="H128" s="44">
        <f t="shared" si="1"/>
        <v>31.25</v>
      </c>
      <c r="I128" s="44">
        <f t="shared" si="2"/>
        <v>68.75</v>
      </c>
      <c r="J128" s="44"/>
      <c r="K128" s="44"/>
      <c r="L128" s="44"/>
      <c r="M128" s="53"/>
    </row>
    <row r="129" spans="1:13" x14ac:dyDescent="0.25">
      <c r="A129" s="44" t="s">
        <v>2444</v>
      </c>
      <c r="B129" s="20">
        <v>1385986504497.3301</v>
      </c>
      <c r="C129" s="20">
        <v>1283155081678.9001</v>
      </c>
      <c r="D129" s="44">
        <f t="shared" si="0"/>
        <v>-7.4193668181296513</v>
      </c>
      <c r="E129" s="39">
        <v>5</v>
      </c>
      <c r="F129" s="39">
        <v>11</v>
      </c>
      <c r="G129" s="39">
        <v>0</v>
      </c>
      <c r="H129" s="44">
        <f t="shared" si="1"/>
        <v>31.25</v>
      </c>
      <c r="I129" s="44">
        <f t="shared" si="2"/>
        <v>68.75</v>
      </c>
      <c r="J129" s="70" t="s">
        <v>4414</v>
      </c>
      <c r="K129" s="67"/>
      <c r="L129" s="44"/>
      <c r="M129" s="53"/>
    </row>
    <row r="130" spans="1:13" x14ac:dyDescent="0.25">
      <c r="A130" s="44" t="s">
        <v>3209</v>
      </c>
      <c r="B130" s="20">
        <v>390189463736.88</v>
      </c>
      <c r="C130" s="20">
        <v>381872967420.02991</v>
      </c>
      <c r="D130" s="44">
        <f t="shared" si="0"/>
        <v>-2.1313995096644218</v>
      </c>
      <c r="E130" s="39">
        <v>14</v>
      </c>
      <c r="F130" s="39">
        <v>28</v>
      </c>
      <c r="G130" s="39">
        <v>3</v>
      </c>
      <c r="H130" s="44">
        <f t="shared" si="1"/>
        <v>31.111111111111111</v>
      </c>
      <c r="I130" s="44">
        <f t="shared" si="2"/>
        <v>62.222222222222221</v>
      </c>
      <c r="J130" s="44"/>
      <c r="K130" s="44"/>
      <c r="L130" s="44"/>
      <c r="M130" s="53"/>
    </row>
    <row r="131" spans="1:13" x14ac:dyDescent="0.25">
      <c r="A131" s="44" t="s">
        <v>1633</v>
      </c>
      <c r="B131" s="20">
        <v>1238527160001.23</v>
      </c>
      <c r="C131" s="20">
        <v>1186538000826.4106</v>
      </c>
      <c r="D131" s="44">
        <f t="shared" si="0"/>
        <v>-4.1976599992177563</v>
      </c>
      <c r="E131" s="39">
        <v>22</v>
      </c>
      <c r="F131" s="39">
        <v>48</v>
      </c>
      <c r="G131" s="39">
        <v>1</v>
      </c>
      <c r="H131" s="44">
        <f t="shared" si="1"/>
        <v>30.985915492957744</v>
      </c>
      <c r="I131" s="44">
        <f t="shared" si="2"/>
        <v>67.605633802816897</v>
      </c>
      <c r="J131" s="44"/>
      <c r="K131" s="44"/>
      <c r="L131" s="44"/>
      <c r="M131" s="53"/>
    </row>
    <row r="132" spans="1:13" x14ac:dyDescent="0.25">
      <c r="A132" s="44" t="s">
        <v>711</v>
      </c>
      <c r="B132" s="20">
        <v>401433062066.54999</v>
      </c>
      <c r="C132" s="20">
        <v>397833781143.04999</v>
      </c>
      <c r="D132" s="44">
        <f t="shared" si="0"/>
        <v>-0.89660799361446408</v>
      </c>
      <c r="E132" s="39">
        <v>7</v>
      </c>
      <c r="F132" s="39">
        <v>16</v>
      </c>
      <c r="G132" s="39">
        <v>0</v>
      </c>
      <c r="H132" s="44">
        <f t="shared" si="1"/>
        <v>30.434782608695656</v>
      </c>
      <c r="I132" s="44">
        <f t="shared" si="2"/>
        <v>69.565217391304344</v>
      </c>
      <c r="J132" s="44"/>
      <c r="K132" s="44"/>
      <c r="L132" s="44"/>
      <c r="M132" s="53"/>
    </row>
    <row r="133" spans="1:13" x14ac:dyDescent="0.25">
      <c r="A133" s="44" t="s">
        <v>3744</v>
      </c>
      <c r="B133" s="20">
        <v>1486110374262.0698</v>
      </c>
      <c r="C133" s="20">
        <v>1501138338654.8398</v>
      </c>
      <c r="D133" s="44">
        <f t="shared" si="0"/>
        <v>1.0112280119323018</v>
      </c>
      <c r="E133" s="39">
        <v>17</v>
      </c>
      <c r="F133" s="39">
        <v>35</v>
      </c>
      <c r="G133" s="39">
        <v>4</v>
      </c>
      <c r="H133" s="44">
        <f t="shared" si="1"/>
        <v>30.357142857142854</v>
      </c>
      <c r="I133" s="44">
        <f t="shared" si="2"/>
        <v>62.5</v>
      </c>
      <c r="J133" s="44"/>
      <c r="K133" s="44"/>
      <c r="L133" s="44"/>
      <c r="M133" s="53"/>
    </row>
    <row r="134" spans="1:13" x14ac:dyDescent="0.25">
      <c r="A134" s="44" t="s">
        <v>3431</v>
      </c>
      <c r="B134" s="20">
        <v>4281737070143.7002</v>
      </c>
      <c r="C134" s="20">
        <v>4223739398367.3701</v>
      </c>
      <c r="D134" s="44">
        <f t="shared" si="0"/>
        <v>-1.3545360405416862</v>
      </c>
      <c r="E134" s="39">
        <v>5</v>
      </c>
      <c r="F134" s="39">
        <v>11</v>
      </c>
      <c r="G134" s="39">
        <v>1</v>
      </c>
      <c r="H134" s="44">
        <f t="shared" si="1"/>
        <v>29.411764705882355</v>
      </c>
      <c r="I134" s="44">
        <f t="shared" si="2"/>
        <v>64.705882352941174</v>
      </c>
      <c r="J134" s="44"/>
      <c r="K134" s="44"/>
      <c r="L134" s="44"/>
      <c r="M134" s="53"/>
    </row>
    <row r="135" spans="1:13" x14ac:dyDescent="0.25">
      <c r="A135" s="44" t="s">
        <v>1970</v>
      </c>
      <c r="B135" s="20">
        <v>782790472504.30005</v>
      </c>
      <c r="C135" s="20">
        <v>763989514689.64001</v>
      </c>
      <c r="D135" s="44">
        <f t="shared" si="0"/>
        <v>-2.4017867456296558</v>
      </c>
      <c r="E135" s="39">
        <v>2</v>
      </c>
      <c r="F135" s="39">
        <v>5</v>
      </c>
      <c r="G135" s="39">
        <v>0</v>
      </c>
      <c r="H135" s="44">
        <f t="shared" si="1"/>
        <v>28.571428571428569</v>
      </c>
      <c r="I135" s="44">
        <f t="shared" si="2"/>
        <v>71.428571428571431</v>
      </c>
      <c r="J135" s="44"/>
      <c r="K135" s="44"/>
      <c r="L135" s="44"/>
      <c r="M135" s="53"/>
    </row>
    <row r="136" spans="1:13" x14ac:dyDescent="0.25">
      <c r="A136" s="44" t="s">
        <v>4111</v>
      </c>
      <c r="B136" s="20">
        <v>54290714011.650002</v>
      </c>
      <c r="C136" s="20">
        <v>52170983426.279999</v>
      </c>
      <c r="D136" s="44">
        <f t="shared" si="0"/>
        <v>-3.9044072710392776</v>
      </c>
      <c r="E136" s="39">
        <v>2</v>
      </c>
      <c r="F136" s="39">
        <v>5</v>
      </c>
      <c r="G136" s="39">
        <v>0</v>
      </c>
      <c r="H136" s="44">
        <f t="shared" si="1"/>
        <v>28.571428571428569</v>
      </c>
      <c r="I136" s="44">
        <f t="shared" si="2"/>
        <v>71.428571428571431</v>
      </c>
      <c r="J136" s="44"/>
      <c r="K136" s="44"/>
      <c r="L136" s="44"/>
      <c r="M136" s="53"/>
    </row>
    <row r="137" spans="1:13" x14ac:dyDescent="0.25">
      <c r="A137" s="44" t="s">
        <v>1376</v>
      </c>
      <c r="B137" s="20">
        <v>983970629288.05994</v>
      </c>
      <c r="C137" s="20">
        <v>933002761980.21997</v>
      </c>
      <c r="D137" s="44">
        <f t="shared" si="0"/>
        <v>-5.1798159203915617</v>
      </c>
      <c r="E137" s="39">
        <v>5</v>
      </c>
      <c r="F137" s="39">
        <v>12</v>
      </c>
      <c r="G137" s="39">
        <v>1</v>
      </c>
      <c r="H137" s="44">
        <f t="shared" si="1"/>
        <v>27.777777777777779</v>
      </c>
      <c r="I137" s="44">
        <f t="shared" si="2"/>
        <v>66.666666666666657</v>
      </c>
      <c r="J137" s="44"/>
      <c r="K137" s="44"/>
      <c r="L137" s="44"/>
      <c r="M137" s="53"/>
    </row>
    <row r="138" spans="1:13" x14ac:dyDescent="0.25">
      <c r="A138" s="44" t="s">
        <v>3872</v>
      </c>
      <c r="B138" s="20">
        <v>736867576348.45996</v>
      </c>
      <c r="C138" s="20">
        <v>716847528744.33008</v>
      </c>
      <c r="D138" s="44">
        <f t="shared" si="0"/>
        <v>-2.7169125425953782</v>
      </c>
      <c r="E138" s="39">
        <v>6</v>
      </c>
      <c r="F138" s="39">
        <v>16</v>
      </c>
      <c r="G138" s="39">
        <v>0</v>
      </c>
      <c r="H138" s="44">
        <f t="shared" si="1"/>
        <v>27.27272727272727</v>
      </c>
      <c r="I138" s="44">
        <f t="shared" si="2"/>
        <v>72.727272727272734</v>
      </c>
      <c r="J138" s="44"/>
      <c r="K138" s="44"/>
      <c r="L138" s="44"/>
      <c r="M138" s="53"/>
    </row>
    <row r="139" spans="1:13" x14ac:dyDescent="0.25">
      <c r="A139" s="44" t="s">
        <v>985</v>
      </c>
      <c r="B139" s="20">
        <v>2681292879099.6299</v>
      </c>
      <c r="C139" s="20">
        <v>2587889115629.9502</v>
      </c>
      <c r="D139" s="44">
        <f t="shared" si="0"/>
        <v>-3.4835345365570212</v>
      </c>
      <c r="E139" s="39">
        <v>6</v>
      </c>
      <c r="F139" s="39">
        <v>17</v>
      </c>
      <c r="G139" s="39">
        <v>0</v>
      </c>
      <c r="H139" s="44">
        <f t="shared" si="1"/>
        <v>26.086956521739129</v>
      </c>
      <c r="I139" s="44">
        <f t="shared" si="2"/>
        <v>73.91304347826086</v>
      </c>
      <c r="J139" s="70" t="s">
        <v>4415</v>
      </c>
      <c r="K139" s="67"/>
      <c r="L139" s="44"/>
      <c r="M139" s="53"/>
    </row>
    <row r="140" spans="1:13" x14ac:dyDescent="0.25">
      <c r="A140" s="44" t="s">
        <v>1868</v>
      </c>
      <c r="B140" s="20">
        <v>4878320891846.9795</v>
      </c>
      <c r="C140" s="20">
        <v>4698842347300.4209</v>
      </c>
      <c r="D140" s="44">
        <f t="shared" si="0"/>
        <v>-3.6791049323244964</v>
      </c>
      <c r="E140" s="39">
        <v>24</v>
      </c>
      <c r="F140" s="39">
        <v>68</v>
      </c>
      <c r="G140" s="39">
        <v>3</v>
      </c>
      <c r="H140" s="44">
        <f t="shared" si="1"/>
        <v>25.263157894736842</v>
      </c>
      <c r="I140" s="44">
        <f t="shared" si="2"/>
        <v>71.578947368421055</v>
      </c>
      <c r="J140" s="44"/>
      <c r="K140" s="44"/>
      <c r="L140" s="44"/>
      <c r="M140" s="53"/>
    </row>
    <row r="141" spans="1:13" x14ac:dyDescent="0.25">
      <c r="A141" s="44" t="s">
        <v>3672</v>
      </c>
      <c r="B141" s="20">
        <v>10204988587.09</v>
      </c>
      <c r="C141" s="20">
        <v>11896092531.309999</v>
      </c>
      <c r="D141" s="44">
        <f t="shared" si="0"/>
        <v>16.571345766710216</v>
      </c>
      <c r="E141" s="39">
        <v>1</v>
      </c>
      <c r="F141" s="39">
        <v>3</v>
      </c>
      <c r="G141" s="39">
        <v>0</v>
      </c>
      <c r="H141" s="44">
        <f t="shared" si="1"/>
        <v>25</v>
      </c>
      <c r="I141" s="44">
        <f t="shared" si="2"/>
        <v>75</v>
      </c>
      <c r="J141" s="44"/>
      <c r="K141" s="44"/>
      <c r="L141" s="44"/>
      <c r="M141" s="53"/>
    </row>
    <row r="142" spans="1:13" x14ac:dyDescent="0.25">
      <c r="A142" s="44" t="s">
        <v>3611</v>
      </c>
      <c r="B142" s="20">
        <v>198909406507.67999</v>
      </c>
      <c r="C142" s="20">
        <v>208497101449.62</v>
      </c>
      <c r="D142" s="44">
        <f t="shared" si="0"/>
        <v>4.8201314911518862</v>
      </c>
      <c r="E142" s="39">
        <v>3</v>
      </c>
      <c r="F142" s="39">
        <v>8</v>
      </c>
      <c r="G142" s="39">
        <v>1</v>
      </c>
      <c r="H142" s="44">
        <f t="shared" si="1"/>
        <v>25</v>
      </c>
      <c r="I142" s="44">
        <f t="shared" si="2"/>
        <v>66.666666666666657</v>
      </c>
      <c r="J142" s="44"/>
      <c r="K142" s="44"/>
      <c r="L142" s="44"/>
      <c r="M142" s="53"/>
    </row>
    <row r="143" spans="1:13" x14ac:dyDescent="0.25">
      <c r="A143" s="44" t="s">
        <v>2575</v>
      </c>
      <c r="B143" s="20">
        <v>967401036355.85999</v>
      </c>
      <c r="C143" s="20">
        <v>982147769732.44006</v>
      </c>
      <c r="D143" s="44">
        <f t="shared" si="0"/>
        <v>1.5243660924873632</v>
      </c>
      <c r="E143" s="39">
        <v>6</v>
      </c>
      <c r="F143" s="39">
        <v>18</v>
      </c>
      <c r="G143" s="39">
        <v>0</v>
      </c>
      <c r="H143" s="44">
        <f t="shared" si="1"/>
        <v>25</v>
      </c>
      <c r="I143" s="44">
        <f t="shared" si="2"/>
        <v>75</v>
      </c>
      <c r="J143" s="44"/>
      <c r="K143" s="44"/>
      <c r="L143" s="44"/>
      <c r="M143" s="53"/>
    </row>
    <row r="144" spans="1:13" x14ac:dyDescent="0.25">
      <c r="A144" s="51" t="s">
        <v>2577</v>
      </c>
      <c r="B144" s="20">
        <v>594837384148.25</v>
      </c>
      <c r="C144" s="20">
        <v>590779958908.3999</v>
      </c>
      <c r="D144" s="44">
        <f t="shared" si="0"/>
        <v>-0.68210663081641054</v>
      </c>
      <c r="E144" s="39">
        <v>1</v>
      </c>
      <c r="F144" s="39">
        <v>3</v>
      </c>
      <c r="G144" s="39">
        <v>0</v>
      </c>
      <c r="H144" s="44">
        <f t="shared" si="1"/>
        <v>25</v>
      </c>
      <c r="I144" s="44">
        <f t="shared" si="2"/>
        <v>75</v>
      </c>
      <c r="J144" s="44"/>
      <c r="K144" s="44"/>
      <c r="L144" s="44"/>
      <c r="M144" s="53"/>
    </row>
    <row r="145" spans="1:13" x14ac:dyDescent="0.25">
      <c r="A145" s="44" t="s">
        <v>4033</v>
      </c>
      <c r="B145" s="20">
        <v>2943317551193.5</v>
      </c>
      <c r="C145" s="20">
        <v>2922398173724.3999</v>
      </c>
      <c r="D145" s="44">
        <f t="shared" si="0"/>
        <v>-0.71074143734906881</v>
      </c>
      <c r="E145" s="39">
        <v>1</v>
      </c>
      <c r="F145" s="39">
        <v>3</v>
      </c>
      <c r="G145" s="39">
        <v>0</v>
      </c>
      <c r="H145" s="44">
        <f t="shared" si="1"/>
        <v>25</v>
      </c>
      <c r="I145" s="44">
        <f t="shared" si="2"/>
        <v>75</v>
      </c>
      <c r="J145" s="44"/>
      <c r="K145" s="44"/>
      <c r="L145" s="44"/>
      <c r="M145" s="53"/>
    </row>
    <row r="146" spans="1:13" x14ac:dyDescent="0.25">
      <c r="A146" s="44" t="s">
        <v>935</v>
      </c>
      <c r="B146" s="20">
        <v>3546304083954.2998</v>
      </c>
      <c r="C146" s="20">
        <v>3517735387442.1499</v>
      </c>
      <c r="D146" s="44">
        <f t="shared" si="0"/>
        <v>-0.8055907174292406</v>
      </c>
      <c r="E146" s="39">
        <v>3</v>
      </c>
      <c r="F146" s="39">
        <v>9</v>
      </c>
      <c r="G146" s="39">
        <v>0</v>
      </c>
      <c r="H146" s="44">
        <f t="shared" si="1"/>
        <v>25</v>
      </c>
      <c r="I146" s="44">
        <f t="shared" si="2"/>
        <v>75</v>
      </c>
      <c r="J146" s="44"/>
      <c r="K146" s="44"/>
      <c r="L146" s="44"/>
      <c r="M146" s="53"/>
    </row>
    <row r="147" spans="1:13" x14ac:dyDescent="0.25">
      <c r="A147" s="44" t="s">
        <v>2522</v>
      </c>
      <c r="B147" s="20">
        <v>345287511124.08002</v>
      </c>
      <c r="C147" s="20">
        <v>341692981591.88007</v>
      </c>
      <c r="D147" s="44">
        <f t="shared" si="0"/>
        <v>-1.0410250635761473</v>
      </c>
      <c r="E147" s="39">
        <v>3</v>
      </c>
      <c r="F147" s="39">
        <v>9</v>
      </c>
      <c r="G147" s="39">
        <v>0</v>
      </c>
      <c r="H147" s="44">
        <f t="shared" si="1"/>
        <v>25</v>
      </c>
      <c r="I147" s="44">
        <f t="shared" si="2"/>
        <v>75</v>
      </c>
      <c r="J147" s="44"/>
      <c r="K147" s="44"/>
      <c r="L147" s="44"/>
      <c r="M147" s="53"/>
    </row>
    <row r="148" spans="1:13" x14ac:dyDescent="0.25">
      <c r="A148" s="44" t="s">
        <v>166</v>
      </c>
      <c r="B148" s="20">
        <v>582333921172.6499</v>
      </c>
      <c r="C148" s="20">
        <v>567589473618.05005</v>
      </c>
      <c r="D148" s="44">
        <f t="shared" si="0"/>
        <v>-2.5319575278920481</v>
      </c>
      <c r="E148" s="39">
        <v>1</v>
      </c>
      <c r="F148" s="39">
        <v>3</v>
      </c>
      <c r="G148" s="39">
        <v>0</v>
      </c>
      <c r="H148" s="44">
        <f t="shared" si="1"/>
        <v>25</v>
      </c>
      <c r="I148" s="44">
        <f t="shared" si="2"/>
        <v>75</v>
      </c>
      <c r="J148" s="44"/>
      <c r="K148" s="44"/>
      <c r="L148" s="44"/>
      <c r="M148" s="53"/>
    </row>
    <row r="149" spans="1:13" x14ac:dyDescent="0.25">
      <c r="A149" s="44" t="s">
        <v>3519</v>
      </c>
      <c r="B149" s="20">
        <v>10536629518</v>
      </c>
      <c r="C149" s="20">
        <v>10243198881.42</v>
      </c>
      <c r="D149" s="44">
        <f t="shared" si="0"/>
        <v>-2.7848624275791862</v>
      </c>
      <c r="E149" s="39">
        <v>1</v>
      </c>
      <c r="F149" s="39">
        <v>3</v>
      </c>
      <c r="G149" s="39">
        <v>0</v>
      </c>
      <c r="H149" s="44">
        <f t="shared" si="1"/>
        <v>25</v>
      </c>
      <c r="I149" s="44">
        <f t="shared" si="2"/>
        <v>75</v>
      </c>
      <c r="J149" s="44"/>
      <c r="K149" s="44"/>
      <c r="L149" s="44"/>
      <c r="M149" s="53"/>
    </row>
    <row r="150" spans="1:13" x14ac:dyDescent="0.25">
      <c r="A150" s="44" t="s">
        <v>3900</v>
      </c>
      <c r="B150" s="20">
        <v>282272272505.25</v>
      </c>
      <c r="C150" s="20">
        <v>273142348773.10004</v>
      </c>
      <c r="D150" s="44">
        <f t="shared" si="0"/>
        <v>-3.2344387392779268</v>
      </c>
      <c r="E150" s="39">
        <v>1</v>
      </c>
      <c r="F150" s="39">
        <v>2</v>
      </c>
      <c r="G150" s="39">
        <v>1</v>
      </c>
      <c r="H150" s="44">
        <f t="shared" si="1"/>
        <v>25</v>
      </c>
      <c r="I150" s="44">
        <f t="shared" si="2"/>
        <v>50</v>
      </c>
      <c r="J150" s="44"/>
      <c r="K150" s="44"/>
      <c r="L150" s="44"/>
      <c r="M150" s="53"/>
    </row>
    <row r="151" spans="1:13" x14ac:dyDescent="0.25">
      <c r="A151" s="44" t="s">
        <v>1584</v>
      </c>
      <c r="B151" s="20">
        <v>582756458924.72009</v>
      </c>
      <c r="C151" s="20">
        <v>522483110741.58002</v>
      </c>
      <c r="D151" s="44">
        <f t="shared" si="0"/>
        <v>-10.342802256427007</v>
      </c>
      <c r="E151" s="39">
        <v>1</v>
      </c>
      <c r="F151" s="39">
        <v>3</v>
      </c>
      <c r="G151" s="39">
        <v>0</v>
      </c>
      <c r="H151" s="44">
        <f t="shared" si="1"/>
        <v>25</v>
      </c>
      <c r="I151" s="44">
        <f t="shared" si="2"/>
        <v>75</v>
      </c>
      <c r="J151" s="44"/>
      <c r="K151" s="44"/>
      <c r="L151" s="44"/>
      <c r="M151" s="53"/>
    </row>
    <row r="152" spans="1:13" x14ac:dyDescent="0.25">
      <c r="A152" s="44" t="s">
        <v>677</v>
      </c>
      <c r="B152" s="20">
        <v>355672979343.85004</v>
      </c>
      <c r="C152" s="20">
        <v>300899484751.24994</v>
      </c>
      <c r="D152" s="44">
        <f t="shared" si="0"/>
        <v>-15.399959449730177</v>
      </c>
      <c r="E152" s="39">
        <v>2</v>
      </c>
      <c r="F152" s="39">
        <v>6</v>
      </c>
      <c r="G152" s="39">
        <v>0</v>
      </c>
      <c r="H152" s="44">
        <f t="shared" si="1"/>
        <v>25</v>
      </c>
      <c r="I152" s="44">
        <f t="shared" si="2"/>
        <v>75</v>
      </c>
      <c r="J152" s="44"/>
      <c r="K152" s="44"/>
      <c r="L152" s="44"/>
      <c r="M152" s="53"/>
    </row>
    <row r="153" spans="1:13" x14ac:dyDescent="0.25">
      <c r="A153" s="44" t="s">
        <v>680</v>
      </c>
      <c r="B153" s="20">
        <v>25827348312068.066</v>
      </c>
      <c r="C153" s="20">
        <v>25029579321876.527</v>
      </c>
      <c r="D153" s="44">
        <f t="shared" si="0"/>
        <v>-3.0888536467321894</v>
      </c>
      <c r="E153" s="39">
        <v>4</v>
      </c>
      <c r="F153" s="39">
        <v>16</v>
      </c>
      <c r="G153" s="39">
        <v>0</v>
      </c>
      <c r="H153" s="44">
        <f t="shared" si="1"/>
        <v>20</v>
      </c>
      <c r="I153" s="44">
        <f t="shared" si="2"/>
        <v>80</v>
      </c>
      <c r="J153" s="44"/>
      <c r="K153" s="44"/>
      <c r="L153" s="44"/>
      <c r="M153" s="53"/>
    </row>
    <row r="154" spans="1:13" x14ac:dyDescent="0.25">
      <c r="A154" s="44" t="s">
        <v>3190</v>
      </c>
      <c r="B154" s="20">
        <v>100827354786.73999</v>
      </c>
      <c r="C154" s="20">
        <v>97606221593.610001</v>
      </c>
      <c r="D154" s="44">
        <f t="shared" si="0"/>
        <v>-3.1947016758924307</v>
      </c>
      <c r="E154" s="39">
        <v>2</v>
      </c>
      <c r="F154" s="39">
        <v>8</v>
      </c>
      <c r="G154" s="39">
        <v>0</v>
      </c>
      <c r="H154" s="44">
        <f t="shared" si="1"/>
        <v>20</v>
      </c>
      <c r="I154" s="44">
        <f t="shared" si="2"/>
        <v>80</v>
      </c>
      <c r="J154" s="44"/>
      <c r="K154" s="44"/>
      <c r="L154" s="44"/>
      <c r="M154" s="53"/>
    </row>
    <row r="155" spans="1:13" x14ac:dyDescent="0.25">
      <c r="A155" s="44" t="s">
        <v>1563</v>
      </c>
      <c r="B155" s="20">
        <v>47573725164.980003</v>
      </c>
      <c r="C155" s="20">
        <v>45602668957.330002</v>
      </c>
      <c r="D155" s="44">
        <f t="shared" si="0"/>
        <v>-4.1431613791323123</v>
      </c>
      <c r="E155" s="39">
        <v>1</v>
      </c>
      <c r="F155" s="39">
        <v>4</v>
      </c>
      <c r="G155" s="39">
        <v>0</v>
      </c>
      <c r="H155" s="44">
        <f t="shared" si="1"/>
        <v>20</v>
      </c>
      <c r="I155" s="44">
        <f t="shared" si="2"/>
        <v>80</v>
      </c>
      <c r="J155" s="44"/>
      <c r="K155" s="44"/>
      <c r="L155" s="44"/>
      <c r="M155" s="53"/>
    </row>
    <row r="156" spans="1:13" x14ac:dyDescent="0.25">
      <c r="A156" s="44" t="s">
        <v>3454</v>
      </c>
      <c r="B156" s="20">
        <v>38317057412.419998</v>
      </c>
      <c r="C156" s="20">
        <v>36085686523.880005</v>
      </c>
      <c r="D156" s="44">
        <f t="shared" si="0"/>
        <v>-5.8234401053373217</v>
      </c>
      <c r="E156" s="39">
        <v>1</v>
      </c>
      <c r="F156" s="39">
        <v>4</v>
      </c>
      <c r="G156" s="39">
        <v>0</v>
      </c>
      <c r="H156" s="44">
        <f t="shared" si="1"/>
        <v>20</v>
      </c>
      <c r="I156" s="44">
        <f t="shared" si="2"/>
        <v>80</v>
      </c>
      <c r="J156" s="44"/>
      <c r="K156" s="44"/>
      <c r="L156" s="44"/>
      <c r="M156" s="53"/>
    </row>
    <row r="157" spans="1:13" x14ac:dyDescent="0.25">
      <c r="A157" s="44" t="s">
        <v>108</v>
      </c>
      <c r="B157" s="52">
        <v>3115279721242.8496</v>
      </c>
      <c r="C157" s="52">
        <v>2942953047477.25</v>
      </c>
      <c r="D157" s="44">
        <f t="shared" si="0"/>
        <v>-5.5316597283549678</v>
      </c>
      <c r="E157" s="39">
        <v>3</v>
      </c>
      <c r="F157" s="39">
        <v>12</v>
      </c>
      <c r="G157" s="39">
        <v>1</v>
      </c>
      <c r="H157" s="44">
        <f t="shared" si="1"/>
        <v>18.75</v>
      </c>
      <c r="I157" s="44">
        <f t="shared" si="2"/>
        <v>75</v>
      </c>
      <c r="J157" s="44"/>
      <c r="K157" s="44"/>
      <c r="L157" s="44"/>
      <c r="M157" s="53"/>
    </row>
    <row r="158" spans="1:13" x14ac:dyDescent="0.25">
      <c r="A158" s="44" t="s">
        <v>2228</v>
      </c>
      <c r="B158" s="20">
        <v>5276818395998.3594</v>
      </c>
      <c r="C158" s="20">
        <v>4932268267783.1289</v>
      </c>
      <c r="D158" s="44">
        <f t="shared" si="0"/>
        <v>-6.5295051365898402</v>
      </c>
      <c r="E158" s="39">
        <v>3</v>
      </c>
      <c r="F158" s="39">
        <v>13</v>
      </c>
      <c r="G158" s="39">
        <v>0</v>
      </c>
      <c r="H158" s="44">
        <f t="shared" si="1"/>
        <v>18.75</v>
      </c>
      <c r="I158" s="44">
        <f t="shared" si="2"/>
        <v>81.25</v>
      </c>
      <c r="J158" s="44"/>
      <c r="K158" s="44"/>
      <c r="L158" s="44"/>
      <c r="M158" s="53"/>
    </row>
    <row r="159" spans="1:13" x14ac:dyDescent="0.25">
      <c r="A159" s="44" t="s">
        <v>850</v>
      </c>
      <c r="B159" s="20">
        <v>515994485665.80005</v>
      </c>
      <c r="C159" s="20">
        <v>484720915065.04004</v>
      </c>
      <c r="D159" s="44">
        <f t="shared" si="0"/>
        <v>-6.0608342665536377</v>
      </c>
      <c r="E159" s="39">
        <v>1</v>
      </c>
      <c r="F159" s="39">
        <v>5</v>
      </c>
      <c r="G159" s="39">
        <v>0</v>
      </c>
      <c r="H159" s="44">
        <f t="shared" si="1"/>
        <v>16.666666666666664</v>
      </c>
      <c r="I159" s="44">
        <f t="shared" si="2"/>
        <v>83.333333333333343</v>
      </c>
      <c r="J159" s="44"/>
      <c r="K159" s="44"/>
      <c r="L159" s="44"/>
      <c r="M159" s="53"/>
    </row>
    <row r="160" spans="1:13" x14ac:dyDescent="0.25">
      <c r="A160" s="44" t="s">
        <v>1001</v>
      </c>
      <c r="B160" s="20">
        <v>1415530470122.0701</v>
      </c>
      <c r="C160" s="20">
        <v>1284350651565.22</v>
      </c>
      <c r="D160" s="44">
        <f t="shared" si="0"/>
        <v>-9.2671843754474352</v>
      </c>
      <c r="E160" s="39">
        <v>2</v>
      </c>
      <c r="F160" s="39">
        <v>10</v>
      </c>
      <c r="G160" s="39">
        <v>0</v>
      </c>
      <c r="H160" s="44">
        <f t="shared" si="1"/>
        <v>16.666666666666664</v>
      </c>
      <c r="I160" s="44">
        <f t="shared" si="2"/>
        <v>83.333333333333343</v>
      </c>
      <c r="J160" s="70" t="s">
        <v>4416</v>
      </c>
      <c r="K160" s="67"/>
      <c r="L160" s="44"/>
      <c r="M160" s="53"/>
    </row>
    <row r="161" spans="1:13" x14ac:dyDescent="0.25">
      <c r="A161" s="44" t="s">
        <v>4094</v>
      </c>
      <c r="B161" s="20">
        <v>53869327217.440002</v>
      </c>
      <c r="C161" s="20">
        <v>52208513917.790001</v>
      </c>
      <c r="D161" s="44">
        <f t="shared" si="0"/>
        <v>-3.0830407310383467</v>
      </c>
      <c r="E161" s="39">
        <v>3</v>
      </c>
      <c r="F161" s="39">
        <v>14</v>
      </c>
      <c r="G161" s="39">
        <v>3</v>
      </c>
      <c r="H161" s="44">
        <f t="shared" si="1"/>
        <v>15</v>
      </c>
      <c r="I161" s="44">
        <f t="shared" si="2"/>
        <v>70</v>
      </c>
      <c r="J161" s="44"/>
      <c r="K161" s="44"/>
      <c r="L161" s="44"/>
      <c r="M161" s="53"/>
    </row>
    <row r="162" spans="1:13" x14ac:dyDescent="0.25">
      <c r="A162" s="44" t="s">
        <v>3183</v>
      </c>
      <c r="B162" s="20">
        <v>4128570997747.6997</v>
      </c>
      <c r="C162" s="20">
        <v>3946892117763.6499</v>
      </c>
      <c r="D162" s="44">
        <f t="shared" si="0"/>
        <v>-4.4005269640067439</v>
      </c>
      <c r="E162" s="39">
        <v>1</v>
      </c>
      <c r="F162" s="39">
        <v>6</v>
      </c>
      <c r="G162" s="39">
        <v>0</v>
      </c>
      <c r="H162" s="44">
        <f t="shared" si="1"/>
        <v>14.285714285714285</v>
      </c>
      <c r="I162" s="44">
        <f t="shared" si="2"/>
        <v>85.714285714285708</v>
      </c>
      <c r="J162" s="44"/>
      <c r="K162" s="44"/>
      <c r="L162" s="44"/>
      <c r="M162" s="53"/>
    </row>
    <row r="163" spans="1:13" x14ac:dyDescent="0.25">
      <c r="A163" s="44" t="s">
        <v>3652</v>
      </c>
      <c r="B163" s="20">
        <v>160329927552.75</v>
      </c>
      <c r="C163" s="20">
        <v>144121518259.53</v>
      </c>
      <c r="D163" s="44">
        <f t="shared" si="0"/>
        <v>-10.109409728191443</v>
      </c>
      <c r="E163" s="39">
        <v>1</v>
      </c>
      <c r="F163" s="39">
        <v>6</v>
      </c>
      <c r="G163" s="39">
        <v>0</v>
      </c>
      <c r="H163" s="44">
        <f t="shared" si="1"/>
        <v>14.285714285714285</v>
      </c>
      <c r="I163" s="44">
        <f t="shared" si="2"/>
        <v>85.714285714285708</v>
      </c>
      <c r="J163" s="44"/>
      <c r="K163" s="44"/>
      <c r="L163" s="44"/>
      <c r="M163" s="53"/>
    </row>
    <row r="164" spans="1:13" x14ac:dyDescent="0.25">
      <c r="A164" s="44" t="s">
        <v>2261</v>
      </c>
      <c r="B164" s="20">
        <v>104929565001.71001</v>
      </c>
      <c r="C164" s="20">
        <v>98576790131.080002</v>
      </c>
      <c r="D164" s="44">
        <f t="shared" si="0"/>
        <v>-6.0543230790354228</v>
      </c>
      <c r="E164" s="39">
        <v>2</v>
      </c>
      <c r="F164" s="39">
        <v>13</v>
      </c>
      <c r="G164" s="39">
        <v>0</v>
      </c>
      <c r="H164" s="44">
        <f t="shared" si="1"/>
        <v>13.333333333333334</v>
      </c>
      <c r="I164" s="44">
        <f t="shared" si="2"/>
        <v>86.666666666666671</v>
      </c>
      <c r="J164" s="44"/>
      <c r="K164" s="44"/>
      <c r="L164" s="44"/>
      <c r="M164" s="53"/>
    </row>
    <row r="165" spans="1:13" x14ac:dyDescent="0.25">
      <c r="A165" s="44" t="s">
        <v>11</v>
      </c>
      <c r="B165" s="20">
        <v>3045190748795.0405</v>
      </c>
      <c r="C165" s="20">
        <v>2934231062127.96</v>
      </c>
      <c r="D165" s="44">
        <f t="shared" si="0"/>
        <v>-3.6437680204757781</v>
      </c>
      <c r="E165" s="39">
        <v>1</v>
      </c>
      <c r="F165" s="39">
        <v>6</v>
      </c>
      <c r="G165" s="39">
        <v>1</v>
      </c>
      <c r="H165" s="44">
        <f t="shared" si="1"/>
        <v>12.5</v>
      </c>
      <c r="I165" s="44">
        <f t="shared" si="2"/>
        <v>75</v>
      </c>
      <c r="J165" s="44"/>
      <c r="K165" s="44"/>
      <c r="L165" s="44"/>
      <c r="M165" s="53"/>
    </row>
    <row r="166" spans="1:13" x14ac:dyDescent="0.25">
      <c r="A166" s="44" t="s">
        <v>3361</v>
      </c>
      <c r="B166" s="20">
        <v>177445990606.04999</v>
      </c>
      <c r="C166" s="20">
        <v>171191913579.39999</v>
      </c>
      <c r="D166" s="44">
        <f t="shared" si="0"/>
        <v>-3.5244961045835894</v>
      </c>
      <c r="E166" s="39">
        <v>1</v>
      </c>
      <c r="F166" s="39">
        <v>7</v>
      </c>
      <c r="G166" s="39">
        <v>1</v>
      </c>
      <c r="H166" s="44">
        <f t="shared" si="1"/>
        <v>11.111111111111111</v>
      </c>
      <c r="I166" s="44">
        <f t="shared" si="2"/>
        <v>77.777777777777786</v>
      </c>
      <c r="J166" s="70" t="s">
        <v>4417</v>
      </c>
      <c r="K166" s="67"/>
      <c r="L166" s="44"/>
      <c r="M166" s="53"/>
    </row>
    <row r="167" spans="1:13" x14ac:dyDescent="0.25">
      <c r="A167" s="44" t="s">
        <v>2834</v>
      </c>
      <c r="B167" s="20">
        <v>27855057129.299999</v>
      </c>
      <c r="C167" s="20">
        <v>26763540016.099998</v>
      </c>
      <c r="D167" s="44">
        <f t="shared" si="0"/>
        <v>-3.9185599517290624</v>
      </c>
      <c r="E167" s="39">
        <v>1</v>
      </c>
      <c r="F167" s="39">
        <v>8</v>
      </c>
      <c r="G167" s="39">
        <v>0</v>
      </c>
      <c r="H167" s="44">
        <f t="shared" si="1"/>
        <v>11.111111111111111</v>
      </c>
      <c r="I167" s="44">
        <f t="shared" si="2"/>
        <v>88.888888888888886</v>
      </c>
      <c r="J167" s="44"/>
      <c r="K167" s="44"/>
      <c r="L167" s="44"/>
      <c r="M167" s="53"/>
    </row>
    <row r="168" spans="1:13" x14ac:dyDescent="0.25">
      <c r="A168" s="44" t="s">
        <v>1501</v>
      </c>
      <c r="B168" s="20">
        <v>821189143712.75</v>
      </c>
      <c r="C168" s="20">
        <v>728889889637.80005</v>
      </c>
      <c r="D168" s="44">
        <f t="shared" si="0"/>
        <v>-11.239707049419543</v>
      </c>
      <c r="E168" s="39">
        <v>1</v>
      </c>
      <c r="F168" s="39">
        <v>7</v>
      </c>
      <c r="G168" s="39">
        <v>1</v>
      </c>
      <c r="H168" s="44">
        <f t="shared" si="1"/>
        <v>11.111111111111111</v>
      </c>
      <c r="I168" s="44">
        <f t="shared" si="2"/>
        <v>77.777777777777786</v>
      </c>
      <c r="J168" s="44"/>
      <c r="K168" s="44"/>
      <c r="L168" s="44"/>
      <c r="M168" s="53"/>
    </row>
    <row r="169" spans="1:13" x14ac:dyDescent="0.25">
      <c r="A169" s="44" t="s">
        <v>56</v>
      </c>
      <c r="B169" s="20">
        <v>15180990741.279999</v>
      </c>
      <c r="C169" s="20">
        <v>14717385909.189999</v>
      </c>
      <c r="D169" s="44">
        <f t="shared" si="0"/>
        <v>-3.0538509639517168</v>
      </c>
      <c r="E169" s="39">
        <v>1</v>
      </c>
      <c r="F169" s="39">
        <v>9</v>
      </c>
      <c r="G169" s="39">
        <v>0</v>
      </c>
      <c r="H169" s="44">
        <f t="shared" si="1"/>
        <v>10</v>
      </c>
      <c r="I169" s="44">
        <f t="shared" si="2"/>
        <v>90</v>
      </c>
      <c r="J169" s="44"/>
      <c r="K169" s="44"/>
      <c r="L169" s="44"/>
      <c r="M169" s="53"/>
    </row>
    <row r="170" spans="1:13" x14ac:dyDescent="0.25">
      <c r="A170" s="44" t="s">
        <v>3140</v>
      </c>
      <c r="B170" s="20">
        <v>2497379730164.2095</v>
      </c>
      <c r="C170" s="20">
        <v>2422218029912.3003</v>
      </c>
      <c r="D170" s="44">
        <f t="shared" si="0"/>
        <v>-3.0096224192132404</v>
      </c>
      <c r="E170" s="39">
        <v>1</v>
      </c>
      <c r="F170" s="39">
        <v>10</v>
      </c>
      <c r="G170" s="39">
        <v>1</v>
      </c>
      <c r="H170" s="44">
        <f t="shared" si="1"/>
        <v>8.3333333333333321</v>
      </c>
      <c r="I170" s="44">
        <f t="shared" si="2"/>
        <v>83.333333333333343</v>
      </c>
      <c r="J170" s="44"/>
      <c r="K170" s="44"/>
      <c r="L170" s="44"/>
      <c r="M170" s="53"/>
    </row>
    <row r="171" spans="1:13" x14ac:dyDescent="0.25">
      <c r="A171" s="44" t="s">
        <v>2749</v>
      </c>
      <c r="B171" s="20">
        <v>18911515535.740002</v>
      </c>
      <c r="C171" s="20">
        <v>18705184938.619999</v>
      </c>
      <c r="D171" s="44">
        <f t="shared" si="0"/>
        <v>-1.0910315290705712</v>
      </c>
      <c r="E171" s="39">
        <v>0</v>
      </c>
      <c r="F171" s="39">
        <v>2</v>
      </c>
      <c r="G171" s="39">
        <v>0</v>
      </c>
      <c r="H171" s="44">
        <f t="shared" si="1"/>
        <v>0</v>
      </c>
      <c r="I171" s="44">
        <f t="shared" si="2"/>
        <v>100</v>
      </c>
      <c r="J171" s="44"/>
      <c r="K171" s="44"/>
      <c r="L171" s="44"/>
      <c r="M171" s="53"/>
    </row>
    <row r="172" spans="1:13" x14ac:dyDescent="0.25">
      <c r="A172" s="44" t="s">
        <v>659</v>
      </c>
      <c r="B172" s="20">
        <v>92150954615.149994</v>
      </c>
      <c r="C172" s="20">
        <v>90327215545.799988</v>
      </c>
      <c r="D172" s="44">
        <f t="shared" si="0"/>
        <v>-1.9790777827169421</v>
      </c>
      <c r="E172" s="39">
        <v>0</v>
      </c>
      <c r="F172" s="39">
        <v>2</v>
      </c>
      <c r="G172" s="39">
        <v>0</v>
      </c>
      <c r="H172" s="44">
        <f t="shared" si="1"/>
        <v>0</v>
      </c>
      <c r="I172" s="44">
        <f t="shared" si="2"/>
        <v>100</v>
      </c>
      <c r="J172" s="44"/>
      <c r="K172" s="44"/>
      <c r="L172" s="44"/>
      <c r="M172" s="53"/>
    </row>
    <row r="173" spans="1:13" x14ac:dyDescent="0.25">
      <c r="A173" s="44" t="s">
        <v>4245</v>
      </c>
      <c r="B173" s="20">
        <v>1075690420</v>
      </c>
      <c r="C173" s="20">
        <v>1050823000</v>
      </c>
      <c r="D173" s="44">
        <f t="shared" si="0"/>
        <v>-2.3117636392076446</v>
      </c>
      <c r="E173" s="44">
        <v>0</v>
      </c>
      <c r="F173" s="44">
        <v>2</v>
      </c>
      <c r="G173" s="44">
        <v>0</v>
      </c>
      <c r="H173" s="44">
        <f t="shared" si="1"/>
        <v>0</v>
      </c>
      <c r="I173" s="44">
        <f t="shared" si="2"/>
        <v>100</v>
      </c>
      <c r="J173" s="44"/>
      <c r="K173" s="44"/>
      <c r="L173" s="44"/>
      <c r="M173" s="53"/>
    </row>
    <row r="174" spans="1:13" x14ac:dyDescent="0.25">
      <c r="A174" s="44" t="s">
        <v>2721</v>
      </c>
      <c r="B174" s="20">
        <v>6589035997860.1191</v>
      </c>
      <c r="C174" s="20">
        <v>6425973031368.2197</v>
      </c>
      <c r="D174" s="44">
        <f t="shared" si="0"/>
        <v>-2.4747621130747559</v>
      </c>
      <c r="E174" s="39">
        <v>0</v>
      </c>
      <c r="F174" s="39">
        <v>8</v>
      </c>
      <c r="G174" s="39">
        <v>0</v>
      </c>
      <c r="H174" s="44">
        <f t="shared" si="1"/>
        <v>0</v>
      </c>
      <c r="I174" s="44">
        <f t="shared" si="2"/>
        <v>100</v>
      </c>
      <c r="J174" s="44"/>
      <c r="K174" s="44"/>
      <c r="L174" s="44"/>
      <c r="M174" s="53"/>
    </row>
    <row r="175" spans="1:13" x14ac:dyDescent="0.25">
      <c r="A175" s="44" t="s">
        <v>4128</v>
      </c>
      <c r="B175" s="20">
        <v>26002212500</v>
      </c>
      <c r="C175" s="20">
        <v>25351700000</v>
      </c>
      <c r="D175" s="44">
        <f t="shared" si="0"/>
        <v>-2.5017582638400482</v>
      </c>
      <c r="E175" s="39">
        <v>0</v>
      </c>
      <c r="F175" s="39">
        <v>1</v>
      </c>
      <c r="G175" s="39">
        <v>0</v>
      </c>
      <c r="H175" s="44">
        <f t="shared" si="1"/>
        <v>0</v>
      </c>
      <c r="I175" s="44">
        <f t="shared" si="2"/>
        <v>100</v>
      </c>
      <c r="J175" s="44"/>
      <c r="K175" s="44"/>
      <c r="L175" s="44"/>
      <c r="M175" s="53"/>
    </row>
    <row r="176" spans="1:13" x14ac:dyDescent="0.25">
      <c r="A176" s="44" t="s">
        <v>4200</v>
      </c>
      <c r="B176" s="20">
        <v>216957051833.59998</v>
      </c>
      <c r="C176" s="20">
        <v>211402461840.59998</v>
      </c>
      <c r="D176" s="44">
        <f t="shared" si="0"/>
        <v>-2.5602256050474987</v>
      </c>
      <c r="E176" s="39">
        <v>0</v>
      </c>
      <c r="F176" s="39">
        <v>3</v>
      </c>
      <c r="G176" s="39">
        <v>0</v>
      </c>
      <c r="H176" s="44">
        <f t="shared" si="1"/>
        <v>0</v>
      </c>
      <c r="I176" s="44">
        <f t="shared" si="2"/>
        <v>100</v>
      </c>
      <c r="J176" s="44"/>
      <c r="K176" s="44"/>
      <c r="L176" s="44"/>
      <c r="M176" s="53"/>
    </row>
    <row r="177" spans="1:13" x14ac:dyDescent="0.25">
      <c r="A177" s="44" t="s">
        <v>833</v>
      </c>
      <c r="B177" s="20">
        <v>328261495025.83997</v>
      </c>
      <c r="C177" s="20">
        <v>319194328614.24005</v>
      </c>
      <c r="D177" s="44">
        <f t="shared" si="0"/>
        <v>-2.7621778822661391</v>
      </c>
      <c r="E177" s="39">
        <v>0</v>
      </c>
      <c r="F177" s="39">
        <v>4</v>
      </c>
      <c r="G177" s="39">
        <v>0</v>
      </c>
      <c r="H177" s="44">
        <f t="shared" si="1"/>
        <v>0</v>
      </c>
      <c r="I177" s="44">
        <f t="shared" si="2"/>
        <v>100</v>
      </c>
      <c r="J177" s="44"/>
      <c r="K177" s="44"/>
      <c r="L177" s="44"/>
      <c r="M177" s="53"/>
    </row>
    <row r="178" spans="1:13" x14ac:dyDescent="0.25">
      <c r="A178" s="44" t="s">
        <v>342</v>
      </c>
      <c r="B178" s="20">
        <v>1266182837152.3501</v>
      </c>
      <c r="C178" s="20">
        <v>1217950617408</v>
      </c>
      <c r="D178" s="44">
        <f t="shared" si="0"/>
        <v>-3.8092618482196881</v>
      </c>
      <c r="E178" s="39">
        <v>0</v>
      </c>
      <c r="F178" s="39">
        <v>3</v>
      </c>
      <c r="G178" s="39">
        <v>0</v>
      </c>
      <c r="H178" s="44">
        <f t="shared" si="1"/>
        <v>0</v>
      </c>
      <c r="I178" s="44">
        <f t="shared" si="2"/>
        <v>100</v>
      </c>
      <c r="J178" s="44"/>
      <c r="K178" s="44"/>
      <c r="L178" s="44"/>
      <c r="M178" s="53"/>
    </row>
    <row r="179" spans="1:13" x14ac:dyDescent="0.25">
      <c r="A179" s="44" t="s">
        <v>3772</v>
      </c>
      <c r="B179" s="20">
        <v>762921210580.71997</v>
      </c>
      <c r="C179" s="20">
        <v>724238379718.43005</v>
      </c>
      <c r="D179" s="44">
        <f t="shared" si="0"/>
        <v>-5.0703572434229924</v>
      </c>
      <c r="E179" s="39">
        <v>0</v>
      </c>
      <c r="F179" s="39">
        <v>6</v>
      </c>
      <c r="G179" s="39">
        <v>0</v>
      </c>
      <c r="H179" s="44">
        <f t="shared" si="1"/>
        <v>0</v>
      </c>
      <c r="I179" s="44">
        <f t="shared" si="2"/>
        <v>100</v>
      </c>
      <c r="J179" s="44"/>
      <c r="K179" s="44"/>
      <c r="L179" s="44"/>
      <c r="M179" s="53"/>
    </row>
    <row r="180" spans="1:13" x14ac:dyDescent="0.25">
      <c r="A180" s="44" t="s">
        <v>4191</v>
      </c>
      <c r="B180" s="20">
        <v>7396873041.8999996</v>
      </c>
      <c r="C180" s="20">
        <v>7021712950</v>
      </c>
      <c r="D180" s="44">
        <f t="shared" si="0"/>
        <v>-5.0718741524274424</v>
      </c>
      <c r="E180" s="39">
        <v>0</v>
      </c>
      <c r="F180" s="39">
        <v>1</v>
      </c>
      <c r="G180" s="39">
        <v>0</v>
      </c>
      <c r="H180" s="44">
        <f t="shared" si="1"/>
        <v>0</v>
      </c>
      <c r="I180" s="44">
        <f t="shared" si="2"/>
        <v>100</v>
      </c>
      <c r="J180" s="44"/>
      <c r="K180" s="44"/>
      <c r="L180" s="44"/>
      <c r="M180" s="53"/>
    </row>
    <row r="181" spans="1:13" x14ac:dyDescent="0.25">
      <c r="A181" s="44" t="s">
        <v>3131</v>
      </c>
      <c r="B181" s="20">
        <v>856451555861.32007</v>
      </c>
      <c r="C181" s="20">
        <v>803789624991.12</v>
      </c>
      <c r="D181" s="44">
        <f t="shared" si="0"/>
        <v>-6.1488510949389052</v>
      </c>
      <c r="E181" s="39">
        <v>0</v>
      </c>
      <c r="F181" s="39">
        <v>1</v>
      </c>
      <c r="G181" s="39">
        <v>1</v>
      </c>
      <c r="H181" s="44">
        <f t="shared" si="1"/>
        <v>0</v>
      </c>
      <c r="I181" s="44">
        <f t="shared" si="2"/>
        <v>50</v>
      </c>
      <c r="J181" s="44"/>
      <c r="K181" s="44"/>
      <c r="L181" s="44"/>
      <c r="M181" s="53"/>
    </row>
    <row r="182" spans="1:13" x14ac:dyDescent="0.25">
      <c r="A182" s="44" t="s">
        <v>876</v>
      </c>
      <c r="B182" s="20">
        <v>844835607.20000005</v>
      </c>
      <c r="C182" s="20">
        <v>786008048.85000002</v>
      </c>
      <c r="D182" s="44">
        <f t="shared" si="0"/>
        <v>-6.9631958985452211</v>
      </c>
      <c r="E182" s="39">
        <v>0</v>
      </c>
      <c r="F182" s="39">
        <v>4</v>
      </c>
      <c r="G182" s="39">
        <v>0</v>
      </c>
      <c r="H182" s="44">
        <f t="shared" si="1"/>
        <v>0</v>
      </c>
      <c r="I182" s="44">
        <f t="shared" si="2"/>
        <v>100</v>
      </c>
      <c r="J182" s="44"/>
      <c r="K182" s="44"/>
      <c r="L182" s="44"/>
      <c r="M182" s="53"/>
    </row>
    <row r="183" spans="1:13" x14ac:dyDescent="0.25">
      <c r="A183" s="44" t="s">
        <v>4261</v>
      </c>
      <c r="B183" s="20">
        <v>37056962980</v>
      </c>
      <c r="C183" s="20">
        <v>34457967873.700005</v>
      </c>
      <c r="D183" s="44">
        <f t="shared" si="0"/>
        <v>-7.0135135135135016</v>
      </c>
      <c r="E183" s="44">
        <v>0</v>
      </c>
      <c r="F183" s="44">
        <v>1</v>
      </c>
      <c r="G183" s="44">
        <v>0</v>
      </c>
      <c r="H183" s="44">
        <f t="shared" si="1"/>
        <v>0</v>
      </c>
      <c r="I183" s="44">
        <f t="shared" si="2"/>
        <v>100</v>
      </c>
      <c r="J183" s="44"/>
      <c r="K183" s="44"/>
      <c r="L183" s="44"/>
      <c r="M183" s="53"/>
    </row>
    <row r="184" spans="1:13" x14ac:dyDescent="0.25">
      <c r="A184" s="44" t="s">
        <v>2867</v>
      </c>
      <c r="B184" s="20">
        <v>5335490070.1300001</v>
      </c>
      <c r="C184" s="20">
        <v>4901731462.46</v>
      </c>
      <c r="D184" s="44">
        <f t="shared" si="0"/>
        <v>-8.1296863449964487</v>
      </c>
      <c r="E184" s="39">
        <v>0</v>
      </c>
      <c r="F184" s="39">
        <v>5</v>
      </c>
      <c r="G184" s="39">
        <v>1</v>
      </c>
      <c r="H184" s="44">
        <f t="shared" si="1"/>
        <v>0</v>
      </c>
      <c r="I184" s="44">
        <f t="shared" si="2"/>
        <v>83.333333333333343</v>
      </c>
      <c r="J184" s="44"/>
      <c r="K184" s="44"/>
      <c r="L184" s="44"/>
      <c r="M184" s="53"/>
    </row>
    <row r="185" spans="1:13" x14ac:dyDescent="0.25">
      <c r="A185" s="44" t="s">
        <v>4145</v>
      </c>
      <c r="B185" s="20">
        <v>12405884510744.381</v>
      </c>
      <c r="C185" s="20">
        <v>11230943003969.77</v>
      </c>
      <c r="D185" s="44">
        <f t="shared" si="0"/>
        <v>-9.4708402754920726</v>
      </c>
      <c r="E185" s="39">
        <v>0</v>
      </c>
      <c r="F185" s="39">
        <v>12</v>
      </c>
      <c r="G185" s="39">
        <v>0</v>
      </c>
      <c r="H185" s="44">
        <f t="shared" si="1"/>
        <v>0</v>
      </c>
      <c r="I185" s="44">
        <f t="shared" si="2"/>
        <v>100</v>
      </c>
      <c r="J185" s="44"/>
      <c r="K185" s="44"/>
      <c r="L185" s="44"/>
      <c r="M185" s="53"/>
    </row>
    <row r="186" spans="1:13" x14ac:dyDescent="0.25">
      <c r="A186" s="44" t="s">
        <v>3262</v>
      </c>
      <c r="B186" s="20">
        <v>1471206299001.1001</v>
      </c>
      <c r="C186" s="20">
        <v>1298351587225.8501</v>
      </c>
      <c r="D186" s="44">
        <f t="shared" si="0"/>
        <v>-11.749182415315417</v>
      </c>
      <c r="E186" s="39">
        <v>0</v>
      </c>
      <c r="F186" s="39">
        <v>6</v>
      </c>
      <c r="G186" s="39">
        <v>0</v>
      </c>
      <c r="H186" s="44">
        <f t="shared" si="1"/>
        <v>0</v>
      </c>
      <c r="I186" s="44">
        <f t="shared" si="2"/>
        <v>100</v>
      </c>
      <c r="J186" s="44"/>
      <c r="K186" s="44"/>
      <c r="L186" s="44"/>
      <c r="M186" s="53"/>
    </row>
    <row r="187" spans="1:13" x14ac:dyDescent="0.25">
      <c r="A187" s="44" t="s">
        <v>4210</v>
      </c>
      <c r="B187" s="20">
        <v>32643701291</v>
      </c>
      <c r="C187" s="20">
        <v>28187608410.100002</v>
      </c>
      <c r="D187" s="44">
        <f t="shared" si="0"/>
        <v>-13.650697392358998</v>
      </c>
      <c r="E187" s="39">
        <v>0</v>
      </c>
      <c r="F187" s="39">
        <v>1</v>
      </c>
      <c r="G187" s="39">
        <v>0</v>
      </c>
      <c r="H187" s="44">
        <f t="shared" si="1"/>
        <v>0</v>
      </c>
      <c r="I187" s="44">
        <f t="shared" si="2"/>
        <v>100</v>
      </c>
      <c r="J187" s="44"/>
      <c r="K187" s="44"/>
      <c r="L187" s="44"/>
      <c r="M187" s="53"/>
    </row>
    <row r="188" spans="1:13" x14ac:dyDescent="0.25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53"/>
      <c r="M188" s="53"/>
    </row>
    <row r="189" spans="1:13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53"/>
      <c r="M189" s="53"/>
    </row>
    <row r="190" spans="1:13" x14ac:dyDescent="0.25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53"/>
      <c r="M190" s="53"/>
    </row>
    <row r="191" spans="1:13" x14ac:dyDescent="0.25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53"/>
      <c r="M191" s="53"/>
    </row>
    <row r="192" spans="1:13" x14ac:dyDescent="0.25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53"/>
      <c r="M192" s="53"/>
    </row>
    <row r="193" spans="1:13" x14ac:dyDescent="0.25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53"/>
      <c r="M193" s="53"/>
    </row>
    <row r="194" spans="1:13" x14ac:dyDescent="0.25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53"/>
      <c r="M194" s="53"/>
    </row>
    <row r="195" spans="1:13" x14ac:dyDescent="0.2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53"/>
      <c r="M195" s="53"/>
    </row>
    <row r="196" spans="1:13" x14ac:dyDescent="0.25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53"/>
      <c r="M196" s="53"/>
    </row>
    <row r="197" spans="1:13" x14ac:dyDescent="0.25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53"/>
      <c r="M197" s="53"/>
    </row>
    <row r="198" spans="1:13" x14ac:dyDescent="0.25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53"/>
      <c r="M198" s="53"/>
    </row>
    <row r="199" spans="1:13" x14ac:dyDescent="0.25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53"/>
      <c r="M199" s="53"/>
    </row>
    <row r="200" spans="1:13" x14ac:dyDescent="0.25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53"/>
      <c r="M200" s="53"/>
    </row>
    <row r="201" spans="1:13" x14ac:dyDescent="0.25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53"/>
      <c r="M201" s="53"/>
    </row>
    <row r="202" spans="1:13" x14ac:dyDescent="0.25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53"/>
      <c r="M202" s="53"/>
    </row>
    <row r="203" spans="1:13" x14ac:dyDescent="0.25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53"/>
      <c r="M203" s="53"/>
    </row>
    <row r="204" spans="1:13" x14ac:dyDescent="0.25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53"/>
      <c r="M204" s="53"/>
    </row>
    <row r="205" spans="1:13" x14ac:dyDescent="0.2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53"/>
      <c r="M205" s="53"/>
    </row>
    <row r="206" spans="1:13" x14ac:dyDescent="0.25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53"/>
      <c r="M206" s="53"/>
    </row>
    <row r="207" spans="1:13" x14ac:dyDescent="0.25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53"/>
      <c r="M207" s="53"/>
    </row>
    <row r="208" spans="1:13" x14ac:dyDescent="0.25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53"/>
      <c r="M208" s="53"/>
    </row>
    <row r="209" spans="1:13" x14ac:dyDescent="0.25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53"/>
      <c r="M209" s="53"/>
    </row>
    <row r="210" spans="1:13" x14ac:dyDescent="0.25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53"/>
      <c r="M210" s="53"/>
    </row>
    <row r="211" spans="1:13" x14ac:dyDescent="0.25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53"/>
      <c r="M211" s="53"/>
    </row>
    <row r="212" spans="1:13" x14ac:dyDescent="0.25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53"/>
      <c r="M212" s="53"/>
    </row>
    <row r="213" spans="1:13" x14ac:dyDescent="0.25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53"/>
      <c r="M213" s="53"/>
    </row>
    <row r="214" spans="1:13" x14ac:dyDescent="0.25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53"/>
      <c r="M214" s="53"/>
    </row>
    <row r="215" spans="1:13" x14ac:dyDescent="0.2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53"/>
      <c r="M215" s="53"/>
    </row>
    <row r="216" spans="1:13" x14ac:dyDescent="0.25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53"/>
      <c r="M216" s="53"/>
    </row>
    <row r="217" spans="1:13" x14ac:dyDescent="0.25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53"/>
      <c r="M217" s="53"/>
    </row>
    <row r="218" spans="1:13" x14ac:dyDescent="0.25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53"/>
      <c r="M218" s="53"/>
    </row>
    <row r="219" spans="1:13" x14ac:dyDescent="0.25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53"/>
      <c r="M219" s="53"/>
    </row>
    <row r="220" spans="1:13" x14ac:dyDescent="0.25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53"/>
      <c r="M220" s="53"/>
    </row>
    <row r="221" spans="1:13" x14ac:dyDescent="0.25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53"/>
      <c r="M221" s="53"/>
    </row>
    <row r="222" spans="1:13" x14ac:dyDescent="0.25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53"/>
      <c r="M222" s="53"/>
    </row>
    <row r="223" spans="1:13" x14ac:dyDescent="0.25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53"/>
      <c r="M223" s="53"/>
    </row>
    <row r="224" spans="1:13" x14ac:dyDescent="0.25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53"/>
      <c r="M224" s="53"/>
    </row>
    <row r="225" spans="1:13" x14ac:dyDescent="0.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53"/>
      <c r="M225" s="53"/>
    </row>
    <row r="226" spans="1:13" x14ac:dyDescent="0.25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53"/>
      <c r="M226" s="53"/>
    </row>
    <row r="227" spans="1:13" x14ac:dyDescent="0.25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53"/>
      <c r="M227" s="53"/>
    </row>
    <row r="228" spans="1:13" x14ac:dyDescent="0.25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53"/>
      <c r="M228" s="53"/>
    </row>
    <row r="229" spans="1:13" x14ac:dyDescent="0.25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53"/>
      <c r="M229" s="53"/>
    </row>
    <row r="230" spans="1:13" x14ac:dyDescent="0.25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53"/>
      <c r="M230" s="53"/>
    </row>
    <row r="231" spans="1:13" x14ac:dyDescent="0.25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53"/>
      <c r="M231" s="53"/>
    </row>
    <row r="232" spans="1:13" x14ac:dyDescent="0.25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53"/>
      <c r="M232" s="53"/>
    </row>
    <row r="233" spans="1:13" x14ac:dyDescent="0.25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53"/>
      <c r="M233" s="53"/>
    </row>
    <row r="234" spans="1:13" x14ac:dyDescent="0.25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53"/>
      <c r="M234" s="53"/>
    </row>
    <row r="235" spans="1:13" x14ac:dyDescent="0.2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53"/>
      <c r="M235" s="53"/>
    </row>
    <row r="236" spans="1:13" x14ac:dyDescent="0.25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53"/>
      <c r="M236" s="53"/>
    </row>
    <row r="237" spans="1:13" x14ac:dyDescent="0.25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53"/>
      <c r="M237" s="53"/>
    </row>
    <row r="238" spans="1:13" x14ac:dyDescent="0.25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53"/>
      <c r="M238" s="53"/>
    </row>
    <row r="239" spans="1:13" x14ac:dyDescent="0.25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53"/>
      <c r="M239" s="53"/>
    </row>
    <row r="240" spans="1:13" x14ac:dyDescent="0.25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53"/>
      <c r="M240" s="53"/>
    </row>
    <row r="241" spans="1:13" x14ac:dyDescent="0.25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53"/>
      <c r="M241" s="53"/>
    </row>
    <row r="242" spans="1:13" x14ac:dyDescent="0.25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53"/>
      <c r="M242" s="53"/>
    </row>
    <row r="243" spans="1:13" x14ac:dyDescent="0.25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53"/>
      <c r="M243" s="53"/>
    </row>
    <row r="244" spans="1:13" x14ac:dyDescent="0.25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53"/>
      <c r="M244" s="53"/>
    </row>
    <row r="245" spans="1:13" x14ac:dyDescent="0.2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53"/>
      <c r="M245" s="53"/>
    </row>
    <row r="246" spans="1:13" x14ac:dyDescent="0.25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53"/>
      <c r="M246" s="53"/>
    </row>
    <row r="247" spans="1:13" x14ac:dyDescent="0.25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53"/>
      <c r="M247" s="53"/>
    </row>
    <row r="248" spans="1:13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53"/>
      <c r="M248" s="53"/>
    </row>
    <row r="249" spans="1:13" x14ac:dyDescent="0.25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53"/>
      <c r="M249" s="53"/>
    </row>
    <row r="250" spans="1:13" x14ac:dyDescent="0.25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53"/>
      <c r="M250" s="53"/>
    </row>
    <row r="251" spans="1:13" x14ac:dyDescent="0.25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53"/>
      <c r="M251" s="53"/>
    </row>
    <row r="252" spans="1:13" x14ac:dyDescent="0.25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53"/>
      <c r="M252" s="53"/>
    </row>
    <row r="253" spans="1:13" x14ac:dyDescent="0.25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53"/>
      <c r="M253" s="53"/>
    </row>
    <row r="254" spans="1:13" x14ac:dyDescent="0.25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53"/>
      <c r="M254" s="53"/>
    </row>
    <row r="255" spans="1:13" x14ac:dyDescent="0.2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53"/>
      <c r="M255" s="53"/>
    </row>
    <row r="256" spans="1:13" x14ac:dyDescent="0.25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53"/>
      <c r="M256" s="53"/>
    </row>
    <row r="257" spans="1:13" x14ac:dyDescent="0.25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53"/>
      <c r="M257" s="53"/>
    </row>
    <row r="258" spans="1:13" x14ac:dyDescent="0.25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53"/>
      <c r="M258" s="53"/>
    </row>
    <row r="259" spans="1:13" x14ac:dyDescent="0.25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53"/>
      <c r="M259" s="53"/>
    </row>
    <row r="260" spans="1:13" x14ac:dyDescent="0.25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53"/>
      <c r="M260" s="53"/>
    </row>
    <row r="261" spans="1:13" x14ac:dyDescent="0.25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53"/>
      <c r="M261" s="53"/>
    </row>
    <row r="262" spans="1:13" x14ac:dyDescent="0.25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53"/>
      <c r="M262" s="53"/>
    </row>
    <row r="263" spans="1:13" x14ac:dyDescent="0.25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53"/>
      <c r="M263" s="53"/>
    </row>
    <row r="264" spans="1:13" x14ac:dyDescent="0.25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53"/>
      <c r="M264" s="53"/>
    </row>
    <row r="265" spans="1:13" x14ac:dyDescent="0.2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53"/>
      <c r="M265" s="53"/>
    </row>
    <row r="266" spans="1:13" x14ac:dyDescent="0.25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53"/>
      <c r="M266" s="53"/>
    </row>
    <row r="267" spans="1:13" x14ac:dyDescent="0.25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53"/>
      <c r="M267" s="53"/>
    </row>
    <row r="268" spans="1:13" x14ac:dyDescent="0.25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53"/>
      <c r="M268" s="53"/>
    </row>
    <row r="269" spans="1:13" x14ac:dyDescent="0.25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53"/>
      <c r="M269" s="53"/>
    </row>
    <row r="270" spans="1:13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53"/>
      <c r="M270" s="53"/>
    </row>
    <row r="271" spans="1:13" x14ac:dyDescent="0.25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53"/>
      <c r="M271" s="53"/>
    </row>
    <row r="272" spans="1:13" x14ac:dyDescent="0.25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53"/>
      <c r="M272" s="53"/>
    </row>
    <row r="273" spans="1:13" x14ac:dyDescent="0.25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53"/>
      <c r="M273" s="53"/>
    </row>
    <row r="274" spans="1:13" x14ac:dyDescent="0.25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53"/>
      <c r="M274" s="53"/>
    </row>
    <row r="275" spans="1:13" x14ac:dyDescent="0.2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53"/>
      <c r="M275" s="53"/>
    </row>
    <row r="276" spans="1:13" x14ac:dyDescent="0.25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53"/>
      <c r="M276" s="53"/>
    </row>
    <row r="277" spans="1:13" x14ac:dyDescent="0.25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53"/>
      <c r="M277" s="53"/>
    </row>
    <row r="278" spans="1:13" x14ac:dyDescent="0.25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53"/>
      <c r="M278" s="53"/>
    </row>
    <row r="279" spans="1:13" x14ac:dyDescent="0.25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53"/>
      <c r="M279" s="53"/>
    </row>
    <row r="280" spans="1:13" x14ac:dyDescent="0.25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53"/>
      <c r="M280" s="53"/>
    </row>
    <row r="281" spans="1:13" x14ac:dyDescent="0.25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53"/>
      <c r="M281" s="53"/>
    </row>
    <row r="282" spans="1:13" x14ac:dyDescent="0.25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53"/>
      <c r="M282" s="53"/>
    </row>
    <row r="283" spans="1:13" x14ac:dyDescent="0.25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53"/>
      <c r="M283" s="53"/>
    </row>
    <row r="284" spans="1:13" x14ac:dyDescent="0.25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53"/>
      <c r="M284" s="53"/>
    </row>
    <row r="285" spans="1:13" x14ac:dyDescent="0.2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53"/>
      <c r="M285" s="53"/>
    </row>
    <row r="286" spans="1:13" x14ac:dyDescent="0.25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53"/>
      <c r="M286" s="53"/>
    </row>
    <row r="287" spans="1:13" x14ac:dyDescent="0.25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53"/>
      <c r="M287" s="53"/>
    </row>
    <row r="288" spans="1:13" x14ac:dyDescent="0.25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53"/>
      <c r="M288" s="53"/>
    </row>
    <row r="289" spans="1:13" x14ac:dyDescent="0.25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53"/>
      <c r="M289" s="53"/>
    </row>
    <row r="290" spans="1:13" x14ac:dyDescent="0.25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53"/>
      <c r="M290" s="53"/>
    </row>
    <row r="291" spans="1:13" x14ac:dyDescent="0.25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53"/>
      <c r="M291" s="53"/>
    </row>
    <row r="292" spans="1:13" x14ac:dyDescent="0.25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53"/>
      <c r="M292" s="53"/>
    </row>
    <row r="293" spans="1:13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53"/>
      <c r="M293" s="53"/>
    </row>
    <row r="294" spans="1:13" x14ac:dyDescent="0.25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53"/>
      <c r="M294" s="53"/>
    </row>
    <row r="295" spans="1:13" x14ac:dyDescent="0.2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53"/>
      <c r="M295" s="53"/>
    </row>
    <row r="296" spans="1:13" x14ac:dyDescent="0.25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53"/>
      <c r="M296" s="53"/>
    </row>
    <row r="297" spans="1:13" x14ac:dyDescent="0.25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53"/>
      <c r="M297" s="53"/>
    </row>
    <row r="298" spans="1:13" x14ac:dyDescent="0.25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53"/>
      <c r="M298" s="53"/>
    </row>
    <row r="299" spans="1:13" x14ac:dyDescent="0.25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53"/>
      <c r="M299" s="53"/>
    </row>
    <row r="300" spans="1:13" x14ac:dyDescent="0.25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53"/>
      <c r="M300" s="53"/>
    </row>
    <row r="301" spans="1:13" x14ac:dyDescent="0.25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53"/>
      <c r="M301" s="53"/>
    </row>
    <row r="302" spans="1:13" x14ac:dyDescent="0.25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53"/>
      <c r="M302" s="53"/>
    </row>
    <row r="303" spans="1:13" x14ac:dyDescent="0.25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53"/>
      <c r="M303" s="53"/>
    </row>
    <row r="304" spans="1:13" x14ac:dyDescent="0.25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53"/>
      <c r="M304" s="53"/>
    </row>
    <row r="305" spans="1:13" x14ac:dyDescent="0.2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53"/>
      <c r="M305" s="53"/>
    </row>
    <row r="306" spans="1:13" x14ac:dyDescent="0.25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53"/>
      <c r="M306" s="53"/>
    </row>
    <row r="307" spans="1:13" x14ac:dyDescent="0.25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53"/>
      <c r="M307" s="53"/>
    </row>
    <row r="308" spans="1:13" x14ac:dyDescent="0.25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53"/>
      <c r="M308" s="53"/>
    </row>
    <row r="309" spans="1:13" x14ac:dyDescent="0.25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53"/>
      <c r="M309" s="53"/>
    </row>
    <row r="310" spans="1:13" x14ac:dyDescent="0.25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53"/>
      <c r="M310" s="53"/>
    </row>
    <row r="311" spans="1:13" x14ac:dyDescent="0.25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53"/>
      <c r="M311" s="53"/>
    </row>
    <row r="312" spans="1:13" x14ac:dyDescent="0.25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53"/>
      <c r="M312" s="53"/>
    </row>
    <row r="313" spans="1:13" x14ac:dyDescent="0.25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53"/>
      <c r="M313" s="53"/>
    </row>
    <row r="314" spans="1:13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53"/>
      <c r="M314" s="53"/>
    </row>
    <row r="315" spans="1:13" x14ac:dyDescent="0.2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53"/>
      <c r="M315" s="53"/>
    </row>
    <row r="316" spans="1:13" x14ac:dyDescent="0.25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53"/>
      <c r="M316" s="53"/>
    </row>
    <row r="317" spans="1:13" x14ac:dyDescent="0.25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53"/>
      <c r="M317" s="53"/>
    </row>
    <row r="318" spans="1:13" x14ac:dyDescent="0.25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53"/>
      <c r="M318" s="53"/>
    </row>
    <row r="319" spans="1:13" x14ac:dyDescent="0.25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53"/>
      <c r="M319" s="53"/>
    </row>
    <row r="320" spans="1:13" x14ac:dyDescent="0.25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53"/>
      <c r="M320" s="53"/>
    </row>
    <row r="321" spans="1:13" x14ac:dyDescent="0.25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53"/>
      <c r="M321" s="53"/>
    </row>
    <row r="322" spans="1:13" x14ac:dyDescent="0.25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53"/>
      <c r="M322" s="53"/>
    </row>
    <row r="323" spans="1:13" x14ac:dyDescent="0.25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53"/>
      <c r="M323" s="53"/>
    </row>
    <row r="324" spans="1:13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53"/>
      <c r="M324" s="53"/>
    </row>
    <row r="325" spans="1:13" x14ac:dyDescent="0.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53"/>
      <c r="M325" s="53"/>
    </row>
    <row r="326" spans="1:13" x14ac:dyDescent="0.25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53"/>
      <c r="M326" s="53"/>
    </row>
    <row r="327" spans="1:13" x14ac:dyDescent="0.25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53"/>
      <c r="M327" s="53"/>
    </row>
    <row r="328" spans="1:13" x14ac:dyDescent="0.25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53"/>
      <c r="M328" s="53"/>
    </row>
    <row r="329" spans="1:13" x14ac:dyDescent="0.25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53"/>
      <c r="M329" s="53"/>
    </row>
    <row r="330" spans="1:13" x14ac:dyDescent="0.25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53"/>
      <c r="M330" s="53"/>
    </row>
    <row r="331" spans="1:13" x14ac:dyDescent="0.25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53"/>
      <c r="M331" s="53"/>
    </row>
    <row r="332" spans="1:13" x14ac:dyDescent="0.25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53"/>
      <c r="M332" s="53"/>
    </row>
    <row r="333" spans="1:13" x14ac:dyDescent="0.25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53"/>
      <c r="M333" s="53"/>
    </row>
    <row r="334" spans="1:13" x14ac:dyDescent="0.25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53"/>
      <c r="M334" s="53"/>
    </row>
    <row r="335" spans="1:13" x14ac:dyDescent="0.2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53"/>
      <c r="M335" s="53"/>
    </row>
    <row r="336" spans="1:13" x14ac:dyDescent="0.25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53"/>
      <c r="M336" s="53"/>
    </row>
    <row r="337" spans="1:13" x14ac:dyDescent="0.25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53"/>
      <c r="M337" s="53"/>
    </row>
    <row r="338" spans="1:13" x14ac:dyDescent="0.25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53"/>
      <c r="M338" s="53"/>
    </row>
    <row r="339" spans="1:13" x14ac:dyDescent="0.25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53"/>
      <c r="M339" s="53"/>
    </row>
    <row r="340" spans="1:13" x14ac:dyDescent="0.25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53"/>
      <c r="M340" s="53"/>
    </row>
    <row r="341" spans="1:13" x14ac:dyDescent="0.25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53"/>
      <c r="M341" s="53"/>
    </row>
    <row r="342" spans="1:13" x14ac:dyDescent="0.25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53"/>
      <c r="M342" s="53"/>
    </row>
    <row r="343" spans="1:13" x14ac:dyDescent="0.25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53"/>
      <c r="M343" s="53"/>
    </row>
    <row r="344" spans="1:13" x14ac:dyDescent="0.25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53"/>
      <c r="M344" s="53"/>
    </row>
    <row r="345" spans="1:13" x14ac:dyDescent="0.2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53"/>
      <c r="M345" s="53"/>
    </row>
    <row r="346" spans="1:13" x14ac:dyDescent="0.25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53"/>
      <c r="M346" s="53"/>
    </row>
    <row r="347" spans="1:13" x14ac:dyDescent="0.25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53"/>
      <c r="M347" s="53"/>
    </row>
    <row r="348" spans="1:13" x14ac:dyDescent="0.25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53"/>
      <c r="M348" s="53"/>
    </row>
    <row r="349" spans="1:13" x14ac:dyDescent="0.25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53"/>
      <c r="M349" s="53"/>
    </row>
    <row r="350" spans="1:13" x14ac:dyDescent="0.25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53"/>
      <c r="M350" s="53"/>
    </row>
    <row r="351" spans="1:13" x14ac:dyDescent="0.25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53"/>
      <c r="M351" s="53"/>
    </row>
    <row r="352" spans="1:13" x14ac:dyDescent="0.25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53"/>
      <c r="M352" s="53"/>
    </row>
    <row r="353" spans="1:13" x14ac:dyDescent="0.25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53"/>
      <c r="M353" s="53"/>
    </row>
    <row r="354" spans="1:13" x14ac:dyDescent="0.25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53"/>
      <c r="M354" s="53"/>
    </row>
    <row r="355" spans="1:13" x14ac:dyDescent="0.2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53"/>
      <c r="M355" s="53"/>
    </row>
    <row r="356" spans="1:13" x14ac:dyDescent="0.25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53"/>
      <c r="M356" s="53"/>
    </row>
    <row r="357" spans="1:13" x14ac:dyDescent="0.25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53"/>
      <c r="M357" s="53"/>
    </row>
    <row r="358" spans="1:13" x14ac:dyDescent="0.25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53"/>
      <c r="M358" s="53"/>
    </row>
    <row r="359" spans="1:13" x14ac:dyDescent="0.25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53"/>
      <c r="M359" s="53"/>
    </row>
    <row r="360" spans="1:13" x14ac:dyDescent="0.25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53"/>
      <c r="M360" s="53"/>
    </row>
    <row r="361" spans="1:13" x14ac:dyDescent="0.25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53"/>
      <c r="M361" s="53"/>
    </row>
    <row r="362" spans="1:13" x14ac:dyDescent="0.25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53"/>
      <c r="M362" s="53"/>
    </row>
    <row r="363" spans="1:13" x14ac:dyDescent="0.25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53"/>
      <c r="M363" s="53"/>
    </row>
    <row r="364" spans="1:13" x14ac:dyDescent="0.25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53"/>
      <c r="M364" s="53"/>
    </row>
    <row r="365" spans="1:13" x14ac:dyDescent="0.2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53"/>
      <c r="M365" s="53"/>
    </row>
    <row r="366" spans="1:13" x14ac:dyDescent="0.25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53"/>
      <c r="M366" s="53"/>
    </row>
    <row r="367" spans="1:13" x14ac:dyDescent="0.25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53"/>
      <c r="M367" s="53"/>
    </row>
    <row r="368" spans="1:13" x14ac:dyDescent="0.25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53"/>
      <c r="M368" s="53"/>
    </row>
    <row r="369" spans="1:13" x14ac:dyDescent="0.25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53"/>
      <c r="M369" s="53"/>
    </row>
    <row r="370" spans="1:13" x14ac:dyDescent="0.25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53"/>
      <c r="M370" s="53"/>
    </row>
    <row r="371" spans="1:13" x14ac:dyDescent="0.25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53"/>
      <c r="M371" s="53"/>
    </row>
    <row r="372" spans="1:13" x14ac:dyDescent="0.25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53"/>
      <c r="M372" s="53"/>
    </row>
    <row r="373" spans="1:13" x14ac:dyDescent="0.25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53"/>
      <c r="M373" s="53"/>
    </row>
    <row r="374" spans="1:13" x14ac:dyDescent="0.25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53"/>
      <c r="M374" s="53"/>
    </row>
    <row r="375" spans="1:13" x14ac:dyDescent="0.2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53"/>
      <c r="M375" s="53"/>
    </row>
    <row r="376" spans="1:13" x14ac:dyDescent="0.25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53"/>
      <c r="M376" s="53"/>
    </row>
    <row r="377" spans="1:13" x14ac:dyDescent="0.25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53"/>
      <c r="M377" s="53"/>
    </row>
    <row r="378" spans="1:13" x14ac:dyDescent="0.25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53"/>
      <c r="M378" s="53"/>
    </row>
    <row r="379" spans="1:13" x14ac:dyDescent="0.25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53"/>
      <c r="M379" s="53"/>
    </row>
    <row r="380" spans="1:13" x14ac:dyDescent="0.25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53"/>
      <c r="M380" s="53"/>
    </row>
    <row r="381" spans="1:13" x14ac:dyDescent="0.25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53"/>
      <c r="M381" s="53"/>
    </row>
    <row r="382" spans="1:13" x14ac:dyDescent="0.25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53"/>
      <c r="M382" s="53"/>
    </row>
    <row r="383" spans="1:13" x14ac:dyDescent="0.25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53"/>
      <c r="M383" s="53"/>
    </row>
    <row r="384" spans="1:13" x14ac:dyDescent="0.25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53"/>
      <c r="M384" s="53"/>
    </row>
    <row r="385" spans="1:13" x14ac:dyDescent="0.2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53"/>
      <c r="M385" s="53"/>
    </row>
    <row r="386" spans="1:13" x14ac:dyDescent="0.25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53"/>
      <c r="M386" s="53"/>
    </row>
    <row r="387" spans="1:13" x14ac:dyDescent="0.25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53"/>
      <c r="M387" s="53"/>
    </row>
    <row r="388" spans="1:13" x14ac:dyDescent="0.25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53"/>
      <c r="M388" s="53"/>
    </row>
    <row r="389" spans="1:13" x14ac:dyDescent="0.25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53"/>
      <c r="M389" s="53"/>
    </row>
    <row r="390" spans="1:13" x14ac:dyDescent="0.25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53"/>
      <c r="M390" s="53"/>
    </row>
    <row r="391" spans="1:13" x14ac:dyDescent="0.25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53"/>
      <c r="M391" s="53"/>
    </row>
    <row r="392" spans="1:13" x14ac:dyDescent="0.25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53"/>
      <c r="M392" s="53"/>
    </row>
    <row r="393" spans="1:13" x14ac:dyDescent="0.25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53"/>
      <c r="M393" s="53"/>
    </row>
    <row r="394" spans="1:13" x14ac:dyDescent="0.25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53"/>
      <c r="M394" s="53"/>
    </row>
    <row r="395" spans="1:13" x14ac:dyDescent="0.2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53"/>
      <c r="M395" s="53"/>
    </row>
    <row r="396" spans="1:13" x14ac:dyDescent="0.25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53"/>
      <c r="M396" s="53"/>
    </row>
    <row r="397" spans="1:13" x14ac:dyDescent="0.25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53"/>
      <c r="M397" s="53"/>
    </row>
    <row r="398" spans="1:13" x14ac:dyDescent="0.25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53"/>
      <c r="M398" s="53"/>
    </row>
    <row r="399" spans="1:13" x14ac:dyDescent="0.25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53"/>
      <c r="M399" s="53"/>
    </row>
    <row r="400" spans="1:13" x14ac:dyDescent="0.25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53"/>
      <c r="M400" s="53"/>
    </row>
    <row r="401" spans="1:13" x14ac:dyDescent="0.25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53"/>
      <c r="M401" s="53"/>
    </row>
    <row r="402" spans="1:13" x14ac:dyDescent="0.25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53"/>
      <c r="M402" s="53"/>
    </row>
    <row r="403" spans="1:13" x14ac:dyDescent="0.25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53"/>
      <c r="M403" s="53"/>
    </row>
    <row r="404" spans="1:13" x14ac:dyDescent="0.25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53"/>
      <c r="M404" s="53"/>
    </row>
    <row r="405" spans="1:13" x14ac:dyDescent="0.2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53"/>
      <c r="M405" s="53"/>
    </row>
    <row r="406" spans="1:13" x14ac:dyDescent="0.25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53"/>
      <c r="M406" s="53"/>
    </row>
    <row r="407" spans="1:13" x14ac:dyDescent="0.25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53"/>
      <c r="M407" s="53"/>
    </row>
    <row r="408" spans="1:13" x14ac:dyDescent="0.25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53"/>
      <c r="M408" s="53"/>
    </row>
    <row r="409" spans="1:13" x14ac:dyDescent="0.25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53"/>
      <c r="M409" s="53"/>
    </row>
    <row r="410" spans="1:13" x14ac:dyDescent="0.25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53"/>
      <c r="M410" s="53"/>
    </row>
    <row r="411" spans="1:13" x14ac:dyDescent="0.25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53"/>
      <c r="M411" s="53"/>
    </row>
    <row r="412" spans="1:13" x14ac:dyDescent="0.25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53"/>
      <c r="M412" s="53"/>
    </row>
    <row r="413" spans="1:13" x14ac:dyDescent="0.25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53"/>
      <c r="M413" s="53"/>
    </row>
    <row r="414" spans="1:13" x14ac:dyDescent="0.25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53"/>
      <c r="M414" s="53"/>
    </row>
    <row r="415" spans="1:13" x14ac:dyDescent="0.2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53"/>
      <c r="M415" s="53"/>
    </row>
    <row r="416" spans="1:13" x14ac:dyDescent="0.25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53"/>
      <c r="M416" s="53"/>
    </row>
    <row r="417" spans="1:13" x14ac:dyDescent="0.25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53"/>
      <c r="M417" s="53"/>
    </row>
    <row r="418" spans="1:13" x14ac:dyDescent="0.25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53"/>
      <c r="M418" s="53"/>
    </row>
    <row r="419" spans="1:13" x14ac:dyDescent="0.25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53"/>
      <c r="M419" s="53"/>
    </row>
    <row r="420" spans="1:13" x14ac:dyDescent="0.25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53"/>
      <c r="M420" s="53"/>
    </row>
    <row r="421" spans="1:13" x14ac:dyDescent="0.25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53"/>
      <c r="M421" s="53"/>
    </row>
    <row r="422" spans="1:13" x14ac:dyDescent="0.25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53"/>
      <c r="M422" s="53"/>
    </row>
    <row r="423" spans="1:13" x14ac:dyDescent="0.25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53"/>
      <c r="M423" s="53"/>
    </row>
    <row r="424" spans="1:13" x14ac:dyDescent="0.25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53"/>
      <c r="M424" s="53"/>
    </row>
    <row r="425" spans="1:13" x14ac:dyDescent="0.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53"/>
      <c r="M425" s="53"/>
    </row>
    <row r="426" spans="1:13" x14ac:dyDescent="0.25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53"/>
      <c r="M426" s="53"/>
    </row>
    <row r="427" spans="1:13" x14ac:dyDescent="0.25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53"/>
      <c r="M427" s="53"/>
    </row>
    <row r="428" spans="1:13" x14ac:dyDescent="0.25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53"/>
      <c r="M428" s="53"/>
    </row>
    <row r="429" spans="1:13" x14ac:dyDescent="0.25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53"/>
      <c r="M429" s="53"/>
    </row>
    <row r="430" spans="1:13" x14ac:dyDescent="0.25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53"/>
      <c r="M430" s="53"/>
    </row>
    <row r="431" spans="1:13" x14ac:dyDescent="0.25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53"/>
      <c r="M431" s="53"/>
    </row>
    <row r="432" spans="1:13" x14ac:dyDescent="0.25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53"/>
      <c r="M432" s="53"/>
    </row>
    <row r="433" spans="1:13" x14ac:dyDescent="0.25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53"/>
      <c r="M433" s="53"/>
    </row>
    <row r="434" spans="1:13" x14ac:dyDescent="0.25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53"/>
      <c r="M434" s="53"/>
    </row>
    <row r="435" spans="1:13" x14ac:dyDescent="0.2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53"/>
      <c r="M435" s="53"/>
    </row>
    <row r="436" spans="1:13" x14ac:dyDescent="0.25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53"/>
      <c r="M436" s="53"/>
    </row>
    <row r="437" spans="1:13" x14ac:dyDescent="0.25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53"/>
      <c r="M437" s="53"/>
    </row>
    <row r="438" spans="1:13" x14ac:dyDescent="0.25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53"/>
      <c r="M438" s="53"/>
    </row>
    <row r="439" spans="1:13" x14ac:dyDescent="0.25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53"/>
      <c r="M439" s="53"/>
    </row>
    <row r="440" spans="1:13" x14ac:dyDescent="0.25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53"/>
      <c r="M440" s="53"/>
    </row>
    <row r="441" spans="1:13" x14ac:dyDescent="0.25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53"/>
      <c r="M441" s="53"/>
    </row>
    <row r="442" spans="1:13" x14ac:dyDescent="0.25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53"/>
      <c r="M442" s="53"/>
    </row>
    <row r="443" spans="1:13" x14ac:dyDescent="0.25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53"/>
      <c r="M443" s="53"/>
    </row>
    <row r="444" spans="1:13" x14ac:dyDescent="0.25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53"/>
      <c r="M444" s="53"/>
    </row>
    <row r="445" spans="1:13" x14ac:dyDescent="0.2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53"/>
      <c r="M445" s="53"/>
    </row>
    <row r="446" spans="1:13" x14ac:dyDescent="0.25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53"/>
      <c r="M446" s="53"/>
    </row>
    <row r="447" spans="1:13" x14ac:dyDescent="0.25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53"/>
      <c r="M447" s="53"/>
    </row>
    <row r="448" spans="1:13" x14ac:dyDescent="0.25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53"/>
      <c r="M448" s="53"/>
    </row>
    <row r="449" spans="1:13" x14ac:dyDescent="0.25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53"/>
      <c r="M449" s="53"/>
    </row>
    <row r="450" spans="1:13" x14ac:dyDescent="0.25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53"/>
      <c r="M450" s="53"/>
    </row>
    <row r="451" spans="1:13" x14ac:dyDescent="0.25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53"/>
      <c r="M451" s="53"/>
    </row>
    <row r="452" spans="1:13" x14ac:dyDescent="0.25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53"/>
      <c r="M452" s="53"/>
    </row>
    <row r="453" spans="1:13" x14ac:dyDescent="0.25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53"/>
      <c r="M453" s="53"/>
    </row>
    <row r="454" spans="1:13" x14ac:dyDescent="0.25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53"/>
      <c r="M454" s="53"/>
    </row>
    <row r="455" spans="1:13" x14ac:dyDescent="0.2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53"/>
      <c r="M455" s="53"/>
    </row>
    <row r="456" spans="1:13" x14ac:dyDescent="0.25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53"/>
      <c r="M456" s="53"/>
    </row>
    <row r="457" spans="1:13" x14ac:dyDescent="0.25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53"/>
      <c r="M457" s="53"/>
    </row>
    <row r="458" spans="1:13" x14ac:dyDescent="0.25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53"/>
      <c r="M458" s="53"/>
    </row>
    <row r="459" spans="1:13" x14ac:dyDescent="0.25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53"/>
      <c r="M459" s="53"/>
    </row>
    <row r="460" spans="1:13" x14ac:dyDescent="0.25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53"/>
      <c r="M460" s="53"/>
    </row>
    <row r="461" spans="1:13" x14ac:dyDescent="0.25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53"/>
      <c r="M461" s="53"/>
    </row>
    <row r="462" spans="1:13" x14ac:dyDescent="0.25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53"/>
      <c r="M462" s="53"/>
    </row>
    <row r="463" spans="1:13" x14ac:dyDescent="0.25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53"/>
      <c r="M463" s="53"/>
    </row>
    <row r="464" spans="1:13" x14ac:dyDescent="0.25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53"/>
      <c r="M464" s="53"/>
    </row>
    <row r="465" spans="1:13" x14ac:dyDescent="0.2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53"/>
      <c r="M465" s="53"/>
    </row>
    <row r="466" spans="1:13" x14ac:dyDescent="0.25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53"/>
      <c r="M466" s="53"/>
    </row>
    <row r="467" spans="1:13" x14ac:dyDescent="0.25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53"/>
      <c r="M467" s="53"/>
    </row>
    <row r="468" spans="1:13" x14ac:dyDescent="0.25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53"/>
      <c r="M468" s="53"/>
    </row>
    <row r="469" spans="1:13" x14ac:dyDescent="0.25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53"/>
      <c r="M469" s="53"/>
    </row>
    <row r="470" spans="1:13" x14ac:dyDescent="0.25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53"/>
      <c r="M470" s="53"/>
    </row>
    <row r="471" spans="1:13" x14ac:dyDescent="0.25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53"/>
      <c r="M471" s="53"/>
    </row>
    <row r="472" spans="1:13" x14ac:dyDescent="0.25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53"/>
      <c r="M472" s="53"/>
    </row>
    <row r="473" spans="1:13" x14ac:dyDescent="0.25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53"/>
      <c r="M473" s="53"/>
    </row>
    <row r="474" spans="1:13" x14ac:dyDescent="0.25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53"/>
      <c r="M474" s="53"/>
    </row>
    <row r="475" spans="1:13" x14ac:dyDescent="0.2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53"/>
      <c r="M475" s="53"/>
    </row>
    <row r="476" spans="1:13" x14ac:dyDescent="0.25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53"/>
      <c r="M476" s="53"/>
    </row>
    <row r="477" spans="1:13" x14ac:dyDescent="0.25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53"/>
      <c r="M477" s="53"/>
    </row>
    <row r="478" spans="1:13" x14ac:dyDescent="0.25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53"/>
      <c r="M478" s="53"/>
    </row>
    <row r="479" spans="1:13" x14ac:dyDescent="0.25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53"/>
      <c r="M479" s="53"/>
    </row>
    <row r="480" spans="1:13" x14ac:dyDescent="0.25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53"/>
      <c r="M480" s="53"/>
    </row>
    <row r="481" spans="1:13" x14ac:dyDescent="0.25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53"/>
      <c r="M481" s="53"/>
    </row>
    <row r="482" spans="1:13" x14ac:dyDescent="0.25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53"/>
      <c r="M482" s="53"/>
    </row>
    <row r="483" spans="1:13" x14ac:dyDescent="0.25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53"/>
      <c r="M483" s="53"/>
    </row>
    <row r="484" spans="1:13" x14ac:dyDescent="0.25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53"/>
      <c r="M484" s="53"/>
    </row>
    <row r="485" spans="1:13" x14ac:dyDescent="0.2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53"/>
      <c r="M485" s="53"/>
    </row>
    <row r="486" spans="1:13" x14ac:dyDescent="0.25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53"/>
      <c r="M486" s="53"/>
    </row>
    <row r="487" spans="1:13" x14ac:dyDescent="0.25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53"/>
      <c r="M487" s="53"/>
    </row>
    <row r="488" spans="1:13" x14ac:dyDescent="0.25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53"/>
      <c r="M488" s="53"/>
    </row>
    <row r="489" spans="1:13" x14ac:dyDescent="0.25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53"/>
      <c r="M489" s="53"/>
    </row>
    <row r="490" spans="1:13" x14ac:dyDescent="0.25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53"/>
      <c r="M490" s="53"/>
    </row>
    <row r="491" spans="1:13" x14ac:dyDescent="0.25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53"/>
      <c r="M491" s="53"/>
    </row>
    <row r="492" spans="1:13" x14ac:dyDescent="0.25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53"/>
      <c r="M492" s="53"/>
    </row>
    <row r="493" spans="1:13" x14ac:dyDescent="0.25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53"/>
      <c r="M493" s="53"/>
    </row>
    <row r="494" spans="1:13" x14ac:dyDescent="0.25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53"/>
      <c r="M494" s="53"/>
    </row>
    <row r="495" spans="1:13" x14ac:dyDescent="0.2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53"/>
      <c r="M495" s="53"/>
    </row>
    <row r="496" spans="1:13" x14ac:dyDescent="0.25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53"/>
      <c r="M496" s="53"/>
    </row>
    <row r="497" spans="1:13" x14ac:dyDescent="0.25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53"/>
      <c r="M497" s="53"/>
    </row>
    <row r="498" spans="1:13" x14ac:dyDescent="0.25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53"/>
      <c r="M498" s="53"/>
    </row>
    <row r="499" spans="1:13" x14ac:dyDescent="0.25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53"/>
      <c r="M499" s="53"/>
    </row>
    <row r="500" spans="1:13" x14ac:dyDescent="0.25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53"/>
      <c r="M500" s="53"/>
    </row>
    <row r="501" spans="1:13" x14ac:dyDescent="0.25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53"/>
      <c r="M501" s="53"/>
    </row>
    <row r="502" spans="1:13" x14ac:dyDescent="0.25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53"/>
      <c r="M502" s="53"/>
    </row>
    <row r="503" spans="1:13" x14ac:dyDescent="0.25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53"/>
      <c r="M503" s="53"/>
    </row>
    <row r="504" spans="1:13" x14ac:dyDescent="0.25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53"/>
      <c r="M504" s="53"/>
    </row>
    <row r="505" spans="1:13" x14ac:dyDescent="0.2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53"/>
      <c r="M505" s="53"/>
    </row>
    <row r="506" spans="1:13" x14ac:dyDescent="0.25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53"/>
      <c r="M506" s="53"/>
    </row>
    <row r="507" spans="1:13" x14ac:dyDescent="0.25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53"/>
      <c r="M507" s="53"/>
    </row>
    <row r="508" spans="1:13" x14ac:dyDescent="0.25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53"/>
      <c r="M508" s="53"/>
    </row>
    <row r="509" spans="1:13" x14ac:dyDescent="0.25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53"/>
      <c r="M509" s="53"/>
    </row>
    <row r="510" spans="1:13" x14ac:dyDescent="0.25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53"/>
      <c r="M510" s="53"/>
    </row>
    <row r="511" spans="1:13" x14ac:dyDescent="0.25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53"/>
      <c r="M511" s="53"/>
    </row>
    <row r="512" spans="1:13" x14ac:dyDescent="0.25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53"/>
      <c r="M512" s="53"/>
    </row>
    <row r="513" spans="1:13" x14ac:dyDescent="0.25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53"/>
      <c r="M513" s="53"/>
    </row>
    <row r="514" spans="1:13" x14ac:dyDescent="0.25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53"/>
      <c r="M514" s="53"/>
    </row>
    <row r="515" spans="1:13" x14ac:dyDescent="0.2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53"/>
      <c r="M515" s="53"/>
    </row>
    <row r="516" spans="1:13" x14ac:dyDescent="0.25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53"/>
      <c r="M516" s="53"/>
    </row>
    <row r="517" spans="1:13" x14ac:dyDescent="0.25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53"/>
      <c r="M517" s="53"/>
    </row>
    <row r="518" spans="1:13" x14ac:dyDescent="0.25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53"/>
      <c r="M518" s="53"/>
    </row>
    <row r="519" spans="1:13" x14ac:dyDescent="0.25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53"/>
      <c r="M519" s="53"/>
    </row>
    <row r="520" spans="1:13" x14ac:dyDescent="0.25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53"/>
      <c r="M520" s="53"/>
    </row>
    <row r="521" spans="1:13" x14ac:dyDescent="0.25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53"/>
      <c r="M521" s="53"/>
    </row>
    <row r="522" spans="1:13" x14ac:dyDescent="0.25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53"/>
      <c r="M522" s="53"/>
    </row>
    <row r="523" spans="1:13" x14ac:dyDescent="0.25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53"/>
      <c r="M523" s="53"/>
    </row>
    <row r="524" spans="1:13" x14ac:dyDescent="0.25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53"/>
      <c r="M524" s="53"/>
    </row>
    <row r="525" spans="1:13" x14ac:dyDescent="0.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53"/>
      <c r="M525" s="53"/>
    </row>
    <row r="526" spans="1:13" x14ac:dyDescent="0.25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53"/>
      <c r="M526" s="53"/>
    </row>
    <row r="527" spans="1:13" x14ac:dyDescent="0.25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53"/>
      <c r="M527" s="53"/>
    </row>
    <row r="528" spans="1:13" x14ac:dyDescent="0.25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53"/>
      <c r="M528" s="53"/>
    </row>
    <row r="529" spans="1:13" x14ac:dyDescent="0.25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53"/>
      <c r="M529" s="53"/>
    </row>
    <row r="530" spans="1:13" x14ac:dyDescent="0.25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53"/>
      <c r="M530" s="53"/>
    </row>
    <row r="531" spans="1:13" x14ac:dyDescent="0.25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53"/>
      <c r="M531" s="53"/>
    </row>
    <row r="532" spans="1:13" x14ac:dyDescent="0.25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53"/>
      <c r="M532" s="53"/>
    </row>
    <row r="533" spans="1:13" x14ac:dyDescent="0.25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53"/>
      <c r="M533" s="53"/>
    </row>
    <row r="534" spans="1:13" x14ac:dyDescent="0.25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53"/>
      <c r="M534" s="53"/>
    </row>
    <row r="535" spans="1:13" x14ac:dyDescent="0.2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53"/>
      <c r="M535" s="53"/>
    </row>
    <row r="536" spans="1:13" x14ac:dyDescent="0.25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53"/>
      <c r="M536" s="53"/>
    </row>
    <row r="537" spans="1:13" x14ac:dyDescent="0.25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53"/>
      <c r="M537" s="53"/>
    </row>
    <row r="538" spans="1:13" x14ac:dyDescent="0.25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53"/>
      <c r="M538" s="53"/>
    </row>
    <row r="539" spans="1:13" x14ac:dyDescent="0.25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53"/>
      <c r="M539" s="53"/>
    </row>
    <row r="540" spans="1:13" x14ac:dyDescent="0.25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53"/>
      <c r="M540" s="53"/>
    </row>
    <row r="541" spans="1:13" x14ac:dyDescent="0.25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53"/>
      <c r="M541" s="53"/>
    </row>
    <row r="542" spans="1:13" x14ac:dyDescent="0.25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53"/>
      <c r="M542" s="53"/>
    </row>
    <row r="543" spans="1:13" x14ac:dyDescent="0.25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53"/>
      <c r="M543" s="53"/>
    </row>
    <row r="544" spans="1:13" x14ac:dyDescent="0.25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53"/>
      <c r="M544" s="53"/>
    </row>
    <row r="545" spans="1:13" x14ac:dyDescent="0.2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53"/>
      <c r="M545" s="53"/>
    </row>
    <row r="546" spans="1:13" x14ac:dyDescent="0.25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53"/>
      <c r="M546" s="53"/>
    </row>
    <row r="547" spans="1:13" x14ac:dyDescent="0.25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53"/>
      <c r="M547" s="53"/>
    </row>
    <row r="548" spans="1:13" x14ac:dyDescent="0.25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53"/>
      <c r="M548" s="53"/>
    </row>
    <row r="549" spans="1:13" x14ac:dyDescent="0.25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53"/>
      <c r="M549" s="53"/>
    </row>
    <row r="550" spans="1:13" x14ac:dyDescent="0.25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53"/>
      <c r="M550" s="53"/>
    </row>
    <row r="551" spans="1:13" x14ac:dyDescent="0.25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53"/>
      <c r="M551" s="53"/>
    </row>
    <row r="552" spans="1:13" x14ac:dyDescent="0.25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53"/>
      <c r="M552" s="53"/>
    </row>
    <row r="553" spans="1:13" x14ac:dyDescent="0.25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53"/>
      <c r="M553" s="53"/>
    </row>
    <row r="554" spans="1:13" x14ac:dyDescent="0.25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53"/>
      <c r="M554" s="53"/>
    </row>
    <row r="555" spans="1:13" x14ac:dyDescent="0.2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53"/>
      <c r="M555" s="53"/>
    </row>
    <row r="556" spans="1:13" x14ac:dyDescent="0.25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53"/>
      <c r="M556" s="53"/>
    </row>
    <row r="557" spans="1:13" x14ac:dyDescent="0.25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53"/>
      <c r="M557" s="53"/>
    </row>
    <row r="558" spans="1:13" x14ac:dyDescent="0.25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53"/>
      <c r="M558" s="53"/>
    </row>
    <row r="559" spans="1:13" x14ac:dyDescent="0.25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53"/>
      <c r="M559" s="53"/>
    </row>
    <row r="560" spans="1:13" x14ac:dyDescent="0.25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53"/>
      <c r="M560" s="53"/>
    </row>
    <row r="561" spans="1:13" x14ac:dyDescent="0.25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53"/>
      <c r="M561" s="53"/>
    </row>
    <row r="562" spans="1:13" x14ac:dyDescent="0.25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53"/>
      <c r="M562" s="53"/>
    </row>
    <row r="563" spans="1:13" x14ac:dyDescent="0.25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53"/>
      <c r="M563" s="53"/>
    </row>
    <row r="564" spans="1:13" x14ac:dyDescent="0.25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53"/>
      <c r="M564" s="53"/>
    </row>
    <row r="565" spans="1:13" x14ac:dyDescent="0.2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53"/>
      <c r="M565" s="53"/>
    </row>
    <row r="566" spans="1:13" x14ac:dyDescent="0.25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53"/>
      <c r="M566" s="53"/>
    </row>
    <row r="567" spans="1:13" x14ac:dyDescent="0.25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53"/>
      <c r="M567" s="53"/>
    </row>
    <row r="568" spans="1:13" x14ac:dyDescent="0.25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53"/>
      <c r="M568" s="53"/>
    </row>
    <row r="569" spans="1:13" x14ac:dyDescent="0.25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53"/>
      <c r="M569" s="53"/>
    </row>
    <row r="570" spans="1:13" x14ac:dyDescent="0.25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53"/>
      <c r="M570" s="53"/>
    </row>
    <row r="571" spans="1:13" x14ac:dyDescent="0.25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53"/>
      <c r="M571" s="53"/>
    </row>
    <row r="572" spans="1:13" x14ac:dyDescent="0.25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53"/>
      <c r="M572" s="53"/>
    </row>
    <row r="573" spans="1:13" x14ac:dyDescent="0.25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53"/>
      <c r="M573" s="53"/>
    </row>
    <row r="574" spans="1:13" x14ac:dyDescent="0.25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53"/>
      <c r="M574" s="53"/>
    </row>
    <row r="575" spans="1:13" x14ac:dyDescent="0.2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53"/>
      <c r="M575" s="53"/>
    </row>
    <row r="576" spans="1:13" x14ac:dyDescent="0.25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53"/>
      <c r="M576" s="53"/>
    </row>
    <row r="577" spans="1:13" x14ac:dyDescent="0.25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53"/>
      <c r="M577" s="53"/>
    </row>
    <row r="578" spans="1:13" x14ac:dyDescent="0.25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53"/>
      <c r="M578" s="53"/>
    </row>
    <row r="579" spans="1:13" x14ac:dyDescent="0.25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53"/>
      <c r="M579" s="53"/>
    </row>
    <row r="580" spans="1:13" x14ac:dyDescent="0.25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53"/>
      <c r="M580" s="53"/>
    </row>
    <row r="581" spans="1:13" x14ac:dyDescent="0.25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53"/>
      <c r="M581" s="53"/>
    </row>
    <row r="582" spans="1:13" x14ac:dyDescent="0.25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53"/>
      <c r="M582" s="53"/>
    </row>
    <row r="583" spans="1:13" x14ac:dyDescent="0.25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53"/>
      <c r="M583" s="53"/>
    </row>
    <row r="584" spans="1:13" x14ac:dyDescent="0.25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53"/>
      <c r="M584" s="53"/>
    </row>
    <row r="585" spans="1:13" x14ac:dyDescent="0.2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53"/>
      <c r="M585" s="53"/>
    </row>
    <row r="586" spans="1:13" x14ac:dyDescent="0.25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53"/>
      <c r="M586" s="53"/>
    </row>
    <row r="587" spans="1:13" x14ac:dyDescent="0.25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53"/>
      <c r="M587" s="53"/>
    </row>
    <row r="588" spans="1:13" x14ac:dyDescent="0.25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53"/>
      <c r="M588" s="53"/>
    </row>
    <row r="589" spans="1:13" x14ac:dyDescent="0.25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53"/>
      <c r="M589" s="53"/>
    </row>
    <row r="590" spans="1:13" x14ac:dyDescent="0.25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53"/>
      <c r="M590" s="53"/>
    </row>
    <row r="591" spans="1:13" x14ac:dyDescent="0.25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53"/>
      <c r="M591" s="53"/>
    </row>
    <row r="592" spans="1:13" x14ac:dyDescent="0.25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53"/>
      <c r="M592" s="53"/>
    </row>
    <row r="593" spans="1:13" x14ac:dyDescent="0.25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53"/>
      <c r="M593" s="53"/>
    </row>
    <row r="594" spans="1:13" x14ac:dyDescent="0.25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53"/>
      <c r="M594" s="53"/>
    </row>
    <row r="595" spans="1:13" x14ac:dyDescent="0.2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53"/>
      <c r="M595" s="53"/>
    </row>
    <row r="596" spans="1:13" x14ac:dyDescent="0.25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53"/>
      <c r="M596" s="53"/>
    </row>
    <row r="597" spans="1:13" x14ac:dyDescent="0.25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53"/>
      <c r="M597" s="53"/>
    </row>
    <row r="598" spans="1:13" x14ac:dyDescent="0.25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53"/>
      <c r="M598" s="53"/>
    </row>
    <row r="599" spans="1:13" x14ac:dyDescent="0.25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53"/>
      <c r="M599" s="53"/>
    </row>
    <row r="600" spans="1:13" x14ac:dyDescent="0.25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53"/>
      <c r="M600" s="53"/>
    </row>
    <row r="601" spans="1:13" x14ac:dyDescent="0.25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53"/>
      <c r="M601" s="53"/>
    </row>
    <row r="602" spans="1:13" x14ac:dyDescent="0.25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53"/>
      <c r="M602" s="53"/>
    </row>
    <row r="603" spans="1:13" x14ac:dyDescent="0.25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53"/>
      <c r="M603" s="53"/>
    </row>
    <row r="604" spans="1:13" x14ac:dyDescent="0.25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53"/>
      <c r="M604" s="53"/>
    </row>
    <row r="605" spans="1:13" x14ac:dyDescent="0.2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53"/>
      <c r="M605" s="53"/>
    </row>
    <row r="606" spans="1:13" x14ac:dyDescent="0.25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53"/>
      <c r="M606" s="53"/>
    </row>
    <row r="607" spans="1:13" x14ac:dyDescent="0.25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53"/>
      <c r="M607" s="53"/>
    </row>
    <row r="608" spans="1:13" x14ac:dyDescent="0.25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53"/>
      <c r="M608" s="53"/>
    </row>
    <row r="609" spans="1:13" x14ac:dyDescent="0.25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53"/>
      <c r="M609" s="53"/>
    </row>
    <row r="610" spans="1:13" x14ac:dyDescent="0.25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53"/>
      <c r="M610" s="53"/>
    </row>
    <row r="611" spans="1:13" x14ac:dyDescent="0.25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53"/>
      <c r="M611" s="53"/>
    </row>
    <row r="612" spans="1:13" x14ac:dyDescent="0.25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53"/>
      <c r="M612" s="53"/>
    </row>
    <row r="613" spans="1:13" x14ac:dyDescent="0.25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53"/>
      <c r="M613" s="53"/>
    </row>
    <row r="614" spans="1:13" x14ac:dyDescent="0.25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53"/>
      <c r="M614" s="53"/>
    </row>
    <row r="615" spans="1:13" x14ac:dyDescent="0.2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53"/>
      <c r="M615" s="53"/>
    </row>
    <row r="616" spans="1:13" x14ac:dyDescent="0.25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53"/>
      <c r="M616" s="53"/>
    </row>
    <row r="617" spans="1:13" x14ac:dyDescent="0.25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53"/>
      <c r="M617" s="53"/>
    </row>
    <row r="618" spans="1:13" x14ac:dyDescent="0.25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53"/>
      <c r="M618" s="53"/>
    </row>
    <row r="619" spans="1:13" x14ac:dyDescent="0.25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53"/>
      <c r="M619" s="53"/>
    </row>
    <row r="620" spans="1:13" x14ac:dyDescent="0.25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53"/>
      <c r="M620" s="53"/>
    </row>
    <row r="621" spans="1:13" x14ac:dyDescent="0.25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53"/>
      <c r="M621" s="53"/>
    </row>
    <row r="622" spans="1:13" x14ac:dyDescent="0.25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53"/>
      <c r="M622" s="53"/>
    </row>
    <row r="623" spans="1:13" x14ac:dyDescent="0.25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53"/>
      <c r="M623" s="53"/>
    </row>
    <row r="624" spans="1:13" x14ac:dyDescent="0.25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53"/>
      <c r="M624" s="53"/>
    </row>
    <row r="625" spans="1:13" x14ac:dyDescent="0.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53"/>
      <c r="M625" s="53"/>
    </row>
    <row r="626" spans="1:13" x14ac:dyDescent="0.25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53"/>
      <c r="M626" s="53"/>
    </row>
    <row r="627" spans="1:13" x14ac:dyDescent="0.25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53"/>
      <c r="M627" s="53"/>
    </row>
    <row r="628" spans="1:13" x14ac:dyDescent="0.25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53"/>
      <c r="M628" s="53"/>
    </row>
    <row r="629" spans="1:13" x14ac:dyDescent="0.25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53"/>
      <c r="M629" s="53"/>
    </row>
    <row r="630" spans="1:13" x14ac:dyDescent="0.25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53"/>
      <c r="M630" s="53"/>
    </row>
    <row r="631" spans="1:13" x14ac:dyDescent="0.25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53"/>
      <c r="M631" s="53"/>
    </row>
    <row r="632" spans="1:13" x14ac:dyDescent="0.25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53"/>
      <c r="M632" s="53"/>
    </row>
    <row r="633" spans="1:13" x14ac:dyDescent="0.25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53"/>
      <c r="M633" s="53"/>
    </row>
    <row r="634" spans="1:13" x14ac:dyDescent="0.25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53"/>
      <c r="M634" s="53"/>
    </row>
    <row r="635" spans="1:13" x14ac:dyDescent="0.2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53"/>
      <c r="M635" s="53"/>
    </row>
    <row r="636" spans="1:13" x14ac:dyDescent="0.25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53"/>
      <c r="M636" s="53"/>
    </row>
    <row r="637" spans="1:13" x14ac:dyDescent="0.25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53"/>
      <c r="M637" s="53"/>
    </row>
    <row r="638" spans="1:13" x14ac:dyDescent="0.25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53"/>
      <c r="M638" s="53"/>
    </row>
    <row r="639" spans="1:13" x14ac:dyDescent="0.25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53"/>
      <c r="M639" s="53"/>
    </row>
    <row r="640" spans="1:13" x14ac:dyDescent="0.25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53"/>
      <c r="M640" s="53"/>
    </row>
    <row r="641" spans="1:13" x14ac:dyDescent="0.25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53"/>
      <c r="M641" s="53"/>
    </row>
    <row r="642" spans="1:13" x14ac:dyDescent="0.25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53"/>
      <c r="M642" s="53"/>
    </row>
    <row r="643" spans="1:13" x14ac:dyDescent="0.25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53"/>
      <c r="M643" s="53"/>
    </row>
    <row r="644" spans="1:13" x14ac:dyDescent="0.25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53"/>
      <c r="M644" s="53"/>
    </row>
    <row r="645" spans="1:13" x14ac:dyDescent="0.2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53"/>
      <c r="M645" s="53"/>
    </row>
    <row r="646" spans="1:13" x14ac:dyDescent="0.25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53"/>
      <c r="M646" s="53"/>
    </row>
    <row r="647" spans="1:13" x14ac:dyDescent="0.25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53"/>
      <c r="M647" s="53"/>
    </row>
    <row r="648" spans="1:13" x14ac:dyDescent="0.25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53"/>
      <c r="M648" s="53"/>
    </row>
    <row r="649" spans="1:13" x14ac:dyDescent="0.25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53"/>
      <c r="M649" s="53"/>
    </row>
    <row r="650" spans="1:13" x14ac:dyDescent="0.25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53"/>
      <c r="M650" s="53"/>
    </row>
    <row r="651" spans="1:13" x14ac:dyDescent="0.25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53"/>
      <c r="M651" s="53"/>
    </row>
    <row r="652" spans="1:13" x14ac:dyDescent="0.25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53"/>
      <c r="M652" s="53"/>
    </row>
    <row r="653" spans="1:13" x14ac:dyDescent="0.25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53"/>
      <c r="M653" s="53"/>
    </row>
    <row r="654" spans="1:13" x14ac:dyDescent="0.25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53"/>
      <c r="M654" s="53"/>
    </row>
    <row r="655" spans="1:13" x14ac:dyDescent="0.2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53"/>
      <c r="M655" s="53"/>
    </row>
    <row r="656" spans="1:13" x14ac:dyDescent="0.25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53"/>
      <c r="M656" s="53"/>
    </row>
    <row r="657" spans="1:13" x14ac:dyDescent="0.25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53"/>
      <c r="M657" s="53"/>
    </row>
    <row r="658" spans="1:13" x14ac:dyDescent="0.25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53"/>
      <c r="M658" s="53"/>
    </row>
    <row r="659" spans="1:13" x14ac:dyDescent="0.25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53"/>
      <c r="M659" s="53"/>
    </row>
    <row r="660" spans="1:13" x14ac:dyDescent="0.25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53"/>
      <c r="M660" s="53"/>
    </row>
    <row r="661" spans="1:13" x14ac:dyDescent="0.25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53"/>
      <c r="M661" s="53"/>
    </row>
    <row r="662" spans="1:13" x14ac:dyDescent="0.25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53"/>
      <c r="M662" s="53"/>
    </row>
    <row r="663" spans="1:13" x14ac:dyDescent="0.25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53"/>
      <c r="M663" s="53"/>
    </row>
    <row r="664" spans="1:13" x14ac:dyDescent="0.25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53"/>
      <c r="M664" s="53"/>
    </row>
    <row r="665" spans="1:13" x14ac:dyDescent="0.2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53"/>
      <c r="M665" s="53"/>
    </row>
    <row r="666" spans="1:13" x14ac:dyDescent="0.25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53"/>
      <c r="M666" s="53"/>
    </row>
    <row r="667" spans="1:13" x14ac:dyDescent="0.25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53"/>
      <c r="M667" s="53"/>
    </row>
    <row r="668" spans="1:13" x14ac:dyDescent="0.25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53"/>
      <c r="M668" s="53"/>
    </row>
    <row r="669" spans="1:13" x14ac:dyDescent="0.25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53"/>
      <c r="M669" s="53"/>
    </row>
    <row r="670" spans="1:13" x14ac:dyDescent="0.25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53"/>
      <c r="M670" s="53"/>
    </row>
    <row r="671" spans="1:13" x14ac:dyDescent="0.25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53"/>
      <c r="M671" s="53"/>
    </row>
    <row r="672" spans="1:13" x14ac:dyDescent="0.25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53"/>
      <c r="M672" s="53"/>
    </row>
    <row r="673" spans="1:13" x14ac:dyDescent="0.25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53"/>
      <c r="M673" s="53"/>
    </row>
    <row r="674" spans="1:13" x14ac:dyDescent="0.25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53"/>
      <c r="M674" s="53"/>
    </row>
    <row r="675" spans="1:13" x14ac:dyDescent="0.2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53"/>
      <c r="M675" s="53"/>
    </row>
    <row r="676" spans="1:13" x14ac:dyDescent="0.25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53"/>
      <c r="M676" s="53"/>
    </row>
    <row r="677" spans="1:13" x14ac:dyDescent="0.25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53"/>
      <c r="M677" s="53"/>
    </row>
    <row r="678" spans="1:13" x14ac:dyDescent="0.25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53"/>
      <c r="M678" s="53"/>
    </row>
    <row r="679" spans="1:13" x14ac:dyDescent="0.25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53"/>
      <c r="M679" s="53"/>
    </row>
    <row r="680" spans="1:13" x14ac:dyDescent="0.25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53"/>
      <c r="M680" s="53"/>
    </row>
    <row r="681" spans="1:13" x14ac:dyDescent="0.25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53"/>
      <c r="M681" s="53"/>
    </row>
    <row r="682" spans="1:13" x14ac:dyDescent="0.25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53"/>
      <c r="M682" s="53"/>
    </row>
    <row r="683" spans="1:13" x14ac:dyDescent="0.25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53"/>
      <c r="M683" s="53"/>
    </row>
    <row r="684" spans="1:13" x14ac:dyDescent="0.25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53"/>
      <c r="M684" s="53"/>
    </row>
    <row r="685" spans="1:13" x14ac:dyDescent="0.2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53"/>
      <c r="M685" s="53"/>
    </row>
    <row r="686" spans="1:13" x14ac:dyDescent="0.25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53"/>
      <c r="M686" s="53"/>
    </row>
    <row r="687" spans="1:13" x14ac:dyDescent="0.25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53"/>
      <c r="M687" s="53"/>
    </row>
    <row r="688" spans="1:13" x14ac:dyDescent="0.25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53"/>
      <c r="M688" s="53"/>
    </row>
    <row r="689" spans="1:13" x14ac:dyDescent="0.25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53"/>
      <c r="M689" s="53"/>
    </row>
    <row r="690" spans="1:13" x14ac:dyDescent="0.25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53"/>
      <c r="M690" s="53"/>
    </row>
    <row r="691" spans="1:13" x14ac:dyDescent="0.25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53"/>
      <c r="M691" s="53"/>
    </row>
    <row r="692" spans="1:13" x14ac:dyDescent="0.25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53"/>
      <c r="M692" s="53"/>
    </row>
    <row r="693" spans="1:13" x14ac:dyDescent="0.25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53"/>
      <c r="M693" s="53"/>
    </row>
    <row r="694" spans="1:13" x14ac:dyDescent="0.25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53"/>
      <c r="M694" s="53"/>
    </row>
    <row r="695" spans="1:13" x14ac:dyDescent="0.2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53"/>
      <c r="M695" s="53"/>
    </row>
    <row r="696" spans="1:13" x14ac:dyDescent="0.25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53"/>
      <c r="M696" s="53"/>
    </row>
    <row r="697" spans="1:13" x14ac:dyDescent="0.25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53"/>
      <c r="M697" s="53"/>
    </row>
    <row r="698" spans="1:13" x14ac:dyDescent="0.25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53"/>
      <c r="M698" s="53"/>
    </row>
    <row r="699" spans="1:13" x14ac:dyDescent="0.25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53"/>
      <c r="M699" s="53"/>
    </row>
    <row r="700" spans="1:13" x14ac:dyDescent="0.25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53"/>
      <c r="M700" s="53"/>
    </row>
    <row r="701" spans="1:13" x14ac:dyDescent="0.25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53"/>
      <c r="M701" s="53"/>
    </row>
    <row r="702" spans="1:13" x14ac:dyDescent="0.25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53"/>
      <c r="M702" s="53"/>
    </row>
    <row r="703" spans="1:13" x14ac:dyDescent="0.25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53"/>
      <c r="M703" s="53"/>
    </row>
    <row r="704" spans="1:13" x14ac:dyDescent="0.25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53"/>
      <c r="M704" s="53"/>
    </row>
    <row r="705" spans="1:13" x14ac:dyDescent="0.2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53"/>
      <c r="M705" s="53"/>
    </row>
    <row r="706" spans="1:13" x14ac:dyDescent="0.25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53"/>
      <c r="M706" s="53"/>
    </row>
    <row r="707" spans="1:13" x14ac:dyDescent="0.25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53"/>
      <c r="M707" s="53"/>
    </row>
    <row r="708" spans="1:13" x14ac:dyDescent="0.25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53"/>
      <c r="M708" s="53"/>
    </row>
    <row r="709" spans="1:13" x14ac:dyDescent="0.25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53"/>
      <c r="M709" s="53"/>
    </row>
    <row r="710" spans="1:13" x14ac:dyDescent="0.25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53"/>
      <c r="M710" s="53"/>
    </row>
    <row r="711" spans="1:13" x14ac:dyDescent="0.25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53"/>
      <c r="M711" s="53"/>
    </row>
    <row r="712" spans="1:13" x14ac:dyDescent="0.25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53"/>
      <c r="M712" s="53"/>
    </row>
    <row r="713" spans="1:13" x14ac:dyDescent="0.25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53"/>
      <c r="M713" s="53"/>
    </row>
    <row r="714" spans="1:13" x14ac:dyDescent="0.25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53"/>
      <c r="M714" s="53"/>
    </row>
    <row r="715" spans="1:13" x14ac:dyDescent="0.2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53"/>
      <c r="M715" s="53"/>
    </row>
    <row r="716" spans="1:13" x14ac:dyDescent="0.25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53"/>
      <c r="M716" s="53"/>
    </row>
    <row r="717" spans="1:13" x14ac:dyDescent="0.25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53"/>
      <c r="M717" s="53"/>
    </row>
    <row r="718" spans="1:13" x14ac:dyDescent="0.25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53"/>
      <c r="M718" s="53"/>
    </row>
    <row r="719" spans="1:13" x14ac:dyDescent="0.25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53"/>
      <c r="M719" s="53"/>
    </row>
    <row r="720" spans="1:13" x14ac:dyDescent="0.25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53"/>
      <c r="M720" s="53"/>
    </row>
    <row r="721" spans="1:13" x14ac:dyDescent="0.25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53"/>
      <c r="M721" s="53"/>
    </row>
    <row r="722" spans="1:13" x14ac:dyDescent="0.25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53"/>
      <c r="M722" s="53"/>
    </row>
    <row r="723" spans="1:13" x14ac:dyDescent="0.25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53"/>
      <c r="M723" s="53"/>
    </row>
    <row r="724" spans="1:13" x14ac:dyDescent="0.25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53"/>
      <c r="M724" s="53"/>
    </row>
    <row r="725" spans="1:13" x14ac:dyDescent="0.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53"/>
      <c r="M725" s="53"/>
    </row>
    <row r="726" spans="1:13" x14ac:dyDescent="0.25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53"/>
      <c r="M726" s="53"/>
    </row>
    <row r="727" spans="1:13" x14ac:dyDescent="0.25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53"/>
      <c r="M727" s="53"/>
    </row>
    <row r="728" spans="1:13" x14ac:dyDescent="0.25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53"/>
      <c r="M728" s="53"/>
    </row>
    <row r="729" spans="1:13" x14ac:dyDescent="0.25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53"/>
      <c r="M729" s="53"/>
    </row>
    <row r="730" spans="1:13" x14ac:dyDescent="0.25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53"/>
      <c r="M730" s="53"/>
    </row>
    <row r="731" spans="1:13" x14ac:dyDescent="0.25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53"/>
      <c r="M731" s="53"/>
    </row>
    <row r="732" spans="1:13" x14ac:dyDescent="0.25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53"/>
      <c r="M732" s="53"/>
    </row>
    <row r="733" spans="1:13" x14ac:dyDescent="0.25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53"/>
      <c r="M733" s="53"/>
    </row>
    <row r="734" spans="1:13" x14ac:dyDescent="0.25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53"/>
      <c r="M734" s="53"/>
    </row>
    <row r="735" spans="1:13" x14ac:dyDescent="0.2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53"/>
      <c r="M735" s="53"/>
    </row>
    <row r="736" spans="1:13" x14ac:dyDescent="0.25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53"/>
      <c r="M736" s="53"/>
    </row>
    <row r="737" spans="1:13" x14ac:dyDescent="0.25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53"/>
      <c r="M737" s="53"/>
    </row>
    <row r="738" spans="1:13" x14ac:dyDescent="0.25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53"/>
      <c r="M738" s="53"/>
    </row>
    <row r="739" spans="1:13" x14ac:dyDescent="0.25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53"/>
      <c r="M739" s="53"/>
    </row>
    <row r="740" spans="1:13" x14ac:dyDescent="0.25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53"/>
      <c r="M740" s="53"/>
    </row>
    <row r="741" spans="1:13" x14ac:dyDescent="0.25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53"/>
      <c r="M741" s="53"/>
    </row>
    <row r="742" spans="1:13" x14ac:dyDescent="0.25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53"/>
      <c r="M742" s="53"/>
    </row>
    <row r="743" spans="1:13" x14ac:dyDescent="0.25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53"/>
      <c r="M743" s="53"/>
    </row>
    <row r="744" spans="1:13" x14ac:dyDescent="0.25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53"/>
      <c r="M744" s="53"/>
    </row>
    <row r="745" spans="1:13" x14ac:dyDescent="0.2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53"/>
      <c r="M745" s="53"/>
    </row>
    <row r="746" spans="1:13" x14ac:dyDescent="0.25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53"/>
      <c r="M746" s="53"/>
    </row>
    <row r="747" spans="1:13" x14ac:dyDescent="0.25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53"/>
      <c r="M747" s="53"/>
    </row>
    <row r="748" spans="1:13" x14ac:dyDescent="0.25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53"/>
      <c r="M748" s="53"/>
    </row>
    <row r="749" spans="1:13" x14ac:dyDescent="0.25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53"/>
      <c r="M749" s="53"/>
    </row>
    <row r="750" spans="1:13" x14ac:dyDescent="0.25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53"/>
      <c r="M750" s="53"/>
    </row>
    <row r="751" spans="1:13" x14ac:dyDescent="0.25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53"/>
      <c r="M751" s="53"/>
    </row>
    <row r="752" spans="1:13" x14ac:dyDescent="0.25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53"/>
      <c r="M752" s="53"/>
    </row>
    <row r="753" spans="1:13" x14ac:dyDescent="0.25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53"/>
      <c r="M753" s="53"/>
    </row>
    <row r="754" spans="1:13" x14ac:dyDescent="0.25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53"/>
      <c r="M754" s="53"/>
    </row>
    <row r="755" spans="1:13" x14ac:dyDescent="0.2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53"/>
      <c r="M755" s="53"/>
    </row>
    <row r="756" spans="1:13" x14ac:dyDescent="0.25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53"/>
      <c r="M756" s="53"/>
    </row>
    <row r="757" spans="1:13" x14ac:dyDescent="0.25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53"/>
      <c r="M757" s="53"/>
    </row>
    <row r="758" spans="1:13" x14ac:dyDescent="0.25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53"/>
      <c r="M758" s="53"/>
    </row>
    <row r="759" spans="1:13" x14ac:dyDescent="0.25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53"/>
      <c r="M759" s="53"/>
    </row>
    <row r="760" spans="1:13" x14ac:dyDescent="0.25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53"/>
      <c r="M760" s="53"/>
    </row>
    <row r="761" spans="1:13" x14ac:dyDescent="0.25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53"/>
      <c r="M761" s="53"/>
    </row>
    <row r="762" spans="1:13" x14ac:dyDescent="0.25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53"/>
      <c r="M762" s="53"/>
    </row>
    <row r="763" spans="1:13" x14ac:dyDescent="0.25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53"/>
      <c r="M763" s="53"/>
    </row>
    <row r="764" spans="1:13" x14ac:dyDescent="0.25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53"/>
      <c r="M764" s="53"/>
    </row>
    <row r="765" spans="1:13" x14ac:dyDescent="0.2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53"/>
      <c r="M765" s="53"/>
    </row>
    <row r="766" spans="1:13" x14ac:dyDescent="0.25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53"/>
      <c r="M766" s="53"/>
    </row>
    <row r="767" spans="1:13" x14ac:dyDescent="0.25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53"/>
      <c r="M767" s="53"/>
    </row>
    <row r="768" spans="1:13" x14ac:dyDescent="0.25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53"/>
      <c r="M768" s="53"/>
    </row>
    <row r="769" spans="1:13" x14ac:dyDescent="0.25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53"/>
      <c r="M769" s="53"/>
    </row>
    <row r="770" spans="1:13" x14ac:dyDescent="0.25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53"/>
      <c r="M770" s="53"/>
    </row>
    <row r="771" spans="1:13" x14ac:dyDescent="0.25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53"/>
      <c r="M771" s="53"/>
    </row>
    <row r="772" spans="1:13" x14ac:dyDescent="0.25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53"/>
      <c r="M772" s="53"/>
    </row>
    <row r="773" spans="1:13" x14ac:dyDescent="0.25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53"/>
      <c r="M773" s="53"/>
    </row>
    <row r="774" spans="1:13" x14ac:dyDescent="0.25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53"/>
      <c r="M774" s="53"/>
    </row>
    <row r="775" spans="1:13" x14ac:dyDescent="0.2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53"/>
      <c r="M775" s="53"/>
    </row>
    <row r="776" spans="1:13" x14ac:dyDescent="0.25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53"/>
      <c r="M776" s="53"/>
    </row>
    <row r="777" spans="1:13" x14ac:dyDescent="0.25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53"/>
      <c r="M777" s="53"/>
    </row>
    <row r="778" spans="1:13" x14ac:dyDescent="0.25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53"/>
      <c r="M778" s="53"/>
    </row>
    <row r="779" spans="1:13" x14ac:dyDescent="0.25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53"/>
      <c r="M779" s="53"/>
    </row>
    <row r="780" spans="1:13" x14ac:dyDescent="0.25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53"/>
      <c r="M780" s="53"/>
    </row>
    <row r="781" spans="1:13" x14ac:dyDescent="0.25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53"/>
      <c r="M781" s="53"/>
    </row>
    <row r="782" spans="1:13" x14ac:dyDescent="0.25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53"/>
      <c r="M782" s="53"/>
    </row>
    <row r="783" spans="1:13" x14ac:dyDescent="0.25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53"/>
      <c r="M783" s="53"/>
    </row>
    <row r="784" spans="1:13" x14ac:dyDescent="0.25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53"/>
      <c r="M784" s="53"/>
    </row>
    <row r="785" spans="1:13" x14ac:dyDescent="0.2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53"/>
      <c r="M785" s="53"/>
    </row>
    <row r="786" spans="1:13" x14ac:dyDescent="0.25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53"/>
      <c r="M786" s="53"/>
    </row>
    <row r="787" spans="1:13" x14ac:dyDescent="0.25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53"/>
      <c r="M787" s="53"/>
    </row>
    <row r="788" spans="1:13" x14ac:dyDescent="0.25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53"/>
      <c r="M788" s="53"/>
    </row>
    <row r="789" spans="1:13" x14ac:dyDescent="0.25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53"/>
      <c r="M789" s="53"/>
    </row>
    <row r="790" spans="1:13" x14ac:dyDescent="0.25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53"/>
      <c r="M790" s="53"/>
    </row>
    <row r="791" spans="1:13" x14ac:dyDescent="0.25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53"/>
      <c r="M791" s="53"/>
    </row>
    <row r="792" spans="1:13" x14ac:dyDescent="0.25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53"/>
      <c r="M792" s="53"/>
    </row>
    <row r="793" spans="1:13" x14ac:dyDescent="0.25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53"/>
      <c r="M793" s="53"/>
    </row>
    <row r="794" spans="1:13" x14ac:dyDescent="0.25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53"/>
      <c r="M794" s="53"/>
    </row>
    <row r="795" spans="1:13" x14ac:dyDescent="0.2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53"/>
      <c r="M795" s="53"/>
    </row>
    <row r="796" spans="1:13" x14ac:dyDescent="0.25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53"/>
      <c r="M796" s="53"/>
    </row>
    <row r="797" spans="1:13" x14ac:dyDescent="0.25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53"/>
      <c r="M797" s="53"/>
    </row>
    <row r="798" spans="1:13" x14ac:dyDescent="0.25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53"/>
      <c r="M798" s="53"/>
    </row>
    <row r="799" spans="1:13" x14ac:dyDescent="0.25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53"/>
      <c r="M799" s="53"/>
    </row>
    <row r="800" spans="1:13" x14ac:dyDescent="0.25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53"/>
      <c r="M800" s="53"/>
    </row>
    <row r="801" spans="1:13" x14ac:dyDescent="0.25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53"/>
      <c r="M801" s="53"/>
    </row>
    <row r="802" spans="1:13" x14ac:dyDescent="0.25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53"/>
      <c r="M802" s="53"/>
    </row>
    <row r="803" spans="1:13" x14ac:dyDescent="0.25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53"/>
      <c r="M803" s="53"/>
    </row>
    <row r="804" spans="1:13" x14ac:dyDescent="0.25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53"/>
      <c r="M804" s="53"/>
    </row>
    <row r="805" spans="1:13" x14ac:dyDescent="0.2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53"/>
      <c r="M805" s="53"/>
    </row>
    <row r="806" spans="1:13" x14ac:dyDescent="0.25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53"/>
      <c r="M806" s="53"/>
    </row>
    <row r="807" spans="1:13" x14ac:dyDescent="0.25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53"/>
      <c r="M807" s="53"/>
    </row>
    <row r="808" spans="1:13" x14ac:dyDescent="0.25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53"/>
      <c r="M808" s="53"/>
    </row>
    <row r="809" spans="1:13" x14ac:dyDescent="0.25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53"/>
      <c r="M809" s="53"/>
    </row>
    <row r="810" spans="1:13" x14ac:dyDescent="0.25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53"/>
      <c r="M810" s="53"/>
    </row>
    <row r="811" spans="1:13" x14ac:dyDescent="0.25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53"/>
      <c r="M811" s="53"/>
    </row>
    <row r="812" spans="1:13" x14ac:dyDescent="0.25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53"/>
      <c r="M812" s="53"/>
    </row>
    <row r="813" spans="1:13" x14ac:dyDescent="0.25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53"/>
      <c r="M813" s="53"/>
    </row>
    <row r="814" spans="1:13" x14ac:dyDescent="0.25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53"/>
      <c r="M814" s="53"/>
    </row>
    <row r="815" spans="1:13" x14ac:dyDescent="0.2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53"/>
      <c r="M815" s="53"/>
    </row>
    <row r="816" spans="1:13" x14ac:dyDescent="0.25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53"/>
      <c r="M816" s="53"/>
    </row>
    <row r="817" spans="1:13" x14ac:dyDescent="0.25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53"/>
      <c r="M817" s="53"/>
    </row>
    <row r="818" spans="1:13" x14ac:dyDescent="0.25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53"/>
      <c r="M818" s="53"/>
    </row>
    <row r="819" spans="1:13" x14ac:dyDescent="0.25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53"/>
      <c r="M819" s="53"/>
    </row>
    <row r="820" spans="1:13" x14ac:dyDescent="0.25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53"/>
      <c r="M820" s="53"/>
    </row>
    <row r="821" spans="1:13" x14ac:dyDescent="0.25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53"/>
      <c r="M821" s="53"/>
    </row>
    <row r="822" spans="1:13" x14ac:dyDescent="0.25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53"/>
      <c r="M822" s="53"/>
    </row>
    <row r="823" spans="1:13" x14ac:dyDescent="0.25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53"/>
      <c r="M823" s="53"/>
    </row>
    <row r="824" spans="1:13" x14ac:dyDescent="0.25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53"/>
      <c r="M824" s="53"/>
    </row>
    <row r="825" spans="1:13" x14ac:dyDescent="0.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53"/>
      <c r="M825" s="53"/>
    </row>
    <row r="826" spans="1:13" x14ac:dyDescent="0.25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53"/>
      <c r="M826" s="53"/>
    </row>
    <row r="827" spans="1:13" x14ac:dyDescent="0.25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53"/>
      <c r="M827" s="53"/>
    </row>
    <row r="828" spans="1:13" x14ac:dyDescent="0.25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53"/>
      <c r="M828" s="53"/>
    </row>
    <row r="829" spans="1:13" x14ac:dyDescent="0.25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53"/>
      <c r="M829" s="53"/>
    </row>
    <row r="830" spans="1:13" x14ac:dyDescent="0.25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53"/>
      <c r="M830" s="53"/>
    </row>
    <row r="831" spans="1:13" x14ac:dyDescent="0.25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53"/>
      <c r="M831" s="53"/>
    </row>
    <row r="832" spans="1:13" x14ac:dyDescent="0.25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53"/>
      <c r="M832" s="53"/>
    </row>
    <row r="833" spans="1:13" x14ac:dyDescent="0.25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53"/>
      <c r="M833" s="53"/>
    </row>
    <row r="834" spans="1:13" x14ac:dyDescent="0.25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53"/>
      <c r="M834" s="53"/>
    </row>
    <row r="835" spans="1:13" x14ac:dyDescent="0.2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53"/>
      <c r="M835" s="53"/>
    </row>
    <row r="836" spans="1:13" x14ac:dyDescent="0.25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53"/>
      <c r="M836" s="53"/>
    </row>
    <row r="837" spans="1:13" x14ac:dyDescent="0.25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53"/>
      <c r="M837" s="53"/>
    </row>
    <row r="838" spans="1:13" x14ac:dyDescent="0.25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53"/>
      <c r="M838" s="53"/>
    </row>
    <row r="839" spans="1:13" x14ac:dyDescent="0.25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53"/>
      <c r="M839" s="53"/>
    </row>
    <row r="840" spans="1:13" x14ac:dyDescent="0.25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53"/>
      <c r="M840" s="53"/>
    </row>
    <row r="841" spans="1:13" x14ac:dyDescent="0.25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53"/>
      <c r="M841" s="53"/>
    </row>
    <row r="842" spans="1:13" x14ac:dyDescent="0.25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53"/>
      <c r="M842" s="53"/>
    </row>
    <row r="843" spans="1:13" x14ac:dyDescent="0.25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53"/>
      <c r="M843" s="53"/>
    </row>
    <row r="844" spans="1:13" x14ac:dyDescent="0.25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53"/>
      <c r="M844" s="53"/>
    </row>
    <row r="845" spans="1:13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53"/>
      <c r="M845" s="53"/>
    </row>
    <row r="846" spans="1:13" x14ac:dyDescent="0.25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53"/>
      <c r="M846" s="53"/>
    </row>
    <row r="847" spans="1:13" x14ac:dyDescent="0.25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53"/>
      <c r="M847" s="53"/>
    </row>
    <row r="848" spans="1:13" x14ac:dyDescent="0.25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53"/>
      <c r="M848" s="53"/>
    </row>
    <row r="849" spans="1:13" x14ac:dyDescent="0.25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53"/>
      <c r="M849" s="53"/>
    </row>
    <row r="850" spans="1:13" x14ac:dyDescent="0.25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53"/>
      <c r="M850" s="53"/>
    </row>
    <row r="851" spans="1:13" x14ac:dyDescent="0.25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53"/>
      <c r="M851" s="53"/>
    </row>
    <row r="852" spans="1:13" x14ac:dyDescent="0.25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53"/>
      <c r="M852" s="53"/>
    </row>
    <row r="853" spans="1:13" x14ac:dyDescent="0.25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53"/>
      <c r="M853" s="53"/>
    </row>
    <row r="854" spans="1:13" x14ac:dyDescent="0.25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53"/>
      <c r="M854" s="53"/>
    </row>
    <row r="855" spans="1:13" x14ac:dyDescent="0.2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53"/>
      <c r="M855" s="53"/>
    </row>
    <row r="856" spans="1:13" x14ac:dyDescent="0.25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53"/>
      <c r="M856" s="53"/>
    </row>
    <row r="857" spans="1:13" x14ac:dyDescent="0.25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53"/>
      <c r="M857" s="53"/>
    </row>
    <row r="858" spans="1:13" x14ac:dyDescent="0.25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53"/>
      <c r="M858" s="53"/>
    </row>
    <row r="859" spans="1:13" x14ac:dyDescent="0.25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53"/>
      <c r="M859" s="53"/>
    </row>
    <row r="860" spans="1:13" x14ac:dyDescent="0.25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53"/>
      <c r="M860" s="53"/>
    </row>
    <row r="861" spans="1:13" x14ac:dyDescent="0.25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53"/>
      <c r="M861" s="53"/>
    </row>
    <row r="862" spans="1:13" x14ac:dyDescent="0.25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53"/>
      <c r="M862" s="53"/>
    </row>
    <row r="863" spans="1:13" x14ac:dyDescent="0.25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53"/>
      <c r="M863" s="53"/>
    </row>
    <row r="864" spans="1:13" x14ac:dyDescent="0.25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53"/>
      <c r="M864" s="53"/>
    </row>
    <row r="865" spans="1:13" x14ac:dyDescent="0.2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53"/>
      <c r="M865" s="53"/>
    </row>
    <row r="866" spans="1:13" x14ac:dyDescent="0.25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53"/>
      <c r="M866" s="53"/>
    </row>
    <row r="867" spans="1:13" x14ac:dyDescent="0.25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53"/>
      <c r="M867" s="53"/>
    </row>
    <row r="868" spans="1:13" x14ac:dyDescent="0.25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53"/>
      <c r="M868" s="53"/>
    </row>
    <row r="869" spans="1:13" x14ac:dyDescent="0.25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53"/>
      <c r="M869" s="53"/>
    </row>
    <row r="870" spans="1:13" x14ac:dyDescent="0.25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53"/>
      <c r="M870" s="53"/>
    </row>
    <row r="871" spans="1:13" x14ac:dyDescent="0.25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53"/>
      <c r="M871" s="53"/>
    </row>
    <row r="872" spans="1:13" x14ac:dyDescent="0.25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53"/>
      <c r="M872" s="53"/>
    </row>
    <row r="873" spans="1:13" x14ac:dyDescent="0.25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53"/>
      <c r="M873" s="53"/>
    </row>
    <row r="874" spans="1:13" x14ac:dyDescent="0.25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53"/>
      <c r="M874" s="53"/>
    </row>
    <row r="875" spans="1:13" x14ac:dyDescent="0.2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53"/>
      <c r="M875" s="53"/>
    </row>
    <row r="876" spans="1:13" x14ac:dyDescent="0.25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53"/>
      <c r="M876" s="53"/>
    </row>
    <row r="877" spans="1:13" x14ac:dyDescent="0.25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53"/>
      <c r="M877" s="53"/>
    </row>
    <row r="878" spans="1:13" x14ac:dyDescent="0.25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53"/>
      <c r="M878" s="53"/>
    </row>
    <row r="879" spans="1:13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53"/>
      <c r="M879" s="53"/>
    </row>
    <row r="880" spans="1:13" x14ac:dyDescent="0.25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53"/>
      <c r="M880" s="53"/>
    </row>
    <row r="881" spans="1:13" x14ac:dyDescent="0.25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53"/>
      <c r="M881" s="53"/>
    </row>
    <row r="882" spans="1:13" x14ac:dyDescent="0.25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53"/>
      <c r="M882" s="53"/>
    </row>
    <row r="883" spans="1:13" x14ac:dyDescent="0.25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53"/>
      <c r="M883" s="53"/>
    </row>
    <row r="884" spans="1:13" x14ac:dyDescent="0.25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53"/>
      <c r="M884" s="53"/>
    </row>
    <row r="885" spans="1:13" x14ac:dyDescent="0.2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53"/>
      <c r="M885" s="53"/>
    </row>
    <row r="886" spans="1:13" x14ac:dyDescent="0.25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53"/>
      <c r="M886" s="53"/>
    </row>
    <row r="887" spans="1:13" x14ac:dyDescent="0.25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53"/>
      <c r="M887" s="53"/>
    </row>
    <row r="888" spans="1:13" x14ac:dyDescent="0.25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53"/>
      <c r="M888" s="53"/>
    </row>
    <row r="889" spans="1:13" x14ac:dyDescent="0.25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53"/>
      <c r="M889" s="53"/>
    </row>
    <row r="890" spans="1:13" x14ac:dyDescent="0.25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53"/>
      <c r="M890" s="53"/>
    </row>
    <row r="891" spans="1:13" x14ac:dyDescent="0.25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53"/>
      <c r="M891" s="53"/>
    </row>
    <row r="892" spans="1:13" x14ac:dyDescent="0.25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53"/>
      <c r="M892" s="53"/>
    </row>
    <row r="893" spans="1:13" x14ac:dyDescent="0.25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53"/>
      <c r="M893" s="53"/>
    </row>
    <row r="894" spans="1:13" x14ac:dyDescent="0.25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53"/>
      <c r="M894" s="53"/>
    </row>
    <row r="895" spans="1:13" x14ac:dyDescent="0.2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53"/>
      <c r="M895" s="53"/>
    </row>
    <row r="896" spans="1:13" x14ac:dyDescent="0.25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53"/>
      <c r="M896" s="53"/>
    </row>
    <row r="897" spans="1:13" x14ac:dyDescent="0.25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53"/>
      <c r="M897" s="53"/>
    </row>
    <row r="898" spans="1:13" x14ac:dyDescent="0.25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53"/>
      <c r="M898" s="53"/>
    </row>
    <row r="899" spans="1:13" x14ac:dyDescent="0.25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53"/>
      <c r="M899" s="53"/>
    </row>
    <row r="900" spans="1:13" x14ac:dyDescent="0.25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53"/>
      <c r="M900" s="53"/>
    </row>
    <row r="901" spans="1:13" x14ac:dyDescent="0.25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53"/>
      <c r="M901" s="53"/>
    </row>
    <row r="902" spans="1:13" x14ac:dyDescent="0.25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53"/>
      <c r="M902" s="53"/>
    </row>
    <row r="903" spans="1:13" x14ac:dyDescent="0.25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53"/>
      <c r="M903" s="53"/>
    </row>
    <row r="904" spans="1:13" x14ac:dyDescent="0.25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53"/>
      <c r="M904" s="53"/>
    </row>
    <row r="905" spans="1:13" x14ac:dyDescent="0.2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53"/>
      <c r="M905" s="53"/>
    </row>
    <row r="906" spans="1:13" x14ac:dyDescent="0.25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53"/>
      <c r="M906" s="53"/>
    </row>
    <row r="907" spans="1:13" x14ac:dyDescent="0.25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53"/>
      <c r="M907" s="53"/>
    </row>
    <row r="908" spans="1:13" x14ac:dyDescent="0.25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53"/>
      <c r="M908" s="53"/>
    </row>
    <row r="909" spans="1:13" x14ac:dyDescent="0.25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53"/>
      <c r="M909" s="53"/>
    </row>
    <row r="910" spans="1:13" x14ac:dyDescent="0.25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53"/>
      <c r="M910" s="53"/>
    </row>
    <row r="911" spans="1:13" x14ac:dyDescent="0.25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53"/>
      <c r="M911" s="53"/>
    </row>
    <row r="912" spans="1:13" x14ac:dyDescent="0.25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53"/>
      <c r="M912" s="53"/>
    </row>
    <row r="913" spans="1:13" x14ac:dyDescent="0.25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53"/>
      <c r="M913" s="53"/>
    </row>
    <row r="914" spans="1:13" x14ac:dyDescent="0.25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53"/>
      <c r="M914" s="53"/>
    </row>
    <row r="915" spans="1:13" x14ac:dyDescent="0.2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53"/>
      <c r="M915" s="53"/>
    </row>
    <row r="916" spans="1:13" x14ac:dyDescent="0.25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53"/>
      <c r="M916" s="53"/>
    </row>
    <row r="917" spans="1:13" x14ac:dyDescent="0.25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53"/>
      <c r="M917" s="53"/>
    </row>
    <row r="918" spans="1:13" x14ac:dyDescent="0.25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53"/>
      <c r="M918" s="53"/>
    </row>
    <row r="919" spans="1:13" x14ac:dyDescent="0.25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53"/>
      <c r="M919" s="53"/>
    </row>
    <row r="920" spans="1:13" x14ac:dyDescent="0.25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53"/>
      <c r="M920" s="53"/>
    </row>
    <row r="921" spans="1:13" x14ac:dyDescent="0.25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53"/>
      <c r="M921" s="53"/>
    </row>
    <row r="922" spans="1:13" x14ac:dyDescent="0.25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53"/>
      <c r="M922" s="53"/>
    </row>
    <row r="923" spans="1:13" x14ac:dyDescent="0.25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53"/>
      <c r="M923" s="53"/>
    </row>
    <row r="924" spans="1:13" x14ac:dyDescent="0.25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53"/>
      <c r="M924" s="53"/>
    </row>
    <row r="925" spans="1:13" x14ac:dyDescent="0.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53"/>
      <c r="M925" s="53"/>
    </row>
    <row r="926" spans="1:13" x14ac:dyDescent="0.25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53"/>
      <c r="M926" s="53"/>
    </row>
    <row r="927" spans="1:13" x14ac:dyDescent="0.25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53"/>
      <c r="M927" s="53"/>
    </row>
    <row r="928" spans="1:13" x14ac:dyDescent="0.25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53"/>
      <c r="M928" s="53"/>
    </row>
    <row r="929" spans="1:13" x14ac:dyDescent="0.25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53"/>
      <c r="M929" s="53"/>
    </row>
    <row r="930" spans="1:13" x14ac:dyDescent="0.25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53"/>
      <c r="M930" s="53"/>
    </row>
    <row r="931" spans="1:13" x14ac:dyDescent="0.25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53"/>
      <c r="M931" s="53"/>
    </row>
    <row r="932" spans="1:13" x14ac:dyDescent="0.25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53"/>
      <c r="M932" s="53"/>
    </row>
    <row r="933" spans="1:13" x14ac:dyDescent="0.25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53"/>
      <c r="M933" s="53"/>
    </row>
    <row r="934" spans="1:13" x14ac:dyDescent="0.25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53"/>
      <c r="M934" s="53"/>
    </row>
    <row r="935" spans="1:13" x14ac:dyDescent="0.2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53"/>
      <c r="M935" s="53"/>
    </row>
    <row r="936" spans="1:13" x14ac:dyDescent="0.25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53"/>
      <c r="M936" s="53"/>
    </row>
    <row r="937" spans="1:13" x14ac:dyDescent="0.25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53"/>
      <c r="M937" s="53"/>
    </row>
    <row r="938" spans="1:13" x14ac:dyDescent="0.25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53"/>
      <c r="M938" s="53"/>
    </row>
    <row r="939" spans="1:13" x14ac:dyDescent="0.25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53"/>
      <c r="M939" s="53"/>
    </row>
    <row r="940" spans="1:13" x14ac:dyDescent="0.25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53"/>
      <c r="M940" s="53"/>
    </row>
    <row r="941" spans="1:13" x14ac:dyDescent="0.25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53"/>
      <c r="M941" s="53"/>
    </row>
    <row r="942" spans="1:13" x14ac:dyDescent="0.25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53"/>
      <c r="M942" s="53"/>
    </row>
    <row r="943" spans="1:13" x14ac:dyDescent="0.25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53"/>
      <c r="M943" s="53"/>
    </row>
    <row r="944" spans="1:13" x14ac:dyDescent="0.25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53"/>
      <c r="M944" s="53"/>
    </row>
    <row r="945" spans="1:13" x14ac:dyDescent="0.2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53"/>
      <c r="M945" s="53"/>
    </row>
    <row r="946" spans="1:13" x14ac:dyDescent="0.25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53"/>
      <c r="M946" s="53"/>
    </row>
    <row r="947" spans="1:13" x14ac:dyDescent="0.25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53"/>
      <c r="M947" s="53"/>
    </row>
    <row r="948" spans="1:13" x14ac:dyDescent="0.25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53"/>
      <c r="M948" s="53"/>
    </row>
    <row r="949" spans="1:13" x14ac:dyDescent="0.25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53"/>
      <c r="M949" s="53"/>
    </row>
    <row r="950" spans="1:13" x14ac:dyDescent="0.25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53"/>
      <c r="M950" s="53"/>
    </row>
    <row r="951" spans="1:13" x14ac:dyDescent="0.25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53"/>
      <c r="M951" s="53"/>
    </row>
    <row r="952" spans="1:13" x14ac:dyDescent="0.25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53"/>
      <c r="M952" s="53"/>
    </row>
    <row r="953" spans="1:13" x14ac:dyDescent="0.25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53"/>
      <c r="M953" s="53"/>
    </row>
    <row r="954" spans="1:13" x14ac:dyDescent="0.25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53"/>
      <c r="M954" s="53"/>
    </row>
    <row r="955" spans="1:13" x14ac:dyDescent="0.2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53"/>
      <c r="M955" s="53"/>
    </row>
    <row r="956" spans="1:13" x14ac:dyDescent="0.25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53"/>
      <c r="M956" s="53"/>
    </row>
    <row r="957" spans="1:13" x14ac:dyDescent="0.25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53"/>
      <c r="M957" s="53"/>
    </row>
    <row r="958" spans="1:13" x14ac:dyDescent="0.25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53"/>
      <c r="M958" s="53"/>
    </row>
    <row r="959" spans="1:13" x14ac:dyDescent="0.25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53"/>
      <c r="M959" s="53"/>
    </row>
    <row r="960" spans="1:13" x14ac:dyDescent="0.25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53"/>
      <c r="M960" s="53"/>
    </row>
    <row r="961" spans="1:13" x14ac:dyDescent="0.25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53"/>
      <c r="M961" s="53"/>
    </row>
    <row r="962" spans="1:13" x14ac:dyDescent="0.25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53"/>
      <c r="M962" s="53"/>
    </row>
    <row r="963" spans="1:13" x14ac:dyDescent="0.25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53"/>
      <c r="M963" s="53"/>
    </row>
    <row r="964" spans="1:13" x14ac:dyDescent="0.25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53"/>
      <c r="M964" s="53"/>
    </row>
    <row r="965" spans="1:13" x14ac:dyDescent="0.2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53"/>
      <c r="M965" s="53"/>
    </row>
    <row r="966" spans="1:13" x14ac:dyDescent="0.25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53"/>
      <c r="M966" s="53"/>
    </row>
    <row r="967" spans="1:13" x14ac:dyDescent="0.25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53"/>
      <c r="M967" s="53"/>
    </row>
    <row r="968" spans="1:13" x14ac:dyDescent="0.25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53"/>
      <c r="M968" s="53"/>
    </row>
    <row r="969" spans="1:13" x14ac:dyDescent="0.25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53"/>
      <c r="M969" s="53"/>
    </row>
    <row r="970" spans="1:13" x14ac:dyDescent="0.25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53"/>
      <c r="M970" s="53"/>
    </row>
    <row r="971" spans="1:13" x14ac:dyDescent="0.25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53"/>
      <c r="M971" s="53"/>
    </row>
    <row r="972" spans="1:13" x14ac:dyDescent="0.25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53"/>
      <c r="M972" s="53"/>
    </row>
    <row r="973" spans="1:13" x14ac:dyDescent="0.25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53"/>
      <c r="M973" s="53"/>
    </row>
    <row r="974" spans="1:13" x14ac:dyDescent="0.25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53"/>
      <c r="M974" s="53"/>
    </row>
    <row r="975" spans="1:13" x14ac:dyDescent="0.2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53"/>
      <c r="M975" s="53"/>
    </row>
    <row r="976" spans="1:13" x14ac:dyDescent="0.25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53"/>
      <c r="M976" s="53"/>
    </row>
    <row r="977" spans="1:13" x14ac:dyDescent="0.25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53"/>
      <c r="M977" s="53"/>
    </row>
    <row r="978" spans="1:13" x14ac:dyDescent="0.25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53"/>
      <c r="M978" s="53"/>
    </row>
    <row r="979" spans="1:13" x14ac:dyDescent="0.25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53"/>
      <c r="M979" s="53"/>
    </row>
    <row r="980" spans="1:13" x14ac:dyDescent="0.25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53"/>
      <c r="M980" s="53"/>
    </row>
    <row r="981" spans="1:13" x14ac:dyDescent="0.25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53"/>
      <c r="M981" s="53"/>
    </row>
    <row r="982" spans="1:13" x14ac:dyDescent="0.25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53"/>
      <c r="M982" s="53"/>
    </row>
    <row r="983" spans="1:13" x14ac:dyDescent="0.25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53"/>
      <c r="M983" s="53"/>
    </row>
    <row r="984" spans="1:13" x14ac:dyDescent="0.25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53"/>
      <c r="M984" s="53"/>
    </row>
    <row r="985" spans="1:13" x14ac:dyDescent="0.2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53"/>
      <c r="M985" s="53"/>
    </row>
    <row r="986" spans="1:13" x14ac:dyDescent="0.25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53"/>
      <c r="M986" s="53"/>
    </row>
    <row r="987" spans="1:13" x14ac:dyDescent="0.25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53"/>
      <c r="M987" s="53"/>
    </row>
    <row r="988" spans="1:13" x14ac:dyDescent="0.25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53"/>
      <c r="M988" s="53"/>
    </row>
    <row r="989" spans="1:13" x14ac:dyDescent="0.25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53"/>
      <c r="M989" s="53"/>
    </row>
    <row r="990" spans="1:13" x14ac:dyDescent="0.25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53"/>
      <c r="M990" s="53"/>
    </row>
    <row r="991" spans="1:13" x14ac:dyDescent="0.25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53"/>
      <c r="M991" s="53"/>
    </row>
    <row r="992" spans="1:13" x14ac:dyDescent="0.25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53"/>
      <c r="M992" s="53"/>
    </row>
    <row r="993" spans="1:13" x14ac:dyDescent="0.25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53"/>
      <c r="M993" s="53"/>
    </row>
    <row r="994" spans="1:13" x14ac:dyDescent="0.25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53"/>
      <c r="M994" s="53"/>
    </row>
    <row r="995" spans="1:13" x14ac:dyDescent="0.2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53"/>
      <c r="M995" s="53"/>
    </row>
    <row r="996" spans="1:13" x14ac:dyDescent="0.25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53"/>
      <c r="M996" s="53"/>
    </row>
    <row r="997" spans="1:13" x14ac:dyDescent="0.25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53"/>
      <c r="M997" s="53"/>
    </row>
    <row r="998" spans="1:13" x14ac:dyDescent="0.25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53"/>
      <c r="M998" s="53"/>
    </row>
    <row r="999" spans="1:13" x14ac:dyDescent="0.25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53"/>
      <c r="M999" s="53"/>
    </row>
    <row r="1000" spans="1:13" x14ac:dyDescent="0.25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53"/>
      <c r="M1000" s="53"/>
    </row>
    <row r="1001" spans="1:13" x14ac:dyDescent="0.25">
      <c r="A1001" s="44"/>
      <c r="B1001" s="44"/>
      <c r="C1001" s="44"/>
      <c r="D1001" s="44"/>
      <c r="E1001" s="44"/>
      <c r="F1001" s="44"/>
      <c r="G1001" s="44"/>
      <c r="H1001" s="44"/>
      <c r="I1001" s="44"/>
      <c r="J1001" s="44"/>
      <c r="K1001" s="44"/>
      <c r="L1001" s="53"/>
      <c r="M1001" s="53"/>
    </row>
    <row r="1002" spans="1:13" x14ac:dyDescent="0.25">
      <c r="A1002" s="44"/>
      <c r="B1002" s="44"/>
      <c r="C1002" s="44"/>
      <c r="D1002" s="44"/>
      <c r="E1002" s="44"/>
      <c r="F1002" s="44"/>
      <c r="G1002" s="44"/>
      <c r="H1002" s="44"/>
      <c r="I1002" s="44"/>
      <c r="J1002" s="44"/>
      <c r="K1002" s="44"/>
      <c r="L1002" s="53"/>
      <c r="M1002" s="53"/>
    </row>
  </sheetData>
  <mergeCells count="16">
    <mergeCell ref="J70:K70"/>
    <mergeCell ref="J80:K80"/>
    <mergeCell ref="J160:K160"/>
    <mergeCell ref="J166:K166"/>
    <mergeCell ref="J87:K87"/>
    <mergeCell ref="J93:K93"/>
    <mergeCell ref="J100:K100"/>
    <mergeCell ref="J125:K125"/>
    <mergeCell ref="J127:K127"/>
    <mergeCell ref="J129:K129"/>
    <mergeCell ref="J139:K139"/>
    <mergeCell ref="J34:K34"/>
    <mergeCell ref="J39:K39"/>
    <mergeCell ref="J42:K42"/>
    <mergeCell ref="J46:K46"/>
    <mergeCell ref="J69:L6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W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3" x14ac:dyDescent="0.25">
      <c r="A1" s="50" t="s">
        <v>0</v>
      </c>
      <c r="B1" s="50" t="s">
        <v>4354</v>
      </c>
      <c r="C1" s="50" t="s">
        <v>4355</v>
      </c>
      <c r="D1" s="50" t="s">
        <v>6</v>
      </c>
      <c r="E1" s="50" t="s">
        <v>4356</v>
      </c>
      <c r="F1" s="50" t="s">
        <v>4357</v>
      </c>
      <c r="G1" s="50" t="s">
        <v>4358</v>
      </c>
      <c r="H1" s="50" t="s">
        <v>4359</v>
      </c>
      <c r="I1" s="50" t="s">
        <v>4360</v>
      </c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</row>
    <row r="2" spans="1:23" x14ac:dyDescent="0.25">
      <c r="A2" s="44" t="s">
        <v>2247</v>
      </c>
      <c r="B2" s="20">
        <v>136785227717.5</v>
      </c>
      <c r="C2" s="20">
        <v>186070369208.23999</v>
      </c>
      <c r="D2" s="44">
        <f t="shared" ref="D2:D187" si="0">((C2-B2)/B2)*100</f>
        <v>36.031041007240695</v>
      </c>
      <c r="E2" s="39">
        <v>3</v>
      </c>
      <c r="F2" s="39">
        <v>0</v>
      </c>
      <c r="G2" s="39">
        <v>0</v>
      </c>
      <c r="H2" s="44">
        <f t="shared" ref="H2:H187" si="1">(E2/(E2+F2+G2))*100</f>
        <v>100</v>
      </c>
      <c r="I2" s="44">
        <f t="shared" ref="I2:I187" si="2">(F2/(E2+F2+G2))*100</f>
        <v>0</v>
      </c>
      <c r="J2" s="8"/>
      <c r="K2" s="8"/>
      <c r="L2" s="8"/>
    </row>
    <row r="3" spans="1:23" x14ac:dyDescent="0.25">
      <c r="A3" s="44" t="s">
        <v>1584</v>
      </c>
      <c r="B3" s="20">
        <v>500860373641.72003</v>
      </c>
      <c r="C3" s="20">
        <v>585786777804.19995</v>
      </c>
      <c r="D3" s="44">
        <f t="shared" si="0"/>
        <v>16.956103663179839</v>
      </c>
      <c r="E3" s="39">
        <v>4</v>
      </c>
      <c r="F3" s="39">
        <v>0</v>
      </c>
      <c r="G3" s="39">
        <v>0</v>
      </c>
      <c r="H3" s="44">
        <f t="shared" si="1"/>
        <v>100</v>
      </c>
      <c r="I3" s="44">
        <f t="shared" si="2"/>
        <v>0</v>
      </c>
      <c r="J3" s="8"/>
      <c r="K3" s="8"/>
      <c r="L3" s="8"/>
    </row>
    <row r="4" spans="1:23" x14ac:dyDescent="0.25">
      <c r="A4" s="44" t="s">
        <v>4145</v>
      </c>
      <c r="B4" s="20">
        <v>10494476603497.18</v>
      </c>
      <c r="C4" s="20">
        <v>12147245810001.738</v>
      </c>
      <c r="D4" s="44">
        <f t="shared" si="0"/>
        <v>15.748943648640751</v>
      </c>
      <c r="E4" s="39">
        <v>12</v>
      </c>
      <c r="F4" s="39">
        <v>0</v>
      </c>
      <c r="G4" s="39">
        <v>0</v>
      </c>
      <c r="H4" s="44">
        <f t="shared" si="1"/>
        <v>100</v>
      </c>
      <c r="I4" s="44">
        <f t="shared" si="2"/>
        <v>0</v>
      </c>
      <c r="J4" s="8"/>
      <c r="K4" s="8"/>
      <c r="L4" s="8"/>
    </row>
    <row r="5" spans="1:23" x14ac:dyDescent="0.25">
      <c r="A5" s="44" t="s">
        <v>3519</v>
      </c>
      <c r="B5" s="20">
        <v>8989507265.4799995</v>
      </c>
      <c r="C5" s="20">
        <v>10187000911.52</v>
      </c>
      <c r="D5" s="44">
        <f t="shared" si="0"/>
        <v>13.32101538688795</v>
      </c>
      <c r="E5" s="39">
        <v>4</v>
      </c>
      <c r="F5" s="39">
        <v>0</v>
      </c>
      <c r="G5" s="39">
        <v>0</v>
      </c>
      <c r="H5" s="44">
        <f t="shared" si="1"/>
        <v>100</v>
      </c>
      <c r="I5" s="44">
        <f t="shared" si="2"/>
        <v>0</v>
      </c>
      <c r="J5" s="8"/>
      <c r="K5" s="8"/>
      <c r="L5" s="8"/>
    </row>
    <row r="6" spans="1:23" x14ac:dyDescent="0.25">
      <c r="A6" s="44" t="s">
        <v>4210</v>
      </c>
      <c r="B6" s="20">
        <v>27777829988.799999</v>
      </c>
      <c r="C6" s="20">
        <v>30986771152.700001</v>
      </c>
      <c r="D6" s="44">
        <f t="shared" si="0"/>
        <v>11.552166476624864</v>
      </c>
      <c r="E6" s="39">
        <v>1</v>
      </c>
      <c r="F6" s="39">
        <v>0</v>
      </c>
      <c r="G6" s="39">
        <v>0</v>
      </c>
      <c r="H6" s="44">
        <f t="shared" si="1"/>
        <v>100</v>
      </c>
      <c r="I6" s="44">
        <f t="shared" si="2"/>
        <v>0</v>
      </c>
      <c r="J6" s="8"/>
      <c r="K6" s="8"/>
      <c r="L6" s="8"/>
    </row>
    <row r="7" spans="1:23" x14ac:dyDescent="0.25">
      <c r="A7" s="44" t="s">
        <v>350</v>
      </c>
      <c r="B7" s="20">
        <v>926711598153.70007</v>
      </c>
      <c r="C7" s="20">
        <v>997259147196.6001</v>
      </c>
      <c r="D7" s="44">
        <f t="shared" si="0"/>
        <v>7.6126757432898051</v>
      </c>
      <c r="E7" s="39">
        <v>6</v>
      </c>
      <c r="F7" s="39">
        <v>0</v>
      </c>
      <c r="G7" s="39">
        <v>0</v>
      </c>
      <c r="H7" s="44">
        <f t="shared" si="1"/>
        <v>100</v>
      </c>
      <c r="I7" s="44">
        <f t="shared" si="2"/>
        <v>0</v>
      </c>
      <c r="J7" s="8"/>
      <c r="K7" s="8"/>
      <c r="L7" s="8"/>
    </row>
    <row r="8" spans="1:23" x14ac:dyDescent="0.25">
      <c r="A8" s="51" t="s">
        <v>2567</v>
      </c>
      <c r="B8" s="20">
        <v>192694234545.75</v>
      </c>
      <c r="C8" s="20">
        <v>204716422035.70001</v>
      </c>
      <c r="D8" s="44">
        <f t="shared" si="0"/>
        <v>6.2389969883067113</v>
      </c>
      <c r="E8" s="39">
        <v>3</v>
      </c>
      <c r="F8" s="39">
        <v>0</v>
      </c>
      <c r="G8" s="39">
        <v>0</v>
      </c>
      <c r="H8" s="44">
        <f t="shared" si="1"/>
        <v>100</v>
      </c>
      <c r="I8" s="44">
        <f t="shared" si="2"/>
        <v>0</v>
      </c>
      <c r="J8" s="8"/>
      <c r="K8" s="8"/>
      <c r="L8" s="8"/>
    </row>
    <row r="9" spans="1:23" x14ac:dyDescent="0.25">
      <c r="A9" s="44" t="s">
        <v>3874</v>
      </c>
      <c r="B9" s="20">
        <v>211235912333.40002</v>
      </c>
      <c r="C9" s="20">
        <v>223189601860.65002</v>
      </c>
      <c r="D9" s="44">
        <f t="shared" si="0"/>
        <v>5.6589286334906594</v>
      </c>
      <c r="E9" s="39">
        <v>2</v>
      </c>
      <c r="F9" s="39">
        <v>0</v>
      </c>
      <c r="G9" s="39">
        <v>0</v>
      </c>
      <c r="H9" s="44">
        <f t="shared" si="1"/>
        <v>100</v>
      </c>
      <c r="I9" s="44">
        <f t="shared" si="2"/>
        <v>0</v>
      </c>
      <c r="J9" s="8"/>
      <c r="K9" s="8"/>
      <c r="L9" s="8"/>
    </row>
    <row r="10" spans="1:23" x14ac:dyDescent="0.25">
      <c r="A10" s="44" t="s">
        <v>3639</v>
      </c>
      <c r="B10" s="20">
        <v>3606579987.8499999</v>
      </c>
      <c r="C10" s="20">
        <v>3794669907.1500001</v>
      </c>
      <c r="D10" s="44">
        <f t="shared" si="0"/>
        <v>5.2151877938003732</v>
      </c>
      <c r="E10" s="39">
        <v>3</v>
      </c>
      <c r="F10" s="39">
        <v>0</v>
      </c>
      <c r="G10" s="39">
        <v>0</v>
      </c>
      <c r="H10" s="44">
        <f t="shared" si="1"/>
        <v>100</v>
      </c>
      <c r="I10" s="44">
        <f t="shared" si="2"/>
        <v>0</v>
      </c>
      <c r="J10" s="8"/>
      <c r="K10" s="8"/>
      <c r="L10" s="8"/>
    </row>
    <row r="11" spans="1:23" x14ac:dyDescent="0.25">
      <c r="A11" s="44" t="s">
        <v>3867</v>
      </c>
      <c r="B11" s="20">
        <v>5699642133.8999996</v>
      </c>
      <c r="C11" s="20">
        <v>5900673716.2999992</v>
      </c>
      <c r="D11" s="44">
        <f t="shared" si="0"/>
        <v>3.5270913098967336</v>
      </c>
      <c r="E11" s="39">
        <v>1</v>
      </c>
      <c r="F11" s="39">
        <v>0</v>
      </c>
      <c r="G11" s="39">
        <v>0</v>
      </c>
      <c r="H11" s="44">
        <f t="shared" si="1"/>
        <v>100</v>
      </c>
      <c r="I11" s="44">
        <f t="shared" si="2"/>
        <v>0</v>
      </c>
      <c r="J11" s="8"/>
      <c r="K11" s="8"/>
      <c r="L11" s="8"/>
    </row>
    <row r="12" spans="1:23" x14ac:dyDescent="0.25">
      <c r="A12" s="44" t="s">
        <v>2816</v>
      </c>
      <c r="B12" s="20">
        <v>441362732216.04999</v>
      </c>
      <c r="C12" s="20">
        <v>448803691835.95001</v>
      </c>
      <c r="D12" s="44">
        <f t="shared" si="0"/>
        <v>1.6859057362046657</v>
      </c>
      <c r="E12" s="39">
        <v>2</v>
      </c>
      <c r="F12" s="39">
        <v>0</v>
      </c>
      <c r="G12" s="39">
        <v>0</v>
      </c>
      <c r="H12" s="44">
        <f t="shared" si="1"/>
        <v>100</v>
      </c>
      <c r="I12" s="44">
        <f t="shared" si="2"/>
        <v>0</v>
      </c>
      <c r="J12" s="8"/>
      <c r="K12" s="8"/>
      <c r="L12" s="8"/>
    </row>
    <row r="13" spans="1:23" x14ac:dyDescent="0.25">
      <c r="A13" s="44" t="s">
        <v>4230</v>
      </c>
      <c r="B13" s="20">
        <v>7622369967.3000002</v>
      </c>
      <c r="C13" s="20">
        <v>7652037239.9000006</v>
      </c>
      <c r="D13" s="44">
        <f t="shared" si="0"/>
        <v>0.38921323324993551</v>
      </c>
      <c r="E13" s="39">
        <v>1</v>
      </c>
      <c r="F13" s="39">
        <v>0</v>
      </c>
      <c r="G13" s="39">
        <v>0</v>
      </c>
      <c r="H13" s="44">
        <f t="shared" si="1"/>
        <v>100</v>
      </c>
      <c r="I13" s="44">
        <f t="shared" si="2"/>
        <v>0</v>
      </c>
      <c r="J13" s="8"/>
      <c r="K13" s="8"/>
      <c r="L13" s="8"/>
    </row>
    <row r="14" spans="1:23" x14ac:dyDescent="0.25">
      <c r="A14" s="44" t="s">
        <v>262</v>
      </c>
      <c r="B14" s="20">
        <v>14829708143.77</v>
      </c>
      <c r="C14" s="20">
        <v>19919279633.32</v>
      </c>
      <c r="D14" s="44">
        <f t="shared" si="0"/>
        <v>34.320105562482979</v>
      </c>
      <c r="E14" s="39">
        <v>7</v>
      </c>
      <c r="F14" s="39">
        <v>1</v>
      </c>
      <c r="G14" s="39">
        <v>0</v>
      </c>
      <c r="H14" s="44">
        <f t="shared" si="1"/>
        <v>87.5</v>
      </c>
      <c r="I14" s="44">
        <f t="shared" si="2"/>
        <v>12.5</v>
      </c>
      <c r="J14" s="8"/>
      <c r="K14" s="8"/>
      <c r="L14" s="8"/>
    </row>
    <row r="15" spans="1:23" x14ac:dyDescent="0.25">
      <c r="A15" s="44" t="s">
        <v>2721</v>
      </c>
      <c r="B15" s="20">
        <v>6144286699322.7998</v>
      </c>
      <c r="C15" s="20">
        <v>6599729808395.3506</v>
      </c>
      <c r="D15" s="44">
        <f t="shared" si="0"/>
        <v>7.4124651299677797</v>
      </c>
      <c r="E15" s="39">
        <v>7</v>
      </c>
      <c r="F15" s="39">
        <v>1</v>
      </c>
      <c r="G15" s="39">
        <v>0</v>
      </c>
      <c r="H15" s="44">
        <f t="shared" si="1"/>
        <v>87.5</v>
      </c>
      <c r="I15" s="44">
        <f t="shared" si="2"/>
        <v>12.5</v>
      </c>
      <c r="J15" s="8"/>
      <c r="K15" s="8"/>
      <c r="L15" s="8"/>
    </row>
    <row r="16" spans="1:23" x14ac:dyDescent="0.25">
      <c r="A16" s="44" t="s">
        <v>9</v>
      </c>
      <c r="B16" s="20">
        <v>3475238909256.2402</v>
      </c>
      <c r="C16" s="20">
        <v>3656196383644.8696</v>
      </c>
      <c r="D16" s="44">
        <f t="shared" si="0"/>
        <v>5.2070513456399272</v>
      </c>
      <c r="E16" s="39">
        <v>6</v>
      </c>
      <c r="F16" s="39">
        <v>1</v>
      </c>
      <c r="G16" s="39">
        <v>0</v>
      </c>
      <c r="H16" s="44">
        <f t="shared" si="1"/>
        <v>85.714285714285708</v>
      </c>
      <c r="I16" s="44">
        <f t="shared" si="2"/>
        <v>14.285714285714285</v>
      </c>
      <c r="J16" s="8"/>
      <c r="K16" s="8"/>
    </row>
    <row r="17" spans="1:12" x14ac:dyDescent="0.25">
      <c r="A17" s="44" t="s">
        <v>3536</v>
      </c>
      <c r="B17" s="20">
        <v>2611941475533.7998</v>
      </c>
      <c r="C17" s="20">
        <v>2769946730980.2402</v>
      </c>
      <c r="D17" s="44">
        <f t="shared" si="0"/>
        <v>6.0493413396312441</v>
      </c>
      <c r="E17" s="39">
        <v>5</v>
      </c>
      <c r="F17" s="39">
        <v>1</v>
      </c>
      <c r="G17" s="39">
        <v>0</v>
      </c>
      <c r="H17" s="44">
        <f t="shared" si="1"/>
        <v>83.333333333333343</v>
      </c>
      <c r="I17" s="44">
        <f t="shared" si="2"/>
        <v>16.666666666666664</v>
      </c>
      <c r="J17" s="8"/>
      <c r="K17" s="8"/>
      <c r="L17" s="8"/>
    </row>
    <row r="18" spans="1:12" x14ac:dyDescent="0.25">
      <c r="A18" s="44" t="s">
        <v>935</v>
      </c>
      <c r="B18" s="20">
        <v>3483008688908.9507</v>
      </c>
      <c r="C18" s="20">
        <v>3527554016895.2495</v>
      </c>
      <c r="D18" s="44">
        <f t="shared" si="0"/>
        <v>1.2789324393058754</v>
      </c>
      <c r="E18" s="39">
        <v>10</v>
      </c>
      <c r="F18" s="39">
        <v>2</v>
      </c>
      <c r="G18" s="39">
        <v>0</v>
      </c>
      <c r="H18" s="44">
        <f t="shared" si="1"/>
        <v>83.333333333333343</v>
      </c>
      <c r="I18" s="44">
        <f t="shared" si="2"/>
        <v>16.666666666666664</v>
      </c>
      <c r="J18" s="8"/>
      <c r="K18" s="8"/>
      <c r="L18" s="8"/>
    </row>
    <row r="19" spans="1:12" x14ac:dyDescent="0.25">
      <c r="A19" s="44" t="s">
        <v>2422</v>
      </c>
      <c r="B19" s="20">
        <v>496028290158.37006</v>
      </c>
      <c r="C19" s="20">
        <v>556952633919.57007</v>
      </c>
      <c r="D19" s="44">
        <f t="shared" si="0"/>
        <v>12.28243327447076</v>
      </c>
      <c r="E19" s="39">
        <v>28</v>
      </c>
      <c r="F19" s="39">
        <v>5</v>
      </c>
      <c r="G19" s="39">
        <v>2</v>
      </c>
      <c r="H19" s="44">
        <f t="shared" si="1"/>
        <v>80</v>
      </c>
      <c r="I19" s="44">
        <f t="shared" si="2"/>
        <v>14.285714285714285</v>
      </c>
      <c r="J19" s="8"/>
      <c r="K19" s="8"/>
      <c r="L19" s="8"/>
    </row>
    <row r="20" spans="1:12" x14ac:dyDescent="0.25">
      <c r="A20" s="44" t="s">
        <v>2757</v>
      </c>
      <c r="B20" s="20">
        <v>635140154625.12</v>
      </c>
      <c r="C20" s="20">
        <v>669335559338.5199</v>
      </c>
      <c r="D20" s="44">
        <f t="shared" si="0"/>
        <v>5.3839147886316718</v>
      </c>
      <c r="E20" s="39">
        <v>4</v>
      </c>
      <c r="F20" s="39">
        <v>1</v>
      </c>
      <c r="G20" s="39">
        <v>0</v>
      </c>
      <c r="H20" s="44">
        <f t="shared" si="1"/>
        <v>80</v>
      </c>
      <c r="I20" s="44">
        <f t="shared" si="2"/>
        <v>20</v>
      </c>
      <c r="J20" s="8"/>
      <c r="K20" s="8"/>
      <c r="L20" s="8"/>
    </row>
    <row r="21" spans="1:12" x14ac:dyDescent="0.25">
      <c r="A21" s="44" t="s">
        <v>2501</v>
      </c>
      <c r="B21" s="20">
        <v>164699187168.85001</v>
      </c>
      <c r="C21" s="20">
        <v>160410092089.00003</v>
      </c>
      <c r="D21" s="44">
        <f t="shared" si="0"/>
        <v>-2.6041993002993906</v>
      </c>
      <c r="E21" s="39">
        <v>4</v>
      </c>
      <c r="F21" s="39">
        <v>1</v>
      </c>
      <c r="G21" s="39">
        <v>0</v>
      </c>
      <c r="H21" s="44">
        <f t="shared" si="1"/>
        <v>80</v>
      </c>
      <c r="I21" s="44">
        <f t="shared" si="2"/>
        <v>20</v>
      </c>
      <c r="J21" s="8"/>
      <c r="K21" s="8"/>
      <c r="L21" s="8"/>
    </row>
    <row r="22" spans="1:12" x14ac:dyDescent="0.25">
      <c r="A22" s="44" t="s">
        <v>3475</v>
      </c>
      <c r="B22" s="20">
        <v>8140602376108.0615</v>
      </c>
      <c r="C22" s="20">
        <v>8807219721954.4902</v>
      </c>
      <c r="D22" s="44">
        <f t="shared" si="0"/>
        <v>8.1887962959951324</v>
      </c>
      <c r="E22" s="39">
        <v>26</v>
      </c>
      <c r="F22" s="39">
        <v>8</v>
      </c>
      <c r="G22" s="39">
        <v>0</v>
      </c>
      <c r="H22" s="44">
        <f t="shared" si="1"/>
        <v>76.470588235294116</v>
      </c>
      <c r="I22" s="44">
        <f t="shared" si="2"/>
        <v>23.52941176470588</v>
      </c>
      <c r="J22" s="8"/>
      <c r="K22" s="8"/>
      <c r="L22" s="8"/>
    </row>
    <row r="23" spans="1:12" x14ac:dyDescent="0.25">
      <c r="A23" s="44" t="s">
        <v>3501</v>
      </c>
      <c r="B23" s="20">
        <v>36272719816.900002</v>
      </c>
      <c r="C23" s="20">
        <v>40622061273.849998</v>
      </c>
      <c r="D23" s="44">
        <f t="shared" si="0"/>
        <v>11.990668135460782</v>
      </c>
      <c r="E23" s="39">
        <v>3</v>
      </c>
      <c r="F23" s="39">
        <v>1</v>
      </c>
      <c r="G23" s="39">
        <v>0</v>
      </c>
      <c r="H23" s="44">
        <f t="shared" si="1"/>
        <v>75</v>
      </c>
      <c r="I23" s="44">
        <f t="shared" si="2"/>
        <v>25</v>
      </c>
      <c r="J23" s="8"/>
      <c r="K23" s="8"/>
      <c r="L23" s="8"/>
    </row>
    <row r="24" spans="1:12" x14ac:dyDescent="0.25">
      <c r="A24" s="44" t="s">
        <v>4168</v>
      </c>
      <c r="B24" s="20">
        <v>105284320242.10001</v>
      </c>
      <c r="C24" s="20">
        <v>116814607506.3</v>
      </c>
      <c r="D24" s="44">
        <f t="shared" si="0"/>
        <v>10.951571171933525</v>
      </c>
      <c r="E24" s="39">
        <v>3</v>
      </c>
      <c r="F24" s="39">
        <v>1</v>
      </c>
      <c r="G24" s="39">
        <v>0</v>
      </c>
      <c r="H24" s="44">
        <f t="shared" si="1"/>
        <v>75</v>
      </c>
      <c r="I24" s="44">
        <f t="shared" si="2"/>
        <v>25</v>
      </c>
      <c r="J24" s="8"/>
      <c r="K24" s="8"/>
      <c r="L24" s="8"/>
    </row>
    <row r="25" spans="1:12" x14ac:dyDescent="0.25">
      <c r="A25" s="44" t="s">
        <v>3918</v>
      </c>
      <c r="B25" s="20">
        <v>63025764509.549995</v>
      </c>
      <c r="C25" s="20">
        <v>63940014890.360001</v>
      </c>
      <c r="D25" s="44">
        <f t="shared" si="0"/>
        <v>1.4505978434763345</v>
      </c>
      <c r="E25" s="39">
        <v>6</v>
      </c>
      <c r="F25" s="39">
        <v>2</v>
      </c>
      <c r="G25" s="39">
        <v>0</v>
      </c>
      <c r="H25" s="44">
        <f t="shared" si="1"/>
        <v>75</v>
      </c>
      <c r="I25" s="44">
        <f t="shared" si="2"/>
        <v>25</v>
      </c>
      <c r="J25" s="8"/>
      <c r="K25" s="8"/>
      <c r="L25" s="8"/>
    </row>
    <row r="26" spans="1:12" x14ac:dyDescent="0.25">
      <c r="A26" s="44" t="s">
        <v>680</v>
      </c>
      <c r="B26" s="20">
        <v>26104588760213.344</v>
      </c>
      <c r="C26" s="20">
        <v>26008799777933.422</v>
      </c>
      <c r="D26" s="44">
        <f t="shared" si="0"/>
        <v>-0.36694308100312328</v>
      </c>
      <c r="E26" s="39">
        <v>15</v>
      </c>
      <c r="F26" s="39">
        <v>5</v>
      </c>
      <c r="G26" s="39">
        <v>0</v>
      </c>
      <c r="H26" s="44">
        <f t="shared" si="1"/>
        <v>75</v>
      </c>
      <c r="I26" s="44">
        <f t="shared" si="2"/>
        <v>25</v>
      </c>
      <c r="J26" s="8"/>
      <c r="K26" s="8"/>
      <c r="L26" s="8"/>
    </row>
    <row r="27" spans="1:12" x14ac:dyDescent="0.25">
      <c r="A27" s="44" t="s">
        <v>1999</v>
      </c>
      <c r="B27" s="20">
        <v>1007959428061.8597</v>
      </c>
      <c r="C27" s="20">
        <v>1122912369031.1602</v>
      </c>
      <c r="D27" s="44">
        <f t="shared" si="0"/>
        <v>11.404520635352956</v>
      </c>
      <c r="E27" s="39">
        <v>42</v>
      </c>
      <c r="F27" s="39">
        <v>10</v>
      </c>
      <c r="G27" s="39">
        <v>5</v>
      </c>
      <c r="H27" s="44">
        <f t="shared" si="1"/>
        <v>73.68421052631578</v>
      </c>
      <c r="I27" s="44">
        <f t="shared" si="2"/>
        <v>17.543859649122805</v>
      </c>
      <c r="J27" s="8"/>
      <c r="K27" s="8"/>
      <c r="L27" s="8"/>
    </row>
    <row r="28" spans="1:12" x14ac:dyDescent="0.25">
      <c r="A28" s="44" t="s">
        <v>2905</v>
      </c>
      <c r="B28" s="20">
        <v>49341997811.520004</v>
      </c>
      <c r="C28" s="20">
        <v>67002929647.590004</v>
      </c>
      <c r="D28" s="44">
        <f t="shared" si="0"/>
        <v>35.792899800150892</v>
      </c>
      <c r="E28" s="39">
        <v>8</v>
      </c>
      <c r="F28" s="39">
        <v>3</v>
      </c>
      <c r="G28" s="39">
        <v>0</v>
      </c>
      <c r="H28" s="44">
        <f t="shared" si="1"/>
        <v>72.727272727272734</v>
      </c>
      <c r="I28" s="44">
        <f t="shared" si="2"/>
        <v>27.27272727272727</v>
      </c>
      <c r="J28" s="8"/>
      <c r="K28" s="8"/>
      <c r="L28" s="8"/>
    </row>
    <row r="29" spans="1:12" x14ac:dyDescent="0.25">
      <c r="A29" s="44" t="s">
        <v>3402</v>
      </c>
      <c r="B29" s="20">
        <v>7467944261553.5693</v>
      </c>
      <c r="C29" s="20">
        <v>7569113702146.71</v>
      </c>
      <c r="D29" s="44">
        <f t="shared" si="0"/>
        <v>1.3547160644192351</v>
      </c>
      <c r="E29" s="39">
        <v>5</v>
      </c>
      <c r="F29" s="39">
        <v>2</v>
      </c>
      <c r="G29" s="39">
        <v>0</v>
      </c>
      <c r="H29" s="44">
        <f t="shared" si="1"/>
        <v>71.428571428571431</v>
      </c>
      <c r="I29" s="44">
        <f t="shared" si="2"/>
        <v>28.571428571428569</v>
      </c>
      <c r="J29" s="8"/>
      <c r="K29" s="8"/>
      <c r="L29" s="8"/>
    </row>
    <row r="30" spans="1:12" x14ac:dyDescent="0.25">
      <c r="A30" s="44" t="s">
        <v>2575</v>
      </c>
      <c r="B30" s="20">
        <v>929154064674.41992</v>
      </c>
      <c r="C30" s="20">
        <v>969557908677.83997</v>
      </c>
      <c r="D30" s="44">
        <f t="shared" si="0"/>
        <v>4.3484547438941403</v>
      </c>
      <c r="E30" s="39">
        <v>17</v>
      </c>
      <c r="F30" s="39">
        <v>7</v>
      </c>
      <c r="G30" s="39">
        <v>0</v>
      </c>
      <c r="H30" s="44">
        <f t="shared" si="1"/>
        <v>70.833333333333343</v>
      </c>
      <c r="I30" s="44">
        <f t="shared" si="2"/>
        <v>29.166666666666668</v>
      </c>
      <c r="J30" s="8"/>
      <c r="K30" s="8"/>
      <c r="L30" s="8"/>
    </row>
    <row r="31" spans="1:12" x14ac:dyDescent="0.25">
      <c r="A31" s="44" t="s">
        <v>1046</v>
      </c>
      <c r="B31" s="20">
        <v>1090966133941.8101</v>
      </c>
      <c r="C31" s="20">
        <v>1071494176633.79</v>
      </c>
      <c r="D31" s="44">
        <f t="shared" si="0"/>
        <v>-1.7848360918102171</v>
      </c>
      <c r="E31" s="39">
        <v>15</v>
      </c>
      <c r="F31" s="39">
        <v>7</v>
      </c>
      <c r="G31" s="39">
        <v>0</v>
      </c>
      <c r="H31" s="44">
        <f t="shared" si="1"/>
        <v>68.181818181818173</v>
      </c>
      <c r="I31" s="44">
        <f t="shared" si="2"/>
        <v>31.818181818181817</v>
      </c>
      <c r="J31" s="8"/>
      <c r="K31" s="8"/>
      <c r="L31" s="8"/>
    </row>
    <row r="32" spans="1:12" x14ac:dyDescent="0.25">
      <c r="A32" s="44" t="s">
        <v>11</v>
      </c>
      <c r="B32" s="20">
        <v>2402424294897.3999</v>
      </c>
      <c r="C32" s="20">
        <v>3046073419963.3701</v>
      </c>
      <c r="D32" s="44">
        <f t="shared" si="0"/>
        <v>26.791650685228291</v>
      </c>
      <c r="E32" s="39">
        <v>6</v>
      </c>
      <c r="F32" s="39">
        <v>1</v>
      </c>
      <c r="G32" s="39">
        <v>2</v>
      </c>
      <c r="H32" s="44">
        <f t="shared" si="1"/>
        <v>66.666666666666657</v>
      </c>
      <c r="I32" s="44">
        <f t="shared" si="2"/>
        <v>11.111111111111111</v>
      </c>
      <c r="J32" s="8"/>
      <c r="K32" s="8"/>
      <c r="L32" s="8"/>
    </row>
    <row r="33" spans="1:12" x14ac:dyDescent="0.25">
      <c r="A33" s="44" t="s">
        <v>3690</v>
      </c>
      <c r="B33" s="20">
        <v>125737047149.39999</v>
      </c>
      <c r="C33" s="20">
        <v>142735749980.25</v>
      </c>
      <c r="D33" s="44">
        <f t="shared" si="0"/>
        <v>13.519247680957747</v>
      </c>
      <c r="E33" s="39">
        <v>2</v>
      </c>
      <c r="F33" s="39">
        <v>1</v>
      </c>
      <c r="G33" s="39">
        <v>0</v>
      </c>
      <c r="H33" s="44">
        <f t="shared" si="1"/>
        <v>66.666666666666657</v>
      </c>
      <c r="I33" s="44">
        <f t="shared" si="2"/>
        <v>33.333333333333329</v>
      </c>
      <c r="J33" s="8"/>
      <c r="K33" s="8"/>
      <c r="L33" s="8"/>
    </row>
    <row r="34" spans="1:12" x14ac:dyDescent="0.25">
      <c r="A34" s="44" t="s">
        <v>4200</v>
      </c>
      <c r="B34" s="20">
        <v>190832087599.20001</v>
      </c>
      <c r="C34" s="20">
        <v>214413923982.60004</v>
      </c>
      <c r="D34" s="44">
        <f t="shared" si="0"/>
        <v>12.357374841975414</v>
      </c>
      <c r="E34" s="39">
        <v>2</v>
      </c>
      <c r="F34" s="39">
        <v>1</v>
      </c>
      <c r="G34" s="39">
        <v>0</v>
      </c>
      <c r="H34" s="44">
        <f t="shared" si="1"/>
        <v>66.666666666666657</v>
      </c>
      <c r="I34" s="44">
        <f t="shared" si="2"/>
        <v>33.333333333333329</v>
      </c>
      <c r="J34" s="8"/>
      <c r="K34" s="8"/>
      <c r="L34" s="8"/>
    </row>
    <row r="35" spans="1:12" x14ac:dyDescent="0.25">
      <c r="A35" s="44" t="s">
        <v>4057</v>
      </c>
      <c r="B35" s="20">
        <v>7944347118.9399996</v>
      </c>
      <c r="C35" s="20">
        <v>8635693442.6399994</v>
      </c>
      <c r="D35" s="44">
        <f t="shared" si="0"/>
        <v>8.7023680278492783</v>
      </c>
      <c r="E35" s="39">
        <v>2</v>
      </c>
      <c r="F35" s="39">
        <v>1</v>
      </c>
      <c r="G35" s="39">
        <v>0</v>
      </c>
      <c r="H35" s="44">
        <f t="shared" si="1"/>
        <v>66.666666666666657</v>
      </c>
      <c r="I35" s="44">
        <f t="shared" si="2"/>
        <v>33.333333333333329</v>
      </c>
      <c r="J35" s="8"/>
      <c r="K35" s="8"/>
      <c r="L35" s="8"/>
    </row>
    <row r="36" spans="1:12" x14ac:dyDescent="0.25">
      <c r="A36" s="44" t="s">
        <v>3209</v>
      </c>
      <c r="B36" s="20">
        <v>364166070710.81995</v>
      </c>
      <c r="C36" s="20">
        <v>391868921527.02002</v>
      </c>
      <c r="D36" s="44">
        <f t="shared" si="0"/>
        <v>7.6072026046046961</v>
      </c>
      <c r="E36" s="39">
        <v>30</v>
      </c>
      <c r="F36" s="39">
        <v>12</v>
      </c>
      <c r="G36" s="39">
        <v>3</v>
      </c>
      <c r="H36" s="44">
        <f t="shared" si="1"/>
        <v>66.666666666666657</v>
      </c>
      <c r="I36" s="44">
        <f t="shared" si="2"/>
        <v>26.666666666666668</v>
      </c>
      <c r="J36" s="8"/>
      <c r="K36" s="8"/>
      <c r="L36" s="8"/>
    </row>
    <row r="37" spans="1:12" x14ac:dyDescent="0.25">
      <c r="A37" s="44" t="s">
        <v>4066</v>
      </c>
      <c r="B37" s="20">
        <v>88784324043.990005</v>
      </c>
      <c r="C37" s="20">
        <v>91392833782.609985</v>
      </c>
      <c r="D37" s="44">
        <f t="shared" si="0"/>
        <v>2.9380296203275034</v>
      </c>
      <c r="E37" s="39">
        <v>6</v>
      </c>
      <c r="F37" s="39">
        <v>3</v>
      </c>
      <c r="G37" s="39">
        <v>0</v>
      </c>
      <c r="H37" s="44">
        <f t="shared" si="1"/>
        <v>66.666666666666657</v>
      </c>
      <c r="I37" s="44">
        <f t="shared" si="2"/>
        <v>33.333333333333329</v>
      </c>
      <c r="J37" s="8"/>
      <c r="K37" s="8"/>
      <c r="L37" s="8"/>
    </row>
    <row r="38" spans="1:12" x14ac:dyDescent="0.25">
      <c r="A38" s="44" t="s">
        <v>4194</v>
      </c>
      <c r="B38" s="20">
        <v>6917203871</v>
      </c>
      <c r="C38" s="20">
        <v>7087339681</v>
      </c>
      <c r="D38" s="44">
        <f t="shared" si="0"/>
        <v>2.4596038106276601</v>
      </c>
      <c r="E38" s="39">
        <v>2</v>
      </c>
      <c r="F38" s="39">
        <v>1</v>
      </c>
      <c r="G38" s="39">
        <v>0</v>
      </c>
      <c r="H38" s="44">
        <f t="shared" si="1"/>
        <v>66.666666666666657</v>
      </c>
      <c r="I38" s="44">
        <f t="shared" si="2"/>
        <v>33.333333333333329</v>
      </c>
      <c r="J38" s="8"/>
      <c r="K38" s="8"/>
      <c r="L38" s="8"/>
    </row>
    <row r="39" spans="1:12" x14ac:dyDescent="0.25">
      <c r="A39" s="44" t="s">
        <v>342</v>
      </c>
      <c r="B39" s="20">
        <v>1268243978673.7</v>
      </c>
      <c r="C39" s="20">
        <v>1266764335679.95</v>
      </c>
      <c r="D39" s="44">
        <f t="shared" si="0"/>
        <v>-0.11666863936522501</v>
      </c>
      <c r="E39" s="39">
        <v>2</v>
      </c>
      <c r="F39" s="39">
        <v>1</v>
      </c>
      <c r="G39" s="39">
        <v>0</v>
      </c>
      <c r="H39" s="44">
        <f t="shared" si="1"/>
        <v>66.666666666666657</v>
      </c>
      <c r="I39" s="44">
        <f t="shared" si="2"/>
        <v>33.333333333333329</v>
      </c>
      <c r="J39" s="8"/>
      <c r="K39" s="8"/>
      <c r="L39" s="8"/>
    </row>
    <row r="40" spans="1:12" x14ac:dyDescent="0.25">
      <c r="A40" s="44" t="s">
        <v>2892</v>
      </c>
      <c r="B40" s="20">
        <v>2797561705710.6001</v>
      </c>
      <c r="C40" s="20">
        <v>2754353693997.6001</v>
      </c>
      <c r="D40" s="44">
        <f t="shared" si="0"/>
        <v>-1.5444882457748994</v>
      </c>
      <c r="E40" s="39">
        <v>2</v>
      </c>
      <c r="F40" s="39">
        <v>1</v>
      </c>
      <c r="G40" s="39">
        <v>0</v>
      </c>
      <c r="H40" s="44">
        <f t="shared" si="1"/>
        <v>66.666666666666657</v>
      </c>
      <c r="I40" s="44">
        <f t="shared" si="2"/>
        <v>33.333333333333329</v>
      </c>
      <c r="J40" s="8"/>
      <c r="K40" s="8"/>
      <c r="L40" s="8"/>
    </row>
    <row r="41" spans="1:12" x14ac:dyDescent="0.25">
      <c r="A41" s="44" t="s">
        <v>41</v>
      </c>
      <c r="B41" s="20">
        <v>488055268025.5</v>
      </c>
      <c r="C41" s="20">
        <v>476183103923.90002</v>
      </c>
      <c r="D41" s="44">
        <f t="shared" si="0"/>
        <v>-2.4325450168032359</v>
      </c>
      <c r="E41" s="39">
        <v>2</v>
      </c>
      <c r="F41" s="39">
        <v>1</v>
      </c>
      <c r="G41" s="39">
        <v>0</v>
      </c>
      <c r="H41" s="44">
        <f t="shared" si="1"/>
        <v>66.666666666666657</v>
      </c>
      <c r="I41" s="44">
        <f t="shared" si="2"/>
        <v>33.333333333333329</v>
      </c>
      <c r="J41" s="8"/>
      <c r="K41" s="8"/>
    </row>
    <row r="42" spans="1:12" x14ac:dyDescent="0.25">
      <c r="A42" s="44" t="s">
        <v>1337</v>
      </c>
      <c r="B42" s="20">
        <v>1156766779291.21</v>
      </c>
      <c r="C42" s="20">
        <v>1178251917302.97</v>
      </c>
      <c r="D42" s="44">
        <f t="shared" si="0"/>
        <v>1.8573439691036666</v>
      </c>
      <c r="E42" s="39">
        <v>38</v>
      </c>
      <c r="F42" s="39">
        <v>18</v>
      </c>
      <c r="G42" s="39">
        <v>3</v>
      </c>
      <c r="H42" s="44">
        <f t="shared" si="1"/>
        <v>64.406779661016941</v>
      </c>
      <c r="I42" s="44">
        <f t="shared" si="2"/>
        <v>30.508474576271187</v>
      </c>
      <c r="J42" s="8"/>
      <c r="K42" s="8"/>
      <c r="L42" s="8"/>
    </row>
    <row r="43" spans="1:12" x14ac:dyDescent="0.25">
      <c r="A43" s="44" t="s">
        <v>1907</v>
      </c>
      <c r="B43" s="20">
        <v>638987366034.90002</v>
      </c>
      <c r="C43" s="20">
        <v>727118030290.29993</v>
      </c>
      <c r="D43" s="44">
        <f t="shared" si="0"/>
        <v>13.792238929898717</v>
      </c>
      <c r="E43" s="39">
        <v>9</v>
      </c>
      <c r="F43" s="39">
        <v>5</v>
      </c>
      <c r="G43" s="39">
        <v>0</v>
      </c>
      <c r="H43" s="44">
        <f t="shared" si="1"/>
        <v>64.285714285714292</v>
      </c>
      <c r="I43" s="44">
        <f t="shared" si="2"/>
        <v>35.714285714285715</v>
      </c>
      <c r="J43" s="8"/>
      <c r="K43" s="8"/>
      <c r="L43" s="8"/>
    </row>
    <row r="44" spans="1:12" x14ac:dyDescent="0.25">
      <c r="A44" s="44" t="s">
        <v>56</v>
      </c>
      <c r="B44" s="20">
        <v>18426158534.010002</v>
      </c>
      <c r="C44" s="20">
        <v>21146129695.099998</v>
      </c>
      <c r="D44" s="44">
        <f t="shared" si="0"/>
        <v>14.761466184444366</v>
      </c>
      <c r="E44" s="39">
        <v>7</v>
      </c>
      <c r="F44" s="39">
        <v>4</v>
      </c>
      <c r="G44" s="39">
        <v>0</v>
      </c>
      <c r="H44" s="44">
        <f t="shared" si="1"/>
        <v>63.636363636363633</v>
      </c>
      <c r="I44" s="44">
        <f t="shared" si="2"/>
        <v>36.363636363636367</v>
      </c>
      <c r="J44" s="8"/>
      <c r="K44" s="8"/>
    </row>
    <row r="45" spans="1:12" x14ac:dyDescent="0.25">
      <c r="A45" s="44" t="s">
        <v>1935</v>
      </c>
      <c r="B45" s="20">
        <v>488560477473.45001</v>
      </c>
      <c r="C45" s="20">
        <v>497832165311.25</v>
      </c>
      <c r="D45" s="44">
        <f t="shared" si="0"/>
        <v>1.8977564222443355</v>
      </c>
      <c r="E45" s="39">
        <v>5</v>
      </c>
      <c r="F45" s="39">
        <v>3</v>
      </c>
      <c r="G45" s="39">
        <v>0</v>
      </c>
      <c r="H45" s="44">
        <f t="shared" si="1"/>
        <v>62.5</v>
      </c>
      <c r="I45" s="44">
        <f t="shared" si="2"/>
        <v>37.5</v>
      </c>
      <c r="J45" s="8"/>
      <c r="K45" s="8"/>
      <c r="L45" s="8"/>
    </row>
    <row r="46" spans="1:12" x14ac:dyDescent="0.25">
      <c r="A46" s="44" t="s">
        <v>2755</v>
      </c>
      <c r="B46" s="20">
        <v>3731852108778.3398</v>
      </c>
      <c r="C46" s="20">
        <v>3805416836689.5801</v>
      </c>
      <c r="D46" s="44">
        <f t="shared" si="0"/>
        <v>1.9712658960465184</v>
      </c>
      <c r="E46" s="39">
        <v>26</v>
      </c>
      <c r="F46" s="39">
        <v>15</v>
      </c>
      <c r="G46" s="39">
        <v>1</v>
      </c>
      <c r="H46" s="44">
        <f t="shared" si="1"/>
        <v>61.904761904761905</v>
      </c>
      <c r="I46" s="44">
        <f t="shared" si="2"/>
        <v>35.714285714285715</v>
      </c>
      <c r="J46" s="8"/>
      <c r="K46" s="8"/>
      <c r="L46" s="8"/>
    </row>
    <row r="47" spans="1:12" x14ac:dyDescent="0.25">
      <c r="A47" s="44" t="s">
        <v>3793</v>
      </c>
      <c r="B47" s="20">
        <v>1183271262704.4202</v>
      </c>
      <c r="C47" s="20">
        <v>1229711721352.6799</v>
      </c>
      <c r="D47" s="44">
        <f t="shared" si="0"/>
        <v>3.9247516703919598</v>
      </c>
      <c r="E47" s="39">
        <v>3</v>
      </c>
      <c r="F47" s="39">
        <v>1</v>
      </c>
      <c r="G47" s="39">
        <v>1</v>
      </c>
      <c r="H47" s="44">
        <f t="shared" si="1"/>
        <v>60</v>
      </c>
      <c r="I47" s="44">
        <f t="shared" si="2"/>
        <v>20</v>
      </c>
      <c r="J47" s="8"/>
      <c r="K47" s="8"/>
      <c r="L47" s="8"/>
    </row>
    <row r="48" spans="1:12" x14ac:dyDescent="0.25">
      <c r="A48" s="44" t="s">
        <v>3454</v>
      </c>
      <c r="B48" s="20">
        <v>37589557078.269997</v>
      </c>
      <c r="C48" s="20">
        <v>38238706408.660004</v>
      </c>
      <c r="D48" s="44">
        <f t="shared" si="0"/>
        <v>1.7269406208706601</v>
      </c>
      <c r="E48" s="39">
        <v>3</v>
      </c>
      <c r="F48" s="39">
        <v>2</v>
      </c>
      <c r="G48" s="39">
        <v>0</v>
      </c>
      <c r="H48" s="44">
        <f t="shared" si="1"/>
        <v>60</v>
      </c>
      <c r="I48" s="44">
        <f t="shared" si="2"/>
        <v>40</v>
      </c>
      <c r="J48" s="8"/>
      <c r="K48" s="8"/>
      <c r="L48" s="8"/>
    </row>
    <row r="49" spans="1:12" x14ac:dyDescent="0.25">
      <c r="A49" s="44" t="s">
        <v>1315</v>
      </c>
      <c r="B49" s="20">
        <v>165797697122.14999</v>
      </c>
      <c r="C49" s="20">
        <v>165002779125.79999</v>
      </c>
      <c r="D49" s="44">
        <f t="shared" si="0"/>
        <v>-0.47945056544685133</v>
      </c>
      <c r="E49" s="39">
        <v>3</v>
      </c>
      <c r="F49" s="39">
        <v>2</v>
      </c>
      <c r="G49" s="39">
        <v>0</v>
      </c>
      <c r="H49" s="44">
        <f t="shared" si="1"/>
        <v>60</v>
      </c>
      <c r="I49" s="44">
        <f t="shared" si="2"/>
        <v>40</v>
      </c>
      <c r="J49" s="8"/>
      <c r="K49" s="8"/>
      <c r="L49" s="8"/>
    </row>
    <row r="50" spans="1:12" x14ac:dyDescent="0.25">
      <c r="A50" s="44" t="s">
        <v>206</v>
      </c>
      <c r="B50" s="20">
        <v>1188702800035.3401</v>
      </c>
      <c r="C50" s="20">
        <v>1169182912554.5601</v>
      </c>
      <c r="D50" s="44">
        <f t="shared" si="0"/>
        <v>-1.6421167242307921</v>
      </c>
      <c r="E50" s="39">
        <v>20</v>
      </c>
      <c r="F50" s="39">
        <v>14</v>
      </c>
      <c r="G50" s="39">
        <v>0</v>
      </c>
      <c r="H50" s="44">
        <f t="shared" si="1"/>
        <v>58.82352941176471</v>
      </c>
      <c r="I50" s="44">
        <f t="shared" si="2"/>
        <v>41.17647058823529</v>
      </c>
      <c r="J50" s="8"/>
      <c r="K50" s="8"/>
      <c r="L50" s="8"/>
    </row>
    <row r="51" spans="1:12" x14ac:dyDescent="0.25">
      <c r="A51" s="44" t="s">
        <v>2627</v>
      </c>
      <c r="B51" s="20">
        <v>561734286120.56995</v>
      </c>
      <c r="C51" s="20">
        <v>571646280839.30994</v>
      </c>
      <c r="D51" s="44">
        <f t="shared" si="0"/>
        <v>1.7645344006316348</v>
      </c>
      <c r="E51" s="39">
        <v>7</v>
      </c>
      <c r="F51" s="39">
        <v>5</v>
      </c>
      <c r="G51" s="39">
        <v>0</v>
      </c>
      <c r="H51" s="44">
        <f t="shared" si="1"/>
        <v>58.333333333333336</v>
      </c>
      <c r="I51" s="44">
        <f t="shared" si="2"/>
        <v>41.666666666666671</v>
      </c>
      <c r="J51" s="8"/>
      <c r="K51" s="8"/>
      <c r="L51" s="8"/>
    </row>
    <row r="52" spans="1:12" x14ac:dyDescent="0.25">
      <c r="A52" s="44" t="s">
        <v>3611</v>
      </c>
      <c r="B52" s="20">
        <v>199494642836.05002</v>
      </c>
      <c r="C52" s="20">
        <v>196068374505.37</v>
      </c>
      <c r="D52" s="44">
        <f t="shared" si="0"/>
        <v>-1.7174738539198875</v>
      </c>
      <c r="E52" s="39">
        <v>7</v>
      </c>
      <c r="F52" s="39">
        <v>4</v>
      </c>
      <c r="G52" s="39">
        <v>1</v>
      </c>
      <c r="H52" s="44">
        <f t="shared" si="1"/>
        <v>58.333333333333336</v>
      </c>
      <c r="I52" s="44">
        <f t="shared" si="2"/>
        <v>33.333333333333329</v>
      </c>
      <c r="J52" s="8"/>
      <c r="K52" s="8"/>
      <c r="L52" s="8"/>
    </row>
    <row r="53" spans="1:12" x14ac:dyDescent="0.25">
      <c r="A53" s="44" t="s">
        <v>67</v>
      </c>
      <c r="B53" s="20">
        <v>837870133981.54993</v>
      </c>
      <c r="C53" s="20">
        <v>839401147799.74988</v>
      </c>
      <c r="D53" s="44">
        <f t="shared" si="0"/>
        <v>0.18272686375925468</v>
      </c>
      <c r="E53" s="39">
        <v>4</v>
      </c>
      <c r="F53" s="39">
        <v>3</v>
      </c>
      <c r="G53" s="39">
        <v>0</v>
      </c>
      <c r="H53" s="44">
        <f t="shared" si="1"/>
        <v>57.142857142857139</v>
      </c>
      <c r="I53" s="44">
        <f t="shared" si="2"/>
        <v>42.857142857142854</v>
      </c>
      <c r="J53" s="8"/>
      <c r="K53" s="8"/>
      <c r="L53" s="8"/>
    </row>
    <row r="54" spans="1:12" x14ac:dyDescent="0.25">
      <c r="A54" s="44" t="s">
        <v>295</v>
      </c>
      <c r="B54" s="20">
        <v>95194605736.850006</v>
      </c>
      <c r="C54" s="20">
        <v>90075090888.350006</v>
      </c>
      <c r="D54" s="44">
        <f t="shared" si="0"/>
        <v>-5.3779463750835479</v>
      </c>
      <c r="E54" s="39">
        <v>4</v>
      </c>
      <c r="F54" s="39">
        <v>2</v>
      </c>
      <c r="G54" s="39">
        <v>1</v>
      </c>
      <c r="H54" s="44">
        <f t="shared" si="1"/>
        <v>57.142857142857139</v>
      </c>
      <c r="I54" s="44">
        <f t="shared" si="2"/>
        <v>28.571428571428569</v>
      </c>
      <c r="J54" s="8"/>
      <c r="K54" s="8"/>
      <c r="L54" s="8"/>
    </row>
    <row r="55" spans="1:12" x14ac:dyDescent="0.25">
      <c r="A55" s="44" t="s">
        <v>711</v>
      </c>
      <c r="B55" s="20">
        <v>366649791832.06995</v>
      </c>
      <c r="C55" s="20">
        <v>400173280068.28998</v>
      </c>
      <c r="D55" s="44">
        <f t="shared" si="0"/>
        <v>9.1431903093986211</v>
      </c>
      <c r="E55" s="39">
        <v>13</v>
      </c>
      <c r="F55" s="39">
        <v>9</v>
      </c>
      <c r="G55" s="39">
        <v>1</v>
      </c>
      <c r="H55" s="44">
        <f t="shared" si="1"/>
        <v>56.521739130434781</v>
      </c>
      <c r="I55" s="44">
        <f t="shared" si="2"/>
        <v>39.130434782608695</v>
      </c>
      <c r="J55" s="8"/>
      <c r="K55" s="8"/>
      <c r="L55" s="8"/>
    </row>
    <row r="56" spans="1:12" x14ac:dyDescent="0.25">
      <c r="A56" s="44" t="s">
        <v>1606</v>
      </c>
      <c r="B56" s="20">
        <v>213917333417.20999</v>
      </c>
      <c r="C56" s="20">
        <v>231126976289.13</v>
      </c>
      <c r="D56" s="44">
        <f t="shared" si="0"/>
        <v>8.0449969139973732</v>
      </c>
      <c r="E56" s="39">
        <v>5</v>
      </c>
      <c r="F56" s="39">
        <v>3</v>
      </c>
      <c r="G56" s="39">
        <v>1</v>
      </c>
      <c r="H56" s="44">
        <f t="shared" si="1"/>
        <v>55.555555555555557</v>
      </c>
      <c r="I56" s="44">
        <f t="shared" si="2"/>
        <v>33.333333333333329</v>
      </c>
      <c r="J56" s="8"/>
      <c r="K56" s="8"/>
      <c r="L56" s="8"/>
    </row>
    <row r="57" spans="1:12" x14ac:dyDescent="0.25">
      <c r="A57" s="44" t="s">
        <v>1501</v>
      </c>
      <c r="B57" s="20">
        <v>771682391685.02014</v>
      </c>
      <c r="C57" s="20">
        <v>811206191676.41992</v>
      </c>
      <c r="D57" s="44">
        <f t="shared" si="0"/>
        <v>5.1217703575038058</v>
      </c>
      <c r="E57" s="39">
        <v>5</v>
      </c>
      <c r="F57" s="39">
        <v>4</v>
      </c>
      <c r="G57" s="39">
        <v>0</v>
      </c>
      <c r="H57" s="44">
        <f t="shared" si="1"/>
        <v>55.555555555555557</v>
      </c>
      <c r="I57" s="44">
        <f t="shared" si="2"/>
        <v>44.444444444444443</v>
      </c>
      <c r="J57" s="8"/>
      <c r="K57" s="8"/>
      <c r="L57" s="8"/>
    </row>
    <row r="58" spans="1:12" x14ac:dyDescent="0.25">
      <c r="A58" s="44" t="s">
        <v>1376</v>
      </c>
      <c r="B58" s="20">
        <v>920694894858.27002</v>
      </c>
      <c r="C58" s="20">
        <v>956617546557.33997</v>
      </c>
      <c r="D58" s="44">
        <f t="shared" si="0"/>
        <v>3.9016890285461838</v>
      </c>
      <c r="E58" s="39">
        <v>10</v>
      </c>
      <c r="F58" s="39">
        <v>8</v>
      </c>
      <c r="G58" s="39">
        <v>0</v>
      </c>
      <c r="H58" s="44">
        <f t="shared" si="1"/>
        <v>55.555555555555557</v>
      </c>
      <c r="I58" s="44">
        <f t="shared" si="2"/>
        <v>44.444444444444443</v>
      </c>
      <c r="J58" s="8"/>
      <c r="K58" s="8"/>
      <c r="L58" s="8"/>
    </row>
    <row r="59" spans="1:12" x14ac:dyDescent="0.25">
      <c r="A59" s="44" t="s">
        <v>1453</v>
      </c>
      <c r="B59" s="20">
        <v>459572457864.79999</v>
      </c>
      <c r="C59" s="20">
        <v>471305277390.29004</v>
      </c>
      <c r="D59" s="44">
        <f t="shared" si="0"/>
        <v>2.5529857859631981</v>
      </c>
      <c r="E59" s="39">
        <v>5</v>
      </c>
      <c r="F59" s="39">
        <v>4</v>
      </c>
      <c r="G59" s="39">
        <v>0</v>
      </c>
      <c r="H59" s="44">
        <f t="shared" si="1"/>
        <v>55.555555555555557</v>
      </c>
      <c r="I59" s="44">
        <f t="shared" si="2"/>
        <v>44.444444444444443</v>
      </c>
      <c r="J59" s="8"/>
      <c r="K59" s="8"/>
      <c r="L59" s="8"/>
    </row>
    <row r="60" spans="1:12" x14ac:dyDescent="0.25">
      <c r="A60" s="44" t="s">
        <v>3683</v>
      </c>
      <c r="B60" s="20">
        <v>5185757404833.7314</v>
      </c>
      <c r="C60" s="20">
        <v>5713113975154.7207</v>
      </c>
      <c r="D60" s="44">
        <f t="shared" si="0"/>
        <v>10.16932588920244</v>
      </c>
      <c r="E60" s="39">
        <v>21</v>
      </c>
      <c r="F60" s="39">
        <v>17</v>
      </c>
      <c r="G60" s="39">
        <v>0</v>
      </c>
      <c r="H60" s="44">
        <f t="shared" si="1"/>
        <v>55.26315789473685</v>
      </c>
      <c r="I60" s="44">
        <f t="shared" si="2"/>
        <v>44.736842105263158</v>
      </c>
      <c r="J60" s="8"/>
      <c r="K60" s="8"/>
      <c r="L60" s="8"/>
    </row>
    <row r="61" spans="1:12" x14ac:dyDescent="0.25">
      <c r="A61" s="44" t="s">
        <v>3369</v>
      </c>
      <c r="B61" s="20">
        <v>54652407578.460007</v>
      </c>
      <c r="C61" s="20">
        <v>58748896144.950005</v>
      </c>
      <c r="D61" s="44">
        <f t="shared" si="0"/>
        <v>7.4955317578809373</v>
      </c>
      <c r="E61" s="39">
        <v>11</v>
      </c>
      <c r="F61" s="39">
        <v>7</v>
      </c>
      <c r="G61" s="39">
        <v>2</v>
      </c>
      <c r="H61" s="44">
        <f t="shared" si="1"/>
        <v>55.000000000000007</v>
      </c>
      <c r="I61" s="44">
        <f t="shared" si="2"/>
        <v>35</v>
      </c>
      <c r="J61" s="8"/>
      <c r="K61" s="8"/>
      <c r="L61" s="8"/>
    </row>
    <row r="62" spans="1:12" x14ac:dyDescent="0.25">
      <c r="A62" s="44" t="s">
        <v>1001</v>
      </c>
      <c r="B62" s="20">
        <v>1228222784826.8899</v>
      </c>
      <c r="C62" s="20">
        <v>1251861260047.3101</v>
      </c>
      <c r="D62" s="44">
        <f t="shared" si="0"/>
        <v>1.924608101432661</v>
      </c>
      <c r="E62" s="39">
        <v>6</v>
      </c>
      <c r="F62" s="39">
        <v>5</v>
      </c>
      <c r="G62" s="39">
        <v>0</v>
      </c>
      <c r="H62" s="44">
        <f t="shared" si="1"/>
        <v>54.54545454545454</v>
      </c>
      <c r="I62" s="44">
        <f t="shared" si="2"/>
        <v>45.454545454545453</v>
      </c>
      <c r="J62" s="8"/>
      <c r="K62" s="8"/>
      <c r="L62" s="8"/>
    </row>
    <row r="63" spans="1:12" x14ac:dyDescent="0.25">
      <c r="A63" s="44" t="s">
        <v>3872</v>
      </c>
      <c r="B63" s="20">
        <v>726283472853.8999</v>
      </c>
      <c r="C63" s="20">
        <v>725811509008.24011</v>
      </c>
      <c r="D63" s="44">
        <f t="shared" si="0"/>
        <v>-6.4983420840519501E-2</v>
      </c>
      <c r="E63" s="39">
        <v>12</v>
      </c>
      <c r="F63" s="39">
        <v>9</v>
      </c>
      <c r="G63" s="39">
        <v>1</v>
      </c>
      <c r="H63" s="44">
        <f t="shared" si="1"/>
        <v>54.54545454545454</v>
      </c>
      <c r="I63" s="44">
        <f t="shared" si="2"/>
        <v>40.909090909090914</v>
      </c>
      <c r="J63" s="8"/>
      <c r="K63" s="8"/>
      <c r="L63" s="8"/>
    </row>
    <row r="64" spans="1:12" x14ac:dyDescent="0.25">
      <c r="A64" s="44" t="s">
        <v>4036</v>
      </c>
      <c r="B64" s="20">
        <v>175702622641.56003</v>
      </c>
      <c r="C64" s="20">
        <v>177694365455.79001</v>
      </c>
      <c r="D64" s="44">
        <f t="shared" si="0"/>
        <v>1.1335874128032857</v>
      </c>
      <c r="E64" s="39">
        <v>14</v>
      </c>
      <c r="F64" s="39">
        <v>11</v>
      </c>
      <c r="G64" s="39">
        <v>1</v>
      </c>
      <c r="H64" s="44">
        <f t="shared" si="1"/>
        <v>53.846153846153847</v>
      </c>
      <c r="I64" s="44">
        <f t="shared" si="2"/>
        <v>42.307692307692307</v>
      </c>
      <c r="J64" s="8"/>
      <c r="K64" s="8"/>
      <c r="L64" s="8"/>
    </row>
    <row r="65" spans="1:12" x14ac:dyDescent="0.25">
      <c r="A65" s="44" t="s">
        <v>1685</v>
      </c>
      <c r="B65" s="20">
        <v>335708912633.42999</v>
      </c>
      <c r="C65" s="20">
        <v>342388467148.27991</v>
      </c>
      <c r="D65" s="44">
        <f t="shared" si="0"/>
        <v>1.9896863811130057</v>
      </c>
      <c r="E65" s="39">
        <v>29</v>
      </c>
      <c r="F65" s="39">
        <v>23</v>
      </c>
      <c r="G65" s="39">
        <v>2</v>
      </c>
      <c r="H65" s="44">
        <f t="shared" si="1"/>
        <v>53.703703703703709</v>
      </c>
      <c r="I65" s="44">
        <f t="shared" si="2"/>
        <v>42.592592592592595</v>
      </c>
      <c r="J65" s="8"/>
      <c r="K65" s="8"/>
      <c r="L65" s="8"/>
    </row>
    <row r="66" spans="1:12" x14ac:dyDescent="0.25">
      <c r="A66" s="44" t="s">
        <v>3561</v>
      </c>
      <c r="B66" s="20">
        <v>349615715914.06012</v>
      </c>
      <c r="C66" s="20">
        <v>384454246899.38995</v>
      </c>
      <c r="D66" s="44">
        <f t="shared" si="0"/>
        <v>9.9648069006982443</v>
      </c>
      <c r="E66" s="39">
        <v>26</v>
      </c>
      <c r="F66" s="39">
        <v>21</v>
      </c>
      <c r="G66" s="39">
        <v>2</v>
      </c>
      <c r="H66" s="44">
        <f t="shared" si="1"/>
        <v>53.061224489795919</v>
      </c>
      <c r="I66" s="44">
        <f t="shared" si="2"/>
        <v>42.857142857142854</v>
      </c>
      <c r="J66" s="8"/>
      <c r="K66" s="8"/>
      <c r="L66" s="8"/>
    </row>
    <row r="67" spans="1:12" x14ac:dyDescent="0.25">
      <c r="A67" s="44" t="s">
        <v>858</v>
      </c>
      <c r="B67" s="20">
        <v>4441221903292.8408</v>
      </c>
      <c r="C67" s="20">
        <v>4608982743191.8691</v>
      </c>
      <c r="D67" s="44">
        <f t="shared" si="0"/>
        <v>3.777357753159011</v>
      </c>
      <c r="E67" s="39">
        <v>81</v>
      </c>
      <c r="F67" s="39">
        <v>62</v>
      </c>
      <c r="G67" s="39">
        <v>11</v>
      </c>
      <c r="H67" s="44">
        <f t="shared" si="1"/>
        <v>52.597402597402599</v>
      </c>
      <c r="I67" s="44">
        <f t="shared" si="2"/>
        <v>40.259740259740262</v>
      </c>
      <c r="J67" s="8"/>
      <c r="K67" s="8"/>
      <c r="L67" s="8"/>
    </row>
    <row r="68" spans="1:12" x14ac:dyDescent="0.25">
      <c r="A68" s="44" t="s">
        <v>356</v>
      </c>
      <c r="B68" s="20">
        <v>3447047515071.0103</v>
      </c>
      <c r="C68" s="20">
        <v>3478137613838.9595</v>
      </c>
      <c r="D68" s="44">
        <f t="shared" si="0"/>
        <v>0.90193415182177294</v>
      </c>
      <c r="E68" s="39">
        <v>39</v>
      </c>
      <c r="F68" s="39">
        <v>30</v>
      </c>
      <c r="G68" s="39">
        <v>6</v>
      </c>
      <c r="H68" s="44">
        <f t="shared" si="1"/>
        <v>52</v>
      </c>
      <c r="I68" s="44">
        <f t="shared" si="2"/>
        <v>40</v>
      </c>
      <c r="J68" s="69" t="s">
        <v>4418</v>
      </c>
      <c r="K68" s="67"/>
      <c r="L68" s="67"/>
    </row>
    <row r="69" spans="1:12" x14ac:dyDescent="0.25">
      <c r="A69" s="44" t="s">
        <v>3110</v>
      </c>
      <c r="B69" s="20">
        <v>1411736706546.5002</v>
      </c>
      <c r="C69" s="20">
        <v>1436652010913.4102</v>
      </c>
      <c r="D69" s="44">
        <f t="shared" si="0"/>
        <v>1.7648690617289156</v>
      </c>
      <c r="E69" s="39">
        <v>20</v>
      </c>
      <c r="F69" s="39">
        <v>16</v>
      </c>
      <c r="G69" s="39">
        <v>3</v>
      </c>
      <c r="H69" s="44">
        <f t="shared" si="1"/>
        <v>51.282051282051277</v>
      </c>
      <c r="I69" s="44">
        <f t="shared" si="2"/>
        <v>41.025641025641022</v>
      </c>
      <c r="J69" s="69" t="s">
        <v>4419</v>
      </c>
      <c r="K69" s="67"/>
      <c r="L69" s="8"/>
    </row>
    <row r="70" spans="1:12" x14ac:dyDescent="0.25">
      <c r="A70" s="44" t="s">
        <v>3906</v>
      </c>
      <c r="B70" s="20">
        <v>502471315802.12006</v>
      </c>
      <c r="C70" s="20">
        <v>523134255632.46008</v>
      </c>
      <c r="D70" s="44">
        <f t="shared" si="0"/>
        <v>4.1122625671387318</v>
      </c>
      <c r="E70" s="39">
        <v>22</v>
      </c>
      <c r="F70" s="39">
        <v>19</v>
      </c>
      <c r="G70" s="39">
        <v>2</v>
      </c>
      <c r="H70" s="44">
        <f t="shared" si="1"/>
        <v>51.162790697674424</v>
      </c>
      <c r="I70" s="44">
        <f t="shared" si="2"/>
        <v>44.186046511627907</v>
      </c>
      <c r="J70" s="8"/>
      <c r="K70" s="8"/>
      <c r="L70" s="8"/>
    </row>
    <row r="71" spans="1:12" x14ac:dyDescent="0.25">
      <c r="A71" s="44" t="s">
        <v>13</v>
      </c>
      <c r="B71" s="20">
        <v>11379877649024.18</v>
      </c>
      <c r="C71" s="20">
        <v>11633515793663</v>
      </c>
      <c r="D71" s="44">
        <f t="shared" si="0"/>
        <v>2.2288301549583855</v>
      </c>
      <c r="E71" s="39">
        <v>141</v>
      </c>
      <c r="F71" s="39">
        <v>104</v>
      </c>
      <c r="G71" s="39">
        <v>32</v>
      </c>
      <c r="H71" s="44">
        <f t="shared" si="1"/>
        <v>50.902527075812273</v>
      </c>
      <c r="I71" s="44">
        <f t="shared" si="2"/>
        <v>37.545126353790614</v>
      </c>
      <c r="J71" s="69" t="s">
        <v>4420</v>
      </c>
      <c r="K71" s="67"/>
      <c r="L71" s="8"/>
    </row>
    <row r="72" spans="1:12" x14ac:dyDescent="0.25">
      <c r="A72" s="44" t="s">
        <v>3672</v>
      </c>
      <c r="B72" s="20">
        <v>8424672544.2999992</v>
      </c>
      <c r="C72" s="20">
        <v>10659311002.630001</v>
      </c>
      <c r="D72" s="44">
        <f t="shared" si="0"/>
        <v>26.524929563486989</v>
      </c>
      <c r="E72" s="39">
        <v>2</v>
      </c>
      <c r="F72" s="39">
        <v>2</v>
      </c>
      <c r="G72" s="39">
        <v>0</v>
      </c>
      <c r="H72" s="44">
        <f t="shared" si="1"/>
        <v>50</v>
      </c>
      <c r="I72" s="44">
        <f t="shared" si="2"/>
        <v>50</v>
      </c>
      <c r="J72" s="8"/>
      <c r="K72" s="8"/>
      <c r="L72" s="8"/>
    </row>
    <row r="73" spans="1:12" x14ac:dyDescent="0.25">
      <c r="A73" s="44" t="s">
        <v>2671</v>
      </c>
      <c r="B73" s="20">
        <v>295078570412.88</v>
      </c>
      <c r="C73" s="20">
        <v>369118654377.06</v>
      </c>
      <c r="D73" s="44">
        <f t="shared" si="0"/>
        <v>25.091650627350397</v>
      </c>
      <c r="E73" s="39">
        <v>6</v>
      </c>
      <c r="F73" s="39">
        <v>5</v>
      </c>
      <c r="G73" s="39">
        <v>1</v>
      </c>
      <c r="H73" s="44">
        <f t="shared" si="1"/>
        <v>50</v>
      </c>
      <c r="I73" s="44">
        <f t="shared" si="2"/>
        <v>41.666666666666671</v>
      </c>
      <c r="J73" s="8"/>
      <c r="K73" s="8"/>
      <c r="L73" s="8"/>
    </row>
    <row r="74" spans="1:12" x14ac:dyDescent="0.25">
      <c r="A74" s="44" t="s">
        <v>876</v>
      </c>
      <c r="B74" s="20">
        <v>760131562.54999995</v>
      </c>
      <c r="C74" s="20">
        <v>839744340.51999998</v>
      </c>
      <c r="D74" s="44">
        <f t="shared" si="0"/>
        <v>10.473552460172085</v>
      </c>
      <c r="E74" s="39">
        <v>2</v>
      </c>
      <c r="F74" s="39">
        <v>1</v>
      </c>
      <c r="G74" s="39">
        <v>1</v>
      </c>
      <c r="H74" s="44">
        <f t="shared" si="1"/>
        <v>50</v>
      </c>
      <c r="I74" s="44">
        <f t="shared" si="2"/>
        <v>25</v>
      </c>
      <c r="J74" s="8"/>
      <c r="K74" s="8"/>
      <c r="L74" s="8"/>
    </row>
    <row r="75" spans="1:12" x14ac:dyDescent="0.25">
      <c r="A75" s="44" t="s">
        <v>4053</v>
      </c>
      <c r="B75" s="20">
        <v>17642644851.5</v>
      </c>
      <c r="C75" s="20">
        <v>18707474809.400002</v>
      </c>
      <c r="D75" s="44">
        <f t="shared" si="0"/>
        <v>6.0355460695535585</v>
      </c>
      <c r="E75" s="39">
        <v>2</v>
      </c>
      <c r="F75" s="39">
        <v>2</v>
      </c>
      <c r="G75" s="39">
        <v>0</v>
      </c>
      <c r="H75" s="44">
        <f t="shared" si="1"/>
        <v>50</v>
      </c>
      <c r="I75" s="44">
        <f t="shared" si="2"/>
        <v>50</v>
      </c>
      <c r="J75" s="8"/>
      <c r="K75" s="8"/>
      <c r="L75" s="8"/>
    </row>
    <row r="76" spans="1:12" x14ac:dyDescent="0.25">
      <c r="A76" s="44" t="s">
        <v>166</v>
      </c>
      <c r="B76" s="20">
        <v>560176188376.19995</v>
      </c>
      <c r="C76" s="20">
        <v>580972979743.1499</v>
      </c>
      <c r="D76" s="44">
        <f t="shared" si="0"/>
        <v>3.7125446954884413</v>
      </c>
      <c r="E76" s="39">
        <v>2</v>
      </c>
      <c r="F76" s="39">
        <v>2</v>
      </c>
      <c r="G76" s="39">
        <v>0</v>
      </c>
      <c r="H76" s="44">
        <f t="shared" si="1"/>
        <v>50</v>
      </c>
      <c r="I76" s="44">
        <f t="shared" si="2"/>
        <v>50</v>
      </c>
      <c r="J76" s="8"/>
      <c r="K76" s="8"/>
      <c r="L76" s="8"/>
    </row>
    <row r="77" spans="1:12" x14ac:dyDescent="0.25">
      <c r="A77" s="44" t="s">
        <v>2594</v>
      </c>
      <c r="B77" s="20">
        <v>4248560515.75</v>
      </c>
      <c r="C77" s="20">
        <v>4397145796</v>
      </c>
      <c r="D77" s="44">
        <f t="shared" si="0"/>
        <v>3.4973087872745099</v>
      </c>
      <c r="E77" s="39">
        <v>4</v>
      </c>
      <c r="F77" s="39">
        <v>4</v>
      </c>
      <c r="G77" s="39">
        <v>0</v>
      </c>
      <c r="H77" s="44">
        <f t="shared" si="1"/>
        <v>50</v>
      </c>
      <c r="I77" s="44">
        <f t="shared" si="2"/>
        <v>50</v>
      </c>
      <c r="J77" s="8"/>
      <c r="K77" s="8"/>
      <c r="L77" s="8"/>
    </row>
    <row r="78" spans="1:12" x14ac:dyDescent="0.25">
      <c r="A78" s="44" t="s">
        <v>4016</v>
      </c>
      <c r="B78" s="20">
        <v>1752226800996.1899</v>
      </c>
      <c r="C78" s="20">
        <v>1801793582945.95</v>
      </c>
      <c r="D78" s="44">
        <f t="shared" si="0"/>
        <v>2.8287880268456065</v>
      </c>
      <c r="E78" s="39">
        <v>2</v>
      </c>
      <c r="F78" s="39">
        <v>2</v>
      </c>
      <c r="G78" s="39">
        <v>0</v>
      </c>
      <c r="H78" s="44">
        <f t="shared" si="1"/>
        <v>50</v>
      </c>
      <c r="I78" s="44">
        <f t="shared" si="2"/>
        <v>50</v>
      </c>
      <c r="J78" s="8"/>
      <c r="K78" s="8"/>
      <c r="L78" s="8"/>
    </row>
    <row r="79" spans="1:12" x14ac:dyDescent="0.25">
      <c r="A79" s="44" t="s">
        <v>677</v>
      </c>
      <c r="B79" s="20">
        <v>342202913791.81</v>
      </c>
      <c r="C79" s="20">
        <v>351717868200.52997</v>
      </c>
      <c r="D79" s="44">
        <f t="shared" si="0"/>
        <v>2.7805006986318928</v>
      </c>
      <c r="E79" s="39">
        <v>4</v>
      </c>
      <c r="F79" s="39">
        <v>4</v>
      </c>
      <c r="G79" s="39">
        <v>0</v>
      </c>
      <c r="H79" s="44">
        <f t="shared" si="1"/>
        <v>50</v>
      </c>
      <c r="I79" s="44">
        <f t="shared" si="2"/>
        <v>50</v>
      </c>
      <c r="J79" s="8"/>
      <c r="K79" s="8"/>
      <c r="L79" s="8"/>
    </row>
    <row r="80" spans="1:12" x14ac:dyDescent="0.25">
      <c r="A80" s="44" t="s">
        <v>4033</v>
      </c>
      <c r="B80" s="20">
        <v>2875718291507.2998</v>
      </c>
      <c r="C80" s="20">
        <v>2950597166297.0498</v>
      </c>
      <c r="D80" s="44">
        <f t="shared" si="0"/>
        <v>2.6038320586159518</v>
      </c>
      <c r="E80" s="39">
        <v>2</v>
      </c>
      <c r="F80" s="39">
        <v>2</v>
      </c>
      <c r="G80" s="39">
        <v>0</v>
      </c>
      <c r="H80" s="44">
        <f t="shared" si="1"/>
        <v>50</v>
      </c>
      <c r="I80" s="44">
        <f t="shared" si="2"/>
        <v>50</v>
      </c>
      <c r="J80" s="8"/>
      <c r="K80" s="8"/>
      <c r="L80" s="8"/>
    </row>
    <row r="81" spans="1:12" x14ac:dyDescent="0.25">
      <c r="A81" s="44" t="s">
        <v>2778</v>
      </c>
      <c r="B81" s="20">
        <v>3456909056.25</v>
      </c>
      <c r="C81" s="20">
        <v>3517100341.0800004</v>
      </c>
      <c r="D81" s="44">
        <f t="shared" si="0"/>
        <v>1.7411879760381936</v>
      </c>
      <c r="E81" s="39">
        <v>1</v>
      </c>
      <c r="F81" s="39">
        <v>1</v>
      </c>
      <c r="G81" s="39">
        <v>0</v>
      </c>
      <c r="H81" s="44">
        <f t="shared" si="1"/>
        <v>50</v>
      </c>
      <c r="I81" s="44">
        <f t="shared" si="2"/>
        <v>50</v>
      </c>
      <c r="J81" s="8"/>
      <c r="K81" s="8"/>
      <c r="L81" s="8"/>
    </row>
    <row r="82" spans="1:12" x14ac:dyDescent="0.25">
      <c r="A82" s="44" t="s">
        <v>3976</v>
      </c>
      <c r="B82" s="20">
        <v>1328583513474.8</v>
      </c>
      <c r="C82" s="20">
        <v>1349986099467.1101</v>
      </c>
      <c r="D82" s="44">
        <f t="shared" si="0"/>
        <v>1.6109326794469525</v>
      </c>
      <c r="E82" s="39">
        <v>9</v>
      </c>
      <c r="F82" s="39">
        <v>8</v>
      </c>
      <c r="G82" s="39">
        <v>1</v>
      </c>
      <c r="H82" s="44">
        <f t="shared" si="1"/>
        <v>50</v>
      </c>
      <c r="I82" s="44">
        <f t="shared" si="2"/>
        <v>44.444444444444443</v>
      </c>
      <c r="J82" s="8"/>
      <c r="K82" s="8"/>
      <c r="L82" s="8"/>
    </row>
    <row r="83" spans="1:12" x14ac:dyDescent="0.25">
      <c r="A83" s="44" t="s">
        <v>3883</v>
      </c>
      <c r="B83" s="20">
        <v>465679023800.09998</v>
      </c>
      <c r="C83" s="20">
        <v>470898396824.04999</v>
      </c>
      <c r="D83" s="44">
        <f t="shared" si="0"/>
        <v>1.1208091318690165</v>
      </c>
      <c r="E83" s="39">
        <v>2</v>
      </c>
      <c r="F83" s="39">
        <v>2</v>
      </c>
      <c r="G83" s="39">
        <v>0</v>
      </c>
      <c r="H83" s="44">
        <f t="shared" si="1"/>
        <v>50</v>
      </c>
      <c r="I83" s="44">
        <f t="shared" si="2"/>
        <v>50</v>
      </c>
      <c r="J83" s="8"/>
      <c r="K83" s="8"/>
      <c r="L83" s="8"/>
    </row>
    <row r="84" spans="1:12" x14ac:dyDescent="0.25">
      <c r="A84" s="44" t="s">
        <v>1807</v>
      </c>
      <c r="B84" s="20">
        <v>1471771355332.7498</v>
      </c>
      <c r="C84" s="20">
        <v>1484683602685.9199</v>
      </c>
      <c r="D84" s="44">
        <f t="shared" si="0"/>
        <v>0.87732699147761739</v>
      </c>
      <c r="E84" s="39">
        <v>9</v>
      </c>
      <c r="F84" s="39">
        <v>9</v>
      </c>
      <c r="G84" s="39">
        <v>0</v>
      </c>
      <c r="H84" s="44">
        <f t="shared" si="1"/>
        <v>50</v>
      </c>
      <c r="I84" s="44">
        <f t="shared" si="2"/>
        <v>50</v>
      </c>
      <c r="J84" s="8"/>
      <c r="K84" s="8"/>
      <c r="L84" s="8"/>
    </row>
    <row r="85" spans="1:12" x14ac:dyDescent="0.25">
      <c r="A85" s="44" t="s">
        <v>3772</v>
      </c>
      <c r="B85" s="20">
        <v>753204632247.01001</v>
      </c>
      <c r="C85" s="20">
        <v>755209196072.71997</v>
      </c>
      <c r="D85" s="44">
        <f t="shared" si="0"/>
        <v>0.26613801082579819</v>
      </c>
      <c r="E85" s="39">
        <v>3</v>
      </c>
      <c r="F85" s="39">
        <v>3</v>
      </c>
      <c r="G85" s="39">
        <v>0</v>
      </c>
      <c r="H85" s="44">
        <f t="shared" si="1"/>
        <v>50</v>
      </c>
      <c r="I85" s="44">
        <f t="shared" si="2"/>
        <v>50</v>
      </c>
      <c r="J85" s="8"/>
      <c r="K85" s="8"/>
      <c r="L85" s="8"/>
    </row>
    <row r="86" spans="1:12" x14ac:dyDescent="0.25">
      <c r="A86" s="44" t="s">
        <v>3262</v>
      </c>
      <c r="B86" s="20">
        <v>1462931495131.2998</v>
      </c>
      <c r="C86" s="20">
        <v>1462992236178.45</v>
      </c>
      <c r="D86" s="44">
        <f t="shared" si="0"/>
        <v>4.1520089869071346E-3</v>
      </c>
      <c r="E86" s="39">
        <v>3</v>
      </c>
      <c r="F86" s="39">
        <v>3</v>
      </c>
      <c r="G86" s="39">
        <v>0</v>
      </c>
      <c r="H86" s="44">
        <f t="shared" si="1"/>
        <v>50</v>
      </c>
      <c r="I86" s="44">
        <f t="shared" si="2"/>
        <v>50</v>
      </c>
      <c r="J86" s="8"/>
      <c r="K86" s="8"/>
      <c r="L86" s="8"/>
    </row>
    <row r="87" spans="1:12" x14ac:dyDescent="0.25">
      <c r="A87" s="44" t="s">
        <v>833</v>
      </c>
      <c r="B87" s="20">
        <v>329952720284.52002</v>
      </c>
      <c r="C87" s="20">
        <v>328206428064.81995</v>
      </c>
      <c r="D87" s="44">
        <f t="shared" si="0"/>
        <v>-0.52925528790738141</v>
      </c>
      <c r="E87" s="39">
        <v>2</v>
      </c>
      <c r="F87" s="39">
        <v>2</v>
      </c>
      <c r="G87" s="39">
        <v>0</v>
      </c>
      <c r="H87" s="44">
        <f t="shared" si="1"/>
        <v>50</v>
      </c>
      <c r="I87" s="44">
        <f t="shared" si="2"/>
        <v>50</v>
      </c>
      <c r="J87" s="8"/>
      <c r="K87" s="8"/>
      <c r="L87" s="8"/>
    </row>
    <row r="88" spans="1:12" x14ac:dyDescent="0.25">
      <c r="A88" s="44" t="s">
        <v>642</v>
      </c>
      <c r="B88" s="20">
        <v>1628561962447.95</v>
      </c>
      <c r="C88" s="20">
        <v>1614330446736.2002</v>
      </c>
      <c r="D88" s="44">
        <f t="shared" si="0"/>
        <v>-0.87387007924204818</v>
      </c>
      <c r="E88" s="39">
        <v>2</v>
      </c>
      <c r="F88" s="39">
        <v>2</v>
      </c>
      <c r="G88" s="39">
        <v>0</v>
      </c>
      <c r="H88" s="44">
        <f t="shared" si="1"/>
        <v>50</v>
      </c>
      <c r="I88" s="44">
        <f t="shared" si="2"/>
        <v>50</v>
      </c>
      <c r="J88" s="8"/>
      <c r="K88" s="8"/>
      <c r="L88" s="8"/>
    </row>
    <row r="89" spans="1:12" x14ac:dyDescent="0.25">
      <c r="A89" s="44" t="s">
        <v>3900</v>
      </c>
      <c r="B89" s="20">
        <v>279519741622.73004</v>
      </c>
      <c r="C89" s="20">
        <v>277055670108.15997</v>
      </c>
      <c r="D89" s="44">
        <f t="shared" si="0"/>
        <v>-0.88153756162806018</v>
      </c>
      <c r="E89" s="39">
        <v>2</v>
      </c>
      <c r="F89" s="39">
        <v>2</v>
      </c>
      <c r="G89" s="39">
        <v>0</v>
      </c>
      <c r="H89" s="44">
        <f t="shared" si="1"/>
        <v>50</v>
      </c>
      <c r="I89" s="44">
        <f t="shared" si="2"/>
        <v>50</v>
      </c>
      <c r="J89" s="8"/>
      <c r="K89" s="8"/>
      <c r="L89" s="8"/>
    </row>
    <row r="90" spans="1:12" x14ac:dyDescent="0.25">
      <c r="A90" s="44" t="s">
        <v>758</v>
      </c>
      <c r="B90" s="20">
        <v>79503786586.199997</v>
      </c>
      <c r="C90" s="20">
        <v>78669001506.300003</v>
      </c>
      <c r="D90" s="44">
        <f t="shared" si="0"/>
        <v>-1.0499941144248508</v>
      </c>
      <c r="E90" s="39">
        <v>1</v>
      </c>
      <c r="F90" s="39">
        <v>1</v>
      </c>
      <c r="G90" s="39">
        <v>0</v>
      </c>
      <c r="H90" s="44">
        <f t="shared" si="1"/>
        <v>50</v>
      </c>
      <c r="I90" s="44">
        <f t="shared" si="2"/>
        <v>50</v>
      </c>
      <c r="J90" s="8"/>
      <c r="K90" s="8"/>
      <c r="L90" s="8"/>
    </row>
    <row r="91" spans="1:12" x14ac:dyDescent="0.25">
      <c r="A91" s="44" t="s">
        <v>3361</v>
      </c>
      <c r="B91" s="20">
        <v>171518035820.60001</v>
      </c>
      <c r="C91" s="20">
        <v>169146466782.75</v>
      </c>
      <c r="D91" s="44">
        <f t="shared" si="0"/>
        <v>-1.3826936779584851</v>
      </c>
      <c r="E91" s="39">
        <v>4</v>
      </c>
      <c r="F91" s="39">
        <v>3</v>
      </c>
      <c r="G91" s="39">
        <v>1</v>
      </c>
      <c r="H91" s="44">
        <f t="shared" si="1"/>
        <v>50</v>
      </c>
      <c r="I91" s="44">
        <f t="shared" si="2"/>
        <v>37.5</v>
      </c>
      <c r="J91" s="8"/>
      <c r="K91" s="8"/>
      <c r="L91" s="8"/>
    </row>
    <row r="92" spans="1:12" x14ac:dyDescent="0.25">
      <c r="A92" s="44" t="s">
        <v>850</v>
      </c>
      <c r="B92" s="20">
        <v>519409849306.73999</v>
      </c>
      <c r="C92" s="20">
        <v>511822568596.78003</v>
      </c>
      <c r="D92" s="44">
        <f t="shared" si="0"/>
        <v>-1.4607502572557602</v>
      </c>
      <c r="E92" s="39">
        <v>3</v>
      </c>
      <c r="F92" s="39">
        <v>3</v>
      </c>
      <c r="G92" s="39">
        <v>0</v>
      </c>
      <c r="H92" s="44">
        <f t="shared" si="1"/>
        <v>50</v>
      </c>
      <c r="I92" s="44">
        <f t="shared" si="2"/>
        <v>50</v>
      </c>
      <c r="J92" s="8"/>
      <c r="K92" s="8"/>
      <c r="L92" s="8"/>
    </row>
    <row r="93" spans="1:12" x14ac:dyDescent="0.25">
      <c r="A93" s="44" t="s">
        <v>3140</v>
      </c>
      <c r="B93" s="20">
        <v>2523815680056.25</v>
      </c>
      <c r="C93" s="20">
        <v>2470320297301.2896</v>
      </c>
      <c r="D93" s="44">
        <f t="shared" si="0"/>
        <v>-2.1196232029816122</v>
      </c>
      <c r="E93" s="39">
        <v>6</v>
      </c>
      <c r="F93" s="39">
        <v>6</v>
      </c>
      <c r="G93" s="39">
        <v>0</v>
      </c>
      <c r="H93" s="44">
        <f t="shared" si="1"/>
        <v>50</v>
      </c>
      <c r="I93" s="44">
        <f t="shared" si="2"/>
        <v>50</v>
      </c>
      <c r="J93" s="8"/>
      <c r="K93" s="8"/>
      <c r="L93" s="8"/>
    </row>
    <row r="94" spans="1:12" x14ac:dyDescent="0.25">
      <c r="A94" s="44" t="s">
        <v>1351</v>
      </c>
      <c r="B94" s="20">
        <v>44050853712.800003</v>
      </c>
      <c r="C94" s="20">
        <v>42866081615</v>
      </c>
      <c r="D94" s="44">
        <f t="shared" si="0"/>
        <v>-2.6895553614565699</v>
      </c>
      <c r="E94" s="39">
        <v>3</v>
      </c>
      <c r="F94" s="39">
        <v>3</v>
      </c>
      <c r="G94" s="39">
        <v>0</v>
      </c>
      <c r="H94" s="44">
        <f t="shared" si="1"/>
        <v>50</v>
      </c>
      <c r="I94" s="44">
        <f t="shared" si="2"/>
        <v>50</v>
      </c>
      <c r="J94" s="8"/>
      <c r="K94" s="8"/>
      <c r="L94" s="8"/>
    </row>
    <row r="95" spans="1:12" x14ac:dyDescent="0.25">
      <c r="A95" s="44" t="s">
        <v>3287</v>
      </c>
      <c r="B95" s="20">
        <v>233001331512.89001</v>
      </c>
      <c r="C95" s="20">
        <v>226687292940.05002</v>
      </c>
      <c r="D95" s="44">
        <f t="shared" si="0"/>
        <v>-2.7098723135368408</v>
      </c>
      <c r="E95" s="39">
        <v>3</v>
      </c>
      <c r="F95" s="39">
        <v>3</v>
      </c>
      <c r="G95" s="39">
        <v>0</v>
      </c>
      <c r="H95" s="44">
        <f t="shared" si="1"/>
        <v>50</v>
      </c>
      <c r="I95" s="44">
        <f t="shared" si="2"/>
        <v>50</v>
      </c>
      <c r="J95" s="8"/>
      <c r="K95" s="8"/>
      <c r="L95" s="8"/>
    </row>
    <row r="96" spans="1:12" x14ac:dyDescent="0.25">
      <c r="A96" s="44" t="s">
        <v>3744</v>
      </c>
      <c r="B96" s="20">
        <v>1554660125434.7197</v>
      </c>
      <c r="C96" s="20">
        <v>1504972412681.1304</v>
      </c>
      <c r="D96" s="44">
        <f t="shared" si="0"/>
        <v>-3.1960498594312048</v>
      </c>
      <c r="E96" s="39">
        <v>28</v>
      </c>
      <c r="F96" s="39">
        <v>27</v>
      </c>
      <c r="G96" s="39">
        <v>1</v>
      </c>
      <c r="H96" s="44">
        <f t="shared" si="1"/>
        <v>50</v>
      </c>
      <c r="I96" s="44">
        <f t="shared" si="2"/>
        <v>48.214285714285715</v>
      </c>
      <c r="J96" s="8"/>
      <c r="K96" s="8"/>
      <c r="L96" s="8"/>
    </row>
    <row r="97" spans="1:12" x14ac:dyDescent="0.25">
      <c r="A97" s="44" t="s">
        <v>668</v>
      </c>
      <c r="B97" s="20">
        <v>59217758163.25</v>
      </c>
      <c r="C97" s="20">
        <v>57201408118.350006</v>
      </c>
      <c r="D97" s="44">
        <f t="shared" si="0"/>
        <v>-3.404975310516436</v>
      </c>
      <c r="E97" s="39">
        <v>1</v>
      </c>
      <c r="F97" s="39">
        <v>1</v>
      </c>
      <c r="G97" s="39">
        <v>0</v>
      </c>
      <c r="H97" s="44">
        <f t="shared" si="1"/>
        <v>50</v>
      </c>
      <c r="I97" s="44">
        <f t="shared" si="2"/>
        <v>50</v>
      </c>
      <c r="J97" s="8"/>
      <c r="K97" s="8"/>
      <c r="L97" s="8"/>
    </row>
    <row r="98" spans="1:12" x14ac:dyDescent="0.25">
      <c r="A98" s="44" t="s">
        <v>815</v>
      </c>
      <c r="B98" s="20">
        <v>40280471476</v>
      </c>
      <c r="C98" s="20">
        <v>38897803517.400002</v>
      </c>
      <c r="D98" s="44">
        <f t="shared" si="0"/>
        <v>-3.4326012281753524</v>
      </c>
      <c r="E98" s="39">
        <v>2</v>
      </c>
      <c r="F98" s="39">
        <v>2</v>
      </c>
      <c r="G98" s="39">
        <v>0</v>
      </c>
      <c r="H98" s="44">
        <f t="shared" si="1"/>
        <v>50</v>
      </c>
      <c r="I98" s="44">
        <f t="shared" si="2"/>
        <v>50</v>
      </c>
      <c r="J98" s="8"/>
      <c r="K98" s="8"/>
      <c r="L98" s="8"/>
    </row>
    <row r="99" spans="1:12" x14ac:dyDescent="0.25">
      <c r="A99" s="44" t="s">
        <v>4082</v>
      </c>
      <c r="B99" s="20">
        <v>1350215849168.5</v>
      </c>
      <c r="C99" s="20">
        <v>1301867460441.25</v>
      </c>
      <c r="D99" s="44">
        <f t="shared" si="0"/>
        <v>-3.580789601679188</v>
      </c>
      <c r="E99" s="39">
        <v>1</v>
      </c>
      <c r="F99" s="39">
        <v>1</v>
      </c>
      <c r="G99" s="39">
        <v>0</v>
      </c>
      <c r="H99" s="44">
        <f t="shared" si="1"/>
        <v>50</v>
      </c>
      <c r="I99" s="44">
        <f t="shared" si="2"/>
        <v>50</v>
      </c>
      <c r="J99" s="8"/>
      <c r="K99" s="8"/>
      <c r="L99" s="8"/>
    </row>
    <row r="100" spans="1:12" x14ac:dyDescent="0.25">
      <c r="A100" s="44" t="s">
        <v>3974</v>
      </c>
      <c r="B100" s="20">
        <v>282040631824.90997</v>
      </c>
      <c r="C100" s="20">
        <v>269317293812.51004</v>
      </c>
      <c r="D100" s="44">
        <f t="shared" si="0"/>
        <v>-4.5111720003160913</v>
      </c>
      <c r="E100" s="39">
        <v>5</v>
      </c>
      <c r="F100" s="39">
        <v>5</v>
      </c>
      <c r="G100" s="39">
        <v>0</v>
      </c>
      <c r="H100" s="44">
        <f t="shared" si="1"/>
        <v>50</v>
      </c>
      <c r="I100" s="44">
        <f t="shared" si="2"/>
        <v>50</v>
      </c>
      <c r="J100" s="8"/>
      <c r="K100" s="8"/>
      <c r="L100" s="8"/>
    </row>
    <row r="101" spans="1:12" x14ac:dyDescent="0.25">
      <c r="A101" s="44" t="s">
        <v>1478</v>
      </c>
      <c r="B101" s="20">
        <v>583214708240.75989</v>
      </c>
      <c r="C101" s="20">
        <v>555472925144.31006</v>
      </c>
      <c r="D101" s="44">
        <f t="shared" si="0"/>
        <v>-4.7567015550982301</v>
      </c>
      <c r="E101" s="39">
        <v>23</v>
      </c>
      <c r="F101" s="39">
        <v>22</v>
      </c>
      <c r="G101" s="39">
        <v>1</v>
      </c>
      <c r="H101" s="44">
        <f t="shared" si="1"/>
        <v>50</v>
      </c>
      <c r="I101" s="44">
        <f t="shared" si="2"/>
        <v>47.826086956521742</v>
      </c>
      <c r="J101" s="8"/>
      <c r="K101" s="8"/>
      <c r="L101" s="8"/>
    </row>
    <row r="102" spans="1:12" x14ac:dyDescent="0.25">
      <c r="A102" s="44" t="s">
        <v>3131</v>
      </c>
      <c r="B102" s="20">
        <v>876222428816.15002</v>
      </c>
      <c r="C102" s="20">
        <v>825649153205.59998</v>
      </c>
      <c r="D102" s="44">
        <f t="shared" si="0"/>
        <v>-5.771739451919621</v>
      </c>
      <c r="E102" s="39">
        <v>1</v>
      </c>
      <c r="F102" s="39">
        <v>1</v>
      </c>
      <c r="G102" s="39">
        <v>0</v>
      </c>
      <c r="H102" s="44">
        <f t="shared" si="1"/>
        <v>50</v>
      </c>
      <c r="I102" s="44">
        <f t="shared" si="2"/>
        <v>50</v>
      </c>
      <c r="J102" s="8"/>
      <c r="K102" s="8"/>
      <c r="L102" s="8"/>
    </row>
    <row r="103" spans="1:12" x14ac:dyDescent="0.25">
      <c r="A103" s="44" t="s">
        <v>3663</v>
      </c>
      <c r="B103" s="20">
        <v>99307359848.399994</v>
      </c>
      <c r="C103" s="20">
        <v>91778396988.899994</v>
      </c>
      <c r="D103" s="44">
        <f t="shared" si="0"/>
        <v>-7.5814752008245083</v>
      </c>
      <c r="E103" s="39">
        <v>1</v>
      </c>
      <c r="F103" s="39">
        <v>1</v>
      </c>
      <c r="G103" s="39">
        <v>0</v>
      </c>
      <c r="H103" s="44">
        <f t="shared" si="1"/>
        <v>50</v>
      </c>
      <c r="I103" s="44">
        <f t="shared" si="2"/>
        <v>50</v>
      </c>
      <c r="J103" s="8"/>
      <c r="K103" s="8"/>
      <c r="L103" s="8"/>
    </row>
    <row r="104" spans="1:12" x14ac:dyDescent="0.25">
      <c r="A104" s="44" t="s">
        <v>3814</v>
      </c>
      <c r="B104" s="20">
        <v>3467695569.8800001</v>
      </c>
      <c r="C104" s="20">
        <v>3202608197.8800001</v>
      </c>
      <c r="D104" s="44">
        <f t="shared" si="0"/>
        <v>-7.6444822406706647</v>
      </c>
      <c r="E104" s="39">
        <v>2</v>
      </c>
      <c r="F104" s="39">
        <v>2</v>
      </c>
      <c r="G104" s="39">
        <v>0</v>
      </c>
      <c r="H104" s="44">
        <f t="shared" si="1"/>
        <v>50</v>
      </c>
      <c r="I104" s="44">
        <f t="shared" si="2"/>
        <v>50</v>
      </c>
      <c r="J104" s="8"/>
      <c r="K104" s="8"/>
      <c r="L104" s="8"/>
    </row>
    <row r="105" spans="1:12" x14ac:dyDescent="0.25">
      <c r="A105" s="44" t="s">
        <v>2825</v>
      </c>
      <c r="B105" s="20">
        <v>2377553100.0999999</v>
      </c>
      <c r="C105" s="20">
        <v>2164945872.1999998</v>
      </c>
      <c r="D105" s="44">
        <f t="shared" si="0"/>
        <v>-8.9422704330371339</v>
      </c>
      <c r="E105" s="39">
        <v>1</v>
      </c>
      <c r="F105" s="39">
        <v>1</v>
      </c>
      <c r="G105" s="39">
        <v>0</v>
      </c>
      <c r="H105" s="44">
        <f t="shared" si="1"/>
        <v>50</v>
      </c>
      <c r="I105" s="44">
        <f t="shared" si="2"/>
        <v>50</v>
      </c>
      <c r="J105" s="8"/>
      <c r="K105" s="8"/>
      <c r="L105" s="8"/>
    </row>
    <row r="106" spans="1:12" x14ac:dyDescent="0.25">
      <c r="A106" s="44" t="s">
        <v>15</v>
      </c>
      <c r="B106" s="20">
        <v>13020283619017.906</v>
      </c>
      <c r="C106" s="20">
        <v>13401671351715.373</v>
      </c>
      <c r="D106" s="44">
        <f t="shared" si="0"/>
        <v>2.9291814514731294</v>
      </c>
      <c r="E106" s="39">
        <v>79</v>
      </c>
      <c r="F106" s="39">
        <v>80</v>
      </c>
      <c r="G106" s="39">
        <v>2</v>
      </c>
      <c r="H106" s="44">
        <f t="shared" si="1"/>
        <v>49.068322981366457</v>
      </c>
      <c r="I106" s="44">
        <f t="shared" si="2"/>
        <v>49.689440993788821</v>
      </c>
      <c r="J106" s="8"/>
      <c r="K106" s="8"/>
      <c r="L106" s="8"/>
    </row>
    <row r="107" spans="1:12" x14ac:dyDescent="0.25">
      <c r="A107" s="44" t="s">
        <v>1793</v>
      </c>
      <c r="B107" s="20">
        <v>1190228779988.71</v>
      </c>
      <c r="C107" s="20">
        <v>1157679899451.8203</v>
      </c>
      <c r="D107" s="44">
        <f t="shared" si="0"/>
        <v>-2.7346742982637671</v>
      </c>
      <c r="E107" s="39">
        <v>112</v>
      </c>
      <c r="F107" s="39">
        <v>108</v>
      </c>
      <c r="G107" s="39">
        <v>9</v>
      </c>
      <c r="H107" s="44">
        <f t="shared" si="1"/>
        <v>48.908296943231441</v>
      </c>
      <c r="I107" s="44">
        <f t="shared" si="2"/>
        <v>47.161572052401745</v>
      </c>
      <c r="J107" s="8"/>
      <c r="K107" s="8"/>
      <c r="L107" s="8"/>
    </row>
    <row r="108" spans="1:12" x14ac:dyDescent="0.25">
      <c r="A108" s="44" t="s">
        <v>1171</v>
      </c>
      <c r="B108" s="20">
        <v>803331256510.66968</v>
      </c>
      <c r="C108" s="20">
        <v>804453516955.74036</v>
      </c>
      <c r="D108" s="44">
        <f t="shared" si="0"/>
        <v>0.13970083150322099</v>
      </c>
      <c r="E108" s="39">
        <v>61</v>
      </c>
      <c r="F108" s="39">
        <v>40</v>
      </c>
      <c r="G108" s="39">
        <v>24</v>
      </c>
      <c r="H108" s="44">
        <f t="shared" si="1"/>
        <v>48.8</v>
      </c>
      <c r="I108" s="44">
        <f t="shared" si="2"/>
        <v>32</v>
      </c>
      <c r="J108" s="8"/>
      <c r="K108" s="8"/>
      <c r="L108" s="8"/>
    </row>
    <row r="109" spans="1:12" x14ac:dyDescent="0.25">
      <c r="A109" s="44" t="s">
        <v>3232</v>
      </c>
      <c r="B109" s="20">
        <v>985703303783.49988</v>
      </c>
      <c r="C109" s="20">
        <v>964819163621.39978</v>
      </c>
      <c r="D109" s="44">
        <f t="shared" si="0"/>
        <v>-2.1187044906858805</v>
      </c>
      <c r="E109" s="39">
        <v>16</v>
      </c>
      <c r="F109" s="39">
        <v>15</v>
      </c>
      <c r="G109" s="39">
        <v>2</v>
      </c>
      <c r="H109" s="44">
        <f t="shared" si="1"/>
        <v>48.484848484848484</v>
      </c>
      <c r="I109" s="44">
        <f t="shared" si="2"/>
        <v>45.454545454545453</v>
      </c>
      <c r="J109" s="8"/>
      <c r="K109" s="8"/>
      <c r="L109" s="8"/>
    </row>
    <row r="110" spans="1:12" x14ac:dyDescent="0.25">
      <c r="A110" s="44" t="s">
        <v>2753</v>
      </c>
      <c r="B110" s="20">
        <v>1406987052015.25</v>
      </c>
      <c r="C110" s="20">
        <v>1434624913337.6907</v>
      </c>
      <c r="D110" s="44">
        <f t="shared" si="0"/>
        <v>1.9643294714656063</v>
      </c>
      <c r="E110" s="39">
        <v>29</v>
      </c>
      <c r="F110" s="39">
        <v>31</v>
      </c>
      <c r="G110" s="39">
        <v>0</v>
      </c>
      <c r="H110" s="44">
        <f t="shared" si="1"/>
        <v>48.333333333333336</v>
      </c>
      <c r="I110" s="44">
        <f t="shared" si="2"/>
        <v>51.666666666666671</v>
      </c>
      <c r="J110" s="8"/>
      <c r="K110" s="8"/>
      <c r="L110" s="8"/>
    </row>
    <row r="111" spans="1:12" x14ac:dyDescent="0.25">
      <c r="A111" s="44" t="s">
        <v>1968</v>
      </c>
      <c r="B111" s="20">
        <v>29754927674045.594</v>
      </c>
      <c r="C111" s="20">
        <v>30272126118619.613</v>
      </c>
      <c r="D111" s="44">
        <f t="shared" si="0"/>
        <v>1.7381942589131463</v>
      </c>
      <c r="E111" s="39">
        <v>34</v>
      </c>
      <c r="F111" s="39">
        <v>35</v>
      </c>
      <c r="G111" s="39">
        <v>2</v>
      </c>
      <c r="H111" s="44">
        <f t="shared" si="1"/>
        <v>47.887323943661968</v>
      </c>
      <c r="I111" s="44">
        <f t="shared" si="2"/>
        <v>49.295774647887328</v>
      </c>
      <c r="J111" s="8"/>
      <c r="K111" s="8"/>
      <c r="L111" s="8"/>
    </row>
    <row r="112" spans="1:12" x14ac:dyDescent="0.25">
      <c r="A112" s="44" t="s">
        <v>1633</v>
      </c>
      <c r="B112" s="20">
        <v>1296409724821.0603</v>
      </c>
      <c r="C112" s="20">
        <v>1239511872387.7197</v>
      </c>
      <c r="D112" s="44">
        <f t="shared" si="0"/>
        <v>-4.3888788663008542</v>
      </c>
      <c r="E112" s="39">
        <v>34</v>
      </c>
      <c r="F112" s="39">
        <v>35</v>
      </c>
      <c r="G112" s="39">
        <v>3</v>
      </c>
      <c r="H112" s="44">
        <f t="shared" si="1"/>
        <v>47.222222222222221</v>
      </c>
      <c r="I112" s="44">
        <f t="shared" si="2"/>
        <v>48.611111111111107</v>
      </c>
      <c r="J112" s="8"/>
      <c r="K112" s="8"/>
      <c r="L112" s="8"/>
    </row>
    <row r="113" spans="1:12" x14ac:dyDescent="0.25">
      <c r="A113" s="44" t="s">
        <v>2951</v>
      </c>
      <c r="B113" s="20">
        <v>332683755497.61987</v>
      </c>
      <c r="C113" s="20">
        <v>358255125857.10004</v>
      </c>
      <c r="D113" s="44">
        <f t="shared" si="0"/>
        <v>7.6863898332610674</v>
      </c>
      <c r="E113" s="39">
        <v>100</v>
      </c>
      <c r="F113" s="39">
        <v>70</v>
      </c>
      <c r="G113" s="39">
        <v>44</v>
      </c>
      <c r="H113" s="44">
        <f t="shared" si="1"/>
        <v>46.728971962616825</v>
      </c>
      <c r="I113" s="44">
        <f t="shared" si="2"/>
        <v>32.710280373831772</v>
      </c>
      <c r="J113" s="8"/>
      <c r="K113" s="8"/>
      <c r="L113" s="8"/>
    </row>
    <row r="114" spans="1:12" x14ac:dyDescent="0.25">
      <c r="A114" s="44" t="s">
        <v>893</v>
      </c>
      <c r="B114" s="20">
        <v>1459980222548.04</v>
      </c>
      <c r="C114" s="20">
        <v>1452480531479.3999</v>
      </c>
      <c r="D114" s="44">
        <f t="shared" si="0"/>
        <v>-0.513684428926801</v>
      </c>
      <c r="E114" s="39">
        <v>7</v>
      </c>
      <c r="F114" s="39">
        <v>7</v>
      </c>
      <c r="G114" s="39">
        <v>1</v>
      </c>
      <c r="H114" s="44">
        <f t="shared" si="1"/>
        <v>46.666666666666664</v>
      </c>
      <c r="I114" s="44">
        <f t="shared" si="2"/>
        <v>46.666666666666664</v>
      </c>
      <c r="J114" s="8"/>
      <c r="K114" s="8"/>
      <c r="L114" s="8"/>
    </row>
    <row r="115" spans="1:12" x14ac:dyDescent="0.25">
      <c r="A115" s="44" t="s">
        <v>1136</v>
      </c>
      <c r="B115" s="20">
        <v>7203223935262.9014</v>
      </c>
      <c r="C115" s="20">
        <v>7336043092560.5098</v>
      </c>
      <c r="D115" s="44">
        <f t="shared" si="0"/>
        <v>1.8438848839253921</v>
      </c>
      <c r="E115" s="39">
        <v>20</v>
      </c>
      <c r="F115" s="39">
        <v>22</v>
      </c>
      <c r="G115" s="39">
        <v>1</v>
      </c>
      <c r="H115" s="44">
        <f t="shared" si="1"/>
        <v>46.511627906976742</v>
      </c>
      <c r="I115" s="44">
        <f t="shared" si="2"/>
        <v>51.162790697674424</v>
      </c>
      <c r="J115" s="8"/>
      <c r="K115" s="8"/>
      <c r="L115" s="8"/>
    </row>
    <row r="116" spans="1:12" x14ac:dyDescent="0.25">
      <c r="A116" s="44" t="s">
        <v>2929</v>
      </c>
      <c r="B116" s="20">
        <v>421214504982.66986</v>
      </c>
      <c r="C116" s="20">
        <v>427404098310.57001</v>
      </c>
      <c r="D116" s="44">
        <f t="shared" si="0"/>
        <v>1.4694634811198646</v>
      </c>
      <c r="E116" s="39">
        <v>29</v>
      </c>
      <c r="F116" s="39">
        <v>34</v>
      </c>
      <c r="G116" s="39">
        <v>0</v>
      </c>
      <c r="H116" s="44">
        <f t="shared" si="1"/>
        <v>46.031746031746032</v>
      </c>
      <c r="I116" s="44">
        <f t="shared" si="2"/>
        <v>53.968253968253968</v>
      </c>
      <c r="J116" s="69" t="s">
        <v>4421</v>
      </c>
      <c r="K116" s="67"/>
      <c r="L116" s="8"/>
    </row>
    <row r="117" spans="1:12" x14ac:dyDescent="0.25">
      <c r="A117" s="44" t="s">
        <v>788</v>
      </c>
      <c r="B117" s="20">
        <v>18769151454531.711</v>
      </c>
      <c r="C117" s="20">
        <v>18373202697174.289</v>
      </c>
      <c r="D117" s="44">
        <f t="shared" si="0"/>
        <v>-2.1095719660881218</v>
      </c>
      <c r="E117" s="39">
        <v>5</v>
      </c>
      <c r="F117" s="39">
        <v>6</v>
      </c>
      <c r="G117" s="39">
        <v>0</v>
      </c>
      <c r="H117" s="44">
        <f t="shared" si="1"/>
        <v>45.454545454545453</v>
      </c>
      <c r="I117" s="44">
        <f t="shared" si="2"/>
        <v>54.54545454545454</v>
      </c>
      <c r="J117" s="8"/>
      <c r="K117" s="8"/>
      <c r="L117" s="8"/>
    </row>
    <row r="118" spans="1:12" x14ac:dyDescent="0.25">
      <c r="A118" s="44" t="s">
        <v>3023</v>
      </c>
      <c r="B118" s="20">
        <v>39194726828.540001</v>
      </c>
      <c r="C118" s="20">
        <v>37276622641.590004</v>
      </c>
      <c r="D118" s="44">
        <f t="shared" si="0"/>
        <v>-4.8937812357791755</v>
      </c>
      <c r="E118" s="39">
        <v>5</v>
      </c>
      <c r="F118" s="39">
        <v>6</v>
      </c>
      <c r="G118" s="39">
        <v>0</v>
      </c>
      <c r="H118" s="44">
        <f t="shared" si="1"/>
        <v>45.454545454545453</v>
      </c>
      <c r="I118" s="44">
        <f t="shared" si="2"/>
        <v>54.54545454545454</v>
      </c>
      <c r="J118" s="8"/>
      <c r="K118" s="8"/>
      <c r="L118" s="8"/>
    </row>
    <row r="119" spans="1:12" x14ac:dyDescent="0.25">
      <c r="A119" s="44" t="s">
        <v>376</v>
      </c>
      <c r="B119" s="20">
        <v>5314400655607.0596</v>
      </c>
      <c r="C119" s="20">
        <v>5310619283797.0098</v>
      </c>
      <c r="D119" s="44">
        <f t="shared" si="0"/>
        <v>-7.1153306931425964E-2</v>
      </c>
      <c r="E119" s="39">
        <v>49</v>
      </c>
      <c r="F119" s="39">
        <v>58</v>
      </c>
      <c r="G119" s="39">
        <v>1</v>
      </c>
      <c r="H119" s="44">
        <f t="shared" si="1"/>
        <v>45.370370370370374</v>
      </c>
      <c r="I119" s="44">
        <f t="shared" si="2"/>
        <v>53.703703703703709</v>
      </c>
      <c r="J119" s="8"/>
      <c r="K119" s="8"/>
      <c r="L119" s="8"/>
    </row>
    <row r="120" spans="1:12" x14ac:dyDescent="0.25">
      <c r="A120" s="44" t="s">
        <v>1760</v>
      </c>
      <c r="B120" s="20">
        <v>264525413401.27002</v>
      </c>
      <c r="C120" s="20">
        <v>257248746729.23001</v>
      </c>
      <c r="D120" s="44">
        <f t="shared" si="0"/>
        <v>-2.7508384084827866</v>
      </c>
      <c r="E120" s="39">
        <v>4</v>
      </c>
      <c r="F120" s="39">
        <v>5</v>
      </c>
      <c r="G120" s="39">
        <v>0</v>
      </c>
      <c r="H120" s="44">
        <f t="shared" si="1"/>
        <v>44.444444444444443</v>
      </c>
      <c r="I120" s="44">
        <f t="shared" si="2"/>
        <v>55.555555555555557</v>
      </c>
      <c r="J120" s="8"/>
      <c r="K120" s="8"/>
      <c r="L120" s="8"/>
    </row>
    <row r="121" spans="1:12" x14ac:dyDescent="0.25">
      <c r="A121" s="44" t="s">
        <v>2228</v>
      </c>
      <c r="B121" s="20">
        <v>5373126920119.3594</v>
      </c>
      <c r="C121" s="20">
        <v>5302360034166.3105</v>
      </c>
      <c r="D121" s="44">
        <f t="shared" si="0"/>
        <v>-1.3170521933525592</v>
      </c>
      <c r="E121" s="39">
        <v>7</v>
      </c>
      <c r="F121" s="39">
        <v>9</v>
      </c>
      <c r="G121" s="39">
        <v>0</v>
      </c>
      <c r="H121" s="44">
        <f t="shared" si="1"/>
        <v>43.75</v>
      </c>
      <c r="I121" s="44">
        <f t="shared" si="2"/>
        <v>56.25</v>
      </c>
      <c r="J121" s="8"/>
      <c r="K121" s="8"/>
      <c r="L121" s="8"/>
    </row>
    <row r="122" spans="1:12" x14ac:dyDescent="0.25">
      <c r="A122" s="44" t="s">
        <v>1645</v>
      </c>
      <c r="B122" s="20">
        <v>681352559209.20996</v>
      </c>
      <c r="C122" s="20">
        <v>705464245597.06995</v>
      </c>
      <c r="D122" s="44">
        <f t="shared" si="0"/>
        <v>3.5387973615075929</v>
      </c>
      <c r="E122" s="39">
        <v>17</v>
      </c>
      <c r="F122" s="39">
        <v>19</v>
      </c>
      <c r="G122" s="39">
        <v>3</v>
      </c>
      <c r="H122" s="44">
        <f t="shared" si="1"/>
        <v>43.589743589743591</v>
      </c>
      <c r="I122" s="44">
        <f t="shared" si="2"/>
        <v>48.717948717948715</v>
      </c>
      <c r="J122" s="8"/>
      <c r="K122" s="8"/>
      <c r="L122" s="8"/>
    </row>
    <row r="123" spans="1:12" x14ac:dyDescent="0.25">
      <c r="A123" s="44" t="s">
        <v>2346</v>
      </c>
      <c r="B123" s="20">
        <v>29867502391.68</v>
      </c>
      <c r="C123" s="20">
        <v>31327955818.670002</v>
      </c>
      <c r="D123" s="44">
        <f t="shared" si="0"/>
        <v>4.8897742028701767</v>
      </c>
      <c r="E123" s="39">
        <v>10</v>
      </c>
      <c r="F123" s="39">
        <v>10</v>
      </c>
      <c r="G123" s="39">
        <v>3</v>
      </c>
      <c r="H123" s="44">
        <f t="shared" si="1"/>
        <v>43.478260869565219</v>
      </c>
      <c r="I123" s="44">
        <f t="shared" si="2"/>
        <v>43.478260869565219</v>
      </c>
      <c r="J123" s="8"/>
      <c r="K123" s="8"/>
      <c r="L123" s="8"/>
    </row>
    <row r="124" spans="1:12" x14ac:dyDescent="0.25">
      <c r="A124" s="44" t="s">
        <v>110</v>
      </c>
      <c r="B124" s="20">
        <v>505505502091.60004</v>
      </c>
      <c r="C124" s="20">
        <v>509167269507.02997</v>
      </c>
      <c r="D124" s="44">
        <f t="shared" si="0"/>
        <v>0.72437736093452088</v>
      </c>
      <c r="E124" s="39">
        <v>10</v>
      </c>
      <c r="F124" s="39">
        <v>12</v>
      </c>
      <c r="G124" s="39">
        <v>1</v>
      </c>
      <c r="H124" s="44">
        <f t="shared" si="1"/>
        <v>43.478260869565219</v>
      </c>
      <c r="I124" s="44">
        <f t="shared" si="2"/>
        <v>52.173913043478258</v>
      </c>
      <c r="J124" s="8"/>
      <c r="K124" s="8"/>
      <c r="L124" s="8"/>
    </row>
    <row r="125" spans="1:12" x14ac:dyDescent="0.25">
      <c r="A125" s="44" t="s">
        <v>3652</v>
      </c>
      <c r="B125" s="20">
        <v>144419844967</v>
      </c>
      <c r="C125" s="20">
        <v>157781662134.92001</v>
      </c>
      <c r="D125" s="44">
        <f t="shared" si="0"/>
        <v>9.2520644728383381</v>
      </c>
      <c r="E125" s="39">
        <v>3</v>
      </c>
      <c r="F125" s="39">
        <v>4</v>
      </c>
      <c r="G125" s="39">
        <v>0</v>
      </c>
      <c r="H125" s="44">
        <f t="shared" si="1"/>
        <v>42.857142857142854</v>
      </c>
      <c r="I125" s="44">
        <f t="shared" si="2"/>
        <v>57.142857142857139</v>
      </c>
      <c r="J125" s="8"/>
      <c r="K125" s="8"/>
      <c r="L125" s="8"/>
    </row>
    <row r="126" spans="1:12" x14ac:dyDescent="0.25">
      <c r="A126" s="44" t="s">
        <v>204</v>
      </c>
      <c r="B126" s="20">
        <v>1234667293976.05</v>
      </c>
      <c r="C126" s="20">
        <v>1277004957465.71</v>
      </c>
      <c r="D126" s="44">
        <f t="shared" si="0"/>
        <v>3.4290746743050255</v>
      </c>
      <c r="E126" s="39">
        <v>6</v>
      </c>
      <c r="F126" s="39">
        <v>8</v>
      </c>
      <c r="G126" s="39">
        <v>0</v>
      </c>
      <c r="H126" s="44">
        <f t="shared" si="1"/>
        <v>42.857142857142854</v>
      </c>
      <c r="I126" s="44">
        <f t="shared" si="2"/>
        <v>57.142857142857139</v>
      </c>
      <c r="J126" s="8"/>
      <c r="K126" s="8"/>
      <c r="L126" s="8"/>
    </row>
    <row r="127" spans="1:12" x14ac:dyDescent="0.25">
      <c r="A127" s="44" t="s">
        <v>4111</v>
      </c>
      <c r="B127" s="20">
        <v>56944664798.220009</v>
      </c>
      <c r="C127" s="20">
        <v>54036767675.620003</v>
      </c>
      <c r="D127" s="44">
        <f t="shared" si="0"/>
        <v>-5.1065312841931103</v>
      </c>
      <c r="E127" s="39">
        <v>3</v>
      </c>
      <c r="F127" s="39">
        <v>4</v>
      </c>
      <c r="G127" s="39">
        <v>0</v>
      </c>
      <c r="H127" s="44">
        <f t="shared" si="1"/>
        <v>42.857142857142854</v>
      </c>
      <c r="I127" s="44">
        <f t="shared" si="2"/>
        <v>57.142857142857139</v>
      </c>
      <c r="J127" s="8"/>
      <c r="K127" s="8"/>
      <c r="L127" s="8"/>
    </row>
    <row r="128" spans="1:12" x14ac:dyDescent="0.25">
      <c r="A128" s="44" t="s">
        <v>2297</v>
      </c>
      <c r="B128" s="20">
        <v>1610729159328.48</v>
      </c>
      <c r="C128" s="20">
        <v>1592973366593.6697</v>
      </c>
      <c r="D128" s="44">
        <f t="shared" si="0"/>
        <v>-1.102345023803553</v>
      </c>
      <c r="E128" s="39">
        <v>47</v>
      </c>
      <c r="F128" s="39">
        <v>53</v>
      </c>
      <c r="G128" s="39">
        <v>11</v>
      </c>
      <c r="H128" s="44">
        <f t="shared" si="1"/>
        <v>42.342342342342342</v>
      </c>
      <c r="I128" s="44">
        <f t="shared" si="2"/>
        <v>47.747747747747752</v>
      </c>
      <c r="J128" s="69" t="s">
        <v>4422</v>
      </c>
      <c r="K128" s="67"/>
      <c r="L128" s="8"/>
    </row>
    <row r="129" spans="1:13" x14ac:dyDescent="0.25">
      <c r="A129" s="44" t="s">
        <v>3312</v>
      </c>
      <c r="B129" s="20">
        <v>215077014237.89001</v>
      </c>
      <c r="C129" s="20">
        <v>201269252811.75998</v>
      </c>
      <c r="D129" s="44">
        <f t="shared" si="0"/>
        <v>-6.419914966300257</v>
      </c>
      <c r="E129" s="39">
        <v>5</v>
      </c>
      <c r="F129" s="39">
        <v>6</v>
      </c>
      <c r="G129" s="39">
        <v>1</v>
      </c>
      <c r="H129" s="44">
        <f t="shared" si="1"/>
        <v>41.666666666666671</v>
      </c>
      <c r="I129" s="44">
        <f t="shared" si="2"/>
        <v>50</v>
      </c>
      <c r="J129" s="8"/>
      <c r="K129" s="8"/>
      <c r="L129" s="8"/>
    </row>
    <row r="130" spans="1:13" x14ac:dyDescent="0.25">
      <c r="A130" s="44" t="s">
        <v>3431</v>
      </c>
      <c r="B130" s="20">
        <v>4212403656397.3403</v>
      </c>
      <c r="C130" s="20">
        <v>4276364532304.2798</v>
      </c>
      <c r="D130" s="44">
        <f t="shared" si="0"/>
        <v>1.5183937989846399</v>
      </c>
      <c r="E130" s="39">
        <v>7</v>
      </c>
      <c r="F130" s="39">
        <v>7</v>
      </c>
      <c r="G130" s="39">
        <v>3</v>
      </c>
      <c r="H130" s="44">
        <f t="shared" si="1"/>
        <v>41.17647058823529</v>
      </c>
      <c r="I130" s="44">
        <f t="shared" si="2"/>
        <v>41.17647058823529</v>
      </c>
      <c r="J130" s="8"/>
      <c r="K130" s="8"/>
      <c r="L130" s="8"/>
    </row>
    <row r="131" spans="1:13" x14ac:dyDescent="0.25">
      <c r="A131" s="44" t="s">
        <v>3831</v>
      </c>
      <c r="B131" s="20">
        <v>3075139962.1599998</v>
      </c>
      <c r="C131" s="20">
        <v>3027672838.0600004</v>
      </c>
      <c r="D131" s="44">
        <f t="shared" si="0"/>
        <v>-1.5435760545564952</v>
      </c>
      <c r="E131" s="39">
        <v>7</v>
      </c>
      <c r="F131" s="39">
        <v>8</v>
      </c>
      <c r="G131" s="39">
        <v>2</v>
      </c>
      <c r="H131" s="44">
        <f t="shared" si="1"/>
        <v>41.17647058823529</v>
      </c>
      <c r="I131" s="44">
        <f t="shared" si="2"/>
        <v>47.058823529411761</v>
      </c>
      <c r="J131" s="8"/>
      <c r="K131" s="8"/>
      <c r="L131" s="8"/>
    </row>
    <row r="132" spans="1:13" x14ac:dyDescent="0.25">
      <c r="A132" s="44" t="s">
        <v>985</v>
      </c>
      <c r="B132" s="20">
        <v>2508145899984.6304</v>
      </c>
      <c r="C132" s="20">
        <v>2575485141186.8398</v>
      </c>
      <c r="D132" s="44">
        <f t="shared" si="0"/>
        <v>2.6848215330145715</v>
      </c>
      <c r="E132" s="39">
        <v>9</v>
      </c>
      <c r="F132" s="39">
        <v>13</v>
      </c>
      <c r="G132" s="39">
        <v>0</v>
      </c>
      <c r="H132" s="44">
        <f t="shared" si="1"/>
        <v>40.909090909090914</v>
      </c>
      <c r="I132" s="44">
        <f t="shared" si="2"/>
        <v>59.090909090909093</v>
      </c>
      <c r="J132" s="69" t="s">
        <v>4423</v>
      </c>
      <c r="K132" s="67"/>
      <c r="L132" s="67"/>
    </row>
    <row r="133" spans="1:13" x14ac:dyDescent="0.25">
      <c r="A133" s="44" t="s">
        <v>3951</v>
      </c>
      <c r="B133" s="20">
        <v>1035021730450.7498</v>
      </c>
      <c r="C133" s="20">
        <v>1093567211493.05</v>
      </c>
      <c r="D133" s="44">
        <f t="shared" si="0"/>
        <v>5.6564494560712131</v>
      </c>
      <c r="E133" s="39">
        <v>8</v>
      </c>
      <c r="F133" s="39">
        <v>12</v>
      </c>
      <c r="G133" s="39">
        <v>0</v>
      </c>
      <c r="H133" s="44">
        <f t="shared" si="1"/>
        <v>40</v>
      </c>
      <c r="I133" s="44">
        <f t="shared" si="2"/>
        <v>60</v>
      </c>
      <c r="J133" s="8"/>
      <c r="K133" s="8"/>
      <c r="L133" s="8"/>
    </row>
    <row r="134" spans="1:13" x14ac:dyDescent="0.25">
      <c r="A134" s="44" t="s">
        <v>959</v>
      </c>
      <c r="B134" s="20">
        <v>214392236372.88004</v>
      </c>
      <c r="C134" s="20">
        <v>222526791098.54001</v>
      </c>
      <c r="D134" s="44">
        <f t="shared" si="0"/>
        <v>3.7942394105689594</v>
      </c>
      <c r="E134" s="39">
        <v>4</v>
      </c>
      <c r="F134" s="39">
        <v>5</v>
      </c>
      <c r="G134" s="39">
        <v>1</v>
      </c>
      <c r="H134" s="44">
        <f t="shared" si="1"/>
        <v>40</v>
      </c>
      <c r="I134" s="44">
        <f t="shared" si="2"/>
        <v>50</v>
      </c>
      <c r="J134" s="8"/>
      <c r="K134" s="8"/>
      <c r="L134" s="8"/>
    </row>
    <row r="135" spans="1:13" x14ac:dyDescent="0.25">
      <c r="A135" s="44" t="s">
        <v>2265</v>
      </c>
      <c r="B135" s="20">
        <v>26148379641.950001</v>
      </c>
      <c r="C135" s="20">
        <v>26603505700.91</v>
      </c>
      <c r="D135" s="44">
        <f t="shared" si="0"/>
        <v>1.7405516716218914</v>
      </c>
      <c r="E135" s="39">
        <v>2</v>
      </c>
      <c r="F135" s="39">
        <v>3</v>
      </c>
      <c r="G135" s="39">
        <v>0</v>
      </c>
      <c r="H135" s="44">
        <f t="shared" si="1"/>
        <v>40</v>
      </c>
      <c r="I135" s="44">
        <f t="shared" si="2"/>
        <v>60</v>
      </c>
      <c r="J135" s="8"/>
      <c r="K135" s="8"/>
      <c r="L135" s="8"/>
    </row>
    <row r="136" spans="1:13" x14ac:dyDescent="0.25">
      <c r="A136" s="44" t="s">
        <v>3707</v>
      </c>
      <c r="B136" s="20">
        <v>223777669662.39999</v>
      </c>
      <c r="C136" s="20">
        <v>227096987588.53</v>
      </c>
      <c r="D136" s="44">
        <f t="shared" si="0"/>
        <v>1.4833106141187642</v>
      </c>
      <c r="E136" s="39">
        <v>4</v>
      </c>
      <c r="F136" s="39">
        <v>6</v>
      </c>
      <c r="G136" s="39">
        <v>0</v>
      </c>
      <c r="H136" s="44">
        <f t="shared" si="1"/>
        <v>40</v>
      </c>
      <c r="I136" s="44">
        <f t="shared" si="2"/>
        <v>60</v>
      </c>
      <c r="J136" s="8"/>
      <c r="K136" s="8"/>
      <c r="L136" s="8"/>
    </row>
    <row r="137" spans="1:13" x14ac:dyDescent="0.25">
      <c r="A137" s="44" t="s">
        <v>3618</v>
      </c>
      <c r="B137" s="20">
        <v>185257104623.64999</v>
      </c>
      <c r="C137" s="20">
        <v>186021623659.5</v>
      </c>
      <c r="D137" s="44">
        <f t="shared" si="0"/>
        <v>0.41268000890067202</v>
      </c>
      <c r="E137" s="39">
        <v>2</v>
      </c>
      <c r="F137" s="39">
        <v>3</v>
      </c>
      <c r="G137" s="39">
        <v>0</v>
      </c>
      <c r="H137" s="44">
        <f t="shared" si="1"/>
        <v>40</v>
      </c>
      <c r="I137" s="44">
        <f t="shared" si="2"/>
        <v>60</v>
      </c>
      <c r="J137" s="8"/>
      <c r="K137" s="8"/>
      <c r="L137" s="8"/>
    </row>
    <row r="138" spans="1:13" x14ac:dyDescent="0.25">
      <c r="A138" s="44" t="s">
        <v>2998</v>
      </c>
      <c r="B138" s="20">
        <v>12636258311.860001</v>
      </c>
      <c r="C138" s="20">
        <v>12527905268.619999</v>
      </c>
      <c r="D138" s="44">
        <f t="shared" si="0"/>
        <v>-0.85747727346080649</v>
      </c>
      <c r="E138" s="39">
        <v>2</v>
      </c>
      <c r="F138" s="39">
        <v>3</v>
      </c>
      <c r="G138" s="39">
        <v>0</v>
      </c>
      <c r="H138" s="44">
        <f t="shared" si="1"/>
        <v>40</v>
      </c>
      <c r="I138" s="44">
        <f t="shared" si="2"/>
        <v>60</v>
      </c>
      <c r="J138" s="8"/>
      <c r="K138" s="8"/>
      <c r="L138" s="8"/>
    </row>
    <row r="139" spans="1:13" x14ac:dyDescent="0.25">
      <c r="A139" s="44" t="s">
        <v>807</v>
      </c>
      <c r="B139" s="20">
        <v>4842778164241.4414</v>
      </c>
      <c r="C139" s="20">
        <v>4799917614806.8701</v>
      </c>
      <c r="D139" s="44">
        <f t="shared" si="0"/>
        <v>-0.88504052799793764</v>
      </c>
      <c r="E139" s="39">
        <v>12</v>
      </c>
      <c r="F139" s="39">
        <v>18</v>
      </c>
      <c r="G139" s="39">
        <v>0</v>
      </c>
      <c r="H139" s="44">
        <f t="shared" si="1"/>
        <v>40</v>
      </c>
      <c r="I139" s="44">
        <f t="shared" si="2"/>
        <v>60</v>
      </c>
      <c r="J139" s="8"/>
      <c r="K139" s="8"/>
      <c r="L139" s="8"/>
    </row>
    <row r="140" spans="1:13" x14ac:dyDescent="0.25">
      <c r="A140" s="44" t="s">
        <v>183</v>
      </c>
      <c r="B140" s="20">
        <v>971116080909.39014</v>
      </c>
      <c r="C140" s="20">
        <v>949621201630.92993</v>
      </c>
      <c r="D140" s="44">
        <f t="shared" si="0"/>
        <v>-2.2134201771565332</v>
      </c>
      <c r="E140" s="39">
        <v>2</v>
      </c>
      <c r="F140" s="39">
        <v>3</v>
      </c>
      <c r="G140" s="39">
        <v>0</v>
      </c>
      <c r="H140" s="44">
        <f t="shared" si="1"/>
        <v>40</v>
      </c>
      <c r="I140" s="44">
        <f t="shared" si="2"/>
        <v>60</v>
      </c>
      <c r="J140" s="8"/>
      <c r="K140" s="8"/>
      <c r="L140" s="8"/>
    </row>
    <row r="141" spans="1:13" x14ac:dyDescent="0.25">
      <c r="A141" s="44" t="s">
        <v>1695</v>
      </c>
      <c r="B141" s="20">
        <v>190457429698.29999</v>
      </c>
      <c r="C141" s="20">
        <v>181346387906.98999</v>
      </c>
      <c r="D141" s="44">
        <f t="shared" si="0"/>
        <v>-4.7837681132957774</v>
      </c>
      <c r="E141" s="39">
        <v>7</v>
      </c>
      <c r="F141" s="39">
        <v>12</v>
      </c>
      <c r="G141" s="39">
        <v>0</v>
      </c>
      <c r="H141" s="44">
        <f t="shared" si="1"/>
        <v>36.84210526315789</v>
      </c>
      <c r="I141" s="44">
        <f t="shared" si="2"/>
        <v>63.157894736842103</v>
      </c>
      <c r="J141" s="8"/>
      <c r="K141" s="8"/>
      <c r="L141" s="8"/>
    </row>
    <row r="142" spans="1:13" x14ac:dyDescent="0.25">
      <c r="A142" s="44" t="s">
        <v>2681</v>
      </c>
      <c r="B142" s="20">
        <v>431981135453.61011</v>
      </c>
      <c r="C142" s="20">
        <v>414695490981.16003</v>
      </c>
      <c r="D142" s="44">
        <f t="shared" si="0"/>
        <v>-4.0014813272572534</v>
      </c>
      <c r="E142" s="39">
        <v>39</v>
      </c>
      <c r="F142" s="39">
        <v>31</v>
      </c>
      <c r="G142" s="39">
        <v>36</v>
      </c>
      <c r="H142" s="44">
        <f t="shared" si="1"/>
        <v>36.79245283018868</v>
      </c>
      <c r="I142" s="44">
        <f t="shared" si="2"/>
        <v>29.245283018867923</v>
      </c>
      <c r="J142" s="8"/>
      <c r="K142" s="8"/>
      <c r="L142" s="8"/>
    </row>
    <row r="143" spans="1:13" x14ac:dyDescent="0.25">
      <c r="A143" s="44" t="s">
        <v>1064</v>
      </c>
      <c r="B143" s="20">
        <v>1350045596973.3496</v>
      </c>
      <c r="C143" s="20">
        <v>1301003875040.4299</v>
      </c>
      <c r="D143" s="44">
        <f t="shared" si="0"/>
        <v>-3.6325974502539546</v>
      </c>
      <c r="E143" s="39">
        <v>18</v>
      </c>
      <c r="F143" s="39">
        <v>30</v>
      </c>
      <c r="G143" s="39">
        <v>3</v>
      </c>
      <c r="H143" s="44">
        <f t="shared" si="1"/>
        <v>35.294117647058826</v>
      </c>
      <c r="I143" s="44">
        <f t="shared" si="2"/>
        <v>58.82352941176471</v>
      </c>
      <c r="J143" s="8"/>
      <c r="K143" s="8"/>
      <c r="L143" s="8"/>
    </row>
    <row r="144" spans="1:13" x14ac:dyDescent="0.25">
      <c r="A144" s="44" t="s">
        <v>2286</v>
      </c>
      <c r="B144" s="20">
        <v>652966954816.40002</v>
      </c>
      <c r="C144" s="20">
        <v>640619724276.31995</v>
      </c>
      <c r="D144" s="44">
        <f t="shared" si="0"/>
        <v>-1.8909426348461766</v>
      </c>
      <c r="E144" s="39">
        <v>11</v>
      </c>
      <c r="F144" s="39">
        <v>19</v>
      </c>
      <c r="G144" s="39">
        <v>2</v>
      </c>
      <c r="H144" s="44">
        <f t="shared" si="1"/>
        <v>34.375</v>
      </c>
      <c r="I144" s="44">
        <f t="shared" si="2"/>
        <v>59.375</v>
      </c>
      <c r="J144" s="8"/>
      <c r="K144" s="8"/>
      <c r="L144" s="8"/>
      <c r="M144" s="8"/>
    </row>
    <row r="145" spans="1:12" x14ac:dyDescent="0.25">
      <c r="A145" s="44" t="s">
        <v>1868</v>
      </c>
      <c r="B145" s="20">
        <v>5037024589392.7998</v>
      </c>
      <c r="C145" s="20">
        <v>4881120057064.7402</v>
      </c>
      <c r="D145" s="44">
        <f t="shared" si="0"/>
        <v>-3.0951711583137906</v>
      </c>
      <c r="E145" s="39">
        <v>32</v>
      </c>
      <c r="F145" s="39">
        <v>61</v>
      </c>
      <c r="G145" s="39">
        <v>2</v>
      </c>
      <c r="H145" s="44">
        <f t="shared" si="1"/>
        <v>33.684210526315788</v>
      </c>
      <c r="I145" s="44">
        <f t="shared" si="2"/>
        <v>64.21052631578948</v>
      </c>
      <c r="J145" s="8"/>
      <c r="K145" s="8"/>
      <c r="L145" s="8"/>
    </row>
    <row r="146" spans="1:12" x14ac:dyDescent="0.25">
      <c r="A146" s="44" t="s">
        <v>3847</v>
      </c>
      <c r="B146" s="20">
        <v>1050086730618.74</v>
      </c>
      <c r="C146" s="20">
        <v>1127433340962.49</v>
      </c>
      <c r="D146" s="44">
        <f t="shared" si="0"/>
        <v>7.3657354281750855</v>
      </c>
      <c r="E146" s="39">
        <v>3</v>
      </c>
      <c r="F146" s="39">
        <v>6</v>
      </c>
      <c r="G146" s="39">
        <v>0</v>
      </c>
      <c r="H146" s="44">
        <f t="shared" si="1"/>
        <v>33.333333333333329</v>
      </c>
      <c r="I146" s="44">
        <f t="shared" si="2"/>
        <v>66.666666666666657</v>
      </c>
      <c r="J146" s="8"/>
      <c r="K146" s="8"/>
      <c r="L146" s="8"/>
    </row>
    <row r="147" spans="1:12" x14ac:dyDescent="0.25">
      <c r="A147" s="44" t="s">
        <v>324</v>
      </c>
      <c r="B147" s="20">
        <v>334885612847.25</v>
      </c>
      <c r="C147" s="20">
        <v>345437789378</v>
      </c>
      <c r="D147" s="44">
        <f t="shared" si="0"/>
        <v>3.1509793571105491</v>
      </c>
      <c r="E147" s="39">
        <v>2</v>
      </c>
      <c r="F147" s="39">
        <v>4</v>
      </c>
      <c r="G147" s="39">
        <v>0</v>
      </c>
      <c r="H147" s="44">
        <f t="shared" si="1"/>
        <v>33.333333333333329</v>
      </c>
      <c r="I147" s="44">
        <f t="shared" si="2"/>
        <v>66.666666666666657</v>
      </c>
      <c r="J147" s="8"/>
      <c r="K147" s="8"/>
      <c r="L147" s="8"/>
    </row>
    <row r="148" spans="1:12" x14ac:dyDescent="0.25">
      <c r="A148" s="44" t="s">
        <v>2867</v>
      </c>
      <c r="B148" s="20">
        <v>5397127767.249999</v>
      </c>
      <c r="C148" s="20">
        <v>5434573776.2800007</v>
      </c>
      <c r="D148" s="44">
        <f t="shared" si="0"/>
        <v>0.69381364764469011</v>
      </c>
      <c r="E148" s="39">
        <v>2</v>
      </c>
      <c r="F148" s="39">
        <v>4</v>
      </c>
      <c r="G148" s="39">
        <v>0</v>
      </c>
      <c r="H148" s="44">
        <f t="shared" si="1"/>
        <v>33.333333333333329</v>
      </c>
      <c r="I148" s="44">
        <f t="shared" si="2"/>
        <v>66.666666666666657</v>
      </c>
      <c r="J148" s="8"/>
      <c r="K148" s="8"/>
      <c r="L148" s="8"/>
    </row>
    <row r="149" spans="1:12" x14ac:dyDescent="0.25">
      <c r="A149" s="44" t="s">
        <v>831</v>
      </c>
      <c r="B149" s="20">
        <v>211715780244.64996</v>
      </c>
      <c r="C149" s="20">
        <v>211980494337.15002</v>
      </c>
      <c r="D149" s="44">
        <f t="shared" si="0"/>
        <v>0.12503276430040708</v>
      </c>
      <c r="E149" s="39">
        <v>2</v>
      </c>
      <c r="F149" s="39">
        <v>4</v>
      </c>
      <c r="G149" s="39">
        <v>0</v>
      </c>
      <c r="H149" s="44">
        <f t="shared" si="1"/>
        <v>33.333333333333329</v>
      </c>
      <c r="I149" s="44">
        <f t="shared" si="2"/>
        <v>66.666666666666657</v>
      </c>
      <c r="J149" s="8"/>
      <c r="K149" s="8"/>
      <c r="L149" s="8"/>
    </row>
    <row r="150" spans="1:12" x14ac:dyDescent="0.25">
      <c r="A150" s="44" t="s">
        <v>3085</v>
      </c>
      <c r="B150" s="20">
        <v>8325401542583.9004</v>
      </c>
      <c r="C150" s="20">
        <v>8328105430080.6006</v>
      </c>
      <c r="D150" s="44">
        <f t="shared" si="0"/>
        <v>3.2477562588062364E-2</v>
      </c>
      <c r="E150" s="39">
        <v>2</v>
      </c>
      <c r="F150" s="39">
        <v>4</v>
      </c>
      <c r="G150" s="39">
        <v>0</v>
      </c>
      <c r="H150" s="44">
        <f t="shared" si="1"/>
        <v>33.333333333333329</v>
      </c>
      <c r="I150" s="44">
        <f t="shared" si="2"/>
        <v>66.666666666666657</v>
      </c>
      <c r="J150" s="8"/>
      <c r="K150" s="8"/>
      <c r="L150" s="8"/>
    </row>
    <row r="151" spans="1:12" x14ac:dyDescent="0.25">
      <c r="A151" s="44" t="s">
        <v>3118</v>
      </c>
      <c r="B151" s="20">
        <v>10561522195488.75</v>
      </c>
      <c r="C151" s="20">
        <v>10507326319678.699</v>
      </c>
      <c r="D151" s="44">
        <f t="shared" si="0"/>
        <v>-0.51314455252671831</v>
      </c>
      <c r="E151" s="39">
        <v>1</v>
      </c>
      <c r="F151" s="39">
        <v>2</v>
      </c>
      <c r="G151" s="39">
        <v>0</v>
      </c>
      <c r="H151" s="44">
        <f t="shared" si="1"/>
        <v>33.333333333333329</v>
      </c>
      <c r="I151" s="44">
        <f t="shared" si="2"/>
        <v>66.666666666666657</v>
      </c>
      <c r="J151" s="8"/>
      <c r="K151" s="8"/>
      <c r="L151" s="8"/>
    </row>
    <row r="152" spans="1:12" x14ac:dyDescent="0.25">
      <c r="A152" s="44" t="s">
        <v>96</v>
      </c>
      <c r="B152" s="20">
        <v>31786872672.599998</v>
      </c>
      <c r="C152" s="20">
        <v>30713869456.060001</v>
      </c>
      <c r="D152" s="44">
        <f t="shared" si="0"/>
        <v>-3.3756174367694762</v>
      </c>
      <c r="E152" s="39">
        <v>1</v>
      </c>
      <c r="F152" s="39">
        <v>2</v>
      </c>
      <c r="G152" s="39">
        <v>0</v>
      </c>
      <c r="H152" s="44">
        <f t="shared" si="1"/>
        <v>33.333333333333329</v>
      </c>
      <c r="I152" s="44">
        <f t="shared" si="2"/>
        <v>66.666666666666657</v>
      </c>
      <c r="J152" s="8"/>
      <c r="K152" s="8"/>
      <c r="L152" s="8"/>
    </row>
    <row r="153" spans="1:12" x14ac:dyDescent="0.25">
      <c r="A153" s="44" t="s">
        <v>2321</v>
      </c>
      <c r="B153" s="20">
        <v>218832607442.35001</v>
      </c>
      <c r="C153" s="20">
        <v>202080475235.10001</v>
      </c>
      <c r="D153" s="44">
        <f t="shared" si="0"/>
        <v>-7.6552267064053687</v>
      </c>
      <c r="E153" s="39">
        <v>2</v>
      </c>
      <c r="F153" s="39">
        <v>4</v>
      </c>
      <c r="G153" s="39">
        <v>0</v>
      </c>
      <c r="H153" s="44">
        <f t="shared" si="1"/>
        <v>33.333333333333329</v>
      </c>
      <c r="I153" s="44">
        <f t="shared" si="2"/>
        <v>66.666666666666657</v>
      </c>
      <c r="J153" s="8"/>
      <c r="K153" s="8"/>
      <c r="L153" s="8"/>
    </row>
    <row r="154" spans="1:12" x14ac:dyDescent="0.25">
      <c r="A154" s="44" t="s">
        <v>108</v>
      </c>
      <c r="B154" s="52">
        <v>3171467919391.2993</v>
      </c>
      <c r="C154" s="52">
        <v>3090294895209.5488</v>
      </c>
      <c r="D154" s="44">
        <f t="shared" si="0"/>
        <v>-2.5594780160137973</v>
      </c>
      <c r="E154" s="39">
        <v>5</v>
      </c>
      <c r="F154" s="39">
        <v>11</v>
      </c>
      <c r="G154" s="39">
        <v>0</v>
      </c>
      <c r="H154" s="44">
        <f t="shared" si="1"/>
        <v>31.25</v>
      </c>
      <c r="I154" s="44">
        <f t="shared" si="2"/>
        <v>68.75</v>
      </c>
      <c r="J154" s="8"/>
      <c r="K154" s="8"/>
      <c r="L154" s="8"/>
    </row>
    <row r="155" spans="1:12" x14ac:dyDescent="0.25">
      <c r="A155" s="44" t="s">
        <v>3190</v>
      </c>
      <c r="B155" s="20">
        <v>104804009483.97</v>
      </c>
      <c r="C155" s="20">
        <v>100580142341.69</v>
      </c>
      <c r="D155" s="44">
        <f t="shared" si="0"/>
        <v>-4.0302533873248887</v>
      </c>
      <c r="E155" s="39">
        <v>3</v>
      </c>
      <c r="F155" s="39">
        <v>7</v>
      </c>
      <c r="G155" s="39">
        <v>0</v>
      </c>
      <c r="H155" s="44">
        <f t="shared" si="1"/>
        <v>30</v>
      </c>
      <c r="I155" s="44">
        <f t="shared" si="2"/>
        <v>70</v>
      </c>
      <c r="J155" s="8"/>
      <c r="K155" s="8"/>
      <c r="L155" s="8"/>
    </row>
    <row r="156" spans="1:12" x14ac:dyDescent="0.25">
      <c r="A156" s="44" t="s">
        <v>4094</v>
      </c>
      <c r="B156" s="20">
        <v>53088301783.349998</v>
      </c>
      <c r="C156" s="20">
        <v>53024752242.359993</v>
      </c>
      <c r="D156" s="44">
        <f t="shared" si="0"/>
        <v>-0.11970535665154095</v>
      </c>
      <c r="E156" s="39">
        <v>6</v>
      </c>
      <c r="F156" s="39">
        <v>13</v>
      </c>
      <c r="G156" s="39">
        <v>2</v>
      </c>
      <c r="H156" s="44">
        <f t="shared" si="1"/>
        <v>28.571428571428569</v>
      </c>
      <c r="I156" s="44">
        <f t="shared" si="2"/>
        <v>61.904761904761905</v>
      </c>
      <c r="J156" s="8"/>
      <c r="K156" s="8"/>
      <c r="L156" s="8"/>
    </row>
    <row r="157" spans="1:12" x14ac:dyDescent="0.25">
      <c r="A157" s="44" t="s">
        <v>2787</v>
      </c>
      <c r="B157" s="20">
        <v>675136627349.9801</v>
      </c>
      <c r="C157" s="20">
        <v>663203483150.45996</v>
      </c>
      <c r="D157" s="44">
        <f t="shared" si="0"/>
        <v>-1.7675154503703425</v>
      </c>
      <c r="E157" s="39">
        <v>2</v>
      </c>
      <c r="F157" s="39">
        <v>5</v>
      </c>
      <c r="G157" s="39">
        <v>0</v>
      </c>
      <c r="H157" s="44">
        <f t="shared" si="1"/>
        <v>28.571428571428569</v>
      </c>
      <c r="I157" s="44">
        <f t="shared" si="2"/>
        <v>71.428571428571431</v>
      </c>
      <c r="J157" s="8"/>
      <c r="K157" s="8"/>
      <c r="L157" s="8"/>
    </row>
    <row r="158" spans="1:12" x14ac:dyDescent="0.25">
      <c r="A158" s="44" t="s">
        <v>3183</v>
      </c>
      <c r="B158" s="20">
        <v>4286885854432.7002</v>
      </c>
      <c r="C158" s="20">
        <v>4125175269257.1499</v>
      </c>
      <c r="D158" s="44">
        <f t="shared" si="0"/>
        <v>-3.7722157917580024</v>
      </c>
      <c r="E158" s="39">
        <v>2</v>
      </c>
      <c r="F158" s="39">
        <v>5</v>
      </c>
      <c r="G158" s="39">
        <v>0</v>
      </c>
      <c r="H158" s="44">
        <f t="shared" si="1"/>
        <v>28.571428571428569</v>
      </c>
      <c r="I158" s="44">
        <f t="shared" si="2"/>
        <v>71.428571428571431</v>
      </c>
      <c r="J158" s="8"/>
      <c r="K158" s="8"/>
      <c r="L158" s="8"/>
    </row>
    <row r="159" spans="1:12" x14ac:dyDescent="0.25">
      <c r="A159" s="44" t="s">
        <v>3503</v>
      </c>
      <c r="B159" s="20">
        <v>1801681159092.8499</v>
      </c>
      <c r="C159" s="20">
        <v>1791698180213.8499</v>
      </c>
      <c r="D159" s="44">
        <f t="shared" si="0"/>
        <v>-0.55409242798689473</v>
      </c>
      <c r="E159" s="39">
        <v>7</v>
      </c>
      <c r="F159" s="39">
        <v>18</v>
      </c>
      <c r="G159" s="39">
        <v>1</v>
      </c>
      <c r="H159" s="44">
        <f t="shared" si="1"/>
        <v>26.923076923076923</v>
      </c>
      <c r="I159" s="44">
        <f t="shared" si="2"/>
        <v>69.230769230769226</v>
      </c>
      <c r="J159" s="8"/>
      <c r="K159" s="8"/>
      <c r="L159" s="8"/>
    </row>
    <row r="160" spans="1:12" x14ac:dyDescent="0.25">
      <c r="A160" s="44" t="s">
        <v>1598</v>
      </c>
      <c r="B160" s="20">
        <v>1462424662691.5</v>
      </c>
      <c r="C160" s="20">
        <v>1821659307337.9998</v>
      </c>
      <c r="D160" s="44">
        <f t="shared" si="0"/>
        <v>24.564317999489361</v>
      </c>
      <c r="E160" s="39">
        <v>1</v>
      </c>
      <c r="F160" s="39">
        <v>2</v>
      </c>
      <c r="G160" s="39">
        <v>1</v>
      </c>
      <c r="H160" s="44">
        <f t="shared" si="1"/>
        <v>25</v>
      </c>
      <c r="I160" s="44">
        <f t="shared" si="2"/>
        <v>50</v>
      </c>
      <c r="J160" s="8"/>
      <c r="K160" s="8"/>
      <c r="L160" s="8"/>
    </row>
    <row r="161" spans="1:12" x14ac:dyDescent="0.25">
      <c r="A161" s="51" t="s">
        <v>2577</v>
      </c>
      <c r="B161" s="20">
        <v>595554463601.6499</v>
      </c>
      <c r="C161" s="20">
        <v>598945718901.54993</v>
      </c>
      <c r="D161" s="44">
        <f t="shared" si="0"/>
        <v>0.56942823992808533</v>
      </c>
      <c r="E161" s="39">
        <v>1</v>
      </c>
      <c r="F161" s="39">
        <v>3</v>
      </c>
      <c r="G161" s="39">
        <v>0</v>
      </c>
      <c r="H161" s="44">
        <f t="shared" si="1"/>
        <v>25</v>
      </c>
      <c r="I161" s="44">
        <f t="shared" si="2"/>
        <v>75</v>
      </c>
      <c r="J161" s="8"/>
      <c r="K161" s="8"/>
      <c r="L161" s="8"/>
    </row>
    <row r="162" spans="1:12" x14ac:dyDescent="0.25">
      <c r="A162" s="44" t="s">
        <v>1333</v>
      </c>
      <c r="B162" s="20">
        <v>135506079276.8</v>
      </c>
      <c r="C162" s="20">
        <v>134220886373.44</v>
      </c>
      <c r="D162" s="44">
        <f t="shared" si="0"/>
        <v>-0.94843929528410342</v>
      </c>
      <c r="E162" s="39">
        <v>1</v>
      </c>
      <c r="F162" s="39">
        <v>3</v>
      </c>
      <c r="G162" s="39">
        <v>0</v>
      </c>
      <c r="H162" s="44">
        <f t="shared" si="1"/>
        <v>25</v>
      </c>
      <c r="I162" s="44">
        <f t="shared" si="2"/>
        <v>75</v>
      </c>
      <c r="J162" s="8"/>
      <c r="K162" s="8"/>
      <c r="L162" s="8"/>
    </row>
    <row r="163" spans="1:12" x14ac:dyDescent="0.25">
      <c r="A163" s="44" t="s">
        <v>2522</v>
      </c>
      <c r="B163" s="20">
        <v>359424441574.74005</v>
      </c>
      <c r="C163" s="20">
        <v>351080991361.68994</v>
      </c>
      <c r="D163" s="44">
        <f t="shared" si="0"/>
        <v>-2.3213363499975395</v>
      </c>
      <c r="E163" s="39">
        <v>3</v>
      </c>
      <c r="F163" s="39">
        <v>9</v>
      </c>
      <c r="G163" s="39">
        <v>0</v>
      </c>
      <c r="H163" s="44">
        <f t="shared" si="1"/>
        <v>25</v>
      </c>
      <c r="I163" s="44">
        <f t="shared" si="2"/>
        <v>75</v>
      </c>
      <c r="J163" s="8"/>
      <c r="K163" s="8"/>
      <c r="L163" s="8"/>
    </row>
    <row r="164" spans="1:12" x14ac:dyDescent="0.25">
      <c r="A164" s="44" t="s">
        <v>1616</v>
      </c>
      <c r="B164" s="20">
        <v>709898666052.05005</v>
      </c>
      <c r="C164" s="20">
        <v>674294656752.24988</v>
      </c>
      <c r="D164" s="44">
        <f t="shared" si="0"/>
        <v>-5.0153650094603321</v>
      </c>
      <c r="E164" s="39">
        <v>1</v>
      </c>
      <c r="F164" s="39">
        <v>3</v>
      </c>
      <c r="G164" s="39">
        <v>0</v>
      </c>
      <c r="H164" s="44">
        <f t="shared" si="1"/>
        <v>25</v>
      </c>
      <c r="I164" s="44">
        <f t="shared" si="2"/>
        <v>75</v>
      </c>
      <c r="J164" s="8"/>
      <c r="K164" s="8"/>
      <c r="L164" s="8"/>
    </row>
    <row r="165" spans="1:12" x14ac:dyDescent="0.25">
      <c r="A165" s="44" t="s">
        <v>3068</v>
      </c>
      <c r="B165" s="20">
        <v>3910832883.7599998</v>
      </c>
      <c r="C165" s="20">
        <v>3712521952.8500004</v>
      </c>
      <c r="D165" s="44">
        <f t="shared" si="0"/>
        <v>-5.0708106637207395</v>
      </c>
      <c r="E165" s="39">
        <v>1</v>
      </c>
      <c r="F165" s="39">
        <v>3</v>
      </c>
      <c r="G165" s="39">
        <v>0</v>
      </c>
      <c r="H165" s="44">
        <f t="shared" si="1"/>
        <v>25</v>
      </c>
      <c r="I165" s="44">
        <f t="shared" si="2"/>
        <v>75</v>
      </c>
      <c r="J165" s="8"/>
      <c r="K165" s="8"/>
      <c r="L165" s="8"/>
    </row>
    <row r="166" spans="1:12" x14ac:dyDescent="0.25">
      <c r="A166" s="44" t="s">
        <v>2444</v>
      </c>
      <c r="B166" s="20">
        <v>1377669908772.1902</v>
      </c>
      <c r="C166" s="20">
        <v>1385363117651.8298</v>
      </c>
      <c r="D166" s="44">
        <f t="shared" si="0"/>
        <v>0.55842178381438312</v>
      </c>
      <c r="E166" s="39">
        <v>3</v>
      </c>
      <c r="F166" s="39">
        <v>12</v>
      </c>
      <c r="G166" s="39">
        <v>0</v>
      </c>
      <c r="H166" s="44">
        <f t="shared" si="1"/>
        <v>20</v>
      </c>
      <c r="I166" s="44">
        <f t="shared" si="2"/>
        <v>80</v>
      </c>
      <c r="J166" s="8"/>
      <c r="K166" s="8"/>
      <c r="L166" s="8"/>
    </row>
    <row r="167" spans="1:12" x14ac:dyDescent="0.25">
      <c r="A167" s="44" t="s">
        <v>2261</v>
      </c>
      <c r="B167" s="20">
        <v>108236312374.66998</v>
      </c>
      <c r="C167" s="20">
        <v>104847523844.25</v>
      </c>
      <c r="D167" s="44">
        <f t="shared" si="0"/>
        <v>-3.1309164697789953</v>
      </c>
      <c r="E167" s="39">
        <v>3</v>
      </c>
      <c r="F167" s="39">
        <v>11</v>
      </c>
      <c r="G167" s="39">
        <v>1</v>
      </c>
      <c r="H167" s="44">
        <f t="shared" si="1"/>
        <v>20</v>
      </c>
      <c r="I167" s="44">
        <f t="shared" si="2"/>
        <v>73.333333333333329</v>
      </c>
      <c r="J167" s="8"/>
      <c r="K167" s="8"/>
      <c r="L167" s="8"/>
    </row>
    <row r="168" spans="1:12" x14ac:dyDescent="0.25">
      <c r="A168" s="44" t="s">
        <v>1563</v>
      </c>
      <c r="B168" s="20">
        <v>50087525481.059998</v>
      </c>
      <c r="C168" s="20">
        <v>47736739690.18</v>
      </c>
      <c r="D168" s="44">
        <f t="shared" si="0"/>
        <v>-4.6933558172461902</v>
      </c>
      <c r="E168" s="39">
        <v>1</v>
      </c>
      <c r="F168" s="39">
        <v>4</v>
      </c>
      <c r="G168" s="39">
        <v>0</v>
      </c>
      <c r="H168" s="44">
        <f t="shared" si="1"/>
        <v>20</v>
      </c>
      <c r="I168" s="44">
        <f t="shared" si="2"/>
        <v>80</v>
      </c>
      <c r="J168" s="8"/>
      <c r="K168" s="8"/>
      <c r="L168" s="8"/>
    </row>
    <row r="169" spans="1:12" x14ac:dyDescent="0.25">
      <c r="A169" s="44" t="s">
        <v>1271</v>
      </c>
      <c r="B169" s="20">
        <v>1035797536277.2999</v>
      </c>
      <c r="C169" s="20">
        <v>1014346405126.4501</v>
      </c>
      <c r="D169" s="44">
        <f t="shared" si="0"/>
        <v>-2.0709772324759648</v>
      </c>
      <c r="E169" s="39">
        <v>3</v>
      </c>
      <c r="F169" s="39">
        <v>13</v>
      </c>
      <c r="G169" s="39">
        <v>0</v>
      </c>
      <c r="H169" s="44">
        <f t="shared" si="1"/>
        <v>18.75</v>
      </c>
      <c r="I169" s="44">
        <f t="shared" si="2"/>
        <v>81.25</v>
      </c>
      <c r="J169" s="8"/>
      <c r="K169" s="8"/>
      <c r="L169" s="8"/>
    </row>
    <row r="170" spans="1:12" x14ac:dyDescent="0.25">
      <c r="A170" s="44" t="s">
        <v>1538</v>
      </c>
      <c r="B170" s="20">
        <v>1136552736.7</v>
      </c>
      <c r="C170" s="20">
        <v>1082487761</v>
      </c>
      <c r="D170" s="44">
        <f t="shared" si="0"/>
        <v>-4.7569262696052812</v>
      </c>
      <c r="E170" s="39">
        <v>1</v>
      </c>
      <c r="F170" s="39">
        <v>5</v>
      </c>
      <c r="G170" s="39">
        <v>0</v>
      </c>
      <c r="H170" s="44">
        <f t="shared" si="1"/>
        <v>16.666666666666664</v>
      </c>
      <c r="I170" s="44">
        <f t="shared" si="2"/>
        <v>83.333333333333343</v>
      </c>
      <c r="J170" s="8"/>
      <c r="K170" s="8"/>
      <c r="L170" s="8"/>
    </row>
    <row r="171" spans="1:12" x14ac:dyDescent="0.25">
      <c r="A171" s="44" t="s">
        <v>1970</v>
      </c>
      <c r="B171" s="20">
        <v>833377030194.65002</v>
      </c>
      <c r="C171" s="20">
        <v>790889265396.40002</v>
      </c>
      <c r="D171" s="44">
        <f t="shared" si="0"/>
        <v>-5.0982644420048659</v>
      </c>
      <c r="E171" s="39">
        <v>1</v>
      </c>
      <c r="F171" s="39">
        <v>6</v>
      </c>
      <c r="G171" s="39">
        <v>0</v>
      </c>
      <c r="H171" s="44">
        <f t="shared" si="1"/>
        <v>14.285714285714285</v>
      </c>
      <c r="I171" s="44">
        <f t="shared" si="2"/>
        <v>85.714285714285708</v>
      </c>
      <c r="J171" s="8"/>
      <c r="K171" s="8"/>
      <c r="L171" s="8"/>
    </row>
    <row r="172" spans="1:12" x14ac:dyDescent="0.25">
      <c r="A172" s="44" t="s">
        <v>2834</v>
      </c>
      <c r="B172" s="20">
        <v>29131846045.400002</v>
      </c>
      <c r="C172" s="20">
        <v>27955838021.700001</v>
      </c>
      <c r="D172" s="44">
        <f t="shared" si="0"/>
        <v>-4.0368468989822075</v>
      </c>
      <c r="E172" s="39">
        <v>1</v>
      </c>
      <c r="F172" s="39">
        <v>8</v>
      </c>
      <c r="G172" s="39">
        <v>0</v>
      </c>
      <c r="H172" s="44">
        <f t="shared" si="1"/>
        <v>11.111111111111111</v>
      </c>
      <c r="I172" s="44">
        <f t="shared" si="2"/>
        <v>88.888888888888886</v>
      </c>
      <c r="J172" s="8"/>
      <c r="K172" s="8"/>
      <c r="L172" s="8"/>
    </row>
    <row r="173" spans="1:12" x14ac:dyDescent="0.25">
      <c r="A173" s="44" t="s">
        <v>4128</v>
      </c>
      <c r="B173" s="20">
        <v>26482912500</v>
      </c>
      <c r="C173" s="20">
        <v>26381025000</v>
      </c>
      <c r="D173" s="44">
        <f t="shared" si="0"/>
        <v>-0.38472920982539216</v>
      </c>
      <c r="E173" s="39">
        <v>0</v>
      </c>
      <c r="F173" s="39">
        <v>1</v>
      </c>
      <c r="G173" s="39">
        <v>0</v>
      </c>
      <c r="H173" s="44">
        <f t="shared" si="1"/>
        <v>0</v>
      </c>
      <c r="I173" s="44">
        <f t="shared" si="2"/>
        <v>100</v>
      </c>
      <c r="J173" s="8"/>
      <c r="K173" s="8"/>
      <c r="L173" s="8"/>
    </row>
    <row r="174" spans="1:12" x14ac:dyDescent="0.25">
      <c r="A174" s="44" t="s">
        <v>52</v>
      </c>
      <c r="B174" s="20">
        <v>900497311609</v>
      </c>
      <c r="C174" s="20">
        <v>895767955652.6499</v>
      </c>
      <c r="D174" s="44">
        <f t="shared" si="0"/>
        <v>-0.52519378962939145</v>
      </c>
      <c r="E174" s="39">
        <v>0</v>
      </c>
      <c r="F174" s="39">
        <v>3</v>
      </c>
      <c r="G174" s="39">
        <v>0</v>
      </c>
      <c r="H174" s="44">
        <f t="shared" si="1"/>
        <v>0</v>
      </c>
      <c r="I174" s="44">
        <f t="shared" si="2"/>
        <v>100</v>
      </c>
      <c r="J174" s="8"/>
      <c r="K174" s="8"/>
      <c r="L174" s="8"/>
    </row>
    <row r="175" spans="1:12" x14ac:dyDescent="0.25">
      <c r="A175" s="44" t="s">
        <v>767</v>
      </c>
      <c r="B175" s="20">
        <v>1020699527056.66</v>
      </c>
      <c r="C175" s="20">
        <v>1000080439464.75</v>
      </c>
      <c r="D175" s="44">
        <f t="shared" si="0"/>
        <v>-2.020093773470069</v>
      </c>
      <c r="E175" s="39">
        <v>0</v>
      </c>
      <c r="F175" s="39">
        <v>4</v>
      </c>
      <c r="G175" s="39">
        <v>1</v>
      </c>
      <c r="H175" s="44">
        <f t="shared" si="1"/>
        <v>0</v>
      </c>
      <c r="I175" s="44">
        <f t="shared" si="2"/>
        <v>80</v>
      </c>
      <c r="J175" s="8"/>
      <c r="K175" s="8"/>
      <c r="L175" s="8"/>
    </row>
    <row r="176" spans="1:12" x14ac:dyDescent="0.25">
      <c r="A176" s="44" t="s">
        <v>4261</v>
      </c>
      <c r="B176" s="20">
        <v>38211237299.849998</v>
      </c>
      <c r="C176" s="20">
        <v>37232232399.5</v>
      </c>
      <c r="D176" s="44">
        <f t="shared" si="0"/>
        <v>-2.5620863639342075</v>
      </c>
      <c r="E176" s="44">
        <v>0</v>
      </c>
      <c r="F176" s="44">
        <v>1</v>
      </c>
      <c r="G176" s="44">
        <v>0</v>
      </c>
      <c r="H176" s="44">
        <f t="shared" si="1"/>
        <v>0</v>
      </c>
      <c r="I176" s="44">
        <f t="shared" si="2"/>
        <v>100</v>
      </c>
      <c r="J176" s="8"/>
      <c r="K176" s="8"/>
      <c r="L176" s="8"/>
    </row>
    <row r="177" spans="1:12" x14ac:dyDescent="0.25">
      <c r="A177" s="44" t="s">
        <v>4133</v>
      </c>
      <c r="B177" s="20">
        <v>4976263555.1999998</v>
      </c>
      <c r="C177" s="20">
        <v>4811193324</v>
      </c>
      <c r="D177" s="44">
        <f t="shared" si="0"/>
        <v>-3.3171521035598666</v>
      </c>
      <c r="E177" s="39">
        <v>0</v>
      </c>
      <c r="F177" s="39">
        <v>1</v>
      </c>
      <c r="G177" s="39">
        <v>0</v>
      </c>
      <c r="H177" s="44">
        <f t="shared" si="1"/>
        <v>0</v>
      </c>
      <c r="I177" s="44">
        <f t="shared" si="2"/>
        <v>100</v>
      </c>
      <c r="J177" s="8"/>
      <c r="K177" s="8"/>
      <c r="L177" s="8"/>
    </row>
    <row r="178" spans="1:12" x14ac:dyDescent="0.25">
      <c r="A178" s="44" t="s">
        <v>659</v>
      </c>
      <c r="B178" s="20">
        <v>96357889177.949997</v>
      </c>
      <c r="C178" s="20">
        <v>92206162897.200012</v>
      </c>
      <c r="D178" s="44">
        <f t="shared" si="0"/>
        <v>-4.3086521676317941</v>
      </c>
      <c r="E178" s="39">
        <v>0</v>
      </c>
      <c r="F178" s="39">
        <v>2</v>
      </c>
      <c r="G178" s="39">
        <v>0</v>
      </c>
      <c r="H178" s="44">
        <f t="shared" si="1"/>
        <v>0</v>
      </c>
      <c r="I178" s="44">
        <f t="shared" si="2"/>
        <v>100</v>
      </c>
      <c r="J178" s="8"/>
      <c r="K178" s="8"/>
      <c r="L178" s="8"/>
    </row>
    <row r="179" spans="1:12" x14ac:dyDescent="0.25">
      <c r="A179" s="44" t="s">
        <v>4051</v>
      </c>
      <c r="B179" s="20">
        <v>39725984213.400002</v>
      </c>
      <c r="C179" s="20">
        <v>37909857505.300003</v>
      </c>
      <c r="D179" s="44">
        <f t="shared" si="0"/>
        <v>-4.5716342692584551</v>
      </c>
      <c r="E179" s="39">
        <v>0</v>
      </c>
      <c r="F179" s="39">
        <v>1</v>
      </c>
      <c r="G179" s="39">
        <v>0</v>
      </c>
      <c r="H179" s="44">
        <f t="shared" si="1"/>
        <v>0</v>
      </c>
      <c r="I179" s="44">
        <f t="shared" si="2"/>
        <v>100</v>
      </c>
      <c r="J179" s="8"/>
      <c r="K179" s="8"/>
      <c r="L179" s="8"/>
    </row>
    <row r="180" spans="1:12" x14ac:dyDescent="0.25">
      <c r="A180" s="44" t="s">
        <v>4077</v>
      </c>
      <c r="B180" s="20">
        <v>4784391787.5</v>
      </c>
      <c r="C180" s="20">
        <v>4542234986.25</v>
      </c>
      <c r="D180" s="44">
        <f t="shared" si="0"/>
        <v>-5.0613915416098232</v>
      </c>
      <c r="E180" s="39">
        <v>0</v>
      </c>
      <c r="F180" s="39">
        <v>1</v>
      </c>
      <c r="G180" s="39">
        <v>0</v>
      </c>
      <c r="H180" s="44">
        <f t="shared" si="1"/>
        <v>0</v>
      </c>
      <c r="I180" s="44">
        <f t="shared" si="2"/>
        <v>100</v>
      </c>
      <c r="J180" s="8"/>
      <c r="K180" s="8"/>
      <c r="L180" s="8"/>
    </row>
    <row r="181" spans="1:12" x14ac:dyDescent="0.25">
      <c r="A181" s="44" t="s">
        <v>4191</v>
      </c>
      <c r="B181" s="20">
        <v>7651660911.8000002</v>
      </c>
      <c r="C181" s="20">
        <v>7211299199.6499996</v>
      </c>
      <c r="D181" s="44">
        <f t="shared" si="0"/>
        <v>-5.7551127425275377</v>
      </c>
      <c r="E181" s="39">
        <v>0</v>
      </c>
      <c r="F181" s="39">
        <v>1</v>
      </c>
      <c r="G181" s="39">
        <v>0</v>
      </c>
      <c r="H181" s="44">
        <f t="shared" si="1"/>
        <v>0</v>
      </c>
      <c r="I181" s="44">
        <f t="shared" si="2"/>
        <v>100</v>
      </c>
      <c r="J181" s="8"/>
      <c r="K181" s="8"/>
      <c r="L181" s="8"/>
    </row>
    <row r="182" spans="1:12" x14ac:dyDescent="0.25">
      <c r="A182" s="44" t="s">
        <v>4177</v>
      </c>
      <c r="B182" s="20">
        <v>63497993785</v>
      </c>
      <c r="C182" s="20">
        <v>59814908884</v>
      </c>
      <c r="D182" s="44">
        <f t="shared" si="0"/>
        <v>-5.800316957210776</v>
      </c>
      <c r="E182" s="39">
        <v>0</v>
      </c>
      <c r="F182" s="39">
        <v>1</v>
      </c>
      <c r="G182" s="39">
        <v>0</v>
      </c>
      <c r="H182" s="44">
        <f t="shared" si="1"/>
        <v>0</v>
      </c>
      <c r="I182" s="44">
        <f t="shared" si="2"/>
        <v>100</v>
      </c>
      <c r="J182" s="8"/>
      <c r="K182" s="8"/>
      <c r="L182" s="8"/>
    </row>
    <row r="183" spans="1:12" x14ac:dyDescent="0.25">
      <c r="A183" s="44" t="s">
        <v>2749</v>
      </c>
      <c r="B183" s="20">
        <v>20394730899.100002</v>
      </c>
      <c r="C183" s="20">
        <v>19083759742.799999</v>
      </c>
      <c r="D183" s="44">
        <f t="shared" si="0"/>
        <v>-6.4279894781933837</v>
      </c>
      <c r="E183" s="39">
        <v>0</v>
      </c>
      <c r="F183" s="39">
        <v>2</v>
      </c>
      <c r="G183" s="39">
        <v>0</v>
      </c>
      <c r="H183" s="44">
        <f t="shared" si="1"/>
        <v>0</v>
      </c>
      <c r="I183" s="44">
        <f t="shared" si="2"/>
        <v>100</v>
      </c>
      <c r="J183" s="8"/>
      <c r="K183" s="8"/>
      <c r="L183" s="8"/>
    </row>
    <row r="184" spans="1:12" x14ac:dyDescent="0.25">
      <c r="A184" s="44" t="s">
        <v>4068</v>
      </c>
      <c r="B184" s="20">
        <v>43391091087</v>
      </c>
      <c r="C184" s="20">
        <v>39531963737.399994</v>
      </c>
      <c r="D184" s="44">
        <f t="shared" si="0"/>
        <v>-8.8938241766319699</v>
      </c>
      <c r="E184" s="39">
        <v>0</v>
      </c>
      <c r="F184" s="39">
        <v>2</v>
      </c>
      <c r="G184" s="39">
        <v>0</v>
      </c>
      <c r="H184" s="44">
        <f t="shared" si="1"/>
        <v>0</v>
      </c>
      <c r="I184" s="44">
        <f t="shared" si="2"/>
        <v>100</v>
      </c>
      <c r="J184" s="8"/>
      <c r="K184" s="8"/>
      <c r="L184" s="8"/>
    </row>
    <row r="185" spans="1:12" x14ac:dyDescent="0.25">
      <c r="A185" s="44" t="s">
        <v>1672</v>
      </c>
      <c r="B185" s="20">
        <v>570149297663.90002</v>
      </c>
      <c r="C185" s="20">
        <v>518419788043.79999</v>
      </c>
      <c r="D185" s="44">
        <f t="shared" si="0"/>
        <v>-9.0729761190715887</v>
      </c>
      <c r="E185" s="39">
        <v>0</v>
      </c>
      <c r="F185" s="39">
        <v>3</v>
      </c>
      <c r="G185" s="39">
        <v>0</v>
      </c>
      <c r="H185" s="44">
        <f t="shared" si="1"/>
        <v>0</v>
      </c>
      <c r="I185" s="44">
        <f t="shared" si="2"/>
        <v>100</v>
      </c>
      <c r="J185" s="8"/>
      <c r="K185" s="8"/>
      <c r="L185" s="8"/>
    </row>
    <row r="186" spans="1:12" x14ac:dyDescent="0.25">
      <c r="A186" s="44" t="s">
        <v>4245</v>
      </c>
      <c r="B186" s="20">
        <v>1155291080</v>
      </c>
      <c r="C186" s="20">
        <v>1034440420</v>
      </c>
      <c r="D186" s="44">
        <f t="shared" si="0"/>
        <v>-10.460624347588661</v>
      </c>
      <c r="E186" s="44">
        <v>0</v>
      </c>
      <c r="F186" s="44">
        <v>2</v>
      </c>
      <c r="G186" s="44">
        <v>0</v>
      </c>
      <c r="H186" s="44">
        <f t="shared" si="1"/>
        <v>0</v>
      </c>
      <c r="I186" s="44">
        <f t="shared" si="2"/>
        <v>100</v>
      </c>
      <c r="J186" s="69" t="s">
        <v>4424</v>
      </c>
      <c r="K186" s="67"/>
      <c r="L186" s="8"/>
    </row>
    <row r="187" spans="1:12" x14ac:dyDescent="0.25">
      <c r="A187" s="44" t="s">
        <v>4235</v>
      </c>
      <c r="B187" s="20">
        <v>785756660</v>
      </c>
      <c r="C187" s="20">
        <v>604442290</v>
      </c>
      <c r="D187" s="44">
        <f t="shared" si="0"/>
        <v>-23.07512990090342</v>
      </c>
      <c r="E187" s="44">
        <v>0</v>
      </c>
      <c r="F187" s="44">
        <v>2</v>
      </c>
      <c r="G187" s="44">
        <v>0</v>
      </c>
      <c r="H187" s="44">
        <f t="shared" si="1"/>
        <v>0</v>
      </c>
      <c r="I187" s="44">
        <f t="shared" si="2"/>
        <v>100</v>
      </c>
      <c r="J187" s="8"/>
      <c r="K187" s="8"/>
      <c r="L187" s="8"/>
    </row>
    <row r="188" spans="1:12" x14ac:dyDescent="0.25">
      <c r="A188" s="44"/>
      <c r="B188" s="44"/>
      <c r="C188" s="44"/>
      <c r="D188" s="44"/>
      <c r="E188" s="44"/>
      <c r="F188" s="44"/>
      <c r="G188" s="44"/>
      <c r="H188" s="44"/>
      <c r="I188" s="44"/>
      <c r="J188" s="8"/>
      <c r="K188" s="8"/>
    </row>
    <row r="189" spans="1:12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8"/>
      <c r="K189" s="8"/>
    </row>
    <row r="190" spans="1:12" x14ac:dyDescent="0.25">
      <c r="A190" s="44"/>
      <c r="B190" s="44"/>
      <c r="C190" s="44"/>
      <c r="D190" s="44"/>
      <c r="E190" s="44"/>
      <c r="F190" s="44"/>
      <c r="G190" s="44"/>
      <c r="H190" s="44"/>
      <c r="I190" s="44"/>
      <c r="J190" s="8"/>
      <c r="K190" s="8"/>
    </row>
    <row r="191" spans="1:12" x14ac:dyDescent="0.25">
      <c r="A191" s="44"/>
      <c r="B191" s="44"/>
      <c r="C191" s="44"/>
      <c r="D191" s="44"/>
      <c r="E191" s="44"/>
      <c r="F191" s="44"/>
      <c r="G191" s="44"/>
      <c r="H191" s="44"/>
      <c r="I191" s="44"/>
      <c r="J191" s="8"/>
      <c r="K191" s="8"/>
    </row>
    <row r="192" spans="1:12" x14ac:dyDescent="0.25">
      <c r="A192" s="44"/>
      <c r="B192" s="44"/>
      <c r="C192" s="44"/>
      <c r="D192" s="44"/>
      <c r="E192" s="44"/>
      <c r="F192" s="44"/>
      <c r="G192" s="44"/>
      <c r="H192" s="44"/>
      <c r="I192" s="44"/>
      <c r="J192" s="8"/>
      <c r="K192" s="8"/>
    </row>
    <row r="193" spans="1:11" x14ac:dyDescent="0.25">
      <c r="A193" s="44"/>
      <c r="B193" s="44"/>
      <c r="C193" s="44"/>
      <c r="D193" s="44"/>
      <c r="E193" s="44"/>
      <c r="F193" s="44"/>
      <c r="G193" s="44"/>
      <c r="H193" s="44"/>
      <c r="I193" s="44"/>
      <c r="J193" s="8"/>
      <c r="K193" s="8"/>
    </row>
    <row r="194" spans="1:11" x14ac:dyDescent="0.25">
      <c r="A194" s="44"/>
      <c r="B194" s="44"/>
      <c r="C194" s="44"/>
      <c r="D194" s="44"/>
      <c r="E194" s="44"/>
      <c r="F194" s="44"/>
      <c r="G194" s="44"/>
      <c r="H194" s="44"/>
      <c r="I194" s="44"/>
      <c r="J194" s="8"/>
      <c r="K194" s="8"/>
    </row>
    <row r="195" spans="1:11" x14ac:dyDescent="0.25">
      <c r="A195" s="44"/>
      <c r="B195" s="44"/>
      <c r="C195" s="44"/>
      <c r="D195" s="44"/>
      <c r="E195" s="44"/>
      <c r="F195" s="44"/>
      <c r="G195" s="44"/>
      <c r="H195" s="44"/>
      <c r="I195" s="44"/>
      <c r="J195" s="8"/>
      <c r="K195" s="8"/>
    </row>
    <row r="196" spans="1:11" x14ac:dyDescent="0.25">
      <c r="A196" s="44"/>
      <c r="B196" s="44"/>
      <c r="C196" s="44"/>
      <c r="D196" s="44"/>
      <c r="E196" s="44"/>
      <c r="F196" s="44"/>
      <c r="G196" s="44"/>
      <c r="H196" s="44"/>
      <c r="I196" s="44"/>
      <c r="J196" s="8"/>
      <c r="K196" s="8"/>
    </row>
    <row r="197" spans="1:11" x14ac:dyDescent="0.25">
      <c r="A197" s="44"/>
      <c r="B197" s="44"/>
      <c r="C197" s="44"/>
      <c r="D197" s="44"/>
      <c r="E197" s="44"/>
      <c r="F197" s="44"/>
      <c r="G197" s="44"/>
      <c r="H197" s="44"/>
      <c r="I197" s="44"/>
      <c r="J197" s="8"/>
      <c r="K197" s="8"/>
    </row>
    <row r="198" spans="1:11" x14ac:dyDescent="0.25">
      <c r="A198" s="44"/>
      <c r="B198" s="44"/>
      <c r="C198" s="44"/>
      <c r="D198" s="44"/>
      <c r="E198" s="44"/>
      <c r="F198" s="44"/>
      <c r="G198" s="44"/>
      <c r="H198" s="44"/>
      <c r="I198" s="44"/>
      <c r="J198" s="8"/>
      <c r="K198" s="8"/>
    </row>
    <row r="199" spans="1:11" x14ac:dyDescent="0.25">
      <c r="A199" s="44"/>
      <c r="B199" s="44"/>
      <c r="C199" s="44"/>
      <c r="D199" s="44"/>
      <c r="E199" s="44"/>
      <c r="F199" s="44"/>
      <c r="G199" s="44"/>
      <c r="H199" s="44"/>
      <c r="I199" s="44"/>
      <c r="J199" s="8"/>
      <c r="K199" s="8"/>
    </row>
    <row r="200" spans="1:11" x14ac:dyDescent="0.25">
      <c r="A200" s="44"/>
      <c r="B200" s="44"/>
      <c r="C200" s="44"/>
      <c r="D200" s="44"/>
      <c r="E200" s="44"/>
      <c r="F200" s="44"/>
      <c r="G200" s="44"/>
      <c r="H200" s="44"/>
      <c r="I200" s="44"/>
      <c r="J200" s="8"/>
      <c r="K200" s="8"/>
    </row>
    <row r="201" spans="1:11" x14ac:dyDescent="0.25">
      <c r="A201" s="44"/>
      <c r="B201" s="44"/>
      <c r="C201" s="44"/>
      <c r="D201" s="44"/>
      <c r="E201" s="44"/>
      <c r="F201" s="44"/>
      <c r="G201" s="44"/>
      <c r="H201" s="44"/>
      <c r="I201" s="44"/>
      <c r="J201" s="8"/>
      <c r="K201" s="8"/>
    </row>
    <row r="202" spans="1:11" x14ac:dyDescent="0.25">
      <c r="A202" s="44"/>
      <c r="B202" s="44"/>
      <c r="C202" s="44"/>
      <c r="D202" s="44"/>
      <c r="E202" s="44"/>
      <c r="F202" s="44"/>
      <c r="G202" s="44"/>
      <c r="H202" s="44"/>
      <c r="I202" s="44"/>
      <c r="J202" s="8"/>
      <c r="K202" s="8"/>
    </row>
    <row r="203" spans="1:11" x14ac:dyDescent="0.25">
      <c r="A203" s="44"/>
      <c r="B203" s="44"/>
      <c r="C203" s="44"/>
      <c r="D203" s="44"/>
      <c r="E203" s="44"/>
      <c r="F203" s="44"/>
      <c r="G203" s="44"/>
      <c r="H203" s="44"/>
      <c r="I203" s="44"/>
      <c r="J203" s="8"/>
      <c r="K203" s="8"/>
    </row>
    <row r="204" spans="1:11" x14ac:dyDescent="0.25">
      <c r="A204" s="44"/>
      <c r="B204" s="44"/>
      <c r="C204" s="44"/>
      <c r="D204" s="44"/>
      <c r="E204" s="44"/>
      <c r="F204" s="44"/>
      <c r="G204" s="44"/>
      <c r="H204" s="44"/>
      <c r="I204" s="44"/>
      <c r="J204" s="8"/>
      <c r="K204" s="8"/>
    </row>
    <row r="205" spans="1:11" x14ac:dyDescent="0.25">
      <c r="A205" s="44"/>
      <c r="B205" s="44"/>
      <c r="C205" s="44"/>
      <c r="D205" s="44"/>
      <c r="E205" s="44"/>
      <c r="F205" s="44"/>
      <c r="G205" s="44"/>
      <c r="H205" s="44"/>
      <c r="I205" s="44"/>
      <c r="J205" s="8"/>
      <c r="K205" s="8"/>
    </row>
    <row r="206" spans="1:11" x14ac:dyDescent="0.25">
      <c r="A206" s="44"/>
      <c r="B206" s="44"/>
      <c r="C206" s="44"/>
      <c r="D206" s="44"/>
      <c r="E206" s="44"/>
      <c r="F206" s="44"/>
      <c r="G206" s="44"/>
      <c r="H206" s="44"/>
      <c r="I206" s="44"/>
      <c r="J206" s="8"/>
      <c r="K206" s="8"/>
    </row>
    <row r="207" spans="1:11" x14ac:dyDescent="0.25">
      <c r="A207" s="44"/>
      <c r="B207" s="44"/>
      <c r="C207" s="44"/>
      <c r="D207" s="44"/>
      <c r="E207" s="44"/>
      <c r="F207" s="44"/>
      <c r="G207" s="44"/>
      <c r="H207" s="44"/>
      <c r="I207" s="44"/>
      <c r="J207" s="8"/>
      <c r="K207" s="8"/>
    </row>
    <row r="208" spans="1:11" x14ac:dyDescent="0.25">
      <c r="A208" s="44"/>
      <c r="B208" s="44"/>
      <c r="C208" s="44"/>
      <c r="D208" s="44"/>
      <c r="E208" s="44"/>
      <c r="F208" s="44"/>
      <c r="G208" s="44"/>
      <c r="H208" s="44"/>
      <c r="I208" s="44"/>
      <c r="J208" s="8"/>
      <c r="K208" s="8"/>
    </row>
    <row r="209" spans="1:11" x14ac:dyDescent="0.25">
      <c r="A209" s="44"/>
      <c r="B209" s="44"/>
      <c r="C209" s="44"/>
      <c r="D209" s="44"/>
      <c r="E209" s="44"/>
      <c r="F209" s="44"/>
      <c r="G209" s="44"/>
      <c r="H209" s="44"/>
      <c r="I209" s="44"/>
      <c r="J209" s="8"/>
      <c r="K209" s="8"/>
    </row>
    <row r="210" spans="1:11" x14ac:dyDescent="0.25">
      <c r="A210" s="44"/>
      <c r="B210" s="44"/>
      <c r="C210" s="44"/>
      <c r="D210" s="44"/>
      <c r="E210" s="44"/>
      <c r="F210" s="44"/>
      <c r="G210" s="44"/>
      <c r="H210" s="44"/>
      <c r="I210" s="44"/>
      <c r="J210" s="8"/>
      <c r="K210" s="8"/>
    </row>
    <row r="211" spans="1:11" x14ac:dyDescent="0.25">
      <c r="A211" s="44"/>
      <c r="B211" s="44"/>
      <c r="C211" s="44"/>
      <c r="D211" s="44"/>
      <c r="E211" s="44"/>
      <c r="F211" s="44"/>
      <c r="G211" s="44"/>
      <c r="H211" s="44"/>
      <c r="I211" s="44"/>
      <c r="J211" s="8"/>
      <c r="K211" s="8"/>
    </row>
    <row r="212" spans="1:11" x14ac:dyDescent="0.25">
      <c r="A212" s="44"/>
      <c r="B212" s="44"/>
      <c r="C212" s="44"/>
      <c r="D212" s="44"/>
      <c r="E212" s="44"/>
      <c r="F212" s="44"/>
      <c r="G212" s="44"/>
      <c r="H212" s="44"/>
      <c r="I212" s="44"/>
      <c r="J212" s="8"/>
      <c r="K212" s="8"/>
    </row>
    <row r="213" spans="1:11" x14ac:dyDescent="0.25">
      <c r="A213" s="44"/>
      <c r="B213" s="44"/>
      <c r="C213" s="44"/>
      <c r="D213" s="44"/>
      <c r="E213" s="44"/>
      <c r="F213" s="44"/>
      <c r="G213" s="44"/>
      <c r="H213" s="44"/>
      <c r="I213" s="44"/>
      <c r="J213" s="8"/>
      <c r="K213" s="8"/>
    </row>
    <row r="214" spans="1:11" x14ac:dyDescent="0.25">
      <c r="A214" s="44"/>
      <c r="B214" s="44"/>
      <c r="C214" s="44"/>
      <c r="D214" s="44"/>
      <c r="E214" s="44"/>
      <c r="F214" s="44"/>
      <c r="G214" s="44"/>
      <c r="H214" s="44"/>
      <c r="I214" s="44"/>
      <c r="J214" s="8"/>
      <c r="K214" s="8"/>
    </row>
    <row r="215" spans="1:11" x14ac:dyDescent="0.25">
      <c r="A215" s="44"/>
      <c r="B215" s="44"/>
      <c r="C215" s="44"/>
      <c r="D215" s="44"/>
      <c r="E215" s="44"/>
      <c r="F215" s="44"/>
      <c r="G215" s="44"/>
      <c r="H215" s="44"/>
      <c r="I215" s="44"/>
      <c r="J215" s="8"/>
      <c r="K215" s="8"/>
    </row>
    <row r="216" spans="1:11" x14ac:dyDescent="0.25">
      <c r="A216" s="44"/>
      <c r="B216" s="44"/>
      <c r="C216" s="44"/>
      <c r="D216" s="44"/>
      <c r="E216" s="44"/>
      <c r="F216" s="44"/>
      <c r="G216" s="44"/>
      <c r="H216" s="44"/>
      <c r="I216" s="44"/>
      <c r="J216" s="8"/>
      <c r="K216" s="8"/>
    </row>
    <row r="217" spans="1:11" x14ac:dyDescent="0.25">
      <c r="A217" s="44"/>
      <c r="B217" s="44"/>
      <c r="C217" s="44"/>
      <c r="D217" s="44"/>
      <c r="E217" s="44"/>
      <c r="F217" s="44"/>
      <c r="G217" s="44"/>
      <c r="H217" s="44"/>
      <c r="I217" s="44"/>
      <c r="J217" s="8"/>
      <c r="K217" s="8"/>
    </row>
    <row r="218" spans="1:11" x14ac:dyDescent="0.25">
      <c r="A218" s="44"/>
      <c r="B218" s="44"/>
      <c r="C218" s="44"/>
      <c r="D218" s="44"/>
      <c r="E218" s="44"/>
      <c r="F218" s="44"/>
      <c r="G218" s="44"/>
      <c r="H218" s="44"/>
      <c r="I218" s="44"/>
      <c r="J218" s="8"/>
      <c r="K218" s="8"/>
    </row>
    <row r="219" spans="1:11" x14ac:dyDescent="0.25">
      <c r="A219" s="44"/>
      <c r="B219" s="44"/>
      <c r="C219" s="44"/>
      <c r="D219" s="44"/>
      <c r="E219" s="44"/>
      <c r="F219" s="44"/>
      <c r="G219" s="44"/>
      <c r="H219" s="44"/>
      <c r="I219" s="44"/>
      <c r="J219" s="8"/>
      <c r="K219" s="8"/>
    </row>
    <row r="220" spans="1:11" x14ac:dyDescent="0.25">
      <c r="A220" s="44"/>
      <c r="B220" s="44"/>
      <c r="C220" s="44"/>
      <c r="D220" s="44"/>
      <c r="E220" s="44"/>
      <c r="F220" s="44"/>
      <c r="G220" s="44"/>
      <c r="H220" s="44"/>
      <c r="I220" s="44"/>
      <c r="J220" s="8"/>
      <c r="K220" s="8"/>
    </row>
    <row r="221" spans="1:11" x14ac:dyDescent="0.25">
      <c r="A221" s="44"/>
      <c r="B221" s="44"/>
      <c r="C221" s="44"/>
      <c r="D221" s="44"/>
      <c r="E221" s="44"/>
      <c r="F221" s="44"/>
      <c r="G221" s="44"/>
      <c r="H221" s="44"/>
      <c r="I221" s="44"/>
      <c r="J221" s="8"/>
      <c r="K221" s="8"/>
    </row>
    <row r="222" spans="1:11" x14ac:dyDescent="0.25">
      <c r="A222" s="44"/>
      <c r="B222" s="44"/>
      <c r="C222" s="44"/>
      <c r="D222" s="44"/>
      <c r="E222" s="44"/>
      <c r="F222" s="44"/>
      <c r="G222" s="44"/>
      <c r="H222" s="44"/>
      <c r="I222" s="44"/>
      <c r="J222" s="8"/>
      <c r="K222" s="8"/>
    </row>
    <row r="223" spans="1:11" x14ac:dyDescent="0.25">
      <c r="A223" s="44"/>
      <c r="B223" s="44"/>
      <c r="C223" s="44"/>
      <c r="D223" s="44"/>
      <c r="E223" s="44"/>
      <c r="F223" s="44"/>
      <c r="G223" s="44"/>
      <c r="H223" s="44"/>
      <c r="I223" s="44"/>
      <c r="J223" s="8"/>
      <c r="K223" s="8"/>
    </row>
    <row r="224" spans="1:11" x14ac:dyDescent="0.25">
      <c r="A224" s="44"/>
      <c r="B224" s="44"/>
      <c r="C224" s="44"/>
      <c r="D224" s="44"/>
      <c r="E224" s="44"/>
      <c r="F224" s="44"/>
      <c r="G224" s="44"/>
      <c r="H224" s="44"/>
      <c r="I224" s="44"/>
      <c r="J224" s="8"/>
      <c r="K224" s="8"/>
    </row>
    <row r="225" spans="1:11" x14ac:dyDescent="0.25">
      <c r="A225" s="44"/>
      <c r="B225" s="44"/>
      <c r="C225" s="44"/>
      <c r="D225" s="44"/>
      <c r="E225" s="44"/>
      <c r="F225" s="44"/>
      <c r="G225" s="44"/>
      <c r="H225" s="44"/>
      <c r="I225" s="44"/>
      <c r="J225" s="8"/>
      <c r="K225" s="8"/>
    </row>
    <row r="226" spans="1:11" x14ac:dyDescent="0.25">
      <c r="A226" s="44"/>
      <c r="B226" s="44"/>
      <c r="C226" s="44"/>
      <c r="D226" s="44"/>
      <c r="E226" s="44"/>
      <c r="F226" s="44"/>
      <c r="G226" s="44"/>
      <c r="H226" s="44"/>
      <c r="I226" s="44"/>
      <c r="J226" s="8"/>
      <c r="K226" s="8"/>
    </row>
    <row r="227" spans="1:11" x14ac:dyDescent="0.25">
      <c r="A227" s="44"/>
      <c r="B227" s="44"/>
      <c r="C227" s="44"/>
      <c r="D227" s="44"/>
      <c r="E227" s="44"/>
      <c r="F227" s="44"/>
      <c r="G227" s="44"/>
      <c r="H227" s="44"/>
      <c r="I227" s="44"/>
      <c r="J227" s="8"/>
      <c r="K227" s="8"/>
    </row>
    <row r="228" spans="1:11" x14ac:dyDescent="0.25">
      <c r="A228" s="44"/>
      <c r="B228" s="44"/>
      <c r="C228" s="44"/>
      <c r="D228" s="44"/>
      <c r="E228" s="44"/>
      <c r="F228" s="44"/>
      <c r="G228" s="44"/>
      <c r="H228" s="44"/>
      <c r="I228" s="44"/>
      <c r="J228" s="8"/>
      <c r="K228" s="8"/>
    </row>
    <row r="229" spans="1:11" x14ac:dyDescent="0.25">
      <c r="A229" s="44"/>
      <c r="B229" s="44"/>
      <c r="C229" s="44"/>
      <c r="D229" s="44"/>
      <c r="E229" s="44"/>
      <c r="F229" s="44"/>
      <c r="G229" s="44"/>
      <c r="H229" s="44"/>
      <c r="I229" s="44"/>
      <c r="J229" s="8"/>
      <c r="K229" s="8"/>
    </row>
    <row r="230" spans="1:11" x14ac:dyDescent="0.25">
      <c r="A230" s="44"/>
      <c r="B230" s="44"/>
      <c r="C230" s="44"/>
      <c r="D230" s="44"/>
      <c r="E230" s="44"/>
      <c r="F230" s="44"/>
      <c r="G230" s="44"/>
      <c r="H230" s="44"/>
      <c r="I230" s="44"/>
      <c r="J230" s="8"/>
      <c r="K230" s="8"/>
    </row>
    <row r="231" spans="1:11" x14ac:dyDescent="0.25">
      <c r="A231" s="44"/>
      <c r="B231" s="44"/>
      <c r="C231" s="44"/>
      <c r="D231" s="44"/>
      <c r="E231" s="44"/>
      <c r="F231" s="44"/>
      <c r="G231" s="44"/>
      <c r="H231" s="44"/>
      <c r="I231" s="44"/>
      <c r="J231" s="8"/>
      <c r="K231" s="8"/>
    </row>
    <row r="232" spans="1:11" x14ac:dyDescent="0.25">
      <c r="A232" s="44"/>
      <c r="B232" s="44"/>
      <c r="C232" s="44"/>
      <c r="D232" s="44"/>
      <c r="E232" s="44"/>
      <c r="F232" s="44"/>
      <c r="G232" s="44"/>
      <c r="H232" s="44"/>
      <c r="I232" s="44"/>
      <c r="J232" s="8"/>
      <c r="K232" s="8"/>
    </row>
    <row r="233" spans="1:11" x14ac:dyDescent="0.25">
      <c r="A233" s="44"/>
      <c r="B233" s="44"/>
      <c r="C233" s="44"/>
      <c r="D233" s="44"/>
      <c r="E233" s="44"/>
      <c r="F233" s="44"/>
      <c r="G233" s="44"/>
      <c r="H233" s="44"/>
      <c r="I233" s="44"/>
      <c r="J233" s="8"/>
      <c r="K233" s="8"/>
    </row>
    <row r="234" spans="1:11" x14ac:dyDescent="0.25">
      <c r="A234" s="44"/>
      <c r="B234" s="44"/>
      <c r="C234" s="44"/>
      <c r="D234" s="44"/>
      <c r="E234" s="44"/>
      <c r="F234" s="44"/>
      <c r="G234" s="44"/>
      <c r="H234" s="44"/>
      <c r="I234" s="44"/>
      <c r="J234" s="8"/>
      <c r="K234" s="8"/>
    </row>
    <row r="235" spans="1:11" x14ac:dyDescent="0.25">
      <c r="A235" s="44"/>
      <c r="B235" s="44"/>
      <c r="C235" s="44"/>
      <c r="D235" s="44"/>
      <c r="E235" s="44"/>
      <c r="F235" s="44"/>
      <c r="G235" s="44"/>
      <c r="H235" s="44"/>
      <c r="I235" s="44"/>
      <c r="J235" s="8"/>
      <c r="K235" s="8"/>
    </row>
    <row r="236" spans="1:11" x14ac:dyDescent="0.25">
      <c r="A236" s="44"/>
      <c r="B236" s="44"/>
      <c r="C236" s="44"/>
      <c r="D236" s="44"/>
      <c r="E236" s="44"/>
      <c r="F236" s="44"/>
      <c r="G236" s="44"/>
      <c r="H236" s="44"/>
      <c r="I236" s="44"/>
      <c r="J236" s="8"/>
      <c r="K236" s="8"/>
    </row>
    <row r="237" spans="1:11" x14ac:dyDescent="0.25">
      <c r="A237" s="44"/>
      <c r="B237" s="44"/>
      <c r="C237" s="44"/>
      <c r="D237" s="44"/>
      <c r="E237" s="44"/>
      <c r="F237" s="44"/>
      <c r="G237" s="44"/>
      <c r="H237" s="44"/>
      <c r="I237" s="44"/>
      <c r="J237" s="8"/>
      <c r="K237" s="8"/>
    </row>
    <row r="238" spans="1:11" x14ac:dyDescent="0.25">
      <c r="A238" s="44"/>
      <c r="B238" s="44"/>
      <c r="C238" s="44"/>
      <c r="D238" s="44"/>
      <c r="E238" s="44"/>
      <c r="F238" s="44"/>
      <c r="G238" s="44"/>
      <c r="H238" s="44"/>
      <c r="I238" s="44"/>
      <c r="J238" s="8"/>
      <c r="K238" s="8"/>
    </row>
    <row r="239" spans="1:11" x14ac:dyDescent="0.25">
      <c r="A239" s="44"/>
      <c r="B239" s="44"/>
      <c r="C239" s="44"/>
      <c r="D239" s="44"/>
      <c r="E239" s="44"/>
      <c r="F239" s="44"/>
      <c r="G239" s="44"/>
      <c r="H239" s="44"/>
      <c r="I239" s="44"/>
      <c r="J239" s="8"/>
      <c r="K239" s="8"/>
    </row>
    <row r="240" spans="1:11" x14ac:dyDescent="0.25">
      <c r="A240" s="44"/>
      <c r="B240" s="44"/>
      <c r="C240" s="44"/>
      <c r="D240" s="44"/>
      <c r="E240" s="44"/>
      <c r="F240" s="44"/>
      <c r="G240" s="44"/>
      <c r="H240" s="44"/>
      <c r="I240" s="44"/>
      <c r="J240" s="8"/>
      <c r="K240" s="8"/>
    </row>
    <row r="241" spans="1:11" x14ac:dyDescent="0.25">
      <c r="A241" s="44"/>
      <c r="B241" s="44"/>
      <c r="C241" s="44"/>
      <c r="D241" s="44"/>
      <c r="E241" s="44"/>
      <c r="F241" s="44"/>
      <c r="G241" s="44"/>
      <c r="H241" s="44"/>
      <c r="I241" s="44"/>
      <c r="J241" s="8"/>
      <c r="K241" s="8"/>
    </row>
    <row r="242" spans="1:11" x14ac:dyDescent="0.25">
      <c r="A242" s="44"/>
      <c r="B242" s="44"/>
      <c r="C242" s="44"/>
      <c r="D242" s="44"/>
      <c r="E242" s="44"/>
      <c r="F242" s="44"/>
      <c r="G242" s="44"/>
      <c r="H242" s="44"/>
      <c r="I242" s="44"/>
      <c r="J242" s="8"/>
      <c r="K242" s="8"/>
    </row>
    <row r="243" spans="1:11" x14ac:dyDescent="0.25">
      <c r="A243" s="44"/>
      <c r="B243" s="44"/>
      <c r="C243" s="44"/>
      <c r="D243" s="44"/>
      <c r="E243" s="44"/>
      <c r="F243" s="44"/>
      <c r="G243" s="44"/>
      <c r="H243" s="44"/>
      <c r="I243" s="44"/>
      <c r="J243" s="8"/>
      <c r="K243" s="8"/>
    </row>
    <row r="244" spans="1:11" x14ac:dyDescent="0.25">
      <c r="A244" s="44"/>
      <c r="B244" s="44"/>
      <c r="C244" s="44"/>
      <c r="D244" s="44"/>
      <c r="E244" s="44"/>
      <c r="F244" s="44"/>
      <c r="G244" s="44"/>
      <c r="H244" s="44"/>
      <c r="I244" s="44"/>
      <c r="J244" s="8"/>
      <c r="K244" s="8"/>
    </row>
    <row r="245" spans="1:11" x14ac:dyDescent="0.25">
      <c r="A245" s="44"/>
      <c r="B245" s="44"/>
      <c r="C245" s="44"/>
      <c r="D245" s="44"/>
      <c r="E245" s="44"/>
      <c r="F245" s="44"/>
      <c r="G245" s="44"/>
      <c r="H245" s="44"/>
      <c r="I245" s="44"/>
      <c r="J245" s="8"/>
      <c r="K245" s="8"/>
    </row>
    <row r="246" spans="1:11" x14ac:dyDescent="0.25">
      <c r="A246" s="44"/>
      <c r="B246" s="44"/>
      <c r="C246" s="44"/>
      <c r="D246" s="44"/>
      <c r="E246" s="44"/>
      <c r="F246" s="44"/>
      <c r="G246" s="44"/>
      <c r="H246" s="44"/>
      <c r="I246" s="44"/>
      <c r="J246" s="8"/>
      <c r="K246" s="8"/>
    </row>
    <row r="247" spans="1:11" x14ac:dyDescent="0.25">
      <c r="A247" s="44"/>
      <c r="B247" s="44"/>
      <c r="C247" s="44"/>
      <c r="D247" s="44"/>
      <c r="E247" s="44"/>
      <c r="F247" s="44"/>
      <c r="G247" s="44"/>
      <c r="H247" s="44"/>
      <c r="I247" s="44"/>
      <c r="J247" s="8"/>
      <c r="K247" s="8"/>
    </row>
    <row r="248" spans="1:11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8"/>
      <c r="K248" s="8"/>
    </row>
    <row r="249" spans="1:11" x14ac:dyDescent="0.25">
      <c r="A249" s="44"/>
      <c r="B249" s="44"/>
      <c r="C249" s="44"/>
      <c r="D249" s="44"/>
      <c r="E249" s="44"/>
      <c r="F249" s="44"/>
      <c r="G249" s="44"/>
      <c r="H249" s="44"/>
      <c r="I249" s="44"/>
      <c r="J249" s="8"/>
      <c r="K249" s="8"/>
    </row>
    <row r="250" spans="1:11" x14ac:dyDescent="0.25">
      <c r="A250" s="44"/>
      <c r="B250" s="44"/>
      <c r="C250" s="44"/>
      <c r="D250" s="44"/>
      <c r="E250" s="44"/>
      <c r="F250" s="44"/>
      <c r="G250" s="44"/>
      <c r="H250" s="44"/>
      <c r="I250" s="44"/>
      <c r="J250" s="8"/>
      <c r="K250" s="8"/>
    </row>
    <row r="251" spans="1:11" x14ac:dyDescent="0.25">
      <c r="A251" s="44"/>
      <c r="B251" s="44"/>
      <c r="C251" s="44"/>
      <c r="D251" s="44"/>
      <c r="E251" s="44"/>
      <c r="F251" s="44"/>
      <c r="G251" s="44"/>
      <c r="H251" s="44"/>
      <c r="I251" s="44"/>
      <c r="J251" s="8"/>
      <c r="K251" s="8"/>
    </row>
    <row r="252" spans="1:11" x14ac:dyDescent="0.25">
      <c r="A252" s="44"/>
      <c r="B252" s="44"/>
      <c r="C252" s="44"/>
      <c r="D252" s="44"/>
      <c r="E252" s="44"/>
      <c r="F252" s="44"/>
      <c r="G252" s="44"/>
      <c r="H252" s="44"/>
      <c r="I252" s="44"/>
      <c r="J252" s="8"/>
      <c r="K252" s="8"/>
    </row>
    <row r="253" spans="1:11" x14ac:dyDescent="0.25">
      <c r="A253" s="44"/>
      <c r="B253" s="44"/>
      <c r="C253" s="44"/>
      <c r="D253" s="44"/>
      <c r="E253" s="44"/>
      <c r="F253" s="44"/>
      <c r="G253" s="44"/>
      <c r="H253" s="44"/>
      <c r="I253" s="44"/>
      <c r="J253" s="8"/>
      <c r="K253" s="8"/>
    </row>
    <row r="254" spans="1:11" x14ac:dyDescent="0.25">
      <c r="A254" s="44"/>
      <c r="B254" s="44"/>
      <c r="C254" s="44"/>
      <c r="D254" s="44"/>
      <c r="E254" s="44"/>
      <c r="F254" s="44"/>
      <c r="G254" s="44"/>
      <c r="H254" s="44"/>
      <c r="I254" s="44"/>
      <c r="J254" s="8"/>
      <c r="K254" s="8"/>
    </row>
    <row r="255" spans="1:11" x14ac:dyDescent="0.25">
      <c r="A255" s="44"/>
      <c r="B255" s="44"/>
      <c r="C255" s="44"/>
      <c r="D255" s="44"/>
      <c r="E255" s="44"/>
      <c r="F255" s="44"/>
      <c r="G255" s="44"/>
      <c r="H255" s="44"/>
      <c r="I255" s="44"/>
      <c r="J255" s="8"/>
      <c r="K255" s="8"/>
    </row>
    <row r="256" spans="1:11" x14ac:dyDescent="0.25">
      <c r="A256" s="44"/>
      <c r="B256" s="44"/>
      <c r="C256" s="44"/>
      <c r="D256" s="44"/>
      <c r="E256" s="44"/>
      <c r="F256" s="44"/>
      <c r="G256" s="44"/>
      <c r="H256" s="44"/>
      <c r="I256" s="44"/>
      <c r="J256" s="8"/>
      <c r="K256" s="8"/>
    </row>
    <row r="257" spans="1:11" x14ac:dyDescent="0.25">
      <c r="A257" s="44"/>
      <c r="B257" s="44"/>
      <c r="C257" s="44"/>
      <c r="D257" s="44"/>
      <c r="E257" s="44"/>
      <c r="F257" s="44"/>
      <c r="G257" s="44"/>
      <c r="H257" s="44"/>
      <c r="I257" s="44"/>
      <c r="J257" s="8"/>
      <c r="K257" s="8"/>
    </row>
    <row r="258" spans="1:11" x14ac:dyDescent="0.25">
      <c r="A258" s="44"/>
      <c r="B258" s="44"/>
      <c r="C258" s="44"/>
      <c r="D258" s="44"/>
      <c r="E258" s="44"/>
      <c r="F258" s="44"/>
      <c r="G258" s="44"/>
      <c r="H258" s="44"/>
      <c r="I258" s="44"/>
      <c r="J258" s="8"/>
      <c r="K258" s="8"/>
    </row>
    <row r="259" spans="1:11" x14ac:dyDescent="0.25">
      <c r="A259" s="44"/>
      <c r="B259" s="44"/>
      <c r="C259" s="44"/>
      <c r="D259" s="44"/>
      <c r="E259" s="44"/>
      <c r="F259" s="44"/>
      <c r="G259" s="44"/>
      <c r="H259" s="44"/>
      <c r="I259" s="44"/>
      <c r="J259" s="8"/>
      <c r="K259" s="8"/>
    </row>
    <row r="260" spans="1:11" x14ac:dyDescent="0.25">
      <c r="A260" s="44"/>
      <c r="B260" s="44"/>
      <c r="C260" s="44"/>
      <c r="D260" s="44"/>
      <c r="E260" s="44"/>
      <c r="F260" s="44"/>
      <c r="G260" s="44"/>
      <c r="H260" s="44"/>
      <c r="I260" s="44"/>
      <c r="J260" s="8"/>
      <c r="K260" s="8"/>
    </row>
    <row r="261" spans="1:11" x14ac:dyDescent="0.25">
      <c r="A261" s="44"/>
      <c r="B261" s="44"/>
      <c r="C261" s="44"/>
      <c r="D261" s="44"/>
      <c r="E261" s="44"/>
      <c r="F261" s="44"/>
      <c r="G261" s="44"/>
      <c r="H261" s="44"/>
      <c r="I261" s="44"/>
      <c r="J261" s="8"/>
      <c r="K261" s="8"/>
    </row>
    <row r="262" spans="1:11" x14ac:dyDescent="0.25">
      <c r="A262" s="44"/>
      <c r="B262" s="44"/>
      <c r="C262" s="44"/>
      <c r="D262" s="44"/>
      <c r="E262" s="44"/>
      <c r="F262" s="44"/>
      <c r="G262" s="44"/>
      <c r="H262" s="44"/>
      <c r="I262" s="44"/>
      <c r="J262" s="8"/>
      <c r="K262" s="8"/>
    </row>
    <row r="263" spans="1:11" x14ac:dyDescent="0.25">
      <c r="A263" s="44"/>
      <c r="B263" s="44"/>
      <c r="C263" s="44"/>
      <c r="D263" s="44"/>
      <c r="E263" s="44"/>
      <c r="F263" s="44"/>
      <c r="G263" s="44"/>
      <c r="H263" s="44"/>
      <c r="I263" s="44"/>
      <c r="J263" s="8"/>
      <c r="K263" s="8"/>
    </row>
    <row r="264" spans="1:11" x14ac:dyDescent="0.25">
      <c r="A264" s="44"/>
      <c r="B264" s="44"/>
      <c r="C264" s="44"/>
      <c r="D264" s="44"/>
      <c r="E264" s="44"/>
      <c r="F264" s="44"/>
      <c r="G264" s="44"/>
      <c r="H264" s="44"/>
      <c r="I264" s="44"/>
      <c r="J264" s="8"/>
      <c r="K264" s="8"/>
    </row>
    <row r="265" spans="1:11" x14ac:dyDescent="0.25">
      <c r="A265" s="44"/>
      <c r="B265" s="44"/>
      <c r="C265" s="44"/>
      <c r="D265" s="44"/>
      <c r="E265" s="44"/>
      <c r="F265" s="44"/>
      <c r="G265" s="44"/>
      <c r="H265" s="44"/>
      <c r="I265" s="44"/>
      <c r="J265" s="8"/>
      <c r="K265" s="8"/>
    </row>
    <row r="266" spans="1:11" x14ac:dyDescent="0.25">
      <c r="A266" s="44"/>
      <c r="B266" s="44"/>
      <c r="C266" s="44"/>
      <c r="D266" s="44"/>
      <c r="E266" s="44"/>
      <c r="F266" s="44"/>
      <c r="G266" s="44"/>
      <c r="H266" s="44"/>
      <c r="I266" s="44"/>
      <c r="J266" s="8"/>
      <c r="K266" s="8"/>
    </row>
    <row r="267" spans="1:11" x14ac:dyDescent="0.25">
      <c r="A267" s="44"/>
      <c r="B267" s="44"/>
      <c r="C267" s="44"/>
      <c r="D267" s="44"/>
      <c r="E267" s="44"/>
      <c r="F267" s="44"/>
      <c r="G267" s="44"/>
      <c r="H267" s="44"/>
      <c r="I267" s="44"/>
      <c r="J267" s="8"/>
      <c r="K267" s="8"/>
    </row>
    <row r="268" spans="1:11" x14ac:dyDescent="0.25">
      <c r="A268" s="44"/>
      <c r="B268" s="44"/>
      <c r="C268" s="44"/>
      <c r="D268" s="44"/>
      <c r="E268" s="44"/>
      <c r="F268" s="44"/>
      <c r="G268" s="44"/>
      <c r="H268" s="44"/>
      <c r="I268" s="44"/>
      <c r="J268" s="8"/>
      <c r="K268" s="8"/>
    </row>
    <row r="269" spans="1:11" x14ac:dyDescent="0.25">
      <c r="A269" s="44"/>
      <c r="B269" s="44"/>
      <c r="C269" s="44"/>
      <c r="D269" s="44"/>
      <c r="E269" s="44"/>
      <c r="F269" s="44"/>
      <c r="G269" s="44"/>
      <c r="H269" s="44"/>
      <c r="I269" s="44"/>
      <c r="J269" s="8"/>
      <c r="K269" s="8"/>
    </row>
    <row r="270" spans="1:11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8"/>
      <c r="K270" s="8"/>
    </row>
    <row r="271" spans="1:11" x14ac:dyDescent="0.25">
      <c r="A271" s="44"/>
      <c r="B271" s="44"/>
      <c r="C271" s="44"/>
      <c r="D271" s="44"/>
      <c r="E271" s="44"/>
      <c r="F271" s="44"/>
      <c r="G271" s="44"/>
      <c r="H271" s="44"/>
      <c r="I271" s="44"/>
      <c r="J271" s="8"/>
      <c r="K271" s="8"/>
    </row>
    <row r="272" spans="1:11" x14ac:dyDescent="0.25">
      <c r="A272" s="44"/>
      <c r="B272" s="44"/>
      <c r="C272" s="44"/>
      <c r="D272" s="44"/>
      <c r="E272" s="44"/>
      <c r="F272" s="44"/>
      <c r="G272" s="44"/>
      <c r="H272" s="44"/>
      <c r="I272" s="44"/>
      <c r="J272" s="8"/>
      <c r="K272" s="8"/>
    </row>
    <row r="273" spans="1:11" x14ac:dyDescent="0.25">
      <c r="A273" s="44"/>
      <c r="B273" s="44"/>
      <c r="C273" s="44"/>
      <c r="D273" s="44"/>
      <c r="E273" s="44"/>
      <c r="F273" s="44"/>
      <c r="G273" s="44"/>
      <c r="H273" s="44"/>
      <c r="I273" s="44"/>
      <c r="J273" s="8"/>
      <c r="K273" s="8"/>
    </row>
    <row r="274" spans="1:11" x14ac:dyDescent="0.25">
      <c r="A274" s="44"/>
      <c r="B274" s="44"/>
      <c r="C274" s="44"/>
      <c r="D274" s="44"/>
      <c r="E274" s="44"/>
      <c r="F274" s="44"/>
      <c r="G274" s="44"/>
      <c r="H274" s="44"/>
      <c r="I274" s="44"/>
      <c r="J274" s="8"/>
      <c r="K274" s="8"/>
    </row>
    <row r="275" spans="1:11" x14ac:dyDescent="0.25">
      <c r="A275" s="44"/>
      <c r="B275" s="44"/>
      <c r="C275" s="44"/>
      <c r="D275" s="44"/>
      <c r="E275" s="44"/>
      <c r="F275" s="44"/>
      <c r="G275" s="44"/>
      <c r="H275" s="44"/>
      <c r="I275" s="44"/>
      <c r="J275" s="8"/>
      <c r="K275" s="8"/>
    </row>
    <row r="276" spans="1:11" x14ac:dyDescent="0.25">
      <c r="A276" s="44"/>
      <c r="B276" s="44"/>
      <c r="C276" s="44"/>
      <c r="D276" s="44"/>
      <c r="E276" s="44"/>
      <c r="F276" s="44"/>
      <c r="G276" s="44"/>
      <c r="H276" s="44"/>
      <c r="I276" s="44"/>
      <c r="J276" s="8"/>
      <c r="K276" s="8"/>
    </row>
    <row r="277" spans="1:11" x14ac:dyDescent="0.25">
      <c r="A277" s="44"/>
      <c r="B277" s="44"/>
      <c r="C277" s="44"/>
      <c r="D277" s="44"/>
      <c r="E277" s="44"/>
      <c r="F277" s="44"/>
      <c r="G277" s="44"/>
      <c r="H277" s="44"/>
      <c r="I277" s="44"/>
      <c r="J277" s="8"/>
      <c r="K277" s="8"/>
    </row>
    <row r="278" spans="1:11" x14ac:dyDescent="0.25">
      <c r="A278" s="44"/>
      <c r="B278" s="44"/>
      <c r="C278" s="44"/>
      <c r="D278" s="44"/>
      <c r="E278" s="44"/>
      <c r="F278" s="44"/>
      <c r="G278" s="44"/>
      <c r="H278" s="44"/>
      <c r="I278" s="44"/>
      <c r="J278" s="8"/>
      <c r="K278" s="8"/>
    </row>
    <row r="279" spans="1:11" x14ac:dyDescent="0.25">
      <c r="A279" s="44"/>
      <c r="B279" s="44"/>
      <c r="C279" s="44"/>
      <c r="D279" s="44"/>
      <c r="E279" s="44"/>
      <c r="F279" s="44"/>
      <c r="G279" s="44"/>
      <c r="H279" s="44"/>
      <c r="I279" s="44"/>
      <c r="J279" s="8"/>
      <c r="K279" s="8"/>
    </row>
    <row r="280" spans="1:11" x14ac:dyDescent="0.25">
      <c r="A280" s="44"/>
      <c r="B280" s="44"/>
      <c r="C280" s="44"/>
      <c r="D280" s="44"/>
      <c r="E280" s="44"/>
      <c r="F280" s="44"/>
      <c r="G280" s="44"/>
      <c r="H280" s="44"/>
      <c r="I280" s="44"/>
      <c r="J280" s="8"/>
      <c r="K280" s="8"/>
    </row>
    <row r="281" spans="1:11" x14ac:dyDescent="0.25">
      <c r="A281" s="44"/>
      <c r="B281" s="44"/>
      <c r="C281" s="44"/>
      <c r="D281" s="44"/>
      <c r="E281" s="44"/>
      <c r="F281" s="44"/>
      <c r="G281" s="44"/>
      <c r="H281" s="44"/>
      <c r="I281" s="44"/>
      <c r="J281" s="8"/>
      <c r="K281" s="8"/>
    </row>
    <row r="282" spans="1:11" x14ac:dyDescent="0.25">
      <c r="A282" s="44"/>
      <c r="B282" s="44"/>
      <c r="C282" s="44"/>
      <c r="D282" s="44"/>
      <c r="E282" s="44"/>
      <c r="F282" s="44"/>
      <c r="G282" s="44"/>
      <c r="H282" s="44"/>
      <c r="I282" s="44"/>
      <c r="J282" s="8"/>
      <c r="K282" s="8"/>
    </row>
    <row r="283" spans="1:11" x14ac:dyDescent="0.25">
      <c r="A283" s="44"/>
      <c r="B283" s="44"/>
      <c r="C283" s="44"/>
      <c r="D283" s="44"/>
      <c r="E283" s="44"/>
      <c r="F283" s="44"/>
      <c r="G283" s="44"/>
      <c r="H283" s="44"/>
      <c r="I283" s="44"/>
      <c r="J283" s="8"/>
      <c r="K283" s="8"/>
    </row>
    <row r="284" spans="1:11" x14ac:dyDescent="0.25">
      <c r="A284" s="44"/>
      <c r="B284" s="44"/>
      <c r="C284" s="44"/>
      <c r="D284" s="44"/>
      <c r="E284" s="44"/>
      <c r="F284" s="44"/>
      <c r="G284" s="44"/>
      <c r="H284" s="44"/>
      <c r="I284" s="44"/>
      <c r="J284" s="8"/>
      <c r="K284" s="8"/>
    </row>
    <row r="285" spans="1:11" x14ac:dyDescent="0.25">
      <c r="A285" s="44"/>
      <c r="B285" s="44"/>
      <c r="C285" s="44"/>
      <c r="D285" s="44"/>
      <c r="E285" s="44"/>
      <c r="F285" s="44"/>
      <c r="G285" s="44"/>
      <c r="H285" s="44"/>
      <c r="I285" s="44"/>
      <c r="J285" s="8"/>
      <c r="K285" s="8"/>
    </row>
    <row r="286" spans="1:11" x14ac:dyDescent="0.25">
      <c r="A286" s="44"/>
      <c r="B286" s="44"/>
      <c r="C286" s="44"/>
      <c r="D286" s="44"/>
      <c r="E286" s="44"/>
      <c r="F286" s="44"/>
      <c r="G286" s="44"/>
      <c r="H286" s="44"/>
      <c r="I286" s="44"/>
      <c r="J286" s="8"/>
      <c r="K286" s="8"/>
    </row>
    <row r="287" spans="1:11" x14ac:dyDescent="0.25">
      <c r="A287" s="44"/>
      <c r="B287" s="44"/>
      <c r="C287" s="44"/>
      <c r="D287" s="44"/>
      <c r="E287" s="44"/>
      <c r="F287" s="44"/>
      <c r="G287" s="44"/>
      <c r="H287" s="44"/>
      <c r="I287" s="44"/>
      <c r="J287" s="8"/>
      <c r="K287" s="8"/>
    </row>
    <row r="288" spans="1:11" x14ac:dyDescent="0.25">
      <c r="A288" s="44"/>
      <c r="B288" s="44"/>
      <c r="C288" s="44"/>
      <c r="D288" s="44"/>
      <c r="E288" s="44"/>
      <c r="F288" s="44"/>
      <c r="G288" s="44"/>
      <c r="H288" s="44"/>
      <c r="I288" s="44"/>
      <c r="J288" s="8"/>
      <c r="K288" s="8"/>
    </row>
    <row r="289" spans="1:11" x14ac:dyDescent="0.25">
      <c r="A289" s="44"/>
      <c r="B289" s="44"/>
      <c r="C289" s="44"/>
      <c r="D289" s="44"/>
      <c r="E289" s="44"/>
      <c r="F289" s="44"/>
      <c r="G289" s="44"/>
      <c r="H289" s="44"/>
      <c r="I289" s="44"/>
      <c r="J289" s="8"/>
      <c r="K289" s="8"/>
    </row>
    <row r="290" spans="1:11" x14ac:dyDescent="0.25">
      <c r="A290" s="44"/>
      <c r="B290" s="44"/>
      <c r="C290" s="44"/>
      <c r="D290" s="44"/>
      <c r="E290" s="44"/>
      <c r="F290" s="44"/>
      <c r="G290" s="44"/>
      <c r="H290" s="44"/>
      <c r="I290" s="44"/>
      <c r="J290" s="8"/>
      <c r="K290" s="8"/>
    </row>
    <row r="291" spans="1:11" x14ac:dyDescent="0.25">
      <c r="A291" s="44"/>
      <c r="B291" s="44"/>
      <c r="C291" s="44"/>
      <c r="D291" s="44"/>
      <c r="E291" s="44"/>
      <c r="F291" s="44"/>
      <c r="G291" s="44"/>
      <c r="H291" s="44"/>
      <c r="I291" s="44"/>
      <c r="J291" s="8"/>
      <c r="K291" s="8"/>
    </row>
    <row r="292" spans="1:11" x14ac:dyDescent="0.25">
      <c r="A292" s="44"/>
      <c r="B292" s="44"/>
      <c r="C292" s="44"/>
      <c r="D292" s="44"/>
      <c r="E292" s="44"/>
      <c r="F292" s="44"/>
      <c r="G292" s="44"/>
      <c r="H292" s="44"/>
      <c r="I292" s="44"/>
      <c r="J292" s="8"/>
      <c r="K292" s="8"/>
    </row>
    <row r="293" spans="1:11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8"/>
      <c r="K293" s="8"/>
    </row>
    <row r="294" spans="1:11" x14ac:dyDescent="0.25">
      <c r="A294" s="44"/>
      <c r="B294" s="44"/>
      <c r="C294" s="44"/>
      <c r="D294" s="44"/>
      <c r="E294" s="44"/>
      <c r="F294" s="44"/>
      <c r="G294" s="44"/>
      <c r="H294" s="44"/>
      <c r="I294" s="44"/>
      <c r="J294" s="8"/>
      <c r="K294" s="8"/>
    </row>
    <row r="295" spans="1:11" x14ac:dyDescent="0.25">
      <c r="A295" s="44"/>
      <c r="B295" s="44"/>
      <c r="C295" s="44"/>
      <c r="D295" s="44"/>
      <c r="E295" s="44"/>
      <c r="F295" s="44"/>
      <c r="G295" s="44"/>
      <c r="H295" s="44"/>
      <c r="I295" s="44"/>
      <c r="J295" s="8"/>
      <c r="K295" s="8"/>
    </row>
    <row r="296" spans="1:11" x14ac:dyDescent="0.25">
      <c r="A296" s="44"/>
      <c r="B296" s="44"/>
      <c r="C296" s="44"/>
      <c r="D296" s="44"/>
      <c r="E296" s="44"/>
      <c r="F296" s="44"/>
      <c r="G296" s="44"/>
      <c r="H296" s="44"/>
      <c r="I296" s="44"/>
      <c r="J296" s="8"/>
      <c r="K296" s="8"/>
    </row>
    <row r="297" spans="1:11" x14ac:dyDescent="0.25">
      <c r="A297" s="44"/>
      <c r="B297" s="44"/>
      <c r="C297" s="44"/>
      <c r="D297" s="44"/>
      <c r="E297" s="44"/>
      <c r="F297" s="44"/>
      <c r="G297" s="44"/>
      <c r="H297" s="44"/>
      <c r="I297" s="44"/>
      <c r="J297" s="8"/>
      <c r="K297" s="8"/>
    </row>
    <row r="298" spans="1:11" x14ac:dyDescent="0.25">
      <c r="A298" s="44"/>
      <c r="B298" s="44"/>
      <c r="C298" s="44"/>
      <c r="D298" s="44"/>
      <c r="E298" s="44"/>
      <c r="F298" s="44"/>
      <c r="G298" s="44"/>
      <c r="H298" s="44"/>
      <c r="I298" s="44"/>
      <c r="J298" s="8"/>
      <c r="K298" s="8"/>
    </row>
    <row r="299" spans="1:11" x14ac:dyDescent="0.25">
      <c r="A299" s="44"/>
      <c r="B299" s="44"/>
      <c r="C299" s="44"/>
      <c r="D299" s="44"/>
      <c r="E299" s="44"/>
      <c r="F299" s="44"/>
      <c r="G299" s="44"/>
      <c r="H299" s="44"/>
      <c r="I299" s="44"/>
      <c r="J299" s="8"/>
      <c r="K299" s="8"/>
    </row>
    <row r="300" spans="1:11" x14ac:dyDescent="0.25">
      <c r="A300" s="44"/>
      <c r="B300" s="44"/>
      <c r="C300" s="44"/>
      <c r="D300" s="44"/>
      <c r="E300" s="44"/>
      <c r="F300" s="44"/>
      <c r="G300" s="44"/>
      <c r="H300" s="44"/>
      <c r="I300" s="44"/>
      <c r="J300" s="8"/>
      <c r="K300" s="8"/>
    </row>
    <row r="301" spans="1:11" x14ac:dyDescent="0.25">
      <c r="A301" s="44"/>
      <c r="B301" s="44"/>
      <c r="C301" s="44"/>
      <c r="D301" s="44"/>
      <c r="E301" s="44"/>
      <c r="F301" s="44"/>
      <c r="G301" s="44"/>
      <c r="H301" s="44"/>
      <c r="I301" s="44"/>
      <c r="J301" s="8"/>
      <c r="K301" s="8"/>
    </row>
    <row r="302" spans="1:11" x14ac:dyDescent="0.25">
      <c r="A302" s="44"/>
      <c r="B302" s="44"/>
      <c r="C302" s="44"/>
      <c r="D302" s="44"/>
      <c r="E302" s="44"/>
      <c r="F302" s="44"/>
      <c r="G302" s="44"/>
      <c r="H302" s="44"/>
      <c r="I302" s="44"/>
      <c r="J302" s="8"/>
      <c r="K302" s="8"/>
    </row>
    <row r="303" spans="1:11" x14ac:dyDescent="0.25">
      <c r="A303" s="44"/>
      <c r="B303" s="44"/>
      <c r="C303" s="44"/>
      <c r="D303" s="44"/>
      <c r="E303" s="44"/>
      <c r="F303" s="44"/>
      <c r="G303" s="44"/>
      <c r="H303" s="44"/>
      <c r="I303" s="44"/>
      <c r="J303" s="8"/>
      <c r="K303" s="8"/>
    </row>
    <row r="304" spans="1:11" x14ac:dyDescent="0.25">
      <c r="A304" s="44"/>
      <c r="B304" s="44"/>
      <c r="C304" s="44"/>
      <c r="D304" s="44"/>
      <c r="E304" s="44"/>
      <c r="F304" s="44"/>
      <c r="G304" s="44"/>
      <c r="H304" s="44"/>
      <c r="I304" s="44"/>
      <c r="J304" s="8"/>
      <c r="K304" s="8"/>
    </row>
    <row r="305" spans="1:11" x14ac:dyDescent="0.25">
      <c r="A305" s="44"/>
      <c r="B305" s="44"/>
      <c r="C305" s="44"/>
      <c r="D305" s="44"/>
      <c r="E305" s="44"/>
      <c r="F305" s="44"/>
      <c r="G305" s="44"/>
      <c r="H305" s="44"/>
      <c r="I305" s="44"/>
      <c r="J305" s="8"/>
      <c r="K305" s="8"/>
    </row>
    <row r="306" spans="1:11" x14ac:dyDescent="0.25">
      <c r="A306" s="44"/>
      <c r="B306" s="44"/>
      <c r="C306" s="44"/>
      <c r="D306" s="44"/>
      <c r="E306" s="44"/>
      <c r="F306" s="44"/>
      <c r="G306" s="44"/>
      <c r="H306" s="44"/>
      <c r="I306" s="44"/>
      <c r="J306" s="8"/>
      <c r="K306" s="8"/>
    </row>
    <row r="307" spans="1:11" x14ac:dyDescent="0.25">
      <c r="A307" s="44"/>
      <c r="B307" s="44"/>
      <c r="C307" s="44"/>
      <c r="D307" s="44"/>
      <c r="E307" s="44"/>
      <c r="F307" s="44"/>
      <c r="G307" s="44"/>
      <c r="H307" s="44"/>
      <c r="I307" s="44"/>
      <c r="J307" s="8"/>
      <c r="K307" s="8"/>
    </row>
    <row r="308" spans="1:11" x14ac:dyDescent="0.25">
      <c r="A308" s="44"/>
      <c r="B308" s="44"/>
      <c r="C308" s="44"/>
      <c r="D308" s="44"/>
      <c r="E308" s="44"/>
      <c r="F308" s="44"/>
      <c r="G308" s="44"/>
      <c r="H308" s="44"/>
      <c r="I308" s="44"/>
      <c r="J308" s="8"/>
      <c r="K308" s="8"/>
    </row>
    <row r="309" spans="1:11" x14ac:dyDescent="0.25">
      <c r="A309" s="44"/>
      <c r="B309" s="44"/>
      <c r="C309" s="44"/>
      <c r="D309" s="44"/>
      <c r="E309" s="44"/>
      <c r="F309" s="44"/>
      <c r="G309" s="44"/>
      <c r="H309" s="44"/>
      <c r="I309" s="44"/>
      <c r="J309" s="8"/>
      <c r="K309" s="8"/>
    </row>
    <row r="310" spans="1:11" x14ac:dyDescent="0.25">
      <c r="A310" s="44"/>
      <c r="B310" s="44"/>
      <c r="C310" s="44"/>
      <c r="D310" s="44"/>
      <c r="E310" s="44"/>
      <c r="F310" s="44"/>
      <c r="G310" s="44"/>
      <c r="H310" s="44"/>
      <c r="I310" s="44"/>
      <c r="J310" s="8"/>
      <c r="K310" s="8"/>
    </row>
    <row r="311" spans="1:11" x14ac:dyDescent="0.25">
      <c r="A311" s="44"/>
      <c r="B311" s="44"/>
      <c r="C311" s="44"/>
      <c r="D311" s="44"/>
      <c r="E311" s="44"/>
      <c r="F311" s="44"/>
      <c r="G311" s="44"/>
      <c r="H311" s="44"/>
      <c r="I311" s="44"/>
      <c r="J311" s="8"/>
      <c r="K311" s="8"/>
    </row>
    <row r="312" spans="1:11" x14ac:dyDescent="0.25">
      <c r="A312" s="44"/>
      <c r="B312" s="44"/>
      <c r="C312" s="44"/>
      <c r="D312" s="44"/>
      <c r="E312" s="44"/>
      <c r="F312" s="44"/>
      <c r="G312" s="44"/>
      <c r="H312" s="44"/>
      <c r="I312" s="44"/>
      <c r="J312" s="8"/>
      <c r="K312" s="8"/>
    </row>
    <row r="313" spans="1:11" x14ac:dyDescent="0.25">
      <c r="A313" s="44"/>
      <c r="B313" s="44"/>
      <c r="C313" s="44"/>
      <c r="D313" s="44"/>
      <c r="E313" s="44"/>
      <c r="F313" s="44"/>
      <c r="G313" s="44"/>
      <c r="H313" s="44"/>
      <c r="I313" s="44"/>
      <c r="J313" s="8"/>
      <c r="K313" s="8"/>
    </row>
    <row r="314" spans="1:11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8"/>
      <c r="K314" s="8"/>
    </row>
    <row r="315" spans="1:11" x14ac:dyDescent="0.25">
      <c r="A315" s="44"/>
      <c r="B315" s="44"/>
      <c r="C315" s="44"/>
      <c r="D315" s="44"/>
      <c r="E315" s="44"/>
      <c r="F315" s="44"/>
      <c r="G315" s="44"/>
      <c r="H315" s="44"/>
      <c r="I315" s="44"/>
      <c r="J315" s="8"/>
      <c r="K315" s="8"/>
    </row>
    <row r="316" spans="1:11" x14ac:dyDescent="0.25">
      <c r="A316" s="44"/>
      <c r="B316" s="44"/>
      <c r="C316" s="44"/>
      <c r="D316" s="44"/>
      <c r="E316" s="44"/>
      <c r="F316" s="44"/>
      <c r="G316" s="44"/>
      <c r="H316" s="44"/>
      <c r="I316" s="44"/>
      <c r="J316" s="8"/>
      <c r="K316" s="8"/>
    </row>
    <row r="317" spans="1:11" x14ac:dyDescent="0.25">
      <c r="A317" s="44"/>
      <c r="B317" s="44"/>
      <c r="C317" s="44"/>
      <c r="D317" s="44"/>
      <c r="E317" s="44"/>
      <c r="F317" s="44"/>
      <c r="G317" s="44"/>
      <c r="H317" s="44"/>
      <c r="I317" s="44"/>
      <c r="J317" s="8"/>
      <c r="K317" s="8"/>
    </row>
    <row r="318" spans="1:11" x14ac:dyDescent="0.25">
      <c r="A318" s="44"/>
      <c r="B318" s="44"/>
      <c r="C318" s="44"/>
      <c r="D318" s="44"/>
      <c r="E318" s="44"/>
      <c r="F318" s="44"/>
      <c r="G318" s="44"/>
      <c r="H318" s="44"/>
      <c r="I318" s="44"/>
      <c r="J318" s="8"/>
      <c r="K318" s="8"/>
    </row>
    <row r="319" spans="1:11" x14ac:dyDescent="0.25">
      <c r="A319" s="44"/>
      <c r="B319" s="44"/>
      <c r="C319" s="44"/>
      <c r="D319" s="44"/>
      <c r="E319" s="44"/>
      <c r="F319" s="44"/>
      <c r="G319" s="44"/>
      <c r="H319" s="44"/>
      <c r="I319" s="44"/>
      <c r="J319" s="8"/>
      <c r="K319" s="8"/>
    </row>
    <row r="320" spans="1:11" x14ac:dyDescent="0.25">
      <c r="A320" s="44"/>
      <c r="B320" s="44"/>
      <c r="C320" s="44"/>
      <c r="D320" s="44"/>
      <c r="E320" s="44"/>
      <c r="F320" s="44"/>
      <c r="G320" s="44"/>
      <c r="H320" s="44"/>
      <c r="I320" s="44"/>
      <c r="J320" s="8"/>
      <c r="K320" s="8"/>
    </row>
    <row r="321" spans="1:11" x14ac:dyDescent="0.25">
      <c r="A321" s="44"/>
      <c r="B321" s="44"/>
      <c r="C321" s="44"/>
      <c r="D321" s="44"/>
      <c r="E321" s="44"/>
      <c r="F321" s="44"/>
      <c r="G321" s="44"/>
      <c r="H321" s="44"/>
      <c r="I321" s="44"/>
      <c r="J321" s="8"/>
      <c r="K321" s="8"/>
    </row>
    <row r="322" spans="1:11" x14ac:dyDescent="0.25">
      <c r="A322" s="44"/>
      <c r="B322" s="44"/>
      <c r="C322" s="44"/>
      <c r="D322" s="44"/>
      <c r="E322" s="44"/>
      <c r="F322" s="44"/>
      <c r="G322" s="44"/>
      <c r="H322" s="44"/>
      <c r="I322" s="44"/>
      <c r="J322" s="8"/>
      <c r="K322" s="8"/>
    </row>
    <row r="323" spans="1:11" x14ac:dyDescent="0.25">
      <c r="A323" s="44"/>
      <c r="B323" s="44"/>
      <c r="C323" s="44"/>
      <c r="D323" s="44"/>
      <c r="E323" s="44"/>
      <c r="F323" s="44"/>
      <c r="G323" s="44"/>
      <c r="H323" s="44"/>
      <c r="I323" s="44"/>
      <c r="J323" s="8"/>
      <c r="K323" s="8"/>
    </row>
    <row r="324" spans="1:11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8"/>
      <c r="K324" s="8"/>
    </row>
    <row r="325" spans="1:11" x14ac:dyDescent="0.25">
      <c r="A325" s="44"/>
      <c r="B325" s="44"/>
      <c r="C325" s="44"/>
      <c r="D325" s="44"/>
      <c r="E325" s="44"/>
      <c r="F325" s="44"/>
      <c r="G325" s="44"/>
      <c r="H325" s="44"/>
      <c r="I325" s="44"/>
      <c r="J325" s="8"/>
      <c r="K325" s="8"/>
    </row>
    <row r="326" spans="1:11" x14ac:dyDescent="0.25">
      <c r="A326" s="44"/>
      <c r="B326" s="44"/>
      <c r="C326" s="44"/>
      <c r="D326" s="44"/>
      <c r="E326" s="44"/>
      <c r="F326" s="44"/>
      <c r="G326" s="44"/>
      <c r="H326" s="44"/>
      <c r="I326" s="44"/>
      <c r="J326" s="8"/>
      <c r="K326" s="8"/>
    </row>
    <row r="327" spans="1:11" x14ac:dyDescent="0.25">
      <c r="A327" s="44"/>
      <c r="B327" s="44"/>
      <c r="C327" s="44"/>
      <c r="D327" s="44"/>
      <c r="E327" s="44"/>
      <c r="F327" s="44"/>
      <c r="G327" s="44"/>
      <c r="H327" s="44"/>
      <c r="I327" s="44"/>
      <c r="J327" s="8"/>
      <c r="K327" s="8"/>
    </row>
    <row r="328" spans="1:11" x14ac:dyDescent="0.25">
      <c r="A328" s="44"/>
      <c r="B328" s="44"/>
      <c r="C328" s="44"/>
      <c r="D328" s="44"/>
      <c r="E328" s="44"/>
      <c r="F328" s="44"/>
      <c r="G328" s="44"/>
      <c r="H328" s="44"/>
      <c r="I328" s="44"/>
      <c r="J328" s="8"/>
      <c r="K328" s="8"/>
    </row>
    <row r="329" spans="1:11" x14ac:dyDescent="0.25">
      <c r="A329" s="44"/>
      <c r="B329" s="44"/>
      <c r="C329" s="44"/>
      <c r="D329" s="44"/>
      <c r="E329" s="44"/>
      <c r="F329" s="44"/>
      <c r="G329" s="44"/>
      <c r="H329" s="44"/>
      <c r="I329" s="44"/>
      <c r="J329" s="8"/>
      <c r="K329" s="8"/>
    </row>
    <row r="330" spans="1:11" x14ac:dyDescent="0.25">
      <c r="A330" s="44"/>
      <c r="B330" s="44"/>
      <c r="C330" s="44"/>
      <c r="D330" s="44"/>
      <c r="E330" s="44"/>
      <c r="F330" s="44"/>
      <c r="G330" s="44"/>
      <c r="H330" s="44"/>
      <c r="I330" s="44"/>
      <c r="J330" s="8"/>
      <c r="K330" s="8"/>
    </row>
    <row r="331" spans="1:11" x14ac:dyDescent="0.25">
      <c r="A331" s="44"/>
      <c r="B331" s="44"/>
      <c r="C331" s="44"/>
      <c r="D331" s="44"/>
      <c r="E331" s="44"/>
      <c r="F331" s="44"/>
      <c r="G331" s="44"/>
      <c r="H331" s="44"/>
      <c r="I331" s="44"/>
      <c r="J331" s="8"/>
      <c r="K331" s="8"/>
    </row>
    <row r="332" spans="1:11" x14ac:dyDescent="0.25">
      <c r="A332" s="44"/>
      <c r="B332" s="44"/>
      <c r="C332" s="44"/>
      <c r="D332" s="44"/>
      <c r="E332" s="44"/>
      <c r="F332" s="44"/>
      <c r="G332" s="44"/>
      <c r="H332" s="44"/>
      <c r="I332" s="44"/>
      <c r="J332" s="8"/>
      <c r="K332" s="8"/>
    </row>
    <row r="333" spans="1:11" x14ac:dyDescent="0.25">
      <c r="A333" s="44"/>
      <c r="B333" s="44"/>
      <c r="C333" s="44"/>
      <c r="D333" s="44"/>
      <c r="E333" s="44"/>
      <c r="F333" s="44"/>
      <c r="G333" s="44"/>
      <c r="H333" s="44"/>
      <c r="I333" s="44"/>
      <c r="J333" s="8"/>
      <c r="K333" s="8"/>
    </row>
    <row r="334" spans="1:11" x14ac:dyDescent="0.25">
      <c r="A334" s="44"/>
      <c r="B334" s="44"/>
      <c r="C334" s="44"/>
      <c r="D334" s="44"/>
      <c r="E334" s="44"/>
      <c r="F334" s="44"/>
      <c r="G334" s="44"/>
      <c r="H334" s="44"/>
      <c r="I334" s="44"/>
      <c r="J334" s="8"/>
      <c r="K334" s="8"/>
    </row>
    <row r="335" spans="1:11" x14ac:dyDescent="0.25">
      <c r="A335" s="44"/>
      <c r="B335" s="44"/>
      <c r="C335" s="44"/>
      <c r="D335" s="44"/>
      <c r="E335" s="44"/>
      <c r="F335" s="44"/>
      <c r="G335" s="44"/>
      <c r="H335" s="44"/>
      <c r="I335" s="44"/>
      <c r="J335" s="8"/>
      <c r="K335" s="8"/>
    </row>
    <row r="336" spans="1:11" x14ac:dyDescent="0.25">
      <c r="A336" s="44"/>
      <c r="B336" s="44"/>
      <c r="C336" s="44"/>
      <c r="D336" s="44"/>
      <c r="E336" s="44"/>
      <c r="F336" s="44"/>
      <c r="G336" s="44"/>
      <c r="H336" s="44"/>
      <c r="I336" s="44"/>
      <c r="J336" s="8"/>
      <c r="K336" s="8"/>
    </row>
    <row r="337" spans="1:11" x14ac:dyDescent="0.25">
      <c r="A337" s="44"/>
      <c r="B337" s="44"/>
      <c r="C337" s="44"/>
      <c r="D337" s="44"/>
      <c r="E337" s="44"/>
      <c r="F337" s="44"/>
      <c r="G337" s="44"/>
      <c r="H337" s="44"/>
      <c r="I337" s="44"/>
      <c r="J337" s="8"/>
      <c r="K337" s="8"/>
    </row>
    <row r="338" spans="1:11" x14ac:dyDescent="0.25">
      <c r="A338" s="44"/>
      <c r="B338" s="44"/>
      <c r="C338" s="44"/>
      <c r="D338" s="44"/>
      <c r="E338" s="44"/>
      <c r="F338" s="44"/>
      <c r="G338" s="44"/>
      <c r="H338" s="44"/>
      <c r="I338" s="44"/>
      <c r="J338" s="8"/>
      <c r="K338" s="8"/>
    </row>
    <row r="339" spans="1:11" x14ac:dyDescent="0.25">
      <c r="A339" s="44"/>
      <c r="B339" s="44"/>
      <c r="C339" s="44"/>
      <c r="D339" s="44"/>
      <c r="E339" s="44"/>
      <c r="F339" s="44"/>
      <c r="G339" s="44"/>
      <c r="H339" s="44"/>
      <c r="I339" s="44"/>
      <c r="J339" s="8"/>
      <c r="K339" s="8"/>
    </row>
    <row r="340" spans="1:11" x14ac:dyDescent="0.25">
      <c r="A340" s="44"/>
      <c r="B340" s="44"/>
      <c r="C340" s="44"/>
      <c r="D340" s="44"/>
      <c r="E340" s="44"/>
      <c r="F340" s="44"/>
      <c r="G340" s="44"/>
      <c r="H340" s="44"/>
      <c r="I340" s="44"/>
      <c r="J340" s="8"/>
      <c r="K340" s="8"/>
    </row>
    <row r="341" spans="1:11" x14ac:dyDescent="0.25">
      <c r="A341" s="44"/>
      <c r="B341" s="44"/>
      <c r="C341" s="44"/>
      <c r="D341" s="44"/>
      <c r="E341" s="44"/>
      <c r="F341" s="44"/>
      <c r="G341" s="44"/>
      <c r="H341" s="44"/>
      <c r="I341" s="44"/>
      <c r="J341" s="8"/>
      <c r="K341" s="8"/>
    </row>
    <row r="342" spans="1:11" x14ac:dyDescent="0.25">
      <c r="A342" s="44"/>
      <c r="B342" s="44"/>
      <c r="C342" s="44"/>
      <c r="D342" s="44"/>
      <c r="E342" s="44"/>
      <c r="F342" s="44"/>
      <c r="G342" s="44"/>
      <c r="H342" s="44"/>
      <c r="I342" s="44"/>
      <c r="J342" s="8"/>
      <c r="K342" s="8"/>
    </row>
    <row r="343" spans="1:11" x14ac:dyDescent="0.25">
      <c r="A343" s="44"/>
      <c r="B343" s="44"/>
      <c r="C343" s="44"/>
      <c r="D343" s="44"/>
      <c r="E343" s="44"/>
      <c r="F343" s="44"/>
      <c r="G343" s="44"/>
      <c r="H343" s="44"/>
      <c r="I343" s="44"/>
      <c r="J343" s="8"/>
      <c r="K343" s="8"/>
    </row>
    <row r="344" spans="1:11" x14ac:dyDescent="0.25">
      <c r="A344" s="44"/>
      <c r="B344" s="44"/>
      <c r="C344" s="44"/>
      <c r="D344" s="44"/>
      <c r="E344" s="44"/>
      <c r="F344" s="44"/>
      <c r="G344" s="44"/>
      <c r="H344" s="44"/>
      <c r="I344" s="44"/>
      <c r="J344" s="8"/>
      <c r="K344" s="8"/>
    </row>
    <row r="345" spans="1:11" x14ac:dyDescent="0.25">
      <c r="A345" s="44"/>
      <c r="B345" s="44"/>
      <c r="C345" s="44"/>
      <c r="D345" s="44"/>
      <c r="E345" s="44"/>
      <c r="F345" s="44"/>
      <c r="G345" s="44"/>
      <c r="H345" s="44"/>
      <c r="I345" s="44"/>
      <c r="J345" s="8"/>
      <c r="K345" s="8"/>
    </row>
    <row r="346" spans="1:11" x14ac:dyDescent="0.25">
      <c r="A346" s="44"/>
      <c r="B346" s="44"/>
      <c r="C346" s="44"/>
      <c r="D346" s="44"/>
      <c r="E346" s="44"/>
      <c r="F346" s="44"/>
      <c r="G346" s="44"/>
      <c r="H346" s="44"/>
      <c r="I346" s="44"/>
      <c r="J346" s="8"/>
      <c r="K346" s="8"/>
    </row>
    <row r="347" spans="1:11" x14ac:dyDescent="0.25">
      <c r="A347" s="44"/>
      <c r="B347" s="44"/>
      <c r="C347" s="44"/>
      <c r="D347" s="44"/>
      <c r="E347" s="44"/>
      <c r="F347" s="44"/>
      <c r="G347" s="44"/>
      <c r="H347" s="44"/>
      <c r="I347" s="44"/>
      <c r="J347" s="8"/>
      <c r="K347" s="8"/>
    </row>
    <row r="348" spans="1:11" x14ac:dyDescent="0.25">
      <c r="A348" s="44"/>
      <c r="B348" s="44"/>
      <c r="C348" s="44"/>
      <c r="D348" s="44"/>
      <c r="E348" s="44"/>
      <c r="F348" s="44"/>
      <c r="G348" s="44"/>
      <c r="H348" s="44"/>
      <c r="I348" s="44"/>
      <c r="J348" s="8"/>
      <c r="K348" s="8"/>
    </row>
    <row r="349" spans="1:11" x14ac:dyDescent="0.25">
      <c r="A349" s="44"/>
      <c r="B349" s="44"/>
      <c r="C349" s="44"/>
      <c r="D349" s="44"/>
      <c r="E349" s="44"/>
      <c r="F349" s="44"/>
      <c r="G349" s="44"/>
      <c r="H349" s="44"/>
      <c r="I349" s="44"/>
      <c r="J349" s="8"/>
      <c r="K349" s="8"/>
    </row>
    <row r="350" spans="1:11" x14ac:dyDescent="0.25">
      <c r="A350" s="44"/>
      <c r="B350" s="44"/>
      <c r="C350" s="44"/>
      <c r="D350" s="44"/>
      <c r="E350" s="44"/>
      <c r="F350" s="44"/>
      <c r="G350" s="44"/>
      <c r="H350" s="44"/>
      <c r="I350" s="44"/>
      <c r="J350" s="8"/>
      <c r="K350" s="8"/>
    </row>
    <row r="351" spans="1:11" x14ac:dyDescent="0.25">
      <c r="A351" s="44"/>
      <c r="B351" s="44"/>
      <c r="C351" s="44"/>
      <c r="D351" s="44"/>
      <c r="E351" s="44"/>
      <c r="F351" s="44"/>
      <c r="G351" s="44"/>
      <c r="H351" s="44"/>
      <c r="I351" s="44"/>
      <c r="J351" s="8"/>
      <c r="K351" s="8"/>
    </row>
    <row r="352" spans="1:11" x14ac:dyDescent="0.25">
      <c r="A352" s="44"/>
      <c r="B352" s="44"/>
      <c r="C352" s="44"/>
      <c r="D352" s="44"/>
      <c r="E352" s="44"/>
      <c r="F352" s="44"/>
      <c r="G352" s="44"/>
      <c r="H352" s="44"/>
      <c r="I352" s="44"/>
      <c r="J352" s="8"/>
      <c r="K352" s="8"/>
    </row>
    <row r="353" spans="1:11" x14ac:dyDescent="0.25">
      <c r="A353" s="44"/>
      <c r="B353" s="44"/>
      <c r="C353" s="44"/>
      <c r="D353" s="44"/>
      <c r="E353" s="44"/>
      <c r="F353" s="44"/>
      <c r="G353" s="44"/>
      <c r="H353" s="44"/>
      <c r="I353" s="44"/>
      <c r="J353" s="8"/>
      <c r="K353" s="8"/>
    </row>
    <row r="354" spans="1:11" x14ac:dyDescent="0.25">
      <c r="A354" s="44"/>
      <c r="B354" s="44"/>
      <c r="C354" s="44"/>
      <c r="D354" s="44"/>
      <c r="E354" s="44"/>
      <c r="F354" s="44"/>
      <c r="G354" s="44"/>
      <c r="H354" s="44"/>
      <c r="I354" s="44"/>
      <c r="J354" s="8"/>
      <c r="K354" s="8"/>
    </row>
    <row r="355" spans="1:11" x14ac:dyDescent="0.25">
      <c r="A355" s="44"/>
      <c r="B355" s="44"/>
      <c r="C355" s="44"/>
      <c r="D355" s="44"/>
      <c r="E355" s="44"/>
      <c r="F355" s="44"/>
      <c r="G355" s="44"/>
      <c r="H355" s="44"/>
      <c r="I355" s="44"/>
      <c r="J355" s="8"/>
      <c r="K355" s="8"/>
    </row>
    <row r="356" spans="1:11" x14ac:dyDescent="0.25">
      <c r="A356" s="44"/>
      <c r="B356" s="44"/>
      <c r="C356" s="44"/>
      <c r="D356" s="44"/>
      <c r="E356" s="44"/>
      <c r="F356" s="44"/>
      <c r="G356" s="44"/>
      <c r="H356" s="44"/>
      <c r="I356" s="44"/>
      <c r="J356" s="8"/>
      <c r="K356" s="8"/>
    </row>
    <row r="357" spans="1:11" x14ac:dyDescent="0.25">
      <c r="A357" s="44"/>
      <c r="B357" s="44"/>
      <c r="C357" s="44"/>
      <c r="D357" s="44"/>
      <c r="E357" s="44"/>
      <c r="F357" s="44"/>
      <c r="G357" s="44"/>
      <c r="H357" s="44"/>
      <c r="I357" s="44"/>
      <c r="J357" s="8"/>
      <c r="K357" s="8"/>
    </row>
    <row r="358" spans="1:11" x14ac:dyDescent="0.25">
      <c r="A358" s="44"/>
      <c r="B358" s="44"/>
      <c r="C358" s="44"/>
      <c r="D358" s="44"/>
      <c r="E358" s="44"/>
      <c r="F358" s="44"/>
      <c r="G358" s="44"/>
      <c r="H358" s="44"/>
      <c r="I358" s="44"/>
      <c r="J358" s="8"/>
      <c r="K358" s="8"/>
    </row>
    <row r="359" spans="1:11" x14ac:dyDescent="0.25">
      <c r="A359" s="44"/>
      <c r="B359" s="44"/>
      <c r="C359" s="44"/>
      <c r="D359" s="44"/>
      <c r="E359" s="44"/>
      <c r="F359" s="44"/>
      <c r="G359" s="44"/>
      <c r="H359" s="44"/>
      <c r="I359" s="44"/>
      <c r="J359" s="8"/>
      <c r="K359" s="8"/>
    </row>
    <row r="360" spans="1:11" x14ac:dyDescent="0.25">
      <c r="A360" s="44"/>
      <c r="B360" s="44"/>
      <c r="C360" s="44"/>
      <c r="D360" s="44"/>
      <c r="E360" s="44"/>
      <c r="F360" s="44"/>
      <c r="G360" s="44"/>
      <c r="H360" s="44"/>
      <c r="I360" s="44"/>
      <c r="J360" s="8"/>
      <c r="K360" s="8"/>
    </row>
    <row r="361" spans="1:11" x14ac:dyDescent="0.25">
      <c r="A361" s="44"/>
      <c r="B361" s="44"/>
      <c r="C361" s="44"/>
      <c r="D361" s="44"/>
      <c r="E361" s="44"/>
      <c r="F361" s="44"/>
      <c r="G361" s="44"/>
      <c r="H361" s="44"/>
      <c r="I361" s="44"/>
      <c r="J361" s="8"/>
      <c r="K361" s="8"/>
    </row>
    <row r="362" spans="1:11" x14ac:dyDescent="0.25">
      <c r="A362" s="44"/>
      <c r="B362" s="44"/>
      <c r="C362" s="44"/>
      <c r="D362" s="44"/>
      <c r="E362" s="44"/>
      <c r="F362" s="44"/>
      <c r="G362" s="44"/>
      <c r="H362" s="44"/>
      <c r="I362" s="44"/>
      <c r="J362" s="8"/>
      <c r="K362" s="8"/>
    </row>
    <row r="363" spans="1:11" x14ac:dyDescent="0.25">
      <c r="A363" s="44"/>
      <c r="B363" s="44"/>
      <c r="C363" s="44"/>
      <c r="D363" s="44"/>
      <c r="E363" s="44"/>
      <c r="F363" s="44"/>
      <c r="G363" s="44"/>
      <c r="H363" s="44"/>
      <c r="I363" s="44"/>
      <c r="J363" s="8"/>
      <c r="K363" s="8"/>
    </row>
    <row r="364" spans="1:11" x14ac:dyDescent="0.25">
      <c r="A364" s="44"/>
      <c r="B364" s="44"/>
      <c r="C364" s="44"/>
      <c r="D364" s="44"/>
      <c r="E364" s="44"/>
      <c r="F364" s="44"/>
      <c r="G364" s="44"/>
      <c r="H364" s="44"/>
      <c r="I364" s="44"/>
      <c r="J364" s="8"/>
      <c r="K364" s="8"/>
    </row>
    <row r="365" spans="1:11" x14ac:dyDescent="0.25">
      <c r="A365" s="44"/>
      <c r="B365" s="44"/>
      <c r="C365" s="44"/>
      <c r="D365" s="44"/>
      <c r="E365" s="44"/>
      <c r="F365" s="44"/>
      <c r="G365" s="44"/>
      <c r="H365" s="44"/>
      <c r="I365" s="44"/>
      <c r="J365" s="8"/>
      <c r="K365" s="8"/>
    </row>
    <row r="366" spans="1:11" x14ac:dyDescent="0.25">
      <c r="A366" s="44"/>
      <c r="B366" s="44"/>
      <c r="C366" s="44"/>
      <c r="D366" s="44"/>
      <c r="E366" s="44"/>
      <c r="F366" s="44"/>
      <c r="G366" s="44"/>
      <c r="H366" s="44"/>
      <c r="I366" s="44"/>
      <c r="J366" s="8"/>
      <c r="K366" s="8"/>
    </row>
    <row r="367" spans="1:11" x14ac:dyDescent="0.25">
      <c r="A367" s="44"/>
      <c r="B367" s="44"/>
      <c r="C367" s="44"/>
      <c r="D367" s="44"/>
      <c r="E367" s="44"/>
      <c r="F367" s="44"/>
      <c r="G367" s="44"/>
      <c r="H367" s="44"/>
      <c r="I367" s="44"/>
      <c r="J367" s="8"/>
      <c r="K367" s="8"/>
    </row>
    <row r="368" spans="1:11" x14ac:dyDescent="0.25">
      <c r="A368" s="44"/>
      <c r="B368" s="44"/>
      <c r="C368" s="44"/>
      <c r="D368" s="44"/>
      <c r="E368" s="44"/>
      <c r="F368" s="44"/>
      <c r="G368" s="44"/>
      <c r="H368" s="44"/>
      <c r="I368" s="44"/>
      <c r="J368" s="8"/>
      <c r="K368" s="8"/>
    </row>
    <row r="369" spans="1:11" x14ac:dyDescent="0.25">
      <c r="A369" s="44"/>
      <c r="B369" s="44"/>
      <c r="C369" s="44"/>
      <c r="D369" s="44"/>
      <c r="E369" s="44"/>
      <c r="F369" s="44"/>
      <c r="G369" s="44"/>
      <c r="H369" s="44"/>
      <c r="I369" s="44"/>
      <c r="J369" s="8"/>
      <c r="K369" s="8"/>
    </row>
    <row r="370" spans="1:11" x14ac:dyDescent="0.25">
      <c r="A370" s="44"/>
      <c r="B370" s="44"/>
      <c r="C370" s="44"/>
      <c r="D370" s="44"/>
      <c r="E370" s="44"/>
      <c r="F370" s="44"/>
      <c r="G370" s="44"/>
      <c r="H370" s="44"/>
      <c r="I370" s="44"/>
      <c r="J370" s="8"/>
      <c r="K370" s="8"/>
    </row>
    <row r="371" spans="1:11" x14ac:dyDescent="0.25">
      <c r="A371" s="44"/>
      <c r="B371" s="44"/>
      <c r="C371" s="44"/>
      <c r="D371" s="44"/>
      <c r="E371" s="44"/>
      <c r="F371" s="44"/>
      <c r="G371" s="44"/>
      <c r="H371" s="44"/>
      <c r="I371" s="44"/>
      <c r="J371" s="8"/>
      <c r="K371" s="8"/>
    </row>
    <row r="372" spans="1:11" x14ac:dyDescent="0.25">
      <c r="A372" s="44"/>
      <c r="B372" s="44"/>
      <c r="C372" s="44"/>
      <c r="D372" s="44"/>
      <c r="E372" s="44"/>
      <c r="F372" s="44"/>
      <c r="G372" s="44"/>
      <c r="H372" s="44"/>
      <c r="I372" s="44"/>
      <c r="J372" s="8"/>
      <c r="K372" s="8"/>
    </row>
    <row r="373" spans="1:11" x14ac:dyDescent="0.25">
      <c r="A373" s="44"/>
      <c r="B373" s="44"/>
      <c r="C373" s="44"/>
      <c r="D373" s="44"/>
      <c r="E373" s="44"/>
      <c r="F373" s="44"/>
      <c r="G373" s="44"/>
      <c r="H373" s="44"/>
      <c r="I373" s="44"/>
      <c r="J373" s="8"/>
      <c r="K373" s="8"/>
    </row>
    <row r="374" spans="1:11" x14ac:dyDescent="0.25">
      <c r="A374" s="44"/>
      <c r="B374" s="44"/>
      <c r="C374" s="44"/>
      <c r="D374" s="44"/>
      <c r="E374" s="44"/>
      <c r="F374" s="44"/>
      <c r="G374" s="44"/>
      <c r="H374" s="44"/>
      <c r="I374" s="44"/>
      <c r="J374" s="8"/>
      <c r="K374" s="8"/>
    </row>
    <row r="375" spans="1:11" x14ac:dyDescent="0.25">
      <c r="A375" s="44"/>
      <c r="B375" s="44"/>
      <c r="C375" s="44"/>
      <c r="D375" s="44"/>
      <c r="E375" s="44"/>
      <c r="F375" s="44"/>
      <c r="G375" s="44"/>
      <c r="H375" s="44"/>
      <c r="I375" s="44"/>
      <c r="J375" s="8"/>
      <c r="K375" s="8"/>
    </row>
    <row r="376" spans="1:11" x14ac:dyDescent="0.25">
      <c r="A376" s="44"/>
      <c r="B376" s="44"/>
      <c r="C376" s="44"/>
      <c r="D376" s="44"/>
      <c r="E376" s="44"/>
      <c r="F376" s="44"/>
      <c r="G376" s="44"/>
      <c r="H376" s="44"/>
      <c r="I376" s="44"/>
      <c r="J376" s="8"/>
      <c r="K376" s="8"/>
    </row>
    <row r="377" spans="1:11" x14ac:dyDescent="0.25">
      <c r="A377" s="44"/>
      <c r="B377" s="44"/>
      <c r="C377" s="44"/>
      <c r="D377" s="44"/>
      <c r="E377" s="44"/>
      <c r="F377" s="44"/>
      <c r="G377" s="44"/>
      <c r="H377" s="44"/>
      <c r="I377" s="44"/>
      <c r="J377" s="8"/>
      <c r="K377" s="8"/>
    </row>
    <row r="378" spans="1:11" x14ac:dyDescent="0.25">
      <c r="A378" s="44"/>
      <c r="B378" s="44"/>
      <c r="C378" s="44"/>
      <c r="D378" s="44"/>
      <c r="E378" s="44"/>
      <c r="F378" s="44"/>
      <c r="G378" s="44"/>
      <c r="H378" s="44"/>
      <c r="I378" s="44"/>
      <c r="J378" s="8"/>
      <c r="K378" s="8"/>
    </row>
    <row r="379" spans="1:11" x14ac:dyDescent="0.25">
      <c r="A379" s="44"/>
      <c r="B379" s="44"/>
      <c r="C379" s="44"/>
      <c r="D379" s="44"/>
      <c r="E379" s="44"/>
      <c r="F379" s="44"/>
      <c r="G379" s="44"/>
      <c r="H379" s="44"/>
      <c r="I379" s="44"/>
      <c r="J379" s="8"/>
      <c r="K379" s="8"/>
    </row>
    <row r="380" spans="1:11" x14ac:dyDescent="0.25">
      <c r="A380" s="44"/>
      <c r="B380" s="44"/>
      <c r="C380" s="44"/>
      <c r="D380" s="44"/>
      <c r="E380" s="44"/>
      <c r="F380" s="44"/>
      <c r="G380" s="44"/>
      <c r="H380" s="44"/>
      <c r="I380" s="44"/>
      <c r="J380" s="8"/>
      <c r="K380" s="8"/>
    </row>
    <row r="381" spans="1:11" x14ac:dyDescent="0.25">
      <c r="A381" s="44"/>
      <c r="B381" s="44"/>
      <c r="C381" s="44"/>
      <c r="D381" s="44"/>
      <c r="E381" s="44"/>
      <c r="F381" s="44"/>
      <c r="G381" s="44"/>
      <c r="H381" s="44"/>
      <c r="I381" s="44"/>
      <c r="J381" s="8"/>
      <c r="K381" s="8"/>
    </row>
    <row r="382" spans="1:11" x14ac:dyDescent="0.25">
      <c r="A382" s="44"/>
      <c r="B382" s="44"/>
      <c r="C382" s="44"/>
      <c r="D382" s="44"/>
      <c r="E382" s="44"/>
      <c r="F382" s="44"/>
      <c r="G382" s="44"/>
      <c r="H382" s="44"/>
      <c r="I382" s="44"/>
      <c r="J382" s="8"/>
      <c r="K382" s="8"/>
    </row>
    <row r="383" spans="1:11" x14ac:dyDescent="0.25">
      <c r="A383" s="44"/>
      <c r="B383" s="44"/>
      <c r="C383" s="44"/>
      <c r="D383" s="44"/>
      <c r="E383" s="44"/>
      <c r="F383" s="44"/>
      <c r="G383" s="44"/>
      <c r="H383" s="44"/>
      <c r="I383" s="44"/>
      <c r="J383" s="8"/>
      <c r="K383" s="8"/>
    </row>
    <row r="384" spans="1:11" x14ac:dyDescent="0.25">
      <c r="A384" s="44"/>
      <c r="B384" s="44"/>
      <c r="C384" s="44"/>
      <c r="D384" s="44"/>
      <c r="E384" s="44"/>
      <c r="F384" s="44"/>
      <c r="G384" s="44"/>
      <c r="H384" s="44"/>
      <c r="I384" s="44"/>
      <c r="J384" s="8"/>
      <c r="K384" s="8"/>
    </row>
    <row r="385" spans="1:11" x14ac:dyDescent="0.25">
      <c r="A385" s="44"/>
      <c r="B385" s="44"/>
      <c r="C385" s="44"/>
      <c r="D385" s="44"/>
      <c r="E385" s="44"/>
      <c r="F385" s="44"/>
      <c r="G385" s="44"/>
      <c r="H385" s="44"/>
      <c r="I385" s="44"/>
      <c r="J385" s="8"/>
      <c r="K385" s="8"/>
    </row>
    <row r="386" spans="1:11" x14ac:dyDescent="0.25">
      <c r="A386" s="44"/>
      <c r="B386" s="44"/>
      <c r="C386" s="44"/>
      <c r="D386" s="44"/>
      <c r="E386" s="44"/>
      <c r="F386" s="44"/>
      <c r="G386" s="44"/>
      <c r="H386" s="44"/>
      <c r="I386" s="44"/>
      <c r="J386" s="8"/>
      <c r="K386" s="8"/>
    </row>
    <row r="387" spans="1:11" x14ac:dyDescent="0.25">
      <c r="A387" s="44"/>
      <c r="B387" s="44"/>
      <c r="C387" s="44"/>
      <c r="D387" s="44"/>
      <c r="E387" s="44"/>
      <c r="F387" s="44"/>
      <c r="G387" s="44"/>
      <c r="H387" s="44"/>
      <c r="I387" s="44"/>
      <c r="J387" s="8"/>
      <c r="K387" s="8"/>
    </row>
    <row r="388" spans="1:11" x14ac:dyDescent="0.25">
      <c r="A388" s="44"/>
      <c r="B388" s="44"/>
      <c r="C388" s="44"/>
      <c r="D388" s="44"/>
      <c r="E388" s="44"/>
      <c r="F388" s="44"/>
      <c r="G388" s="44"/>
      <c r="H388" s="44"/>
      <c r="I388" s="44"/>
      <c r="J388" s="8"/>
      <c r="K388" s="8"/>
    </row>
    <row r="389" spans="1:11" x14ac:dyDescent="0.25">
      <c r="A389" s="44"/>
      <c r="B389" s="44"/>
      <c r="C389" s="44"/>
      <c r="D389" s="44"/>
      <c r="E389" s="44"/>
      <c r="F389" s="44"/>
      <c r="G389" s="44"/>
      <c r="H389" s="44"/>
      <c r="I389" s="44"/>
      <c r="J389" s="8"/>
      <c r="K389" s="8"/>
    </row>
    <row r="390" spans="1:11" x14ac:dyDescent="0.25">
      <c r="A390" s="44"/>
      <c r="B390" s="44"/>
      <c r="C390" s="44"/>
      <c r="D390" s="44"/>
      <c r="E390" s="44"/>
      <c r="F390" s="44"/>
      <c r="G390" s="44"/>
      <c r="H390" s="44"/>
      <c r="I390" s="44"/>
      <c r="J390" s="8"/>
      <c r="K390" s="8"/>
    </row>
    <row r="391" spans="1:11" x14ac:dyDescent="0.25">
      <c r="A391" s="44"/>
      <c r="B391" s="44"/>
      <c r="C391" s="44"/>
      <c r="D391" s="44"/>
      <c r="E391" s="44"/>
      <c r="F391" s="44"/>
      <c r="G391" s="44"/>
      <c r="H391" s="44"/>
      <c r="I391" s="44"/>
      <c r="J391" s="8"/>
      <c r="K391" s="8"/>
    </row>
    <row r="392" spans="1:11" x14ac:dyDescent="0.25">
      <c r="A392" s="44"/>
      <c r="B392" s="44"/>
      <c r="C392" s="44"/>
      <c r="D392" s="44"/>
      <c r="E392" s="44"/>
      <c r="F392" s="44"/>
      <c r="G392" s="44"/>
      <c r="H392" s="44"/>
      <c r="I392" s="44"/>
      <c r="J392" s="8"/>
      <c r="K392" s="8"/>
    </row>
    <row r="393" spans="1:11" x14ac:dyDescent="0.25">
      <c r="A393" s="44"/>
      <c r="B393" s="44"/>
      <c r="C393" s="44"/>
      <c r="D393" s="44"/>
      <c r="E393" s="44"/>
      <c r="F393" s="44"/>
      <c r="G393" s="44"/>
      <c r="H393" s="44"/>
      <c r="I393" s="44"/>
      <c r="J393" s="8"/>
      <c r="K393" s="8"/>
    </row>
    <row r="394" spans="1:11" x14ac:dyDescent="0.25">
      <c r="A394" s="44"/>
      <c r="B394" s="44"/>
      <c r="C394" s="44"/>
      <c r="D394" s="44"/>
      <c r="E394" s="44"/>
      <c r="F394" s="44"/>
      <c r="G394" s="44"/>
      <c r="H394" s="44"/>
      <c r="I394" s="44"/>
      <c r="J394" s="8"/>
      <c r="K394" s="8"/>
    </row>
    <row r="395" spans="1:11" x14ac:dyDescent="0.25">
      <c r="A395" s="44"/>
      <c r="B395" s="44"/>
      <c r="C395" s="44"/>
      <c r="D395" s="44"/>
      <c r="E395" s="44"/>
      <c r="F395" s="44"/>
      <c r="G395" s="44"/>
      <c r="H395" s="44"/>
      <c r="I395" s="44"/>
      <c r="J395" s="8"/>
      <c r="K395" s="8"/>
    </row>
    <row r="396" spans="1:11" x14ac:dyDescent="0.25">
      <c r="A396" s="44"/>
      <c r="B396" s="44"/>
      <c r="C396" s="44"/>
      <c r="D396" s="44"/>
      <c r="E396" s="44"/>
      <c r="F396" s="44"/>
      <c r="G396" s="44"/>
      <c r="H396" s="44"/>
      <c r="I396" s="44"/>
      <c r="J396" s="8"/>
      <c r="K396" s="8"/>
    </row>
    <row r="397" spans="1:11" x14ac:dyDescent="0.25">
      <c r="A397" s="44"/>
      <c r="B397" s="44"/>
      <c r="C397" s="44"/>
      <c r="D397" s="44"/>
      <c r="E397" s="44"/>
      <c r="F397" s="44"/>
      <c r="G397" s="44"/>
      <c r="H397" s="44"/>
      <c r="I397" s="44"/>
      <c r="J397" s="8"/>
      <c r="K397" s="8"/>
    </row>
    <row r="398" spans="1:11" x14ac:dyDescent="0.25">
      <c r="A398" s="44"/>
      <c r="B398" s="44"/>
      <c r="C398" s="44"/>
      <c r="D398" s="44"/>
      <c r="E398" s="44"/>
      <c r="F398" s="44"/>
      <c r="G398" s="44"/>
      <c r="H398" s="44"/>
      <c r="I398" s="44"/>
      <c r="J398" s="8"/>
      <c r="K398" s="8"/>
    </row>
    <row r="399" spans="1:11" x14ac:dyDescent="0.25">
      <c r="A399" s="44"/>
      <c r="B399" s="44"/>
      <c r="C399" s="44"/>
      <c r="D399" s="44"/>
      <c r="E399" s="44"/>
      <c r="F399" s="44"/>
      <c r="G399" s="44"/>
      <c r="H399" s="44"/>
      <c r="I399" s="44"/>
      <c r="J399" s="8"/>
      <c r="K399" s="8"/>
    </row>
    <row r="400" spans="1:11" x14ac:dyDescent="0.25">
      <c r="A400" s="44"/>
      <c r="B400" s="44"/>
      <c r="C400" s="44"/>
      <c r="D400" s="44"/>
      <c r="E400" s="44"/>
      <c r="F400" s="44"/>
      <c r="G400" s="44"/>
      <c r="H400" s="44"/>
      <c r="I400" s="44"/>
      <c r="J400" s="8"/>
      <c r="K400" s="8"/>
    </row>
    <row r="401" spans="1:11" x14ac:dyDescent="0.25">
      <c r="A401" s="44"/>
      <c r="B401" s="44"/>
      <c r="C401" s="44"/>
      <c r="D401" s="44"/>
      <c r="E401" s="44"/>
      <c r="F401" s="44"/>
      <c r="G401" s="44"/>
      <c r="H401" s="44"/>
      <c r="I401" s="44"/>
      <c r="J401" s="8"/>
      <c r="K401" s="8"/>
    </row>
    <row r="402" spans="1:11" x14ac:dyDescent="0.25">
      <c r="A402" s="44"/>
      <c r="B402" s="44"/>
      <c r="C402" s="44"/>
      <c r="D402" s="44"/>
      <c r="E402" s="44"/>
      <c r="F402" s="44"/>
      <c r="G402" s="44"/>
      <c r="H402" s="44"/>
      <c r="I402" s="44"/>
      <c r="J402" s="8"/>
      <c r="K402" s="8"/>
    </row>
    <row r="403" spans="1:11" x14ac:dyDescent="0.25">
      <c r="A403" s="44"/>
      <c r="B403" s="44"/>
      <c r="C403" s="44"/>
      <c r="D403" s="44"/>
      <c r="E403" s="44"/>
      <c r="F403" s="44"/>
      <c r="G403" s="44"/>
      <c r="H403" s="44"/>
      <c r="I403" s="44"/>
      <c r="J403" s="8"/>
      <c r="K403" s="8"/>
    </row>
    <row r="404" spans="1:11" x14ac:dyDescent="0.25">
      <c r="A404" s="44"/>
      <c r="B404" s="44"/>
      <c r="C404" s="44"/>
      <c r="D404" s="44"/>
      <c r="E404" s="44"/>
      <c r="F404" s="44"/>
      <c r="G404" s="44"/>
      <c r="H404" s="44"/>
      <c r="I404" s="44"/>
      <c r="J404" s="8"/>
      <c r="K404" s="8"/>
    </row>
    <row r="405" spans="1:11" x14ac:dyDescent="0.25">
      <c r="A405" s="44"/>
      <c r="B405" s="44"/>
      <c r="C405" s="44"/>
      <c r="D405" s="44"/>
      <c r="E405" s="44"/>
      <c r="F405" s="44"/>
      <c r="G405" s="44"/>
      <c r="H405" s="44"/>
      <c r="I405" s="44"/>
      <c r="J405" s="8"/>
      <c r="K405" s="8"/>
    </row>
    <row r="406" spans="1:11" x14ac:dyDescent="0.25">
      <c r="A406" s="44"/>
      <c r="B406" s="44"/>
      <c r="C406" s="44"/>
      <c r="D406" s="44"/>
      <c r="E406" s="44"/>
      <c r="F406" s="44"/>
      <c r="G406" s="44"/>
      <c r="H406" s="44"/>
      <c r="I406" s="44"/>
      <c r="J406" s="8"/>
      <c r="K406" s="8"/>
    </row>
    <row r="407" spans="1:11" x14ac:dyDescent="0.25">
      <c r="A407" s="44"/>
      <c r="B407" s="44"/>
      <c r="C407" s="44"/>
      <c r="D407" s="44"/>
      <c r="E407" s="44"/>
      <c r="F407" s="44"/>
      <c r="G407" s="44"/>
      <c r="H407" s="44"/>
      <c r="I407" s="44"/>
      <c r="J407" s="8"/>
      <c r="K407" s="8"/>
    </row>
    <row r="408" spans="1:11" x14ac:dyDescent="0.25">
      <c r="A408" s="44"/>
      <c r="B408" s="44"/>
      <c r="C408" s="44"/>
      <c r="D408" s="44"/>
      <c r="E408" s="44"/>
      <c r="F408" s="44"/>
      <c r="G408" s="44"/>
      <c r="H408" s="44"/>
      <c r="I408" s="44"/>
      <c r="J408" s="8"/>
      <c r="K408" s="8"/>
    </row>
    <row r="409" spans="1:11" x14ac:dyDescent="0.25">
      <c r="A409" s="44"/>
      <c r="B409" s="44"/>
      <c r="C409" s="44"/>
      <c r="D409" s="44"/>
      <c r="E409" s="44"/>
      <c r="F409" s="44"/>
      <c r="G409" s="44"/>
      <c r="H409" s="44"/>
      <c r="I409" s="44"/>
      <c r="J409" s="8"/>
      <c r="K409" s="8"/>
    </row>
    <row r="410" spans="1:11" x14ac:dyDescent="0.25">
      <c r="A410" s="44"/>
      <c r="B410" s="44"/>
      <c r="C410" s="44"/>
      <c r="D410" s="44"/>
      <c r="E410" s="44"/>
      <c r="F410" s="44"/>
      <c r="G410" s="44"/>
      <c r="H410" s="44"/>
      <c r="I410" s="44"/>
      <c r="J410" s="8"/>
      <c r="K410" s="8"/>
    </row>
    <row r="411" spans="1:11" x14ac:dyDescent="0.25">
      <c r="A411" s="44"/>
      <c r="B411" s="44"/>
      <c r="C411" s="44"/>
      <c r="D411" s="44"/>
      <c r="E411" s="44"/>
      <c r="F411" s="44"/>
      <c r="G411" s="44"/>
      <c r="H411" s="44"/>
      <c r="I411" s="44"/>
      <c r="J411" s="8"/>
      <c r="K411" s="8"/>
    </row>
    <row r="412" spans="1:11" x14ac:dyDescent="0.25">
      <c r="A412" s="44"/>
      <c r="B412" s="44"/>
      <c r="C412" s="44"/>
      <c r="D412" s="44"/>
      <c r="E412" s="44"/>
      <c r="F412" s="44"/>
      <c r="G412" s="44"/>
      <c r="H412" s="44"/>
      <c r="I412" s="44"/>
      <c r="J412" s="8"/>
      <c r="K412" s="8"/>
    </row>
    <row r="413" spans="1:11" x14ac:dyDescent="0.25">
      <c r="A413" s="44"/>
      <c r="B413" s="44"/>
      <c r="C413" s="44"/>
      <c r="D413" s="44"/>
      <c r="E413" s="44"/>
      <c r="F413" s="44"/>
      <c r="G413" s="44"/>
      <c r="H413" s="44"/>
      <c r="I413" s="44"/>
      <c r="J413" s="8"/>
      <c r="K413" s="8"/>
    </row>
    <row r="414" spans="1:11" x14ac:dyDescent="0.25">
      <c r="A414" s="44"/>
      <c r="B414" s="44"/>
      <c r="C414" s="44"/>
      <c r="D414" s="44"/>
      <c r="E414" s="44"/>
      <c r="F414" s="44"/>
      <c r="G414" s="44"/>
      <c r="H414" s="44"/>
      <c r="I414" s="44"/>
      <c r="J414" s="8"/>
      <c r="K414" s="8"/>
    </row>
    <row r="415" spans="1:11" x14ac:dyDescent="0.25">
      <c r="A415" s="44"/>
      <c r="B415" s="44"/>
      <c r="C415" s="44"/>
      <c r="D415" s="44"/>
      <c r="E415" s="44"/>
      <c r="F415" s="44"/>
      <c r="G415" s="44"/>
      <c r="H415" s="44"/>
      <c r="I415" s="44"/>
      <c r="J415" s="8"/>
      <c r="K415" s="8"/>
    </row>
    <row r="416" spans="1:11" x14ac:dyDescent="0.25">
      <c r="A416" s="44"/>
      <c r="B416" s="44"/>
      <c r="C416" s="44"/>
      <c r="D416" s="44"/>
      <c r="E416" s="44"/>
      <c r="F416" s="44"/>
      <c r="G416" s="44"/>
      <c r="H416" s="44"/>
      <c r="I416" s="44"/>
      <c r="J416" s="8"/>
      <c r="K416" s="8"/>
    </row>
    <row r="417" spans="1:11" x14ac:dyDescent="0.25">
      <c r="A417" s="44"/>
      <c r="B417" s="44"/>
      <c r="C417" s="44"/>
      <c r="D417" s="44"/>
      <c r="E417" s="44"/>
      <c r="F417" s="44"/>
      <c r="G417" s="44"/>
      <c r="H417" s="44"/>
      <c r="I417" s="44"/>
      <c r="J417" s="8"/>
      <c r="K417" s="8"/>
    </row>
    <row r="418" spans="1:11" x14ac:dyDescent="0.25">
      <c r="A418" s="44"/>
      <c r="B418" s="44"/>
      <c r="C418" s="44"/>
      <c r="D418" s="44"/>
      <c r="E418" s="44"/>
      <c r="F418" s="44"/>
      <c r="G418" s="44"/>
      <c r="H418" s="44"/>
      <c r="I418" s="44"/>
      <c r="J418" s="8"/>
      <c r="K418" s="8"/>
    </row>
    <row r="419" spans="1:11" x14ac:dyDescent="0.25">
      <c r="A419" s="44"/>
      <c r="B419" s="44"/>
      <c r="C419" s="44"/>
      <c r="D419" s="44"/>
      <c r="E419" s="44"/>
      <c r="F419" s="44"/>
      <c r="G419" s="44"/>
      <c r="H419" s="44"/>
      <c r="I419" s="44"/>
      <c r="J419" s="8"/>
      <c r="K419" s="8"/>
    </row>
    <row r="420" spans="1:11" x14ac:dyDescent="0.25">
      <c r="A420" s="44"/>
      <c r="B420" s="44"/>
      <c r="C420" s="44"/>
      <c r="D420" s="44"/>
      <c r="E420" s="44"/>
      <c r="F420" s="44"/>
      <c r="G420" s="44"/>
      <c r="H420" s="44"/>
      <c r="I420" s="44"/>
      <c r="J420" s="8"/>
      <c r="K420" s="8"/>
    </row>
    <row r="421" spans="1:11" x14ac:dyDescent="0.25">
      <c r="A421" s="44"/>
      <c r="B421" s="44"/>
      <c r="C421" s="44"/>
      <c r="D421" s="44"/>
      <c r="E421" s="44"/>
      <c r="F421" s="44"/>
      <c r="G421" s="44"/>
      <c r="H421" s="44"/>
      <c r="I421" s="44"/>
      <c r="J421" s="8"/>
      <c r="K421" s="8"/>
    </row>
    <row r="422" spans="1:11" x14ac:dyDescent="0.25">
      <c r="A422" s="44"/>
      <c r="B422" s="44"/>
      <c r="C422" s="44"/>
      <c r="D422" s="44"/>
      <c r="E422" s="44"/>
      <c r="F422" s="44"/>
      <c r="G422" s="44"/>
      <c r="H422" s="44"/>
      <c r="I422" s="44"/>
      <c r="J422" s="8"/>
      <c r="K422" s="8"/>
    </row>
    <row r="423" spans="1:11" x14ac:dyDescent="0.25">
      <c r="A423" s="44"/>
      <c r="B423" s="44"/>
      <c r="C423" s="44"/>
      <c r="D423" s="44"/>
      <c r="E423" s="44"/>
      <c r="F423" s="44"/>
      <c r="G423" s="44"/>
      <c r="H423" s="44"/>
      <c r="I423" s="44"/>
      <c r="J423" s="8"/>
      <c r="K423" s="8"/>
    </row>
    <row r="424" spans="1:11" x14ac:dyDescent="0.25">
      <c r="A424" s="44"/>
      <c r="B424" s="44"/>
      <c r="C424" s="44"/>
      <c r="D424" s="44"/>
      <c r="E424" s="44"/>
      <c r="F424" s="44"/>
      <c r="G424" s="44"/>
      <c r="H424" s="44"/>
      <c r="I424" s="44"/>
      <c r="J424" s="8"/>
      <c r="K424" s="8"/>
    </row>
    <row r="425" spans="1:11" x14ac:dyDescent="0.25">
      <c r="A425" s="44"/>
      <c r="B425" s="44"/>
      <c r="C425" s="44"/>
      <c r="D425" s="44"/>
      <c r="E425" s="44"/>
      <c r="F425" s="44"/>
      <c r="G425" s="44"/>
      <c r="H425" s="44"/>
      <c r="I425" s="44"/>
      <c r="J425" s="8"/>
      <c r="K425" s="8"/>
    </row>
    <row r="426" spans="1:11" x14ac:dyDescent="0.25">
      <c r="A426" s="44"/>
      <c r="B426" s="44"/>
      <c r="C426" s="44"/>
      <c r="D426" s="44"/>
      <c r="E426" s="44"/>
      <c r="F426" s="44"/>
      <c r="G426" s="44"/>
      <c r="H426" s="44"/>
      <c r="I426" s="44"/>
      <c r="J426" s="8"/>
      <c r="K426" s="8"/>
    </row>
    <row r="427" spans="1:11" x14ac:dyDescent="0.25">
      <c r="A427" s="44"/>
      <c r="B427" s="44"/>
      <c r="C427" s="44"/>
      <c r="D427" s="44"/>
      <c r="E427" s="44"/>
      <c r="F427" s="44"/>
      <c r="G427" s="44"/>
      <c r="H427" s="44"/>
      <c r="I427" s="44"/>
      <c r="J427" s="8"/>
      <c r="K427" s="8"/>
    </row>
    <row r="428" spans="1:11" x14ac:dyDescent="0.25">
      <c r="A428" s="44"/>
      <c r="B428" s="44"/>
      <c r="C428" s="44"/>
      <c r="D428" s="44"/>
      <c r="E428" s="44"/>
      <c r="F428" s="44"/>
      <c r="G428" s="44"/>
      <c r="H428" s="44"/>
      <c r="I428" s="44"/>
      <c r="J428" s="8"/>
      <c r="K428" s="8"/>
    </row>
    <row r="429" spans="1:11" x14ac:dyDescent="0.25">
      <c r="A429" s="44"/>
      <c r="B429" s="44"/>
      <c r="C429" s="44"/>
      <c r="D429" s="44"/>
      <c r="E429" s="44"/>
      <c r="F429" s="44"/>
      <c r="G429" s="44"/>
      <c r="H429" s="44"/>
      <c r="I429" s="44"/>
      <c r="J429" s="8"/>
      <c r="K429" s="8"/>
    </row>
    <row r="430" spans="1:11" x14ac:dyDescent="0.25">
      <c r="A430" s="44"/>
      <c r="B430" s="44"/>
      <c r="C430" s="44"/>
      <c r="D430" s="44"/>
      <c r="E430" s="44"/>
      <c r="F430" s="44"/>
      <c r="G430" s="44"/>
      <c r="H430" s="44"/>
      <c r="I430" s="44"/>
      <c r="J430" s="8"/>
      <c r="K430" s="8"/>
    </row>
    <row r="431" spans="1:11" x14ac:dyDescent="0.25">
      <c r="A431" s="44"/>
      <c r="B431" s="44"/>
      <c r="C431" s="44"/>
      <c r="D431" s="44"/>
      <c r="E431" s="44"/>
      <c r="F431" s="44"/>
      <c r="G431" s="44"/>
      <c r="H431" s="44"/>
      <c r="I431" s="44"/>
      <c r="J431" s="8"/>
      <c r="K431" s="8"/>
    </row>
    <row r="432" spans="1:11" x14ac:dyDescent="0.25">
      <c r="A432" s="44"/>
      <c r="B432" s="44"/>
      <c r="C432" s="44"/>
      <c r="D432" s="44"/>
      <c r="E432" s="44"/>
      <c r="F432" s="44"/>
      <c r="G432" s="44"/>
      <c r="H432" s="44"/>
      <c r="I432" s="44"/>
      <c r="J432" s="8"/>
      <c r="K432" s="8"/>
    </row>
    <row r="433" spans="1:11" x14ac:dyDescent="0.25">
      <c r="A433" s="44"/>
      <c r="B433" s="44"/>
      <c r="C433" s="44"/>
      <c r="D433" s="44"/>
      <c r="E433" s="44"/>
      <c r="F433" s="44"/>
      <c r="G433" s="44"/>
      <c r="H433" s="44"/>
      <c r="I433" s="44"/>
      <c r="J433" s="8"/>
      <c r="K433" s="8"/>
    </row>
    <row r="434" spans="1:11" x14ac:dyDescent="0.25">
      <c r="A434" s="44"/>
      <c r="B434" s="44"/>
      <c r="C434" s="44"/>
      <c r="D434" s="44"/>
      <c r="E434" s="44"/>
      <c r="F434" s="44"/>
      <c r="G434" s="44"/>
      <c r="H434" s="44"/>
      <c r="I434" s="44"/>
      <c r="J434" s="8"/>
      <c r="K434" s="8"/>
    </row>
    <row r="435" spans="1:11" x14ac:dyDescent="0.25">
      <c r="A435" s="44"/>
      <c r="B435" s="44"/>
      <c r="C435" s="44"/>
      <c r="D435" s="44"/>
      <c r="E435" s="44"/>
      <c r="F435" s="44"/>
      <c r="G435" s="44"/>
      <c r="H435" s="44"/>
      <c r="I435" s="44"/>
      <c r="J435" s="8"/>
      <c r="K435" s="8"/>
    </row>
    <row r="436" spans="1:11" x14ac:dyDescent="0.25">
      <c r="A436" s="44"/>
      <c r="B436" s="44"/>
      <c r="C436" s="44"/>
      <c r="D436" s="44"/>
      <c r="E436" s="44"/>
      <c r="F436" s="44"/>
      <c r="G436" s="44"/>
      <c r="H436" s="44"/>
      <c r="I436" s="44"/>
      <c r="J436" s="8"/>
      <c r="K436" s="8"/>
    </row>
    <row r="437" spans="1:11" x14ac:dyDescent="0.25">
      <c r="A437" s="44"/>
      <c r="B437" s="44"/>
      <c r="C437" s="44"/>
      <c r="D437" s="44"/>
      <c r="E437" s="44"/>
      <c r="F437" s="44"/>
      <c r="G437" s="44"/>
      <c r="H437" s="44"/>
      <c r="I437" s="44"/>
      <c r="J437" s="8"/>
      <c r="K437" s="8"/>
    </row>
    <row r="438" spans="1:11" x14ac:dyDescent="0.25">
      <c r="A438" s="44"/>
      <c r="B438" s="44"/>
      <c r="C438" s="44"/>
      <c r="D438" s="44"/>
      <c r="E438" s="44"/>
      <c r="F438" s="44"/>
      <c r="G438" s="44"/>
      <c r="H438" s="44"/>
      <c r="I438" s="44"/>
      <c r="J438" s="8"/>
      <c r="K438" s="8"/>
    </row>
    <row r="439" spans="1:11" x14ac:dyDescent="0.25">
      <c r="A439" s="44"/>
      <c r="B439" s="44"/>
      <c r="C439" s="44"/>
      <c r="D439" s="44"/>
      <c r="E439" s="44"/>
      <c r="F439" s="44"/>
      <c r="G439" s="44"/>
      <c r="H439" s="44"/>
      <c r="I439" s="44"/>
      <c r="J439" s="8"/>
      <c r="K439" s="8"/>
    </row>
    <row r="440" spans="1:11" x14ac:dyDescent="0.25">
      <c r="A440" s="44"/>
      <c r="B440" s="44"/>
      <c r="C440" s="44"/>
      <c r="D440" s="44"/>
      <c r="E440" s="44"/>
      <c r="F440" s="44"/>
      <c r="G440" s="44"/>
      <c r="H440" s="44"/>
      <c r="I440" s="44"/>
      <c r="J440" s="8"/>
      <c r="K440" s="8"/>
    </row>
    <row r="441" spans="1:11" x14ac:dyDescent="0.25">
      <c r="A441" s="44"/>
      <c r="B441" s="44"/>
      <c r="C441" s="44"/>
      <c r="D441" s="44"/>
      <c r="E441" s="44"/>
      <c r="F441" s="44"/>
      <c r="G441" s="44"/>
      <c r="H441" s="44"/>
      <c r="I441" s="44"/>
      <c r="J441" s="8"/>
      <c r="K441" s="8"/>
    </row>
    <row r="442" spans="1:11" x14ac:dyDescent="0.25">
      <c r="A442" s="44"/>
      <c r="B442" s="44"/>
      <c r="C442" s="44"/>
      <c r="D442" s="44"/>
      <c r="E442" s="44"/>
      <c r="F442" s="44"/>
      <c r="G442" s="44"/>
      <c r="H442" s="44"/>
      <c r="I442" s="44"/>
      <c r="J442" s="8"/>
      <c r="K442" s="8"/>
    </row>
    <row r="443" spans="1:11" x14ac:dyDescent="0.25">
      <c r="A443" s="44"/>
      <c r="B443" s="44"/>
      <c r="C443" s="44"/>
      <c r="D443" s="44"/>
      <c r="E443" s="44"/>
      <c r="F443" s="44"/>
      <c r="G443" s="44"/>
      <c r="H443" s="44"/>
      <c r="I443" s="44"/>
      <c r="J443" s="8"/>
      <c r="K443" s="8"/>
    </row>
    <row r="444" spans="1:11" x14ac:dyDescent="0.25">
      <c r="A444" s="44"/>
      <c r="B444" s="44"/>
      <c r="C444" s="44"/>
      <c r="D444" s="44"/>
      <c r="E444" s="44"/>
      <c r="F444" s="44"/>
      <c r="G444" s="44"/>
      <c r="H444" s="44"/>
      <c r="I444" s="44"/>
      <c r="J444" s="8"/>
      <c r="K444" s="8"/>
    </row>
    <row r="445" spans="1:11" x14ac:dyDescent="0.25">
      <c r="A445" s="44"/>
      <c r="B445" s="44"/>
      <c r="C445" s="44"/>
      <c r="D445" s="44"/>
      <c r="E445" s="44"/>
      <c r="F445" s="44"/>
      <c r="G445" s="44"/>
      <c r="H445" s="44"/>
      <c r="I445" s="44"/>
      <c r="J445" s="8"/>
      <c r="K445" s="8"/>
    </row>
    <row r="446" spans="1:11" x14ac:dyDescent="0.25">
      <c r="A446" s="44"/>
      <c r="B446" s="44"/>
      <c r="C446" s="44"/>
      <c r="D446" s="44"/>
      <c r="E446" s="44"/>
      <c r="F446" s="44"/>
      <c r="G446" s="44"/>
      <c r="H446" s="44"/>
      <c r="I446" s="44"/>
      <c r="J446" s="8"/>
      <c r="K446" s="8"/>
    </row>
    <row r="447" spans="1:11" x14ac:dyDescent="0.25">
      <c r="A447" s="44"/>
      <c r="B447" s="44"/>
      <c r="C447" s="44"/>
      <c r="D447" s="44"/>
      <c r="E447" s="44"/>
      <c r="F447" s="44"/>
      <c r="G447" s="44"/>
      <c r="H447" s="44"/>
      <c r="I447" s="44"/>
      <c r="J447" s="8"/>
      <c r="K447" s="8"/>
    </row>
    <row r="448" spans="1:11" x14ac:dyDescent="0.25">
      <c r="A448" s="44"/>
      <c r="B448" s="44"/>
      <c r="C448" s="44"/>
      <c r="D448" s="44"/>
      <c r="E448" s="44"/>
      <c r="F448" s="44"/>
      <c r="G448" s="44"/>
      <c r="H448" s="44"/>
      <c r="I448" s="44"/>
      <c r="J448" s="8"/>
      <c r="K448" s="8"/>
    </row>
    <row r="449" spans="1:11" x14ac:dyDescent="0.25">
      <c r="A449" s="44"/>
      <c r="B449" s="44"/>
      <c r="C449" s="44"/>
      <c r="D449" s="44"/>
      <c r="E449" s="44"/>
      <c r="F449" s="44"/>
      <c r="G449" s="44"/>
      <c r="H449" s="44"/>
      <c r="I449" s="44"/>
      <c r="J449" s="8"/>
      <c r="K449" s="8"/>
    </row>
    <row r="450" spans="1:11" x14ac:dyDescent="0.25">
      <c r="A450" s="44"/>
      <c r="B450" s="44"/>
      <c r="C450" s="44"/>
      <c r="D450" s="44"/>
      <c r="E450" s="44"/>
      <c r="F450" s="44"/>
      <c r="G450" s="44"/>
      <c r="H450" s="44"/>
      <c r="I450" s="44"/>
      <c r="J450" s="8"/>
      <c r="K450" s="8"/>
    </row>
    <row r="451" spans="1:11" x14ac:dyDescent="0.25">
      <c r="A451" s="44"/>
      <c r="B451" s="44"/>
      <c r="C451" s="44"/>
      <c r="D451" s="44"/>
      <c r="E451" s="44"/>
      <c r="F451" s="44"/>
      <c r="G451" s="44"/>
      <c r="H451" s="44"/>
      <c r="I451" s="44"/>
      <c r="J451" s="8"/>
      <c r="K451" s="8"/>
    </row>
    <row r="452" spans="1:11" x14ac:dyDescent="0.25">
      <c r="A452" s="44"/>
      <c r="B452" s="44"/>
      <c r="C452" s="44"/>
      <c r="D452" s="44"/>
      <c r="E452" s="44"/>
      <c r="F452" s="44"/>
      <c r="G452" s="44"/>
      <c r="H452" s="44"/>
      <c r="I452" s="44"/>
      <c r="J452" s="8"/>
      <c r="K452" s="8"/>
    </row>
    <row r="453" spans="1:11" x14ac:dyDescent="0.25">
      <c r="A453" s="44"/>
      <c r="B453" s="44"/>
      <c r="C453" s="44"/>
      <c r="D453" s="44"/>
      <c r="E453" s="44"/>
      <c r="F453" s="44"/>
      <c r="G453" s="44"/>
      <c r="H453" s="44"/>
      <c r="I453" s="44"/>
      <c r="J453" s="8"/>
      <c r="K453" s="8"/>
    </row>
    <row r="454" spans="1:11" x14ac:dyDescent="0.25">
      <c r="A454" s="44"/>
      <c r="B454" s="44"/>
      <c r="C454" s="44"/>
      <c r="D454" s="44"/>
      <c r="E454" s="44"/>
      <c r="F454" s="44"/>
      <c r="G454" s="44"/>
      <c r="H454" s="44"/>
      <c r="I454" s="44"/>
      <c r="J454" s="8"/>
      <c r="K454" s="8"/>
    </row>
    <row r="455" spans="1:11" x14ac:dyDescent="0.25">
      <c r="A455" s="44"/>
      <c r="B455" s="44"/>
      <c r="C455" s="44"/>
      <c r="D455" s="44"/>
      <c r="E455" s="44"/>
      <c r="F455" s="44"/>
      <c r="G455" s="44"/>
      <c r="H455" s="44"/>
      <c r="I455" s="44"/>
      <c r="J455" s="8"/>
      <c r="K455" s="8"/>
    </row>
    <row r="456" spans="1:11" x14ac:dyDescent="0.25">
      <c r="A456" s="44"/>
      <c r="B456" s="44"/>
      <c r="C456" s="44"/>
      <c r="D456" s="44"/>
      <c r="E456" s="44"/>
      <c r="F456" s="44"/>
      <c r="G456" s="44"/>
      <c r="H456" s="44"/>
      <c r="I456" s="44"/>
      <c r="J456" s="8"/>
      <c r="K456" s="8"/>
    </row>
    <row r="457" spans="1:11" x14ac:dyDescent="0.25">
      <c r="A457" s="44"/>
      <c r="B457" s="44"/>
      <c r="C457" s="44"/>
      <c r="D457" s="44"/>
      <c r="E457" s="44"/>
      <c r="F457" s="44"/>
      <c r="G457" s="44"/>
      <c r="H457" s="44"/>
      <c r="I457" s="44"/>
      <c r="J457" s="8"/>
      <c r="K457" s="8"/>
    </row>
    <row r="458" spans="1:11" x14ac:dyDescent="0.25">
      <c r="A458" s="44"/>
      <c r="B458" s="44"/>
      <c r="C458" s="44"/>
      <c r="D458" s="44"/>
      <c r="E458" s="44"/>
      <c r="F458" s="44"/>
      <c r="G458" s="44"/>
      <c r="H458" s="44"/>
      <c r="I458" s="44"/>
      <c r="J458" s="8"/>
      <c r="K458" s="8"/>
    </row>
    <row r="459" spans="1:11" x14ac:dyDescent="0.25">
      <c r="A459" s="44"/>
      <c r="B459" s="44"/>
      <c r="C459" s="44"/>
      <c r="D459" s="44"/>
      <c r="E459" s="44"/>
      <c r="F459" s="44"/>
      <c r="G459" s="44"/>
      <c r="H459" s="44"/>
      <c r="I459" s="44"/>
      <c r="J459" s="8"/>
      <c r="K459" s="8"/>
    </row>
    <row r="460" spans="1:11" x14ac:dyDescent="0.25">
      <c r="A460" s="44"/>
      <c r="B460" s="44"/>
      <c r="C460" s="44"/>
      <c r="D460" s="44"/>
      <c r="E460" s="44"/>
      <c r="F460" s="44"/>
      <c r="G460" s="44"/>
      <c r="H460" s="44"/>
      <c r="I460" s="44"/>
      <c r="J460" s="8"/>
      <c r="K460" s="8"/>
    </row>
    <row r="461" spans="1:11" x14ac:dyDescent="0.25">
      <c r="A461" s="44"/>
      <c r="B461" s="44"/>
      <c r="C461" s="44"/>
      <c r="D461" s="44"/>
      <c r="E461" s="44"/>
      <c r="F461" s="44"/>
      <c r="G461" s="44"/>
      <c r="H461" s="44"/>
      <c r="I461" s="44"/>
      <c r="J461" s="8"/>
      <c r="K461" s="8"/>
    </row>
    <row r="462" spans="1:11" x14ac:dyDescent="0.25">
      <c r="A462" s="44"/>
      <c r="B462" s="44"/>
      <c r="C462" s="44"/>
      <c r="D462" s="44"/>
      <c r="E462" s="44"/>
      <c r="F462" s="44"/>
      <c r="G462" s="44"/>
      <c r="H462" s="44"/>
      <c r="I462" s="44"/>
      <c r="J462" s="8"/>
      <c r="K462" s="8"/>
    </row>
    <row r="463" spans="1:11" x14ac:dyDescent="0.25">
      <c r="A463" s="44"/>
      <c r="B463" s="44"/>
      <c r="C463" s="44"/>
      <c r="D463" s="44"/>
      <c r="E463" s="44"/>
      <c r="F463" s="44"/>
      <c r="G463" s="44"/>
      <c r="H463" s="44"/>
      <c r="I463" s="44"/>
      <c r="J463" s="8"/>
      <c r="K463" s="8"/>
    </row>
    <row r="464" spans="1:11" x14ac:dyDescent="0.25">
      <c r="A464" s="44"/>
      <c r="B464" s="44"/>
      <c r="C464" s="44"/>
      <c r="D464" s="44"/>
      <c r="E464" s="44"/>
      <c r="F464" s="44"/>
      <c r="G464" s="44"/>
      <c r="H464" s="44"/>
      <c r="I464" s="44"/>
      <c r="J464" s="8"/>
      <c r="K464" s="8"/>
    </row>
    <row r="465" spans="1:11" x14ac:dyDescent="0.25">
      <c r="A465" s="44"/>
      <c r="B465" s="44"/>
      <c r="C465" s="44"/>
      <c r="D465" s="44"/>
      <c r="E465" s="44"/>
      <c r="F465" s="44"/>
      <c r="G465" s="44"/>
      <c r="H465" s="44"/>
      <c r="I465" s="44"/>
      <c r="J465" s="8"/>
      <c r="K465" s="8"/>
    </row>
    <row r="466" spans="1:11" x14ac:dyDescent="0.25">
      <c r="A466" s="44"/>
      <c r="B466" s="44"/>
      <c r="C466" s="44"/>
      <c r="D466" s="44"/>
      <c r="E466" s="44"/>
      <c r="F466" s="44"/>
      <c r="G466" s="44"/>
      <c r="H466" s="44"/>
      <c r="I466" s="44"/>
      <c r="J466" s="8"/>
      <c r="K466" s="8"/>
    </row>
    <row r="467" spans="1:11" x14ac:dyDescent="0.25">
      <c r="A467" s="44"/>
      <c r="B467" s="44"/>
      <c r="C467" s="44"/>
      <c r="D467" s="44"/>
      <c r="E467" s="44"/>
      <c r="F467" s="44"/>
      <c r="G467" s="44"/>
      <c r="H467" s="44"/>
      <c r="I467" s="44"/>
      <c r="J467" s="8"/>
      <c r="K467" s="8"/>
    </row>
    <row r="468" spans="1:11" x14ac:dyDescent="0.25">
      <c r="A468" s="44"/>
      <c r="B468" s="44"/>
      <c r="C468" s="44"/>
      <c r="D468" s="44"/>
      <c r="E468" s="44"/>
      <c r="F468" s="44"/>
      <c r="G468" s="44"/>
      <c r="H468" s="44"/>
      <c r="I468" s="44"/>
      <c r="J468" s="8"/>
      <c r="K468" s="8"/>
    </row>
    <row r="469" spans="1:11" x14ac:dyDescent="0.25">
      <c r="A469" s="44"/>
      <c r="B469" s="44"/>
      <c r="C469" s="44"/>
      <c r="D469" s="44"/>
      <c r="E469" s="44"/>
      <c r="F469" s="44"/>
      <c r="G469" s="44"/>
      <c r="H469" s="44"/>
      <c r="I469" s="44"/>
      <c r="J469" s="8"/>
      <c r="K469" s="8"/>
    </row>
    <row r="470" spans="1:11" x14ac:dyDescent="0.25">
      <c r="A470" s="44"/>
      <c r="B470" s="44"/>
      <c r="C470" s="44"/>
      <c r="D470" s="44"/>
      <c r="E470" s="44"/>
      <c r="F470" s="44"/>
      <c r="G470" s="44"/>
      <c r="H470" s="44"/>
      <c r="I470" s="44"/>
      <c r="J470" s="8"/>
      <c r="K470" s="8"/>
    </row>
    <row r="471" spans="1:11" x14ac:dyDescent="0.25">
      <c r="A471" s="44"/>
      <c r="B471" s="44"/>
      <c r="C471" s="44"/>
      <c r="D471" s="44"/>
      <c r="E471" s="44"/>
      <c r="F471" s="44"/>
      <c r="G471" s="44"/>
      <c r="H471" s="44"/>
      <c r="I471" s="44"/>
      <c r="J471" s="8"/>
      <c r="K471" s="8"/>
    </row>
    <row r="472" spans="1:11" x14ac:dyDescent="0.25">
      <c r="A472" s="44"/>
      <c r="B472" s="44"/>
      <c r="C472" s="44"/>
      <c r="D472" s="44"/>
      <c r="E472" s="44"/>
      <c r="F472" s="44"/>
      <c r="G472" s="44"/>
      <c r="H472" s="44"/>
      <c r="I472" s="44"/>
      <c r="J472" s="8"/>
      <c r="K472" s="8"/>
    </row>
    <row r="473" spans="1:11" x14ac:dyDescent="0.25">
      <c r="A473" s="44"/>
      <c r="B473" s="44"/>
      <c r="C473" s="44"/>
      <c r="D473" s="44"/>
      <c r="E473" s="44"/>
      <c r="F473" s="44"/>
      <c r="G473" s="44"/>
      <c r="H473" s="44"/>
      <c r="I473" s="44"/>
      <c r="J473" s="8"/>
      <c r="K473" s="8"/>
    </row>
    <row r="474" spans="1:11" x14ac:dyDescent="0.25">
      <c r="A474" s="44"/>
      <c r="B474" s="44"/>
      <c r="C474" s="44"/>
      <c r="D474" s="44"/>
      <c r="E474" s="44"/>
      <c r="F474" s="44"/>
      <c r="G474" s="44"/>
      <c r="H474" s="44"/>
      <c r="I474" s="44"/>
      <c r="J474" s="8"/>
      <c r="K474" s="8"/>
    </row>
    <row r="475" spans="1:11" x14ac:dyDescent="0.25">
      <c r="A475" s="44"/>
      <c r="B475" s="44"/>
      <c r="C475" s="44"/>
      <c r="D475" s="44"/>
      <c r="E475" s="44"/>
      <c r="F475" s="44"/>
      <c r="G475" s="44"/>
      <c r="H475" s="44"/>
      <c r="I475" s="44"/>
      <c r="J475" s="8"/>
      <c r="K475" s="8"/>
    </row>
    <row r="476" spans="1:11" x14ac:dyDescent="0.25">
      <c r="A476" s="44"/>
      <c r="B476" s="44"/>
      <c r="C476" s="44"/>
      <c r="D476" s="44"/>
      <c r="E476" s="44"/>
      <c r="F476" s="44"/>
      <c r="G476" s="44"/>
      <c r="H476" s="44"/>
      <c r="I476" s="44"/>
      <c r="J476" s="8"/>
      <c r="K476" s="8"/>
    </row>
    <row r="477" spans="1:11" x14ac:dyDescent="0.25">
      <c r="A477" s="44"/>
      <c r="B477" s="44"/>
      <c r="C477" s="44"/>
      <c r="D477" s="44"/>
      <c r="E477" s="44"/>
      <c r="F477" s="44"/>
      <c r="G477" s="44"/>
      <c r="H477" s="44"/>
      <c r="I477" s="44"/>
      <c r="J477" s="8"/>
      <c r="K477" s="8"/>
    </row>
    <row r="478" spans="1:11" x14ac:dyDescent="0.25">
      <c r="A478" s="44"/>
      <c r="B478" s="44"/>
      <c r="C478" s="44"/>
      <c r="D478" s="44"/>
      <c r="E478" s="44"/>
      <c r="F478" s="44"/>
      <c r="G478" s="44"/>
      <c r="H478" s="44"/>
      <c r="I478" s="44"/>
      <c r="J478" s="8"/>
      <c r="K478" s="8"/>
    </row>
    <row r="479" spans="1:11" x14ac:dyDescent="0.25">
      <c r="A479" s="44"/>
      <c r="B479" s="44"/>
      <c r="C479" s="44"/>
      <c r="D479" s="44"/>
      <c r="E479" s="44"/>
      <c r="F479" s="44"/>
      <c r="G479" s="44"/>
      <c r="H479" s="44"/>
      <c r="I479" s="44"/>
      <c r="J479" s="8"/>
      <c r="K479" s="8"/>
    </row>
    <row r="480" spans="1:11" x14ac:dyDescent="0.25">
      <c r="A480" s="44"/>
      <c r="B480" s="44"/>
      <c r="C480" s="44"/>
      <c r="D480" s="44"/>
      <c r="E480" s="44"/>
      <c r="F480" s="44"/>
      <c r="G480" s="44"/>
      <c r="H480" s="44"/>
      <c r="I480" s="44"/>
      <c r="J480" s="8"/>
      <c r="K480" s="8"/>
    </row>
    <row r="481" spans="1:11" x14ac:dyDescent="0.25">
      <c r="A481" s="44"/>
      <c r="B481" s="44"/>
      <c r="C481" s="44"/>
      <c r="D481" s="44"/>
      <c r="E481" s="44"/>
      <c r="F481" s="44"/>
      <c r="G481" s="44"/>
      <c r="H481" s="44"/>
      <c r="I481" s="44"/>
      <c r="J481" s="8"/>
      <c r="K481" s="8"/>
    </row>
    <row r="482" spans="1:11" x14ac:dyDescent="0.25">
      <c r="A482" s="44"/>
      <c r="B482" s="44"/>
      <c r="C482" s="44"/>
      <c r="D482" s="44"/>
      <c r="E482" s="44"/>
      <c r="F482" s="44"/>
      <c r="G482" s="44"/>
      <c r="H482" s="44"/>
      <c r="I482" s="44"/>
      <c r="J482" s="8"/>
      <c r="K482" s="8"/>
    </row>
    <row r="483" spans="1:11" x14ac:dyDescent="0.25">
      <c r="A483" s="44"/>
      <c r="B483" s="44"/>
      <c r="C483" s="44"/>
      <c r="D483" s="44"/>
      <c r="E483" s="44"/>
      <c r="F483" s="44"/>
      <c r="G483" s="44"/>
      <c r="H483" s="44"/>
      <c r="I483" s="44"/>
      <c r="J483" s="8"/>
      <c r="K483" s="8"/>
    </row>
    <row r="484" spans="1:11" x14ac:dyDescent="0.25">
      <c r="A484" s="44"/>
      <c r="B484" s="44"/>
      <c r="C484" s="44"/>
      <c r="D484" s="44"/>
      <c r="E484" s="44"/>
      <c r="F484" s="44"/>
      <c r="G484" s="44"/>
      <c r="H484" s="44"/>
      <c r="I484" s="44"/>
      <c r="J484" s="8"/>
      <c r="K484" s="8"/>
    </row>
    <row r="485" spans="1:11" x14ac:dyDescent="0.25">
      <c r="A485" s="44"/>
      <c r="B485" s="44"/>
      <c r="C485" s="44"/>
      <c r="D485" s="44"/>
      <c r="E485" s="44"/>
      <c r="F485" s="44"/>
      <c r="G485" s="44"/>
      <c r="H485" s="44"/>
      <c r="I485" s="44"/>
      <c r="J485" s="8"/>
      <c r="K485" s="8"/>
    </row>
    <row r="486" spans="1:11" x14ac:dyDescent="0.25">
      <c r="A486" s="44"/>
      <c r="B486" s="44"/>
      <c r="C486" s="44"/>
      <c r="D486" s="44"/>
      <c r="E486" s="44"/>
      <c r="F486" s="44"/>
      <c r="G486" s="44"/>
      <c r="H486" s="44"/>
      <c r="I486" s="44"/>
      <c r="J486" s="8"/>
      <c r="K486" s="8"/>
    </row>
    <row r="487" spans="1:11" x14ac:dyDescent="0.25">
      <c r="A487" s="44"/>
      <c r="B487" s="44"/>
      <c r="C487" s="44"/>
      <c r="D487" s="44"/>
      <c r="E487" s="44"/>
      <c r="F487" s="44"/>
      <c r="G487" s="44"/>
      <c r="H487" s="44"/>
      <c r="I487" s="44"/>
      <c r="J487" s="8"/>
      <c r="K487" s="8"/>
    </row>
    <row r="488" spans="1:11" x14ac:dyDescent="0.25">
      <c r="A488" s="44"/>
      <c r="B488" s="44"/>
      <c r="C488" s="44"/>
      <c r="D488" s="44"/>
      <c r="E488" s="44"/>
      <c r="F488" s="44"/>
      <c r="G488" s="44"/>
      <c r="H488" s="44"/>
      <c r="I488" s="44"/>
      <c r="J488" s="8"/>
      <c r="K488" s="8"/>
    </row>
    <row r="489" spans="1:11" x14ac:dyDescent="0.25">
      <c r="A489" s="44"/>
      <c r="B489" s="44"/>
      <c r="C489" s="44"/>
      <c r="D489" s="44"/>
      <c r="E489" s="44"/>
      <c r="F489" s="44"/>
      <c r="G489" s="44"/>
      <c r="H489" s="44"/>
      <c r="I489" s="44"/>
      <c r="J489" s="8"/>
      <c r="K489" s="8"/>
    </row>
    <row r="490" spans="1:11" x14ac:dyDescent="0.25">
      <c r="A490" s="44"/>
      <c r="B490" s="44"/>
      <c r="C490" s="44"/>
      <c r="D490" s="44"/>
      <c r="E490" s="44"/>
      <c r="F490" s="44"/>
      <c r="G490" s="44"/>
      <c r="H490" s="44"/>
      <c r="I490" s="44"/>
      <c r="J490" s="8"/>
      <c r="K490" s="8"/>
    </row>
    <row r="491" spans="1:11" x14ac:dyDescent="0.25">
      <c r="A491" s="44"/>
      <c r="B491" s="44"/>
      <c r="C491" s="44"/>
      <c r="D491" s="44"/>
      <c r="E491" s="44"/>
      <c r="F491" s="44"/>
      <c r="G491" s="44"/>
      <c r="H491" s="44"/>
      <c r="I491" s="44"/>
      <c r="J491" s="8"/>
      <c r="K491" s="8"/>
    </row>
    <row r="492" spans="1:11" x14ac:dyDescent="0.25">
      <c r="A492" s="44"/>
      <c r="B492" s="44"/>
      <c r="C492" s="44"/>
      <c r="D492" s="44"/>
      <c r="E492" s="44"/>
      <c r="F492" s="44"/>
      <c r="G492" s="44"/>
      <c r="H492" s="44"/>
      <c r="I492" s="44"/>
      <c r="J492" s="8"/>
      <c r="K492" s="8"/>
    </row>
    <row r="493" spans="1:11" x14ac:dyDescent="0.25">
      <c r="A493" s="44"/>
      <c r="B493" s="44"/>
      <c r="C493" s="44"/>
      <c r="D493" s="44"/>
      <c r="E493" s="44"/>
      <c r="F493" s="44"/>
      <c r="G493" s="44"/>
      <c r="H493" s="44"/>
      <c r="I493" s="44"/>
      <c r="J493" s="8"/>
      <c r="K493" s="8"/>
    </row>
    <row r="494" spans="1:11" x14ac:dyDescent="0.25">
      <c r="A494" s="44"/>
      <c r="B494" s="44"/>
      <c r="C494" s="44"/>
      <c r="D494" s="44"/>
      <c r="E494" s="44"/>
      <c r="F494" s="44"/>
      <c r="G494" s="44"/>
      <c r="H494" s="44"/>
      <c r="I494" s="44"/>
      <c r="J494" s="8"/>
      <c r="K494" s="8"/>
    </row>
    <row r="495" spans="1:11" x14ac:dyDescent="0.25">
      <c r="A495" s="44"/>
      <c r="B495" s="44"/>
      <c r="C495" s="44"/>
      <c r="D495" s="44"/>
      <c r="E495" s="44"/>
      <c r="F495" s="44"/>
      <c r="G495" s="44"/>
      <c r="H495" s="44"/>
      <c r="I495" s="44"/>
      <c r="J495" s="8"/>
      <c r="K495" s="8"/>
    </row>
    <row r="496" spans="1:11" x14ac:dyDescent="0.25">
      <c r="A496" s="44"/>
      <c r="B496" s="44"/>
      <c r="C496" s="44"/>
      <c r="D496" s="44"/>
      <c r="E496" s="44"/>
      <c r="F496" s="44"/>
      <c r="G496" s="44"/>
      <c r="H496" s="44"/>
      <c r="I496" s="44"/>
      <c r="J496" s="8"/>
      <c r="K496" s="8"/>
    </row>
    <row r="497" spans="1:11" x14ac:dyDescent="0.25">
      <c r="A497" s="44"/>
      <c r="B497" s="44"/>
      <c r="C497" s="44"/>
      <c r="D497" s="44"/>
      <c r="E497" s="44"/>
      <c r="F497" s="44"/>
      <c r="G497" s="44"/>
      <c r="H497" s="44"/>
      <c r="I497" s="44"/>
      <c r="J497" s="8"/>
      <c r="K497" s="8"/>
    </row>
    <row r="498" spans="1:11" x14ac:dyDescent="0.25">
      <c r="A498" s="44"/>
      <c r="B498" s="44"/>
      <c r="C498" s="44"/>
      <c r="D498" s="44"/>
      <c r="E498" s="44"/>
      <c r="F498" s="44"/>
      <c r="G498" s="44"/>
      <c r="H498" s="44"/>
      <c r="I498" s="44"/>
      <c r="J498" s="8"/>
      <c r="K498" s="8"/>
    </row>
    <row r="499" spans="1:11" x14ac:dyDescent="0.25">
      <c r="A499" s="44"/>
      <c r="B499" s="44"/>
      <c r="C499" s="44"/>
      <c r="D499" s="44"/>
      <c r="E499" s="44"/>
      <c r="F499" s="44"/>
      <c r="G499" s="44"/>
      <c r="H499" s="44"/>
      <c r="I499" s="44"/>
      <c r="J499" s="8"/>
      <c r="K499" s="8"/>
    </row>
    <row r="500" spans="1:11" x14ac:dyDescent="0.25">
      <c r="A500" s="44"/>
      <c r="B500" s="44"/>
      <c r="C500" s="44"/>
      <c r="D500" s="44"/>
      <c r="E500" s="44"/>
      <c r="F500" s="44"/>
      <c r="G500" s="44"/>
      <c r="H500" s="44"/>
      <c r="I500" s="44"/>
      <c r="J500" s="8"/>
      <c r="K500" s="8"/>
    </row>
    <row r="501" spans="1:11" x14ac:dyDescent="0.25">
      <c r="A501" s="44"/>
      <c r="B501" s="44"/>
      <c r="C501" s="44"/>
      <c r="D501" s="44"/>
      <c r="E501" s="44"/>
      <c r="F501" s="44"/>
      <c r="G501" s="44"/>
      <c r="H501" s="44"/>
      <c r="I501" s="44"/>
      <c r="J501" s="8"/>
      <c r="K501" s="8"/>
    </row>
    <row r="502" spans="1:11" x14ac:dyDescent="0.25">
      <c r="A502" s="44"/>
      <c r="B502" s="44"/>
      <c r="C502" s="44"/>
      <c r="D502" s="44"/>
      <c r="E502" s="44"/>
      <c r="F502" s="44"/>
      <c r="G502" s="44"/>
      <c r="H502" s="44"/>
      <c r="I502" s="44"/>
      <c r="J502" s="8"/>
      <c r="K502" s="8"/>
    </row>
    <row r="503" spans="1:11" x14ac:dyDescent="0.25">
      <c r="A503" s="44"/>
      <c r="B503" s="44"/>
      <c r="C503" s="44"/>
      <c r="D503" s="44"/>
      <c r="E503" s="44"/>
      <c r="F503" s="44"/>
      <c r="G503" s="44"/>
      <c r="H503" s="44"/>
      <c r="I503" s="44"/>
      <c r="J503" s="8"/>
      <c r="K503" s="8"/>
    </row>
    <row r="504" spans="1:11" x14ac:dyDescent="0.25">
      <c r="A504" s="44"/>
      <c r="B504" s="44"/>
      <c r="C504" s="44"/>
      <c r="D504" s="44"/>
      <c r="E504" s="44"/>
      <c r="F504" s="44"/>
      <c r="G504" s="44"/>
      <c r="H504" s="44"/>
      <c r="I504" s="44"/>
      <c r="J504" s="8"/>
      <c r="K504" s="8"/>
    </row>
    <row r="505" spans="1:11" x14ac:dyDescent="0.25">
      <c r="A505" s="44"/>
      <c r="B505" s="44"/>
      <c r="C505" s="44"/>
      <c r="D505" s="44"/>
      <c r="E505" s="44"/>
      <c r="F505" s="44"/>
      <c r="G505" s="44"/>
      <c r="H505" s="44"/>
      <c r="I505" s="44"/>
      <c r="J505" s="8"/>
      <c r="K505" s="8"/>
    </row>
    <row r="506" spans="1:11" x14ac:dyDescent="0.25">
      <c r="A506" s="44"/>
      <c r="B506" s="44"/>
      <c r="C506" s="44"/>
      <c r="D506" s="44"/>
      <c r="E506" s="44"/>
      <c r="F506" s="44"/>
      <c r="G506" s="44"/>
      <c r="H506" s="44"/>
      <c r="I506" s="44"/>
      <c r="J506" s="8"/>
      <c r="K506" s="8"/>
    </row>
    <row r="507" spans="1:11" x14ac:dyDescent="0.25">
      <c r="A507" s="44"/>
      <c r="B507" s="44"/>
      <c r="C507" s="44"/>
      <c r="D507" s="44"/>
      <c r="E507" s="44"/>
      <c r="F507" s="44"/>
      <c r="G507" s="44"/>
      <c r="H507" s="44"/>
      <c r="I507" s="44"/>
      <c r="J507" s="8"/>
      <c r="K507" s="8"/>
    </row>
    <row r="508" spans="1:11" x14ac:dyDescent="0.25">
      <c r="A508" s="44"/>
      <c r="B508" s="44"/>
      <c r="C508" s="44"/>
      <c r="D508" s="44"/>
      <c r="E508" s="44"/>
      <c r="F508" s="44"/>
      <c r="G508" s="44"/>
      <c r="H508" s="44"/>
      <c r="I508" s="44"/>
      <c r="J508" s="8"/>
      <c r="K508" s="8"/>
    </row>
    <row r="509" spans="1:11" x14ac:dyDescent="0.25">
      <c r="A509" s="44"/>
      <c r="B509" s="44"/>
      <c r="C509" s="44"/>
      <c r="D509" s="44"/>
      <c r="E509" s="44"/>
      <c r="F509" s="44"/>
      <c r="G509" s="44"/>
      <c r="H509" s="44"/>
      <c r="I509" s="44"/>
      <c r="J509" s="8"/>
      <c r="K509" s="8"/>
    </row>
    <row r="510" spans="1:11" x14ac:dyDescent="0.25">
      <c r="A510" s="44"/>
      <c r="B510" s="44"/>
      <c r="C510" s="44"/>
      <c r="D510" s="44"/>
      <c r="E510" s="44"/>
      <c r="F510" s="44"/>
      <c r="G510" s="44"/>
      <c r="H510" s="44"/>
      <c r="I510" s="44"/>
      <c r="J510" s="8"/>
      <c r="K510" s="8"/>
    </row>
    <row r="511" spans="1:11" x14ac:dyDescent="0.25">
      <c r="A511" s="44"/>
      <c r="B511" s="44"/>
      <c r="C511" s="44"/>
      <c r="D511" s="44"/>
      <c r="E511" s="44"/>
      <c r="F511" s="44"/>
      <c r="G511" s="44"/>
      <c r="H511" s="44"/>
      <c r="I511" s="44"/>
      <c r="J511" s="8"/>
      <c r="K511" s="8"/>
    </row>
    <row r="512" spans="1:11" x14ac:dyDescent="0.25">
      <c r="A512" s="44"/>
      <c r="B512" s="44"/>
      <c r="C512" s="44"/>
      <c r="D512" s="44"/>
      <c r="E512" s="44"/>
      <c r="F512" s="44"/>
      <c r="G512" s="44"/>
      <c r="H512" s="44"/>
      <c r="I512" s="44"/>
      <c r="J512" s="8"/>
      <c r="K512" s="8"/>
    </row>
    <row r="513" spans="1:11" x14ac:dyDescent="0.25">
      <c r="A513" s="44"/>
      <c r="B513" s="44"/>
      <c r="C513" s="44"/>
      <c r="D513" s="44"/>
      <c r="E513" s="44"/>
      <c r="F513" s="44"/>
      <c r="G513" s="44"/>
      <c r="H513" s="44"/>
      <c r="I513" s="44"/>
      <c r="J513" s="8"/>
      <c r="K513" s="8"/>
    </row>
    <row r="514" spans="1:11" x14ac:dyDescent="0.25">
      <c r="A514" s="44"/>
      <c r="B514" s="44"/>
      <c r="C514" s="44"/>
      <c r="D514" s="44"/>
      <c r="E514" s="44"/>
      <c r="F514" s="44"/>
      <c r="G514" s="44"/>
      <c r="H514" s="44"/>
      <c r="I514" s="44"/>
      <c r="J514" s="8"/>
      <c r="K514" s="8"/>
    </row>
    <row r="515" spans="1:11" x14ac:dyDescent="0.25">
      <c r="A515" s="44"/>
      <c r="B515" s="44"/>
      <c r="C515" s="44"/>
      <c r="D515" s="44"/>
      <c r="E515" s="44"/>
      <c r="F515" s="44"/>
      <c r="G515" s="44"/>
      <c r="H515" s="44"/>
      <c r="I515" s="44"/>
      <c r="J515" s="8"/>
      <c r="K515" s="8"/>
    </row>
    <row r="516" spans="1:11" x14ac:dyDescent="0.25">
      <c r="A516" s="44"/>
      <c r="B516" s="44"/>
      <c r="C516" s="44"/>
      <c r="D516" s="44"/>
      <c r="E516" s="44"/>
      <c r="F516" s="44"/>
      <c r="G516" s="44"/>
      <c r="H516" s="44"/>
      <c r="I516" s="44"/>
      <c r="J516" s="8"/>
      <c r="K516" s="8"/>
    </row>
    <row r="517" spans="1:11" x14ac:dyDescent="0.25">
      <c r="A517" s="44"/>
      <c r="B517" s="44"/>
      <c r="C517" s="44"/>
      <c r="D517" s="44"/>
      <c r="E517" s="44"/>
      <c r="F517" s="44"/>
      <c r="G517" s="44"/>
      <c r="H517" s="44"/>
      <c r="I517" s="44"/>
      <c r="J517" s="8"/>
      <c r="K517" s="8"/>
    </row>
    <row r="518" spans="1:11" x14ac:dyDescent="0.25">
      <c r="A518" s="44"/>
      <c r="B518" s="44"/>
      <c r="C518" s="44"/>
      <c r="D518" s="44"/>
      <c r="E518" s="44"/>
      <c r="F518" s="44"/>
      <c r="G518" s="44"/>
      <c r="H518" s="44"/>
      <c r="I518" s="44"/>
      <c r="J518" s="8"/>
      <c r="K518" s="8"/>
    </row>
    <row r="519" spans="1:11" x14ac:dyDescent="0.25">
      <c r="A519" s="44"/>
      <c r="B519" s="44"/>
      <c r="C519" s="44"/>
      <c r="D519" s="44"/>
      <c r="E519" s="44"/>
      <c r="F519" s="44"/>
      <c r="G519" s="44"/>
      <c r="H519" s="44"/>
      <c r="I519" s="44"/>
      <c r="J519" s="8"/>
      <c r="K519" s="8"/>
    </row>
    <row r="520" spans="1:11" x14ac:dyDescent="0.25">
      <c r="A520" s="44"/>
      <c r="B520" s="44"/>
      <c r="C520" s="44"/>
      <c r="D520" s="44"/>
      <c r="E520" s="44"/>
      <c r="F520" s="44"/>
      <c r="G520" s="44"/>
      <c r="H520" s="44"/>
      <c r="I520" s="44"/>
      <c r="J520" s="8"/>
      <c r="K520" s="8"/>
    </row>
    <row r="521" spans="1:11" x14ac:dyDescent="0.25">
      <c r="A521" s="44"/>
      <c r="B521" s="44"/>
      <c r="C521" s="44"/>
      <c r="D521" s="44"/>
      <c r="E521" s="44"/>
      <c r="F521" s="44"/>
      <c r="G521" s="44"/>
      <c r="H521" s="44"/>
      <c r="I521" s="44"/>
      <c r="J521" s="8"/>
      <c r="K521" s="8"/>
    </row>
    <row r="522" spans="1:11" x14ac:dyDescent="0.25">
      <c r="A522" s="44"/>
      <c r="B522" s="44"/>
      <c r="C522" s="44"/>
      <c r="D522" s="44"/>
      <c r="E522" s="44"/>
      <c r="F522" s="44"/>
      <c r="G522" s="44"/>
      <c r="H522" s="44"/>
      <c r="I522" s="44"/>
      <c r="J522" s="8"/>
      <c r="K522" s="8"/>
    </row>
    <row r="523" spans="1:11" x14ac:dyDescent="0.25">
      <c r="A523" s="44"/>
      <c r="B523" s="44"/>
      <c r="C523" s="44"/>
      <c r="D523" s="44"/>
      <c r="E523" s="44"/>
      <c r="F523" s="44"/>
      <c r="G523" s="44"/>
      <c r="H523" s="44"/>
      <c r="I523" s="44"/>
      <c r="J523" s="8"/>
      <c r="K523" s="8"/>
    </row>
    <row r="524" spans="1:11" x14ac:dyDescent="0.25">
      <c r="A524" s="44"/>
      <c r="B524" s="44"/>
      <c r="C524" s="44"/>
      <c r="D524" s="44"/>
      <c r="E524" s="44"/>
      <c r="F524" s="44"/>
      <c r="G524" s="44"/>
      <c r="H524" s="44"/>
      <c r="I524" s="44"/>
      <c r="J524" s="8"/>
      <c r="K524" s="8"/>
    </row>
    <row r="525" spans="1:11" x14ac:dyDescent="0.25">
      <c r="A525" s="44"/>
      <c r="B525" s="44"/>
      <c r="C525" s="44"/>
      <c r="D525" s="44"/>
      <c r="E525" s="44"/>
      <c r="F525" s="44"/>
      <c r="G525" s="44"/>
      <c r="H525" s="44"/>
      <c r="I525" s="44"/>
      <c r="J525" s="8"/>
      <c r="K525" s="8"/>
    </row>
    <row r="526" spans="1:11" x14ac:dyDescent="0.25">
      <c r="A526" s="44"/>
      <c r="B526" s="44"/>
      <c r="C526" s="44"/>
      <c r="D526" s="44"/>
      <c r="E526" s="44"/>
      <c r="F526" s="44"/>
      <c r="G526" s="44"/>
      <c r="H526" s="44"/>
      <c r="I526" s="44"/>
      <c r="J526" s="8"/>
      <c r="K526" s="8"/>
    </row>
    <row r="527" spans="1:11" x14ac:dyDescent="0.25">
      <c r="A527" s="44"/>
      <c r="B527" s="44"/>
      <c r="C527" s="44"/>
      <c r="D527" s="44"/>
      <c r="E527" s="44"/>
      <c r="F527" s="44"/>
      <c r="G527" s="44"/>
      <c r="H527" s="44"/>
      <c r="I527" s="44"/>
      <c r="J527" s="8"/>
      <c r="K527" s="8"/>
    </row>
    <row r="528" spans="1:11" x14ac:dyDescent="0.25">
      <c r="A528" s="44"/>
      <c r="B528" s="44"/>
      <c r="C528" s="44"/>
      <c r="D528" s="44"/>
      <c r="E528" s="44"/>
      <c r="F528" s="44"/>
      <c r="G528" s="44"/>
      <c r="H528" s="44"/>
      <c r="I528" s="44"/>
      <c r="J528" s="8"/>
      <c r="K528" s="8"/>
    </row>
    <row r="529" spans="1:11" x14ac:dyDescent="0.25">
      <c r="A529" s="44"/>
      <c r="B529" s="44"/>
      <c r="C529" s="44"/>
      <c r="D529" s="44"/>
      <c r="E529" s="44"/>
      <c r="F529" s="44"/>
      <c r="G529" s="44"/>
      <c r="H529" s="44"/>
      <c r="I529" s="44"/>
      <c r="J529" s="8"/>
      <c r="K529" s="8"/>
    </row>
    <row r="530" spans="1:11" x14ac:dyDescent="0.25">
      <c r="A530" s="44"/>
      <c r="B530" s="44"/>
      <c r="C530" s="44"/>
      <c r="D530" s="44"/>
      <c r="E530" s="44"/>
      <c r="F530" s="44"/>
      <c r="G530" s="44"/>
      <c r="H530" s="44"/>
      <c r="I530" s="44"/>
      <c r="J530" s="8"/>
      <c r="K530" s="8"/>
    </row>
    <row r="531" spans="1:11" x14ac:dyDescent="0.25">
      <c r="A531" s="44"/>
      <c r="B531" s="44"/>
      <c r="C531" s="44"/>
      <c r="D531" s="44"/>
      <c r="E531" s="44"/>
      <c r="F531" s="44"/>
      <c r="G531" s="44"/>
      <c r="H531" s="44"/>
      <c r="I531" s="44"/>
      <c r="J531" s="8"/>
      <c r="K531" s="8"/>
    </row>
    <row r="532" spans="1:11" x14ac:dyDescent="0.25">
      <c r="A532" s="44"/>
      <c r="B532" s="44"/>
      <c r="C532" s="44"/>
      <c r="D532" s="44"/>
      <c r="E532" s="44"/>
      <c r="F532" s="44"/>
      <c r="G532" s="44"/>
      <c r="H532" s="44"/>
      <c r="I532" s="44"/>
      <c r="J532" s="8"/>
      <c r="K532" s="8"/>
    </row>
    <row r="533" spans="1:11" x14ac:dyDescent="0.25">
      <c r="A533" s="44"/>
      <c r="B533" s="44"/>
      <c r="C533" s="44"/>
      <c r="D533" s="44"/>
      <c r="E533" s="44"/>
      <c r="F533" s="44"/>
      <c r="G533" s="44"/>
      <c r="H533" s="44"/>
      <c r="I533" s="44"/>
      <c r="J533" s="8"/>
      <c r="K533" s="8"/>
    </row>
    <row r="534" spans="1:11" x14ac:dyDescent="0.25">
      <c r="A534" s="44"/>
      <c r="B534" s="44"/>
      <c r="C534" s="44"/>
      <c r="D534" s="44"/>
      <c r="E534" s="44"/>
      <c r="F534" s="44"/>
      <c r="G534" s="44"/>
      <c r="H534" s="44"/>
      <c r="I534" s="44"/>
      <c r="J534" s="8"/>
      <c r="K534" s="8"/>
    </row>
    <row r="535" spans="1:11" x14ac:dyDescent="0.25">
      <c r="A535" s="44"/>
      <c r="B535" s="44"/>
      <c r="C535" s="44"/>
      <c r="D535" s="44"/>
      <c r="E535" s="44"/>
      <c r="F535" s="44"/>
      <c r="G535" s="44"/>
      <c r="H535" s="44"/>
      <c r="I535" s="44"/>
      <c r="J535" s="8"/>
      <c r="K535" s="8"/>
    </row>
    <row r="536" spans="1:11" x14ac:dyDescent="0.25">
      <c r="A536" s="44"/>
      <c r="B536" s="44"/>
      <c r="C536" s="44"/>
      <c r="D536" s="44"/>
      <c r="E536" s="44"/>
      <c r="F536" s="44"/>
      <c r="G536" s="44"/>
      <c r="H536" s="44"/>
      <c r="I536" s="44"/>
      <c r="J536" s="8"/>
      <c r="K536" s="8"/>
    </row>
    <row r="537" spans="1:11" x14ac:dyDescent="0.25">
      <c r="A537" s="44"/>
      <c r="B537" s="44"/>
      <c r="C537" s="44"/>
      <c r="D537" s="44"/>
      <c r="E537" s="44"/>
      <c r="F537" s="44"/>
      <c r="G537" s="44"/>
      <c r="H537" s="44"/>
      <c r="I537" s="44"/>
      <c r="J537" s="8"/>
      <c r="K537" s="8"/>
    </row>
    <row r="538" spans="1:11" x14ac:dyDescent="0.25">
      <c r="A538" s="44"/>
      <c r="B538" s="44"/>
      <c r="C538" s="44"/>
      <c r="D538" s="44"/>
      <c r="E538" s="44"/>
      <c r="F538" s="44"/>
      <c r="G538" s="44"/>
      <c r="H538" s="44"/>
      <c r="I538" s="44"/>
      <c r="J538" s="8"/>
      <c r="K538" s="8"/>
    </row>
    <row r="539" spans="1:11" x14ac:dyDescent="0.25">
      <c r="A539" s="44"/>
      <c r="B539" s="44"/>
      <c r="C539" s="44"/>
      <c r="D539" s="44"/>
      <c r="E539" s="44"/>
      <c r="F539" s="44"/>
      <c r="G539" s="44"/>
      <c r="H539" s="44"/>
      <c r="I539" s="44"/>
      <c r="J539" s="8"/>
      <c r="K539" s="8"/>
    </row>
    <row r="540" spans="1:11" x14ac:dyDescent="0.25">
      <c r="A540" s="44"/>
      <c r="B540" s="44"/>
      <c r="C540" s="44"/>
      <c r="D540" s="44"/>
      <c r="E540" s="44"/>
      <c r="F540" s="44"/>
      <c r="G540" s="44"/>
      <c r="H540" s="44"/>
      <c r="I540" s="44"/>
      <c r="J540" s="8"/>
      <c r="K540" s="8"/>
    </row>
    <row r="541" spans="1:11" x14ac:dyDescent="0.25">
      <c r="A541" s="44"/>
      <c r="B541" s="44"/>
      <c r="C541" s="44"/>
      <c r="D541" s="44"/>
      <c r="E541" s="44"/>
      <c r="F541" s="44"/>
      <c r="G541" s="44"/>
      <c r="H541" s="44"/>
      <c r="I541" s="44"/>
      <c r="J541" s="8"/>
      <c r="K541" s="8"/>
    </row>
    <row r="542" spans="1:11" x14ac:dyDescent="0.25">
      <c r="A542" s="44"/>
      <c r="B542" s="44"/>
      <c r="C542" s="44"/>
      <c r="D542" s="44"/>
      <c r="E542" s="44"/>
      <c r="F542" s="44"/>
      <c r="G542" s="44"/>
      <c r="H542" s="44"/>
      <c r="I542" s="44"/>
      <c r="J542" s="8"/>
      <c r="K542" s="8"/>
    </row>
    <row r="543" spans="1:11" x14ac:dyDescent="0.25">
      <c r="A543" s="44"/>
      <c r="B543" s="44"/>
      <c r="C543" s="44"/>
      <c r="D543" s="44"/>
      <c r="E543" s="44"/>
      <c r="F543" s="44"/>
      <c r="G543" s="44"/>
      <c r="H543" s="44"/>
      <c r="I543" s="44"/>
      <c r="J543" s="8"/>
      <c r="K543" s="8"/>
    </row>
    <row r="544" spans="1:11" x14ac:dyDescent="0.25">
      <c r="A544" s="44"/>
      <c r="B544" s="44"/>
      <c r="C544" s="44"/>
      <c r="D544" s="44"/>
      <c r="E544" s="44"/>
      <c r="F544" s="44"/>
      <c r="G544" s="44"/>
      <c r="H544" s="44"/>
      <c r="I544" s="44"/>
      <c r="J544" s="8"/>
      <c r="K544" s="8"/>
    </row>
    <row r="545" spans="1:11" x14ac:dyDescent="0.25">
      <c r="A545" s="44"/>
      <c r="B545" s="44"/>
      <c r="C545" s="44"/>
      <c r="D545" s="44"/>
      <c r="E545" s="44"/>
      <c r="F545" s="44"/>
      <c r="G545" s="44"/>
      <c r="H545" s="44"/>
      <c r="I545" s="44"/>
      <c r="J545" s="8"/>
      <c r="K545" s="8"/>
    </row>
    <row r="546" spans="1:11" x14ac:dyDescent="0.25">
      <c r="A546" s="44"/>
      <c r="B546" s="44"/>
      <c r="C546" s="44"/>
      <c r="D546" s="44"/>
      <c r="E546" s="44"/>
      <c r="F546" s="44"/>
      <c r="G546" s="44"/>
      <c r="H546" s="44"/>
      <c r="I546" s="44"/>
      <c r="J546" s="8"/>
      <c r="K546" s="8"/>
    </row>
    <row r="547" spans="1:11" x14ac:dyDescent="0.25">
      <c r="A547" s="44"/>
      <c r="B547" s="44"/>
      <c r="C547" s="44"/>
      <c r="D547" s="44"/>
      <c r="E547" s="44"/>
      <c r="F547" s="44"/>
      <c r="G547" s="44"/>
      <c r="H547" s="44"/>
      <c r="I547" s="44"/>
      <c r="J547" s="8"/>
      <c r="K547" s="8"/>
    </row>
    <row r="548" spans="1:11" x14ac:dyDescent="0.25">
      <c r="A548" s="44"/>
      <c r="B548" s="44"/>
      <c r="C548" s="44"/>
      <c r="D548" s="44"/>
      <c r="E548" s="44"/>
      <c r="F548" s="44"/>
      <c r="G548" s="44"/>
      <c r="H548" s="44"/>
      <c r="I548" s="44"/>
      <c r="J548" s="8"/>
      <c r="K548" s="8"/>
    </row>
    <row r="549" spans="1:11" x14ac:dyDescent="0.25">
      <c r="A549" s="44"/>
      <c r="B549" s="44"/>
      <c r="C549" s="44"/>
      <c r="D549" s="44"/>
      <c r="E549" s="44"/>
      <c r="F549" s="44"/>
      <c r="G549" s="44"/>
      <c r="H549" s="44"/>
      <c r="I549" s="44"/>
      <c r="J549" s="8"/>
      <c r="K549" s="8"/>
    </row>
    <row r="550" spans="1:11" x14ac:dyDescent="0.25">
      <c r="A550" s="44"/>
      <c r="B550" s="44"/>
      <c r="C550" s="44"/>
      <c r="D550" s="44"/>
      <c r="E550" s="44"/>
      <c r="F550" s="44"/>
      <c r="G550" s="44"/>
      <c r="H550" s="44"/>
      <c r="I550" s="44"/>
      <c r="J550" s="8"/>
      <c r="K550" s="8"/>
    </row>
    <row r="551" spans="1:11" x14ac:dyDescent="0.25">
      <c r="A551" s="44"/>
      <c r="B551" s="44"/>
      <c r="C551" s="44"/>
      <c r="D551" s="44"/>
      <c r="E551" s="44"/>
      <c r="F551" s="44"/>
      <c r="G551" s="44"/>
      <c r="H551" s="44"/>
      <c r="I551" s="44"/>
      <c r="J551" s="8"/>
      <c r="K551" s="8"/>
    </row>
    <row r="552" spans="1:11" x14ac:dyDescent="0.25">
      <c r="A552" s="44"/>
      <c r="B552" s="44"/>
      <c r="C552" s="44"/>
      <c r="D552" s="44"/>
      <c r="E552" s="44"/>
      <c r="F552" s="44"/>
      <c r="G552" s="44"/>
      <c r="H552" s="44"/>
      <c r="I552" s="44"/>
      <c r="J552" s="8"/>
      <c r="K552" s="8"/>
    </row>
    <row r="553" spans="1:11" x14ac:dyDescent="0.25">
      <c r="A553" s="44"/>
      <c r="B553" s="44"/>
      <c r="C553" s="44"/>
      <c r="D553" s="44"/>
      <c r="E553" s="44"/>
      <c r="F553" s="44"/>
      <c r="G553" s="44"/>
      <c r="H553" s="44"/>
      <c r="I553" s="44"/>
      <c r="J553" s="8"/>
      <c r="K553" s="8"/>
    </row>
    <row r="554" spans="1:11" x14ac:dyDescent="0.25">
      <c r="A554" s="44"/>
      <c r="B554" s="44"/>
      <c r="C554" s="44"/>
      <c r="D554" s="44"/>
      <c r="E554" s="44"/>
      <c r="F554" s="44"/>
      <c r="G554" s="44"/>
      <c r="H554" s="44"/>
      <c r="I554" s="44"/>
      <c r="J554" s="8"/>
      <c r="K554" s="8"/>
    </row>
    <row r="555" spans="1:11" x14ac:dyDescent="0.25">
      <c r="A555" s="44"/>
      <c r="B555" s="44"/>
      <c r="C555" s="44"/>
      <c r="D555" s="44"/>
      <c r="E555" s="44"/>
      <c r="F555" s="44"/>
      <c r="G555" s="44"/>
      <c r="H555" s="44"/>
      <c r="I555" s="44"/>
      <c r="J555" s="8"/>
      <c r="K555" s="8"/>
    </row>
    <row r="556" spans="1:11" x14ac:dyDescent="0.25">
      <c r="A556" s="44"/>
      <c r="B556" s="44"/>
      <c r="C556" s="44"/>
      <c r="D556" s="44"/>
      <c r="E556" s="44"/>
      <c r="F556" s="44"/>
      <c r="G556" s="44"/>
      <c r="H556" s="44"/>
      <c r="I556" s="44"/>
      <c r="J556" s="8"/>
      <c r="K556" s="8"/>
    </row>
    <row r="557" spans="1:11" x14ac:dyDescent="0.25">
      <c r="A557" s="44"/>
      <c r="B557" s="44"/>
      <c r="C557" s="44"/>
      <c r="D557" s="44"/>
      <c r="E557" s="44"/>
      <c r="F557" s="44"/>
      <c r="G557" s="44"/>
      <c r="H557" s="44"/>
      <c r="I557" s="44"/>
      <c r="J557" s="8"/>
      <c r="K557" s="8"/>
    </row>
    <row r="558" spans="1:11" x14ac:dyDescent="0.25">
      <c r="A558" s="44"/>
      <c r="B558" s="44"/>
      <c r="C558" s="44"/>
      <c r="D558" s="44"/>
      <c r="E558" s="44"/>
      <c r="F558" s="44"/>
      <c r="G558" s="44"/>
      <c r="H558" s="44"/>
      <c r="I558" s="44"/>
      <c r="J558" s="8"/>
      <c r="K558" s="8"/>
    </row>
    <row r="559" spans="1:11" x14ac:dyDescent="0.25">
      <c r="A559" s="44"/>
      <c r="B559" s="44"/>
      <c r="C559" s="44"/>
      <c r="D559" s="44"/>
      <c r="E559" s="44"/>
      <c r="F559" s="44"/>
      <c r="G559" s="44"/>
      <c r="H559" s="44"/>
      <c r="I559" s="44"/>
      <c r="J559" s="8"/>
      <c r="K559" s="8"/>
    </row>
    <row r="560" spans="1:11" x14ac:dyDescent="0.25">
      <c r="A560" s="44"/>
      <c r="B560" s="44"/>
      <c r="C560" s="44"/>
      <c r="D560" s="44"/>
      <c r="E560" s="44"/>
      <c r="F560" s="44"/>
      <c r="G560" s="44"/>
      <c r="H560" s="44"/>
      <c r="I560" s="44"/>
      <c r="J560" s="8"/>
      <c r="K560" s="8"/>
    </row>
    <row r="561" spans="1:11" x14ac:dyDescent="0.25">
      <c r="A561" s="44"/>
      <c r="B561" s="44"/>
      <c r="C561" s="44"/>
      <c r="D561" s="44"/>
      <c r="E561" s="44"/>
      <c r="F561" s="44"/>
      <c r="G561" s="44"/>
      <c r="H561" s="44"/>
      <c r="I561" s="44"/>
      <c r="J561" s="8"/>
      <c r="K561" s="8"/>
    </row>
    <row r="562" spans="1:11" x14ac:dyDescent="0.25">
      <c r="A562" s="44"/>
      <c r="B562" s="44"/>
      <c r="C562" s="44"/>
      <c r="D562" s="44"/>
      <c r="E562" s="44"/>
      <c r="F562" s="44"/>
      <c r="G562" s="44"/>
      <c r="H562" s="44"/>
      <c r="I562" s="44"/>
      <c r="J562" s="8"/>
      <c r="K562" s="8"/>
    </row>
    <row r="563" spans="1:11" x14ac:dyDescent="0.25">
      <c r="A563" s="44"/>
      <c r="B563" s="44"/>
      <c r="C563" s="44"/>
      <c r="D563" s="44"/>
      <c r="E563" s="44"/>
      <c r="F563" s="44"/>
      <c r="G563" s="44"/>
      <c r="H563" s="44"/>
      <c r="I563" s="44"/>
      <c r="J563" s="8"/>
      <c r="K563" s="8"/>
    </row>
    <row r="564" spans="1:11" x14ac:dyDescent="0.25">
      <c r="A564" s="44"/>
      <c r="B564" s="44"/>
      <c r="C564" s="44"/>
      <c r="D564" s="44"/>
      <c r="E564" s="44"/>
      <c r="F564" s="44"/>
      <c r="G564" s="44"/>
      <c r="H564" s="44"/>
      <c r="I564" s="44"/>
      <c r="J564" s="8"/>
      <c r="K564" s="8"/>
    </row>
    <row r="565" spans="1:11" x14ac:dyDescent="0.25">
      <c r="A565" s="44"/>
      <c r="B565" s="44"/>
      <c r="C565" s="44"/>
      <c r="D565" s="44"/>
      <c r="E565" s="44"/>
      <c r="F565" s="44"/>
      <c r="G565" s="44"/>
      <c r="H565" s="44"/>
      <c r="I565" s="44"/>
      <c r="J565" s="8"/>
      <c r="K565" s="8"/>
    </row>
    <row r="566" spans="1:11" x14ac:dyDescent="0.25">
      <c r="A566" s="44"/>
      <c r="B566" s="44"/>
      <c r="C566" s="44"/>
      <c r="D566" s="44"/>
      <c r="E566" s="44"/>
      <c r="F566" s="44"/>
      <c r="G566" s="44"/>
      <c r="H566" s="44"/>
      <c r="I566" s="44"/>
      <c r="J566" s="8"/>
      <c r="K566" s="8"/>
    </row>
    <row r="567" spans="1:11" x14ac:dyDescent="0.25">
      <c r="A567" s="44"/>
      <c r="B567" s="44"/>
      <c r="C567" s="44"/>
      <c r="D567" s="44"/>
      <c r="E567" s="44"/>
      <c r="F567" s="44"/>
      <c r="G567" s="44"/>
      <c r="H567" s="44"/>
      <c r="I567" s="44"/>
      <c r="J567" s="8"/>
      <c r="K567" s="8"/>
    </row>
    <row r="568" spans="1:11" x14ac:dyDescent="0.25">
      <c r="A568" s="44"/>
      <c r="B568" s="44"/>
      <c r="C568" s="44"/>
      <c r="D568" s="44"/>
      <c r="E568" s="44"/>
      <c r="F568" s="44"/>
      <c r="G568" s="44"/>
      <c r="H568" s="44"/>
      <c r="I568" s="44"/>
      <c r="J568" s="8"/>
      <c r="K568" s="8"/>
    </row>
    <row r="569" spans="1:11" x14ac:dyDescent="0.25">
      <c r="A569" s="44"/>
      <c r="B569" s="44"/>
      <c r="C569" s="44"/>
      <c r="D569" s="44"/>
      <c r="E569" s="44"/>
      <c r="F569" s="44"/>
      <c r="G569" s="44"/>
      <c r="H569" s="44"/>
      <c r="I569" s="44"/>
      <c r="J569" s="8"/>
      <c r="K569" s="8"/>
    </row>
    <row r="570" spans="1:11" x14ac:dyDescent="0.25">
      <c r="A570" s="44"/>
      <c r="B570" s="44"/>
      <c r="C570" s="44"/>
      <c r="D570" s="44"/>
      <c r="E570" s="44"/>
      <c r="F570" s="44"/>
      <c r="G570" s="44"/>
      <c r="H570" s="44"/>
      <c r="I570" s="44"/>
      <c r="J570" s="8"/>
      <c r="K570" s="8"/>
    </row>
    <row r="571" spans="1:11" x14ac:dyDescent="0.25">
      <c r="A571" s="44"/>
      <c r="B571" s="44"/>
      <c r="C571" s="44"/>
      <c r="D571" s="44"/>
      <c r="E571" s="44"/>
      <c r="F571" s="44"/>
      <c r="G571" s="44"/>
      <c r="H571" s="44"/>
      <c r="I571" s="44"/>
      <c r="J571" s="8"/>
      <c r="K571" s="8"/>
    </row>
    <row r="572" spans="1:11" x14ac:dyDescent="0.25">
      <c r="A572" s="44"/>
      <c r="B572" s="44"/>
      <c r="C572" s="44"/>
      <c r="D572" s="44"/>
      <c r="E572" s="44"/>
      <c r="F572" s="44"/>
      <c r="G572" s="44"/>
      <c r="H572" s="44"/>
      <c r="I572" s="44"/>
      <c r="J572" s="8"/>
      <c r="K572" s="8"/>
    </row>
    <row r="573" spans="1:11" x14ac:dyDescent="0.25">
      <c r="A573" s="44"/>
      <c r="B573" s="44"/>
      <c r="C573" s="44"/>
      <c r="D573" s="44"/>
      <c r="E573" s="44"/>
      <c r="F573" s="44"/>
      <c r="G573" s="44"/>
      <c r="H573" s="44"/>
      <c r="I573" s="44"/>
      <c r="J573" s="8"/>
      <c r="K573" s="8"/>
    </row>
    <row r="574" spans="1:11" x14ac:dyDescent="0.25">
      <c r="A574" s="44"/>
      <c r="B574" s="44"/>
      <c r="C574" s="44"/>
      <c r="D574" s="44"/>
      <c r="E574" s="44"/>
      <c r="F574" s="44"/>
      <c r="G574" s="44"/>
      <c r="H574" s="44"/>
      <c r="I574" s="44"/>
      <c r="J574" s="8"/>
      <c r="K574" s="8"/>
    </row>
    <row r="575" spans="1:11" x14ac:dyDescent="0.25">
      <c r="A575" s="44"/>
      <c r="B575" s="44"/>
      <c r="C575" s="44"/>
      <c r="D575" s="44"/>
      <c r="E575" s="44"/>
      <c r="F575" s="44"/>
      <c r="G575" s="44"/>
      <c r="H575" s="44"/>
      <c r="I575" s="44"/>
      <c r="J575" s="8"/>
      <c r="K575" s="8"/>
    </row>
    <row r="576" spans="1:11" x14ac:dyDescent="0.25">
      <c r="A576" s="44"/>
      <c r="B576" s="44"/>
      <c r="C576" s="44"/>
      <c r="D576" s="44"/>
      <c r="E576" s="44"/>
      <c r="F576" s="44"/>
      <c r="G576" s="44"/>
      <c r="H576" s="44"/>
      <c r="I576" s="44"/>
      <c r="J576" s="8"/>
      <c r="K576" s="8"/>
    </row>
    <row r="577" spans="1:11" x14ac:dyDescent="0.25">
      <c r="A577" s="44"/>
      <c r="B577" s="44"/>
      <c r="C577" s="44"/>
      <c r="D577" s="44"/>
      <c r="E577" s="44"/>
      <c r="F577" s="44"/>
      <c r="G577" s="44"/>
      <c r="H577" s="44"/>
      <c r="I577" s="44"/>
      <c r="J577" s="8"/>
      <c r="K577" s="8"/>
    </row>
    <row r="578" spans="1:11" x14ac:dyDescent="0.25">
      <c r="A578" s="44"/>
      <c r="B578" s="44"/>
      <c r="C578" s="44"/>
      <c r="D578" s="44"/>
      <c r="E578" s="44"/>
      <c r="F578" s="44"/>
      <c r="G578" s="44"/>
      <c r="H578" s="44"/>
      <c r="I578" s="44"/>
      <c r="J578" s="8"/>
      <c r="K578" s="8"/>
    </row>
    <row r="579" spans="1:11" x14ac:dyDescent="0.25">
      <c r="A579" s="44"/>
      <c r="B579" s="44"/>
      <c r="C579" s="44"/>
      <c r="D579" s="44"/>
      <c r="E579" s="44"/>
      <c r="F579" s="44"/>
      <c r="G579" s="44"/>
      <c r="H579" s="44"/>
      <c r="I579" s="44"/>
      <c r="J579" s="8"/>
      <c r="K579" s="8"/>
    </row>
    <row r="580" spans="1:11" x14ac:dyDescent="0.25">
      <c r="A580" s="44"/>
      <c r="B580" s="44"/>
      <c r="C580" s="44"/>
      <c r="D580" s="44"/>
      <c r="E580" s="44"/>
      <c r="F580" s="44"/>
      <c r="G580" s="44"/>
      <c r="H580" s="44"/>
      <c r="I580" s="44"/>
      <c r="J580" s="8"/>
      <c r="K580" s="8"/>
    </row>
    <row r="581" spans="1:11" x14ac:dyDescent="0.25">
      <c r="A581" s="44"/>
      <c r="B581" s="44"/>
      <c r="C581" s="44"/>
      <c r="D581" s="44"/>
      <c r="E581" s="44"/>
      <c r="F581" s="44"/>
      <c r="G581" s="44"/>
      <c r="H581" s="44"/>
      <c r="I581" s="44"/>
      <c r="J581" s="8"/>
      <c r="K581" s="8"/>
    </row>
    <row r="582" spans="1:11" x14ac:dyDescent="0.25">
      <c r="A582" s="44"/>
      <c r="B582" s="44"/>
      <c r="C582" s="44"/>
      <c r="D582" s="44"/>
      <c r="E582" s="44"/>
      <c r="F582" s="44"/>
      <c r="G582" s="44"/>
      <c r="H582" s="44"/>
      <c r="I582" s="44"/>
      <c r="J582" s="8"/>
      <c r="K582" s="8"/>
    </row>
    <row r="583" spans="1:11" x14ac:dyDescent="0.25">
      <c r="A583" s="44"/>
      <c r="B583" s="44"/>
      <c r="C583" s="44"/>
      <c r="D583" s="44"/>
      <c r="E583" s="44"/>
      <c r="F583" s="44"/>
      <c r="G583" s="44"/>
      <c r="H583" s="44"/>
      <c r="I583" s="44"/>
      <c r="J583" s="8"/>
      <c r="K583" s="8"/>
    </row>
    <row r="584" spans="1:11" x14ac:dyDescent="0.25">
      <c r="A584" s="44"/>
      <c r="B584" s="44"/>
      <c r="C584" s="44"/>
      <c r="D584" s="44"/>
      <c r="E584" s="44"/>
      <c r="F584" s="44"/>
      <c r="G584" s="44"/>
      <c r="H584" s="44"/>
      <c r="I584" s="44"/>
      <c r="J584" s="8"/>
      <c r="K584" s="8"/>
    </row>
    <row r="585" spans="1:11" x14ac:dyDescent="0.25">
      <c r="A585" s="44"/>
      <c r="B585" s="44"/>
      <c r="C585" s="44"/>
      <c r="D585" s="44"/>
      <c r="E585" s="44"/>
      <c r="F585" s="44"/>
      <c r="G585" s="44"/>
      <c r="H585" s="44"/>
      <c r="I585" s="44"/>
      <c r="J585" s="8"/>
      <c r="K585" s="8"/>
    </row>
    <row r="586" spans="1:11" x14ac:dyDescent="0.25">
      <c r="A586" s="44"/>
      <c r="B586" s="44"/>
      <c r="C586" s="44"/>
      <c r="D586" s="44"/>
      <c r="E586" s="44"/>
      <c r="F586" s="44"/>
      <c r="G586" s="44"/>
      <c r="H586" s="44"/>
      <c r="I586" s="44"/>
      <c r="J586" s="8"/>
      <c r="K586" s="8"/>
    </row>
    <row r="587" spans="1:11" x14ac:dyDescent="0.25">
      <c r="A587" s="44"/>
      <c r="B587" s="44"/>
      <c r="C587" s="44"/>
      <c r="D587" s="44"/>
      <c r="E587" s="44"/>
      <c r="F587" s="44"/>
      <c r="G587" s="44"/>
      <c r="H587" s="44"/>
      <c r="I587" s="44"/>
      <c r="J587" s="8"/>
      <c r="K587" s="8"/>
    </row>
    <row r="588" spans="1:11" x14ac:dyDescent="0.25">
      <c r="A588" s="44"/>
      <c r="B588" s="44"/>
      <c r="C588" s="44"/>
      <c r="D588" s="44"/>
      <c r="E588" s="44"/>
      <c r="F588" s="44"/>
      <c r="G588" s="44"/>
      <c r="H588" s="44"/>
      <c r="I588" s="44"/>
      <c r="J588" s="8"/>
      <c r="K588" s="8"/>
    </row>
    <row r="589" spans="1:11" x14ac:dyDescent="0.25">
      <c r="A589" s="44"/>
      <c r="B589" s="44"/>
      <c r="C589" s="44"/>
      <c r="D589" s="44"/>
      <c r="E589" s="44"/>
      <c r="F589" s="44"/>
      <c r="G589" s="44"/>
      <c r="H589" s="44"/>
      <c r="I589" s="44"/>
      <c r="J589" s="8"/>
      <c r="K589" s="8"/>
    </row>
    <row r="590" spans="1:11" x14ac:dyDescent="0.25">
      <c r="A590" s="44"/>
      <c r="B590" s="44"/>
      <c r="C590" s="44"/>
      <c r="D590" s="44"/>
      <c r="E590" s="44"/>
      <c r="F590" s="44"/>
      <c r="G590" s="44"/>
      <c r="H590" s="44"/>
      <c r="I590" s="44"/>
      <c r="J590" s="8"/>
      <c r="K590" s="8"/>
    </row>
    <row r="591" spans="1:11" x14ac:dyDescent="0.25">
      <c r="A591" s="44"/>
      <c r="B591" s="44"/>
      <c r="C591" s="44"/>
      <c r="D591" s="44"/>
      <c r="E591" s="44"/>
      <c r="F591" s="44"/>
      <c r="G591" s="44"/>
      <c r="H591" s="44"/>
      <c r="I591" s="44"/>
      <c r="J591" s="8"/>
      <c r="K591" s="8"/>
    </row>
    <row r="592" spans="1:11" x14ac:dyDescent="0.25">
      <c r="A592" s="44"/>
      <c r="B592" s="44"/>
      <c r="C592" s="44"/>
      <c r="D592" s="44"/>
      <c r="E592" s="44"/>
      <c r="F592" s="44"/>
      <c r="G592" s="44"/>
      <c r="H592" s="44"/>
      <c r="I592" s="44"/>
      <c r="J592" s="8"/>
      <c r="K592" s="8"/>
    </row>
    <row r="593" spans="1:11" x14ac:dyDescent="0.25">
      <c r="A593" s="44"/>
      <c r="B593" s="44"/>
      <c r="C593" s="44"/>
      <c r="D593" s="44"/>
      <c r="E593" s="44"/>
      <c r="F593" s="44"/>
      <c r="G593" s="44"/>
      <c r="H593" s="44"/>
      <c r="I593" s="44"/>
      <c r="J593" s="8"/>
      <c r="K593" s="8"/>
    </row>
    <row r="594" spans="1:11" x14ac:dyDescent="0.25">
      <c r="A594" s="44"/>
      <c r="B594" s="44"/>
      <c r="C594" s="44"/>
      <c r="D594" s="44"/>
      <c r="E594" s="44"/>
      <c r="F594" s="44"/>
      <c r="G594" s="44"/>
      <c r="H594" s="44"/>
      <c r="I594" s="44"/>
      <c r="J594" s="8"/>
      <c r="K594" s="8"/>
    </row>
    <row r="595" spans="1:11" x14ac:dyDescent="0.25">
      <c r="A595" s="44"/>
      <c r="B595" s="44"/>
      <c r="C595" s="44"/>
      <c r="D595" s="44"/>
      <c r="E595" s="44"/>
      <c r="F595" s="44"/>
      <c r="G595" s="44"/>
      <c r="H595" s="44"/>
      <c r="I595" s="44"/>
      <c r="J595" s="8"/>
      <c r="K595" s="8"/>
    </row>
    <row r="596" spans="1:11" x14ac:dyDescent="0.25">
      <c r="A596" s="44"/>
      <c r="B596" s="44"/>
      <c r="C596" s="44"/>
      <c r="D596" s="44"/>
      <c r="E596" s="44"/>
      <c r="F596" s="44"/>
      <c r="G596" s="44"/>
      <c r="H596" s="44"/>
      <c r="I596" s="44"/>
      <c r="J596" s="8"/>
      <c r="K596" s="8"/>
    </row>
    <row r="597" spans="1:11" x14ac:dyDescent="0.25">
      <c r="A597" s="44"/>
      <c r="B597" s="44"/>
      <c r="C597" s="44"/>
      <c r="D597" s="44"/>
      <c r="E597" s="44"/>
      <c r="F597" s="44"/>
      <c r="G597" s="44"/>
      <c r="H597" s="44"/>
      <c r="I597" s="44"/>
      <c r="J597" s="8"/>
      <c r="K597" s="8"/>
    </row>
    <row r="598" spans="1:11" x14ac:dyDescent="0.25">
      <c r="A598" s="44"/>
      <c r="B598" s="44"/>
      <c r="C598" s="44"/>
      <c r="D598" s="44"/>
      <c r="E598" s="44"/>
      <c r="F598" s="44"/>
      <c r="G598" s="44"/>
      <c r="H598" s="44"/>
      <c r="I598" s="44"/>
      <c r="J598" s="8"/>
      <c r="K598" s="8"/>
    </row>
    <row r="599" spans="1:11" x14ac:dyDescent="0.25">
      <c r="A599" s="44"/>
      <c r="B599" s="44"/>
      <c r="C599" s="44"/>
      <c r="D599" s="44"/>
      <c r="E599" s="44"/>
      <c r="F599" s="44"/>
      <c r="G599" s="44"/>
      <c r="H599" s="44"/>
      <c r="I599" s="44"/>
      <c r="J599" s="8"/>
      <c r="K599" s="8"/>
    </row>
    <row r="600" spans="1:11" x14ac:dyDescent="0.25">
      <c r="A600" s="44"/>
      <c r="B600" s="44"/>
      <c r="C600" s="44"/>
      <c r="D600" s="44"/>
      <c r="E600" s="44"/>
      <c r="F600" s="44"/>
      <c r="G600" s="44"/>
      <c r="H600" s="44"/>
      <c r="I600" s="44"/>
      <c r="J600" s="8"/>
      <c r="K600" s="8"/>
    </row>
    <row r="601" spans="1:11" x14ac:dyDescent="0.25">
      <c r="A601" s="44"/>
      <c r="B601" s="44"/>
      <c r="C601" s="44"/>
      <c r="D601" s="44"/>
      <c r="E601" s="44"/>
      <c r="F601" s="44"/>
      <c r="G601" s="44"/>
      <c r="H601" s="44"/>
      <c r="I601" s="44"/>
      <c r="J601" s="8"/>
      <c r="K601" s="8"/>
    </row>
    <row r="602" spans="1:11" x14ac:dyDescent="0.25">
      <c r="A602" s="44"/>
      <c r="B602" s="44"/>
      <c r="C602" s="44"/>
      <c r="D602" s="44"/>
      <c r="E602" s="44"/>
      <c r="F602" s="44"/>
      <c r="G602" s="44"/>
      <c r="H602" s="44"/>
      <c r="I602" s="44"/>
      <c r="J602" s="8"/>
      <c r="K602" s="8"/>
    </row>
    <row r="603" spans="1:11" x14ac:dyDescent="0.25">
      <c r="A603" s="44"/>
      <c r="B603" s="44"/>
      <c r="C603" s="44"/>
      <c r="D603" s="44"/>
      <c r="E603" s="44"/>
      <c r="F603" s="44"/>
      <c r="G603" s="44"/>
      <c r="H603" s="44"/>
      <c r="I603" s="44"/>
      <c r="J603" s="8"/>
      <c r="K603" s="8"/>
    </row>
    <row r="604" spans="1:11" x14ac:dyDescent="0.25">
      <c r="A604" s="44"/>
      <c r="B604" s="44"/>
      <c r="C604" s="44"/>
      <c r="D604" s="44"/>
      <c r="E604" s="44"/>
      <c r="F604" s="44"/>
      <c r="G604" s="44"/>
      <c r="H604" s="44"/>
      <c r="I604" s="44"/>
      <c r="J604" s="8"/>
      <c r="K604" s="8"/>
    </row>
    <row r="605" spans="1:11" x14ac:dyDescent="0.25">
      <c r="A605" s="44"/>
      <c r="B605" s="44"/>
      <c r="C605" s="44"/>
      <c r="D605" s="44"/>
      <c r="E605" s="44"/>
      <c r="F605" s="44"/>
      <c r="G605" s="44"/>
      <c r="H605" s="44"/>
      <c r="I605" s="44"/>
      <c r="J605" s="8"/>
      <c r="K605" s="8"/>
    </row>
    <row r="606" spans="1:11" x14ac:dyDescent="0.25">
      <c r="A606" s="44"/>
      <c r="B606" s="44"/>
      <c r="C606" s="44"/>
      <c r="D606" s="44"/>
      <c r="E606" s="44"/>
      <c r="F606" s="44"/>
      <c r="G606" s="44"/>
      <c r="H606" s="44"/>
      <c r="I606" s="44"/>
      <c r="J606" s="8"/>
      <c r="K606" s="8"/>
    </row>
    <row r="607" spans="1:11" x14ac:dyDescent="0.25">
      <c r="A607" s="44"/>
      <c r="B607" s="44"/>
      <c r="C607" s="44"/>
      <c r="D607" s="44"/>
      <c r="E607" s="44"/>
      <c r="F607" s="44"/>
      <c r="G607" s="44"/>
      <c r="H607" s="44"/>
      <c r="I607" s="44"/>
      <c r="J607" s="8"/>
      <c r="K607" s="8"/>
    </row>
    <row r="608" spans="1:11" x14ac:dyDescent="0.25">
      <c r="A608" s="44"/>
      <c r="B608" s="44"/>
      <c r="C608" s="44"/>
      <c r="D608" s="44"/>
      <c r="E608" s="44"/>
      <c r="F608" s="44"/>
      <c r="G608" s="44"/>
      <c r="H608" s="44"/>
      <c r="I608" s="44"/>
      <c r="J608" s="8"/>
      <c r="K608" s="8"/>
    </row>
    <row r="609" spans="1:11" x14ac:dyDescent="0.25">
      <c r="A609" s="44"/>
      <c r="B609" s="44"/>
      <c r="C609" s="44"/>
      <c r="D609" s="44"/>
      <c r="E609" s="44"/>
      <c r="F609" s="44"/>
      <c r="G609" s="44"/>
      <c r="H609" s="44"/>
      <c r="I609" s="44"/>
      <c r="J609" s="8"/>
      <c r="K609" s="8"/>
    </row>
    <row r="610" spans="1:11" x14ac:dyDescent="0.25">
      <c r="A610" s="44"/>
      <c r="B610" s="44"/>
      <c r="C610" s="44"/>
      <c r="D610" s="44"/>
      <c r="E610" s="44"/>
      <c r="F610" s="44"/>
      <c r="G610" s="44"/>
      <c r="H610" s="44"/>
      <c r="I610" s="44"/>
      <c r="J610" s="8"/>
      <c r="K610" s="8"/>
    </row>
    <row r="611" spans="1:11" x14ac:dyDescent="0.25">
      <c r="A611" s="44"/>
      <c r="B611" s="44"/>
      <c r="C611" s="44"/>
      <c r="D611" s="44"/>
      <c r="E611" s="44"/>
      <c r="F611" s="44"/>
      <c r="G611" s="44"/>
      <c r="H611" s="44"/>
      <c r="I611" s="44"/>
      <c r="J611" s="8"/>
      <c r="K611" s="8"/>
    </row>
    <row r="612" spans="1:11" x14ac:dyDescent="0.25">
      <c r="A612" s="44"/>
      <c r="B612" s="44"/>
      <c r="C612" s="44"/>
      <c r="D612" s="44"/>
      <c r="E612" s="44"/>
      <c r="F612" s="44"/>
      <c r="G612" s="44"/>
      <c r="H612" s="44"/>
      <c r="I612" s="44"/>
      <c r="J612" s="8"/>
      <c r="K612" s="8"/>
    </row>
    <row r="613" spans="1:11" x14ac:dyDescent="0.25">
      <c r="A613" s="44"/>
      <c r="B613" s="44"/>
      <c r="C613" s="44"/>
      <c r="D613" s="44"/>
      <c r="E613" s="44"/>
      <c r="F613" s="44"/>
      <c r="G613" s="44"/>
      <c r="H613" s="44"/>
      <c r="I613" s="44"/>
      <c r="J613" s="8"/>
      <c r="K613" s="8"/>
    </row>
    <row r="614" spans="1:11" x14ac:dyDescent="0.25">
      <c r="A614" s="44"/>
      <c r="B614" s="44"/>
      <c r="C614" s="44"/>
      <c r="D614" s="44"/>
      <c r="E614" s="44"/>
      <c r="F614" s="44"/>
      <c r="G614" s="44"/>
      <c r="H614" s="44"/>
      <c r="I614" s="44"/>
      <c r="J614" s="8"/>
      <c r="K614" s="8"/>
    </row>
    <row r="615" spans="1:11" x14ac:dyDescent="0.25">
      <c r="A615" s="44"/>
      <c r="B615" s="44"/>
      <c r="C615" s="44"/>
      <c r="D615" s="44"/>
      <c r="E615" s="44"/>
      <c r="F615" s="44"/>
      <c r="G615" s="44"/>
      <c r="H615" s="44"/>
      <c r="I615" s="44"/>
      <c r="J615" s="8"/>
      <c r="K615" s="8"/>
    </row>
    <row r="616" spans="1:11" x14ac:dyDescent="0.25">
      <c r="A616" s="44"/>
      <c r="B616" s="44"/>
      <c r="C616" s="44"/>
      <c r="D616" s="44"/>
      <c r="E616" s="44"/>
      <c r="F616" s="44"/>
      <c r="G616" s="44"/>
      <c r="H616" s="44"/>
      <c r="I616" s="44"/>
      <c r="J616" s="8"/>
      <c r="K616" s="8"/>
    </row>
    <row r="617" spans="1:11" x14ac:dyDescent="0.25">
      <c r="A617" s="44"/>
      <c r="B617" s="44"/>
      <c r="C617" s="44"/>
      <c r="D617" s="44"/>
      <c r="E617" s="44"/>
      <c r="F617" s="44"/>
      <c r="G617" s="44"/>
      <c r="H617" s="44"/>
      <c r="I617" s="44"/>
      <c r="J617" s="8"/>
      <c r="K617" s="8"/>
    </row>
    <row r="618" spans="1:11" x14ac:dyDescent="0.25">
      <c r="A618" s="44"/>
      <c r="B618" s="44"/>
      <c r="C618" s="44"/>
      <c r="D618" s="44"/>
      <c r="E618" s="44"/>
      <c r="F618" s="44"/>
      <c r="G618" s="44"/>
      <c r="H618" s="44"/>
      <c r="I618" s="44"/>
      <c r="J618" s="8"/>
      <c r="K618" s="8"/>
    </row>
    <row r="619" spans="1:11" x14ac:dyDescent="0.25">
      <c r="A619" s="44"/>
      <c r="B619" s="44"/>
      <c r="C619" s="44"/>
      <c r="D619" s="44"/>
      <c r="E619" s="44"/>
      <c r="F619" s="44"/>
      <c r="G619" s="44"/>
      <c r="H619" s="44"/>
      <c r="I619" s="44"/>
      <c r="J619" s="8"/>
      <c r="K619" s="8"/>
    </row>
    <row r="620" spans="1:11" x14ac:dyDescent="0.25">
      <c r="A620" s="44"/>
      <c r="B620" s="44"/>
      <c r="C620" s="44"/>
      <c r="D620" s="44"/>
      <c r="E620" s="44"/>
      <c r="F620" s="44"/>
      <c r="G620" s="44"/>
      <c r="H620" s="44"/>
      <c r="I620" s="44"/>
      <c r="J620" s="8"/>
      <c r="K620" s="8"/>
    </row>
    <row r="621" spans="1:11" x14ac:dyDescent="0.25">
      <c r="A621" s="44"/>
      <c r="B621" s="44"/>
      <c r="C621" s="44"/>
      <c r="D621" s="44"/>
      <c r="E621" s="44"/>
      <c r="F621" s="44"/>
      <c r="G621" s="44"/>
      <c r="H621" s="44"/>
      <c r="I621" s="44"/>
      <c r="J621" s="8"/>
      <c r="K621" s="8"/>
    </row>
    <row r="622" spans="1:11" x14ac:dyDescent="0.25">
      <c r="A622" s="44"/>
      <c r="B622" s="44"/>
      <c r="C622" s="44"/>
      <c r="D622" s="44"/>
      <c r="E622" s="44"/>
      <c r="F622" s="44"/>
      <c r="G622" s="44"/>
      <c r="H622" s="44"/>
      <c r="I622" s="44"/>
      <c r="J622" s="8"/>
      <c r="K622" s="8"/>
    </row>
    <row r="623" spans="1:11" x14ac:dyDescent="0.25">
      <c r="A623" s="44"/>
      <c r="B623" s="44"/>
      <c r="C623" s="44"/>
      <c r="D623" s="44"/>
      <c r="E623" s="44"/>
      <c r="F623" s="44"/>
      <c r="G623" s="44"/>
      <c r="H623" s="44"/>
      <c r="I623" s="44"/>
      <c r="J623" s="8"/>
      <c r="K623" s="8"/>
    </row>
    <row r="624" spans="1:11" x14ac:dyDescent="0.25">
      <c r="A624" s="44"/>
      <c r="B624" s="44"/>
      <c r="C624" s="44"/>
      <c r="D624" s="44"/>
      <c r="E624" s="44"/>
      <c r="F624" s="44"/>
      <c r="G624" s="44"/>
      <c r="H624" s="44"/>
      <c r="I624" s="44"/>
      <c r="J624" s="8"/>
      <c r="K624" s="8"/>
    </row>
    <row r="625" spans="1:11" x14ac:dyDescent="0.25">
      <c r="A625" s="44"/>
      <c r="B625" s="44"/>
      <c r="C625" s="44"/>
      <c r="D625" s="44"/>
      <c r="E625" s="44"/>
      <c r="F625" s="44"/>
      <c r="G625" s="44"/>
      <c r="H625" s="44"/>
      <c r="I625" s="44"/>
      <c r="J625" s="8"/>
      <c r="K625" s="8"/>
    </row>
    <row r="626" spans="1:11" x14ac:dyDescent="0.25">
      <c r="A626" s="44"/>
      <c r="B626" s="44"/>
      <c r="C626" s="44"/>
      <c r="D626" s="44"/>
      <c r="E626" s="44"/>
      <c r="F626" s="44"/>
      <c r="G626" s="44"/>
      <c r="H626" s="44"/>
      <c r="I626" s="44"/>
      <c r="J626" s="8"/>
      <c r="K626" s="8"/>
    </row>
    <row r="627" spans="1:11" x14ac:dyDescent="0.25">
      <c r="A627" s="44"/>
      <c r="B627" s="44"/>
      <c r="C627" s="44"/>
      <c r="D627" s="44"/>
      <c r="E627" s="44"/>
      <c r="F627" s="44"/>
      <c r="G627" s="44"/>
      <c r="H627" s="44"/>
      <c r="I627" s="44"/>
      <c r="J627" s="8"/>
      <c r="K627" s="8"/>
    </row>
    <row r="628" spans="1:11" x14ac:dyDescent="0.25">
      <c r="A628" s="44"/>
      <c r="B628" s="44"/>
      <c r="C628" s="44"/>
      <c r="D628" s="44"/>
      <c r="E628" s="44"/>
      <c r="F628" s="44"/>
      <c r="G628" s="44"/>
      <c r="H628" s="44"/>
      <c r="I628" s="44"/>
      <c r="J628" s="8"/>
      <c r="K628" s="8"/>
    </row>
    <row r="629" spans="1:11" x14ac:dyDescent="0.25">
      <c r="A629" s="44"/>
      <c r="B629" s="44"/>
      <c r="C629" s="44"/>
      <c r="D629" s="44"/>
      <c r="E629" s="44"/>
      <c r="F629" s="44"/>
      <c r="G629" s="44"/>
      <c r="H629" s="44"/>
      <c r="I629" s="44"/>
      <c r="J629" s="8"/>
      <c r="K629" s="8"/>
    </row>
    <row r="630" spans="1:11" x14ac:dyDescent="0.25">
      <c r="A630" s="44"/>
      <c r="B630" s="44"/>
      <c r="C630" s="44"/>
      <c r="D630" s="44"/>
      <c r="E630" s="44"/>
      <c r="F630" s="44"/>
      <c r="G630" s="44"/>
      <c r="H630" s="44"/>
      <c r="I630" s="44"/>
      <c r="J630" s="8"/>
      <c r="K630" s="8"/>
    </row>
    <row r="631" spans="1:11" x14ac:dyDescent="0.25">
      <c r="A631" s="44"/>
      <c r="B631" s="44"/>
      <c r="C631" s="44"/>
      <c r="D631" s="44"/>
      <c r="E631" s="44"/>
      <c r="F631" s="44"/>
      <c r="G631" s="44"/>
      <c r="H631" s="44"/>
      <c r="I631" s="44"/>
      <c r="J631" s="8"/>
      <c r="K631" s="8"/>
    </row>
    <row r="632" spans="1:11" x14ac:dyDescent="0.25">
      <c r="A632" s="44"/>
      <c r="B632" s="44"/>
      <c r="C632" s="44"/>
      <c r="D632" s="44"/>
      <c r="E632" s="44"/>
      <c r="F632" s="44"/>
      <c r="G632" s="44"/>
      <c r="H632" s="44"/>
      <c r="I632" s="44"/>
      <c r="J632" s="8"/>
      <c r="K632" s="8"/>
    </row>
    <row r="633" spans="1:11" x14ac:dyDescent="0.25">
      <c r="A633" s="44"/>
      <c r="B633" s="44"/>
      <c r="C633" s="44"/>
      <c r="D633" s="44"/>
      <c r="E633" s="44"/>
      <c r="F633" s="44"/>
      <c r="G633" s="44"/>
      <c r="H633" s="44"/>
      <c r="I633" s="44"/>
      <c r="J633" s="8"/>
      <c r="K633" s="8"/>
    </row>
    <row r="634" spans="1:11" x14ac:dyDescent="0.25">
      <c r="A634" s="44"/>
      <c r="B634" s="44"/>
      <c r="C634" s="44"/>
      <c r="D634" s="44"/>
      <c r="E634" s="44"/>
      <c r="F634" s="44"/>
      <c r="G634" s="44"/>
      <c r="H634" s="44"/>
      <c r="I634" s="44"/>
      <c r="J634" s="8"/>
      <c r="K634" s="8"/>
    </row>
    <row r="635" spans="1:11" x14ac:dyDescent="0.25">
      <c r="A635" s="44"/>
      <c r="B635" s="44"/>
      <c r="C635" s="44"/>
      <c r="D635" s="44"/>
      <c r="E635" s="44"/>
      <c r="F635" s="44"/>
      <c r="G635" s="44"/>
      <c r="H635" s="44"/>
      <c r="I635" s="44"/>
      <c r="J635" s="8"/>
      <c r="K635" s="8"/>
    </row>
    <row r="636" spans="1:11" x14ac:dyDescent="0.25">
      <c r="A636" s="44"/>
      <c r="B636" s="44"/>
      <c r="C636" s="44"/>
      <c r="D636" s="44"/>
      <c r="E636" s="44"/>
      <c r="F636" s="44"/>
      <c r="G636" s="44"/>
      <c r="H636" s="44"/>
      <c r="I636" s="44"/>
      <c r="J636" s="8"/>
      <c r="K636" s="8"/>
    </row>
    <row r="637" spans="1:11" x14ac:dyDescent="0.25">
      <c r="A637" s="44"/>
      <c r="B637" s="44"/>
      <c r="C637" s="44"/>
      <c r="D637" s="44"/>
      <c r="E637" s="44"/>
      <c r="F637" s="44"/>
      <c r="G637" s="44"/>
      <c r="H637" s="44"/>
      <c r="I637" s="44"/>
      <c r="J637" s="8"/>
      <c r="K637" s="8"/>
    </row>
    <row r="638" spans="1:11" x14ac:dyDescent="0.25">
      <c r="A638" s="44"/>
      <c r="B638" s="44"/>
      <c r="C638" s="44"/>
      <c r="D638" s="44"/>
      <c r="E638" s="44"/>
      <c r="F638" s="44"/>
      <c r="G638" s="44"/>
      <c r="H638" s="44"/>
      <c r="I638" s="44"/>
      <c r="J638" s="8"/>
      <c r="K638" s="8"/>
    </row>
    <row r="639" spans="1:11" x14ac:dyDescent="0.25">
      <c r="A639" s="44"/>
      <c r="B639" s="44"/>
      <c r="C639" s="44"/>
      <c r="D639" s="44"/>
      <c r="E639" s="44"/>
      <c r="F639" s="44"/>
      <c r="G639" s="44"/>
      <c r="H639" s="44"/>
      <c r="I639" s="44"/>
      <c r="J639" s="8"/>
      <c r="K639" s="8"/>
    </row>
    <row r="640" spans="1:11" x14ac:dyDescent="0.25">
      <c r="A640" s="44"/>
      <c r="B640" s="44"/>
      <c r="C640" s="44"/>
      <c r="D640" s="44"/>
      <c r="E640" s="44"/>
      <c r="F640" s="44"/>
      <c r="G640" s="44"/>
      <c r="H640" s="44"/>
      <c r="I640" s="44"/>
      <c r="J640" s="8"/>
      <c r="K640" s="8"/>
    </row>
    <row r="641" spans="1:11" x14ac:dyDescent="0.25">
      <c r="A641" s="44"/>
      <c r="B641" s="44"/>
      <c r="C641" s="44"/>
      <c r="D641" s="44"/>
      <c r="E641" s="44"/>
      <c r="F641" s="44"/>
      <c r="G641" s="44"/>
      <c r="H641" s="44"/>
      <c r="I641" s="44"/>
      <c r="J641" s="8"/>
      <c r="K641" s="8"/>
    </row>
    <row r="642" spans="1:11" x14ac:dyDescent="0.25">
      <c r="A642" s="44"/>
      <c r="B642" s="44"/>
      <c r="C642" s="44"/>
      <c r="D642" s="44"/>
      <c r="E642" s="44"/>
      <c r="F642" s="44"/>
      <c r="G642" s="44"/>
      <c r="H642" s="44"/>
      <c r="I642" s="44"/>
      <c r="J642" s="8"/>
      <c r="K642" s="8"/>
    </row>
    <row r="643" spans="1:11" x14ac:dyDescent="0.25">
      <c r="A643" s="44"/>
      <c r="B643" s="44"/>
      <c r="C643" s="44"/>
      <c r="D643" s="44"/>
      <c r="E643" s="44"/>
      <c r="F643" s="44"/>
      <c r="G643" s="44"/>
      <c r="H643" s="44"/>
      <c r="I643" s="44"/>
      <c r="J643" s="8"/>
      <c r="K643" s="8"/>
    </row>
    <row r="644" spans="1:11" x14ac:dyDescent="0.25">
      <c r="A644" s="44"/>
      <c r="B644" s="44"/>
      <c r="C644" s="44"/>
      <c r="D644" s="44"/>
      <c r="E644" s="44"/>
      <c r="F644" s="44"/>
      <c r="G644" s="44"/>
      <c r="H644" s="44"/>
      <c r="I644" s="44"/>
      <c r="J644" s="8"/>
      <c r="K644" s="8"/>
    </row>
    <row r="645" spans="1:11" x14ac:dyDescent="0.25">
      <c r="A645" s="44"/>
      <c r="B645" s="44"/>
      <c r="C645" s="44"/>
      <c r="D645" s="44"/>
      <c r="E645" s="44"/>
      <c r="F645" s="44"/>
      <c r="G645" s="44"/>
      <c r="H645" s="44"/>
      <c r="I645" s="44"/>
      <c r="J645" s="8"/>
      <c r="K645" s="8"/>
    </row>
    <row r="646" spans="1:11" x14ac:dyDescent="0.25">
      <c r="A646" s="44"/>
      <c r="B646" s="44"/>
      <c r="C646" s="44"/>
      <c r="D646" s="44"/>
      <c r="E646" s="44"/>
      <c r="F646" s="44"/>
      <c r="G646" s="44"/>
      <c r="H646" s="44"/>
      <c r="I646" s="44"/>
      <c r="J646" s="8"/>
      <c r="K646" s="8"/>
    </row>
    <row r="647" spans="1:11" x14ac:dyDescent="0.25">
      <c r="A647" s="44"/>
      <c r="B647" s="44"/>
      <c r="C647" s="44"/>
      <c r="D647" s="44"/>
      <c r="E647" s="44"/>
      <c r="F647" s="44"/>
      <c r="G647" s="44"/>
      <c r="H647" s="44"/>
      <c r="I647" s="44"/>
      <c r="J647" s="8"/>
      <c r="K647" s="8"/>
    </row>
    <row r="648" spans="1:11" x14ac:dyDescent="0.25">
      <c r="A648" s="44"/>
      <c r="B648" s="44"/>
      <c r="C648" s="44"/>
      <c r="D648" s="44"/>
      <c r="E648" s="44"/>
      <c r="F648" s="44"/>
      <c r="G648" s="44"/>
      <c r="H648" s="44"/>
      <c r="I648" s="44"/>
      <c r="J648" s="8"/>
      <c r="K648" s="8"/>
    </row>
    <row r="649" spans="1:11" x14ac:dyDescent="0.25">
      <c r="A649" s="44"/>
      <c r="B649" s="44"/>
      <c r="C649" s="44"/>
      <c r="D649" s="44"/>
      <c r="E649" s="44"/>
      <c r="F649" s="44"/>
      <c r="G649" s="44"/>
      <c r="H649" s="44"/>
      <c r="I649" s="44"/>
      <c r="J649" s="8"/>
      <c r="K649" s="8"/>
    </row>
    <row r="650" spans="1:11" x14ac:dyDescent="0.25">
      <c r="A650" s="44"/>
      <c r="B650" s="44"/>
      <c r="C650" s="44"/>
      <c r="D650" s="44"/>
      <c r="E650" s="44"/>
      <c r="F650" s="44"/>
      <c r="G650" s="44"/>
      <c r="H650" s="44"/>
      <c r="I650" s="44"/>
      <c r="J650" s="8"/>
      <c r="K650" s="8"/>
    </row>
    <row r="651" spans="1:11" x14ac:dyDescent="0.25">
      <c r="A651" s="44"/>
      <c r="B651" s="44"/>
      <c r="C651" s="44"/>
      <c r="D651" s="44"/>
      <c r="E651" s="44"/>
      <c r="F651" s="44"/>
      <c r="G651" s="44"/>
      <c r="H651" s="44"/>
      <c r="I651" s="44"/>
      <c r="J651" s="8"/>
      <c r="K651" s="8"/>
    </row>
    <row r="652" spans="1:11" x14ac:dyDescent="0.25">
      <c r="A652" s="44"/>
      <c r="B652" s="44"/>
      <c r="C652" s="44"/>
      <c r="D652" s="44"/>
      <c r="E652" s="44"/>
      <c r="F652" s="44"/>
      <c r="G652" s="44"/>
      <c r="H652" s="44"/>
      <c r="I652" s="44"/>
      <c r="J652" s="8"/>
      <c r="K652" s="8"/>
    </row>
    <row r="653" spans="1:11" x14ac:dyDescent="0.25">
      <c r="A653" s="44"/>
      <c r="B653" s="44"/>
      <c r="C653" s="44"/>
      <c r="D653" s="44"/>
      <c r="E653" s="44"/>
      <c r="F653" s="44"/>
      <c r="G653" s="44"/>
      <c r="H653" s="44"/>
      <c r="I653" s="44"/>
      <c r="J653" s="8"/>
      <c r="K653" s="8"/>
    </row>
    <row r="654" spans="1:11" x14ac:dyDescent="0.25">
      <c r="A654" s="44"/>
      <c r="B654" s="44"/>
      <c r="C654" s="44"/>
      <c r="D654" s="44"/>
      <c r="E654" s="44"/>
      <c r="F654" s="44"/>
      <c r="G654" s="44"/>
      <c r="H654" s="44"/>
      <c r="I654" s="44"/>
      <c r="J654" s="8"/>
      <c r="K654" s="8"/>
    </row>
    <row r="655" spans="1:11" x14ac:dyDescent="0.25">
      <c r="A655" s="44"/>
      <c r="B655" s="44"/>
      <c r="C655" s="44"/>
      <c r="D655" s="44"/>
      <c r="E655" s="44"/>
      <c r="F655" s="44"/>
      <c r="G655" s="44"/>
      <c r="H655" s="44"/>
      <c r="I655" s="44"/>
      <c r="J655" s="8"/>
      <c r="K655" s="8"/>
    </row>
    <row r="656" spans="1:11" x14ac:dyDescent="0.25">
      <c r="A656" s="44"/>
      <c r="B656" s="44"/>
      <c r="C656" s="44"/>
      <c r="D656" s="44"/>
      <c r="E656" s="44"/>
      <c r="F656" s="44"/>
      <c r="G656" s="44"/>
      <c r="H656" s="44"/>
      <c r="I656" s="44"/>
      <c r="J656" s="8"/>
      <c r="K656" s="8"/>
    </row>
    <row r="657" spans="1:11" x14ac:dyDescent="0.25">
      <c r="A657" s="44"/>
      <c r="B657" s="44"/>
      <c r="C657" s="44"/>
      <c r="D657" s="44"/>
      <c r="E657" s="44"/>
      <c r="F657" s="44"/>
      <c r="G657" s="44"/>
      <c r="H657" s="44"/>
      <c r="I657" s="44"/>
      <c r="J657" s="8"/>
      <c r="K657" s="8"/>
    </row>
    <row r="658" spans="1:11" x14ac:dyDescent="0.25">
      <c r="A658" s="44"/>
      <c r="B658" s="44"/>
      <c r="C658" s="44"/>
      <c r="D658" s="44"/>
      <c r="E658" s="44"/>
      <c r="F658" s="44"/>
      <c r="G658" s="44"/>
      <c r="H658" s="44"/>
      <c r="I658" s="44"/>
      <c r="J658" s="8"/>
      <c r="K658" s="8"/>
    </row>
    <row r="659" spans="1:11" x14ac:dyDescent="0.25">
      <c r="A659" s="44"/>
      <c r="B659" s="44"/>
      <c r="C659" s="44"/>
      <c r="D659" s="44"/>
      <c r="E659" s="44"/>
      <c r="F659" s="44"/>
      <c r="G659" s="44"/>
      <c r="H659" s="44"/>
      <c r="I659" s="44"/>
      <c r="J659" s="8"/>
      <c r="K659" s="8"/>
    </row>
    <row r="660" spans="1:11" x14ac:dyDescent="0.25">
      <c r="A660" s="44"/>
      <c r="B660" s="44"/>
      <c r="C660" s="44"/>
      <c r="D660" s="44"/>
      <c r="E660" s="44"/>
      <c r="F660" s="44"/>
      <c r="G660" s="44"/>
      <c r="H660" s="44"/>
      <c r="I660" s="44"/>
      <c r="J660" s="8"/>
      <c r="K660" s="8"/>
    </row>
    <row r="661" spans="1:11" x14ac:dyDescent="0.25">
      <c r="A661" s="44"/>
      <c r="B661" s="44"/>
      <c r="C661" s="44"/>
      <c r="D661" s="44"/>
      <c r="E661" s="44"/>
      <c r="F661" s="44"/>
      <c r="G661" s="44"/>
      <c r="H661" s="44"/>
      <c r="I661" s="44"/>
      <c r="J661" s="8"/>
      <c r="K661" s="8"/>
    </row>
    <row r="662" spans="1:11" x14ac:dyDescent="0.25">
      <c r="A662" s="44"/>
      <c r="B662" s="44"/>
      <c r="C662" s="44"/>
      <c r="D662" s="44"/>
      <c r="E662" s="44"/>
      <c r="F662" s="44"/>
      <c r="G662" s="44"/>
      <c r="H662" s="44"/>
      <c r="I662" s="44"/>
      <c r="J662" s="8"/>
      <c r="K662" s="8"/>
    </row>
    <row r="663" spans="1:11" x14ac:dyDescent="0.25">
      <c r="A663" s="44"/>
      <c r="B663" s="44"/>
      <c r="C663" s="44"/>
      <c r="D663" s="44"/>
      <c r="E663" s="44"/>
      <c r="F663" s="44"/>
      <c r="G663" s="44"/>
      <c r="H663" s="44"/>
      <c r="I663" s="44"/>
      <c r="J663" s="8"/>
      <c r="K663" s="8"/>
    </row>
    <row r="664" spans="1:11" x14ac:dyDescent="0.25">
      <c r="A664" s="44"/>
      <c r="B664" s="44"/>
      <c r="C664" s="44"/>
      <c r="D664" s="44"/>
      <c r="E664" s="44"/>
      <c r="F664" s="44"/>
      <c r="G664" s="44"/>
      <c r="H664" s="44"/>
      <c r="I664" s="44"/>
      <c r="J664" s="8"/>
      <c r="K664" s="8"/>
    </row>
    <row r="665" spans="1:11" x14ac:dyDescent="0.25">
      <c r="A665" s="44"/>
      <c r="B665" s="44"/>
      <c r="C665" s="44"/>
      <c r="D665" s="44"/>
      <c r="E665" s="44"/>
      <c r="F665" s="44"/>
      <c r="G665" s="44"/>
      <c r="H665" s="44"/>
      <c r="I665" s="44"/>
      <c r="J665" s="8"/>
      <c r="K665" s="8"/>
    </row>
    <row r="666" spans="1:11" x14ac:dyDescent="0.25">
      <c r="A666" s="44"/>
      <c r="B666" s="44"/>
      <c r="C666" s="44"/>
      <c r="D666" s="44"/>
      <c r="E666" s="44"/>
      <c r="F666" s="44"/>
      <c r="G666" s="44"/>
      <c r="H666" s="44"/>
      <c r="I666" s="44"/>
      <c r="J666" s="8"/>
      <c r="K666" s="8"/>
    </row>
    <row r="667" spans="1:11" x14ac:dyDescent="0.25">
      <c r="A667" s="44"/>
      <c r="B667" s="44"/>
      <c r="C667" s="44"/>
      <c r="D667" s="44"/>
      <c r="E667" s="44"/>
      <c r="F667" s="44"/>
      <c r="G667" s="44"/>
      <c r="H667" s="44"/>
      <c r="I667" s="44"/>
      <c r="J667" s="8"/>
      <c r="K667" s="8"/>
    </row>
    <row r="668" spans="1:11" x14ac:dyDescent="0.25">
      <c r="A668" s="44"/>
      <c r="B668" s="44"/>
      <c r="C668" s="44"/>
      <c r="D668" s="44"/>
      <c r="E668" s="44"/>
      <c r="F668" s="44"/>
      <c r="G668" s="44"/>
      <c r="H668" s="44"/>
      <c r="I668" s="44"/>
      <c r="J668" s="8"/>
      <c r="K668" s="8"/>
    </row>
    <row r="669" spans="1:11" x14ac:dyDescent="0.25">
      <c r="A669" s="44"/>
      <c r="B669" s="44"/>
      <c r="C669" s="44"/>
      <c r="D669" s="44"/>
      <c r="E669" s="44"/>
      <c r="F669" s="44"/>
      <c r="G669" s="44"/>
      <c r="H669" s="44"/>
      <c r="I669" s="44"/>
      <c r="J669" s="8"/>
      <c r="K669" s="8"/>
    </row>
    <row r="670" spans="1:11" x14ac:dyDescent="0.25">
      <c r="A670" s="44"/>
      <c r="B670" s="44"/>
      <c r="C670" s="44"/>
      <c r="D670" s="44"/>
      <c r="E670" s="44"/>
      <c r="F670" s="44"/>
      <c r="G670" s="44"/>
      <c r="H670" s="44"/>
      <c r="I670" s="44"/>
      <c r="J670" s="8"/>
      <c r="K670" s="8"/>
    </row>
    <row r="671" spans="1:11" x14ac:dyDescent="0.25">
      <c r="A671" s="44"/>
      <c r="B671" s="44"/>
      <c r="C671" s="44"/>
      <c r="D671" s="44"/>
      <c r="E671" s="44"/>
      <c r="F671" s="44"/>
      <c r="G671" s="44"/>
      <c r="H671" s="44"/>
      <c r="I671" s="44"/>
      <c r="J671" s="8"/>
      <c r="K671" s="8"/>
    </row>
    <row r="672" spans="1:11" x14ac:dyDescent="0.25">
      <c r="A672" s="44"/>
      <c r="B672" s="44"/>
      <c r="C672" s="44"/>
      <c r="D672" s="44"/>
      <c r="E672" s="44"/>
      <c r="F672" s="44"/>
      <c r="G672" s="44"/>
      <c r="H672" s="44"/>
      <c r="I672" s="44"/>
      <c r="J672" s="8"/>
      <c r="K672" s="8"/>
    </row>
    <row r="673" spans="1:11" x14ac:dyDescent="0.25">
      <c r="A673" s="44"/>
      <c r="B673" s="44"/>
      <c r="C673" s="44"/>
      <c r="D673" s="44"/>
      <c r="E673" s="44"/>
      <c r="F673" s="44"/>
      <c r="G673" s="44"/>
      <c r="H673" s="44"/>
      <c r="I673" s="44"/>
      <c r="J673" s="8"/>
      <c r="K673" s="8"/>
    </row>
    <row r="674" spans="1:11" x14ac:dyDescent="0.25">
      <c r="A674" s="44"/>
      <c r="B674" s="44"/>
      <c r="C674" s="44"/>
      <c r="D674" s="44"/>
      <c r="E674" s="44"/>
      <c r="F674" s="44"/>
      <c r="G674" s="44"/>
      <c r="H674" s="44"/>
      <c r="I674" s="44"/>
      <c r="J674" s="8"/>
      <c r="K674" s="8"/>
    </row>
    <row r="675" spans="1:11" x14ac:dyDescent="0.25">
      <c r="A675" s="44"/>
      <c r="B675" s="44"/>
      <c r="C675" s="44"/>
      <c r="D675" s="44"/>
      <c r="E675" s="44"/>
      <c r="F675" s="44"/>
      <c r="G675" s="44"/>
      <c r="H675" s="44"/>
      <c r="I675" s="44"/>
      <c r="J675" s="8"/>
      <c r="K675" s="8"/>
    </row>
    <row r="676" spans="1:11" x14ac:dyDescent="0.25">
      <c r="A676" s="44"/>
      <c r="B676" s="44"/>
      <c r="C676" s="44"/>
      <c r="D676" s="44"/>
      <c r="E676" s="44"/>
      <c r="F676" s="44"/>
      <c r="G676" s="44"/>
      <c r="H676" s="44"/>
      <c r="I676" s="44"/>
      <c r="J676" s="8"/>
      <c r="K676" s="8"/>
    </row>
    <row r="677" spans="1:11" x14ac:dyDescent="0.25">
      <c r="A677" s="44"/>
      <c r="B677" s="44"/>
      <c r="C677" s="44"/>
      <c r="D677" s="44"/>
      <c r="E677" s="44"/>
      <c r="F677" s="44"/>
      <c r="G677" s="44"/>
      <c r="H677" s="44"/>
      <c r="I677" s="44"/>
      <c r="J677" s="8"/>
      <c r="K677" s="8"/>
    </row>
    <row r="678" spans="1:11" x14ac:dyDescent="0.25">
      <c r="A678" s="44"/>
      <c r="B678" s="44"/>
      <c r="C678" s="44"/>
      <c r="D678" s="44"/>
      <c r="E678" s="44"/>
      <c r="F678" s="44"/>
      <c r="G678" s="44"/>
      <c r="H678" s="44"/>
      <c r="I678" s="44"/>
      <c r="J678" s="8"/>
      <c r="K678" s="8"/>
    </row>
    <row r="679" spans="1:11" x14ac:dyDescent="0.25">
      <c r="A679" s="44"/>
      <c r="B679" s="44"/>
      <c r="C679" s="44"/>
      <c r="D679" s="44"/>
      <c r="E679" s="44"/>
      <c r="F679" s="44"/>
      <c r="G679" s="44"/>
      <c r="H679" s="44"/>
      <c r="I679" s="44"/>
      <c r="J679" s="8"/>
      <c r="K679" s="8"/>
    </row>
    <row r="680" spans="1:11" x14ac:dyDescent="0.25">
      <c r="A680" s="44"/>
      <c r="B680" s="44"/>
      <c r="C680" s="44"/>
      <c r="D680" s="44"/>
      <c r="E680" s="44"/>
      <c r="F680" s="44"/>
      <c r="G680" s="44"/>
      <c r="H680" s="44"/>
      <c r="I680" s="44"/>
      <c r="J680" s="8"/>
      <c r="K680" s="8"/>
    </row>
    <row r="681" spans="1:11" x14ac:dyDescent="0.25">
      <c r="A681" s="44"/>
      <c r="B681" s="44"/>
      <c r="C681" s="44"/>
      <c r="D681" s="44"/>
      <c r="E681" s="44"/>
      <c r="F681" s="44"/>
      <c r="G681" s="44"/>
      <c r="H681" s="44"/>
      <c r="I681" s="44"/>
      <c r="J681" s="8"/>
      <c r="K681" s="8"/>
    </row>
    <row r="682" spans="1:11" x14ac:dyDescent="0.25">
      <c r="A682" s="44"/>
      <c r="B682" s="44"/>
      <c r="C682" s="44"/>
      <c r="D682" s="44"/>
      <c r="E682" s="44"/>
      <c r="F682" s="44"/>
      <c r="G682" s="44"/>
      <c r="H682" s="44"/>
      <c r="I682" s="44"/>
      <c r="J682" s="8"/>
      <c r="K682" s="8"/>
    </row>
    <row r="683" spans="1:11" x14ac:dyDescent="0.25">
      <c r="A683" s="44"/>
      <c r="B683" s="44"/>
      <c r="C683" s="44"/>
      <c r="D683" s="44"/>
      <c r="E683" s="44"/>
      <c r="F683" s="44"/>
      <c r="G683" s="44"/>
      <c r="H683" s="44"/>
      <c r="I683" s="44"/>
      <c r="J683" s="8"/>
      <c r="K683" s="8"/>
    </row>
    <row r="684" spans="1:11" x14ac:dyDescent="0.25">
      <c r="A684" s="44"/>
      <c r="B684" s="44"/>
      <c r="C684" s="44"/>
      <c r="D684" s="44"/>
      <c r="E684" s="44"/>
      <c r="F684" s="44"/>
      <c r="G684" s="44"/>
      <c r="H684" s="44"/>
      <c r="I684" s="44"/>
      <c r="J684" s="8"/>
      <c r="K684" s="8"/>
    </row>
    <row r="685" spans="1:11" x14ac:dyDescent="0.25">
      <c r="A685" s="44"/>
      <c r="B685" s="44"/>
      <c r="C685" s="44"/>
      <c r="D685" s="44"/>
      <c r="E685" s="44"/>
      <c r="F685" s="44"/>
      <c r="G685" s="44"/>
      <c r="H685" s="44"/>
      <c r="I685" s="44"/>
      <c r="J685" s="8"/>
      <c r="K685" s="8"/>
    </row>
    <row r="686" spans="1:11" x14ac:dyDescent="0.25">
      <c r="A686" s="44"/>
      <c r="B686" s="44"/>
      <c r="C686" s="44"/>
      <c r="D686" s="44"/>
      <c r="E686" s="44"/>
      <c r="F686" s="44"/>
      <c r="G686" s="44"/>
      <c r="H686" s="44"/>
      <c r="I686" s="44"/>
      <c r="J686" s="8"/>
      <c r="K686" s="8"/>
    </row>
    <row r="687" spans="1:11" x14ac:dyDescent="0.25">
      <c r="A687" s="44"/>
      <c r="B687" s="44"/>
      <c r="C687" s="44"/>
      <c r="D687" s="44"/>
      <c r="E687" s="44"/>
      <c r="F687" s="44"/>
      <c r="G687" s="44"/>
      <c r="H687" s="44"/>
      <c r="I687" s="44"/>
      <c r="J687" s="8"/>
      <c r="K687" s="8"/>
    </row>
    <row r="688" spans="1:11" x14ac:dyDescent="0.25">
      <c r="A688" s="44"/>
      <c r="B688" s="44"/>
      <c r="C688" s="44"/>
      <c r="D688" s="44"/>
      <c r="E688" s="44"/>
      <c r="F688" s="44"/>
      <c r="G688" s="44"/>
      <c r="H688" s="44"/>
      <c r="I688" s="44"/>
      <c r="J688" s="8"/>
      <c r="K688" s="8"/>
    </row>
    <row r="689" spans="1:11" x14ac:dyDescent="0.25">
      <c r="A689" s="44"/>
      <c r="B689" s="44"/>
      <c r="C689" s="44"/>
      <c r="D689" s="44"/>
      <c r="E689" s="44"/>
      <c r="F689" s="44"/>
      <c r="G689" s="44"/>
      <c r="H689" s="44"/>
      <c r="I689" s="44"/>
      <c r="J689" s="8"/>
      <c r="K689" s="8"/>
    </row>
    <row r="690" spans="1:11" x14ac:dyDescent="0.25">
      <c r="A690" s="44"/>
      <c r="B690" s="44"/>
      <c r="C690" s="44"/>
      <c r="D690" s="44"/>
      <c r="E690" s="44"/>
      <c r="F690" s="44"/>
      <c r="G690" s="44"/>
      <c r="H690" s="44"/>
      <c r="I690" s="44"/>
      <c r="J690" s="8"/>
      <c r="K690" s="8"/>
    </row>
    <row r="691" spans="1:11" x14ac:dyDescent="0.25">
      <c r="A691" s="44"/>
      <c r="B691" s="44"/>
      <c r="C691" s="44"/>
      <c r="D691" s="44"/>
      <c r="E691" s="44"/>
      <c r="F691" s="44"/>
      <c r="G691" s="44"/>
      <c r="H691" s="44"/>
      <c r="I691" s="44"/>
      <c r="J691" s="8"/>
      <c r="K691" s="8"/>
    </row>
    <row r="692" spans="1:11" x14ac:dyDescent="0.25">
      <c r="A692" s="44"/>
      <c r="B692" s="44"/>
      <c r="C692" s="44"/>
      <c r="D692" s="44"/>
      <c r="E692" s="44"/>
      <c r="F692" s="44"/>
      <c r="G692" s="44"/>
      <c r="H692" s="44"/>
      <c r="I692" s="44"/>
      <c r="J692" s="8"/>
      <c r="K692" s="8"/>
    </row>
    <row r="693" spans="1:11" x14ac:dyDescent="0.25">
      <c r="A693" s="44"/>
      <c r="B693" s="44"/>
      <c r="C693" s="44"/>
      <c r="D693" s="44"/>
      <c r="E693" s="44"/>
      <c r="F693" s="44"/>
      <c r="G693" s="44"/>
      <c r="H693" s="44"/>
      <c r="I693" s="44"/>
      <c r="J693" s="8"/>
      <c r="K693" s="8"/>
    </row>
    <row r="694" spans="1:11" x14ac:dyDescent="0.25">
      <c r="A694" s="44"/>
      <c r="B694" s="44"/>
      <c r="C694" s="44"/>
      <c r="D694" s="44"/>
      <c r="E694" s="44"/>
      <c r="F694" s="44"/>
      <c r="G694" s="44"/>
      <c r="H694" s="44"/>
      <c r="I694" s="44"/>
      <c r="J694" s="8"/>
      <c r="K694" s="8"/>
    </row>
    <row r="695" spans="1:11" x14ac:dyDescent="0.25">
      <c r="A695" s="44"/>
      <c r="B695" s="44"/>
      <c r="C695" s="44"/>
      <c r="D695" s="44"/>
      <c r="E695" s="44"/>
      <c r="F695" s="44"/>
      <c r="G695" s="44"/>
      <c r="H695" s="44"/>
      <c r="I695" s="44"/>
      <c r="J695" s="8"/>
      <c r="K695" s="8"/>
    </row>
    <row r="696" spans="1:11" x14ac:dyDescent="0.25">
      <c r="A696" s="44"/>
      <c r="B696" s="44"/>
      <c r="C696" s="44"/>
      <c r="D696" s="44"/>
      <c r="E696" s="44"/>
      <c r="F696" s="44"/>
      <c r="G696" s="44"/>
      <c r="H696" s="44"/>
      <c r="I696" s="44"/>
      <c r="J696" s="8"/>
      <c r="K696" s="8"/>
    </row>
    <row r="697" spans="1:11" x14ac:dyDescent="0.25">
      <c r="A697" s="44"/>
      <c r="B697" s="44"/>
      <c r="C697" s="44"/>
      <c r="D697" s="44"/>
      <c r="E697" s="44"/>
      <c r="F697" s="44"/>
      <c r="G697" s="44"/>
      <c r="H697" s="44"/>
      <c r="I697" s="44"/>
      <c r="J697" s="8"/>
      <c r="K697" s="8"/>
    </row>
    <row r="698" spans="1:11" x14ac:dyDescent="0.25">
      <c r="A698" s="44"/>
      <c r="B698" s="44"/>
      <c r="C698" s="44"/>
      <c r="D698" s="44"/>
      <c r="E698" s="44"/>
      <c r="F698" s="44"/>
      <c r="G698" s="44"/>
      <c r="H698" s="44"/>
      <c r="I698" s="44"/>
      <c r="J698" s="8"/>
      <c r="K698" s="8"/>
    </row>
    <row r="699" spans="1:11" x14ac:dyDescent="0.25">
      <c r="A699" s="44"/>
      <c r="B699" s="44"/>
      <c r="C699" s="44"/>
      <c r="D699" s="44"/>
      <c r="E699" s="44"/>
      <c r="F699" s="44"/>
      <c r="G699" s="44"/>
      <c r="H699" s="44"/>
      <c r="I699" s="44"/>
      <c r="J699" s="8"/>
      <c r="K699" s="8"/>
    </row>
    <row r="700" spans="1:11" x14ac:dyDescent="0.25">
      <c r="A700" s="44"/>
      <c r="B700" s="44"/>
      <c r="C700" s="44"/>
      <c r="D700" s="44"/>
      <c r="E700" s="44"/>
      <c r="F700" s="44"/>
      <c r="G700" s="44"/>
      <c r="H700" s="44"/>
      <c r="I700" s="44"/>
      <c r="J700" s="8"/>
      <c r="K700" s="8"/>
    </row>
    <row r="701" spans="1:11" x14ac:dyDescent="0.25">
      <c r="A701" s="44"/>
      <c r="B701" s="44"/>
      <c r="C701" s="44"/>
      <c r="D701" s="44"/>
      <c r="E701" s="44"/>
      <c r="F701" s="44"/>
      <c r="G701" s="44"/>
      <c r="H701" s="44"/>
      <c r="I701" s="44"/>
      <c r="J701" s="8"/>
      <c r="K701" s="8"/>
    </row>
    <row r="702" spans="1:11" x14ac:dyDescent="0.25">
      <c r="A702" s="44"/>
      <c r="B702" s="44"/>
      <c r="C702" s="44"/>
      <c r="D702" s="44"/>
      <c r="E702" s="44"/>
      <c r="F702" s="44"/>
      <c r="G702" s="44"/>
      <c r="H702" s="44"/>
      <c r="I702" s="44"/>
      <c r="J702" s="8"/>
      <c r="K702" s="8"/>
    </row>
    <row r="703" spans="1:11" x14ac:dyDescent="0.25">
      <c r="A703" s="44"/>
      <c r="B703" s="44"/>
      <c r="C703" s="44"/>
      <c r="D703" s="44"/>
      <c r="E703" s="44"/>
      <c r="F703" s="44"/>
      <c r="G703" s="44"/>
      <c r="H703" s="44"/>
      <c r="I703" s="44"/>
      <c r="J703" s="8"/>
      <c r="K703" s="8"/>
    </row>
    <row r="704" spans="1:11" x14ac:dyDescent="0.25">
      <c r="A704" s="44"/>
      <c r="B704" s="44"/>
      <c r="C704" s="44"/>
      <c r="D704" s="44"/>
      <c r="E704" s="44"/>
      <c r="F704" s="44"/>
      <c r="G704" s="44"/>
      <c r="H704" s="44"/>
      <c r="I704" s="44"/>
      <c r="J704" s="8"/>
      <c r="K704" s="8"/>
    </row>
    <row r="705" spans="1:11" x14ac:dyDescent="0.25">
      <c r="A705" s="44"/>
      <c r="B705" s="44"/>
      <c r="C705" s="44"/>
      <c r="D705" s="44"/>
      <c r="E705" s="44"/>
      <c r="F705" s="44"/>
      <c r="G705" s="44"/>
      <c r="H705" s="44"/>
      <c r="I705" s="44"/>
      <c r="J705" s="8"/>
      <c r="K705" s="8"/>
    </row>
    <row r="706" spans="1:11" x14ac:dyDescent="0.25">
      <c r="A706" s="44"/>
      <c r="B706" s="44"/>
      <c r="C706" s="44"/>
      <c r="D706" s="44"/>
      <c r="E706" s="44"/>
      <c r="F706" s="44"/>
      <c r="G706" s="44"/>
      <c r="H706" s="44"/>
      <c r="I706" s="44"/>
      <c r="J706" s="8"/>
      <c r="K706" s="8"/>
    </row>
    <row r="707" spans="1:11" x14ac:dyDescent="0.25">
      <c r="A707" s="44"/>
      <c r="B707" s="44"/>
      <c r="C707" s="44"/>
      <c r="D707" s="44"/>
      <c r="E707" s="44"/>
      <c r="F707" s="44"/>
      <c r="G707" s="44"/>
      <c r="H707" s="44"/>
      <c r="I707" s="44"/>
      <c r="J707" s="8"/>
      <c r="K707" s="8"/>
    </row>
    <row r="708" spans="1:11" x14ac:dyDescent="0.25">
      <c r="A708" s="44"/>
      <c r="B708" s="44"/>
      <c r="C708" s="44"/>
      <c r="D708" s="44"/>
      <c r="E708" s="44"/>
      <c r="F708" s="44"/>
      <c r="G708" s="44"/>
      <c r="H708" s="44"/>
      <c r="I708" s="44"/>
      <c r="J708" s="8"/>
      <c r="K708" s="8"/>
    </row>
    <row r="709" spans="1:11" x14ac:dyDescent="0.25">
      <c r="A709" s="44"/>
      <c r="B709" s="44"/>
      <c r="C709" s="44"/>
      <c r="D709" s="44"/>
      <c r="E709" s="44"/>
      <c r="F709" s="44"/>
      <c r="G709" s="44"/>
      <c r="H709" s="44"/>
      <c r="I709" s="44"/>
      <c r="J709" s="8"/>
      <c r="K709" s="8"/>
    </row>
    <row r="710" spans="1:11" x14ac:dyDescent="0.25">
      <c r="A710" s="44"/>
      <c r="B710" s="44"/>
      <c r="C710" s="44"/>
      <c r="D710" s="44"/>
      <c r="E710" s="44"/>
      <c r="F710" s="44"/>
      <c r="G710" s="44"/>
      <c r="H710" s="44"/>
      <c r="I710" s="44"/>
      <c r="J710" s="8"/>
      <c r="K710" s="8"/>
    </row>
    <row r="711" spans="1:11" x14ac:dyDescent="0.25">
      <c r="A711" s="44"/>
      <c r="B711" s="44"/>
      <c r="C711" s="44"/>
      <c r="D711" s="44"/>
      <c r="E711" s="44"/>
      <c r="F711" s="44"/>
      <c r="G711" s="44"/>
      <c r="H711" s="44"/>
      <c r="I711" s="44"/>
      <c r="J711" s="8"/>
      <c r="K711" s="8"/>
    </row>
    <row r="712" spans="1:11" x14ac:dyDescent="0.25">
      <c r="A712" s="44"/>
      <c r="B712" s="44"/>
      <c r="C712" s="44"/>
      <c r="D712" s="44"/>
      <c r="E712" s="44"/>
      <c r="F712" s="44"/>
      <c r="G712" s="44"/>
      <c r="H712" s="44"/>
      <c r="I712" s="44"/>
      <c r="J712" s="8"/>
      <c r="K712" s="8"/>
    </row>
    <row r="713" spans="1:11" x14ac:dyDescent="0.25">
      <c r="A713" s="44"/>
      <c r="B713" s="44"/>
      <c r="C713" s="44"/>
      <c r="D713" s="44"/>
      <c r="E713" s="44"/>
      <c r="F713" s="44"/>
      <c r="G713" s="44"/>
      <c r="H713" s="44"/>
      <c r="I713" s="44"/>
      <c r="J713" s="8"/>
      <c r="K713" s="8"/>
    </row>
    <row r="714" spans="1:11" x14ac:dyDescent="0.25">
      <c r="A714" s="44"/>
      <c r="B714" s="44"/>
      <c r="C714" s="44"/>
      <c r="D714" s="44"/>
      <c r="E714" s="44"/>
      <c r="F714" s="44"/>
      <c r="G714" s="44"/>
      <c r="H714" s="44"/>
      <c r="I714" s="44"/>
      <c r="J714" s="8"/>
      <c r="K714" s="8"/>
    </row>
    <row r="715" spans="1:11" x14ac:dyDescent="0.25">
      <c r="A715" s="44"/>
      <c r="B715" s="44"/>
      <c r="C715" s="44"/>
      <c r="D715" s="44"/>
      <c r="E715" s="44"/>
      <c r="F715" s="44"/>
      <c r="G715" s="44"/>
      <c r="H715" s="44"/>
      <c r="I715" s="44"/>
      <c r="J715" s="8"/>
      <c r="K715" s="8"/>
    </row>
    <row r="716" spans="1:11" x14ac:dyDescent="0.25">
      <c r="A716" s="44"/>
      <c r="B716" s="44"/>
      <c r="C716" s="44"/>
      <c r="D716" s="44"/>
      <c r="E716" s="44"/>
      <c r="F716" s="44"/>
      <c r="G716" s="44"/>
      <c r="H716" s="44"/>
      <c r="I716" s="44"/>
      <c r="J716" s="8"/>
      <c r="K716" s="8"/>
    </row>
    <row r="717" spans="1:11" x14ac:dyDescent="0.25">
      <c r="A717" s="44"/>
      <c r="B717" s="44"/>
      <c r="C717" s="44"/>
      <c r="D717" s="44"/>
      <c r="E717" s="44"/>
      <c r="F717" s="44"/>
      <c r="G717" s="44"/>
      <c r="H717" s="44"/>
      <c r="I717" s="44"/>
      <c r="J717" s="8"/>
      <c r="K717" s="8"/>
    </row>
    <row r="718" spans="1:11" x14ac:dyDescent="0.25">
      <c r="A718" s="44"/>
      <c r="B718" s="44"/>
      <c r="C718" s="44"/>
      <c r="D718" s="44"/>
      <c r="E718" s="44"/>
      <c r="F718" s="44"/>
      <c r="G718" s="44"/>
      <c r="H718" s="44"/>
      <c r="I718" s="44"/>
      <c r="J718" s="8"/>
      <c r="K718" s="8"/>
    </row>
    <row r="719" spans="1:11" x14ac:dyDescent="0.25">
      <c r="A719" s="44"/>
      <c r="B719" s="44"/>
      <c r="C719" s="44"/>
      <c r="D719" s="44"/>
      <c r="E719" s="44"/>
      <c r="F719" s="44"/>
      <c r="G719" s="44"/>
      <c r="H719" s="44"/>
      <c r="I719" s="44"/>
      <c r="J719" s="8"/>
      <c r="K719" s="8"/>
    </row>
    <row r="720" spans="1:11" x14ac:dyDescent="0.25">
      <c r="A720" s="44"/>
      <c r="B720" s="44"/>
      <c r="C720" s="44"/>
      <c r="D720" s="44"/>
      <c r="E720" s="44"/>
      <c r="F720" s="44"/>
      <c r="G720" s="44"/>
      <c r="H720" s="44"/>
      <c r="I720" s="44"/>
      <c r="J720" s="8"/>
      <c r="K720" s="8"/>
    </row>
    <row r="721" spans="1:11" x14ac:dyDescent="0.25">
      <c r="A721" s="44"/>
      <c r="B721" s="44"/>
      <c r="C721" s="44"/>
      <c r="D721" s="44"/>
      <c r="E721" s="44"/>
      <c r="F721" s="44"/>
      <c r="G721" s="44"/>
      <c r="H721" s="44"/>
      <c r="I721" s="44"/>
      <c r="J721" s="8"/>
      <c r="K721" s="8"/>
    </row>
    <row r="722" spans="1:11" x14ac:dyDescent="0.25">
      <c r="A722" s="44"/>
      <c r="B722" s="44"/>
      <c r="C722" s="44"/>
      <c r="D722" s="44"/>
      <c r="E722" s="44"/>
      <c r="F722" s="44"/>
      <c r="G722" s="44"/>
      <c r="H722" s="44"/>
      <c r="I722" s="44"/>
      <c r="J722" s="8"/>
      <c r="K722" s="8"/>
    </row>
    <row r="723" spans="1:11" x14ac:dyDescent="0.25">
      <c r="A723" s="44"/>
      <c r="B723" s="44"/>
      <c r="C723" s="44"/>
      <c r="D723" s="44"/>
      <c r="E723" s="44"/>
      <c r="F723" s="44"/>
      <c r="G723" s="44"/>
      <c r="H723" s="44"/>
      <c r="I723" s="44"/>
      <c r="J723" s="8"/>
      <c r="K723" s="8"/>
    </row>
    <row r="724" spans="1:11" x14ac:dyDescent="0.25">
      <c r="A724" s="44"/>
      <c r="B724" s="44"/>
      <c r="C724" s="44"/>
      <c r="D724" s="44"/>
      <c r="E724" s="44"/>
      <c r="F724" s="44"/>
      <c r="G724" s="44"/>
      <c r="H724" s="44"/>
      <c r="I724" s="44"/>
      <c r="J724" s="8"/>
      <c r="K724" s="8"/>
    </row>
    <row r="725" spans="1:11" x14ac:dyDescent="0.25">
      <c r="A725" s="44"/>
      <c r="B725" s="44"/>
      <c r="C725" s="44"/>
      <c r="D725" s="44"/>
      <c r="E725" s="44"/>
      <c r="F725" s="44"/>
      <c r="G725" s="44"/>
      <c r="H725" s="44"/>
      <c r="I725" s="44"/>
      <c r="J725" s="8"/>
      <c r="K725" s="8"/>
    </row>
    <row r="726" spans="1:11" x14ac:dyDescent="0.25">
      <c r="A726" s="44"/>
      <c r="B726" s="44"/>
      <c r="C726" s="44"/>
      <c r="D726" s="44"/>
      <c r="E726" s="44"/>
      <c r="F726" s="44"/>
      <c r="G726" s="44"/>
      <c r="H726" s="44"/>
      <c r="I726" s="44"/>
      <c r="J726" s="8"/>
      <c r="K726" s="8"/>
    </row>
    <row r="727" spans="1:11" x14ac:dyDescent="0.25">
      <c r="A727" s="44"/>
      <c r="B727" s="44"/>
      <c r="C727" s="44"/>
      <c r="D727" s="44"/>
      <c r="E727" s="44"/>
      <c r="F727" s="44"/>
      <c r="G727" s="44"/>
      <c r="H727" s="44"/>
      <c r="I727" s="44"/>
      <c r="J727" s="8"/>
      <c r="K727" s="8"/>
    </row>
    <row r="728" spans="1:11" x14ac:dyDescent="0.25">
      <c r="A728" s="44"/>
      <c r="B728" s="44"/>
      <c r="C728" s="44"/>
      <c r="D728" s="44"/>
      <c r="E728" s="44"/>
      <c r="F728" s="44"/>
      <c r="G728" s="44"/>
      <c r="H728" s="44"/>
      <c r="I728" s="44"/>
      <c r="J728" s="8"/>
      <c r="K728" s="8"/>
    </row>
    <row r="729" spans="1:11" x14ac:dyDescent="0.25">
      <c r="A729" s="44"/>
      <c r="B729" s="44"/>
      <c r="C729" s="44"/>
      <c r="D729" s="44"/>
      <c r="E729" s="44"/>
      <c r="F729" s="44"/>
      <c r="G729" s="44"/>
      <c r="H729" s="44"/>
      <c r="I729" s="44"/>
      <c r="J729" s="8"/>
      <c r="K729" s="8"/>
    </row>
    <row r="730" spans="1:11" x14ac:dyDescent="0.25">
      <c r="A730" s="44"/>
      <c r="B730" s="44"/>
      <c r="C730" s="44"/>
      <c r="D730" s="44"/>
      <c r="E730" s="44"/>
      <c r="F730" s="44"/>
      <c r="G730" s="44"/>
      <c r="H730" s="44"/>
      <c r="I730" s="44"/>
      <c r="J730" s="8"/>
      <c r="K730" s="8"/>
    </row>
    <row r="731" spans="1:11" x14ac:dyDescent="0.25">
      <c r="A731" s="44"/>
      <c r="B731" s="44"/>
      <c r="C731" s="44"/>
      <c r="D731" s="44"/>
      <c r="E731" s="44"/>
      <c r="F731" s="44"/>
      <c r="G731" s="44"/>
      <c r="H731" s="44"/>
      <c r="I731" s="44"/>
      <c r="J731" s="8"/>
      <c r="K731" s="8"/>
    </row>
    <row r="732" spans="1:11" x14ac:dyDescent="0.25">
      <c r="A732" s="44"/>
      <c r="B732" s="44"/>
      <c r="C732" s="44"/>
      <c r="D732" s="44"/>
      <c r="E732" s="44"/>
      <c r="F732" s="44"/>
      <c r="G732" s="44"/>
      <c r="H732" s="44"/>
      <c r="I732" s="44"/>
      <c r="J732" s="8"/>
      <c r="K732" s="8"/>
    </row>
    <row r="733" spans="1:11" x14ac:dyDescent="0.25">
      <c r="A733" s="44"/>
      <c r="B733" s="44"/>
      <c r="C733" s="44"/>
      <c r="D733" s="44"/>
      <c r="E733" s="44"/>
      <c r="F733" s="44"/>
      <c r="G733" s="44"/>
      <c r="H733" s="44"/>
      <c r="I733" s="44"/>
      <c r="J733" s="8"/>
      <c r="K733" s="8"/>
    </row>
    <row r="734" spans="1:11" x14ac:dyDescent="0.25">
      <c r="A734" s="44"/>
      <c r="B734" s="44"/>
      <c r="C734" s="44"/>
      <c r="D734" s="44"/>
      <c r="E734" s="44"/>
      <c r="F734" s="44"/>
      <c r="G734" s="44"/>
      <c r="H734" s="44"/>
      <c r="I734" s="44"/>
      <c r="J734" s="8"/>
      <c r="K734" s="8"/>
    </row>
    <row r="735" spans="1:11" x14ac:dyDescent="0.25">
      <c r="A735" s="44"/>
      <c r="B735" s="44"/>
      <c r="C735" s="44"/>
      <c r="D735" s="44"/>
      <c r="E735" s="44"/>
      <c r="F735" s="44"/>
      <c r="G735" s="44"/>
      <c r="H735" s="44"/>
      <c r="I735" s="44"/>
      <c r="J735" s="8"/>
      <c r="K735" s="8"/>
    </row>
    <row r="736" spans="1:11" x14ac:dyDescent="0.25">
      <c r="A736" s="44"/>
      <c r="B736" s="44"/>
      <c r="C736" s="44"/>
      <c r="D736" s="44"/>
      <c r="E736" s="44"/>
      <c r="F736" s="44"/>
      <c r="G736" s="44"/>
      <c r="H736" s="44"/>
      <c r="I736" s="44"/>
      <c r="J736" s="8"/>
      <c r="K736" s="8"/>
    </row>
    <row r="737" spans="1:11" x14ac:dyDescent="0.25">
      <c r="A737" s="44"/>
      <c r="B737" s="44"/>
      <c r="C737" s="44"/>
      <c r="D737" s="44"/>
      <c r="E737" s="44"/>
      <c r="F737" s="44"/>
      <c r="G737" s="44"/>
      <c r="H737" s="44"/>
      <c r="I737" s="44"/>
      <c r="J737" s="8"/>
      <c r="K737" s="8"/>
    </row>
    <row r="738" spans="1:11" x14ac:dyDescent="0.25">
      <c r="A738" s="44"/>
      <c r="B738" s="44"/>
      <c r="C738" s="44"/>
      <c r="D738" s="44"/>
      <c r="E738" s="44"/>
      <c r="F738" s="44"/>
      <c r="G738" s="44"/>
      <c r="H738" s="44"/>
      <c r="I738" s="44"/>
      <c r="J738" s="8"/>
      <c r="K738" s="8"/>
    </row>
    <row r="739" spans="1:11" x14ac:dyDescent="0.25">
      <c r="A739" s="44"/>
      <c r="B739" s="44"/>
      <c r="C739" s="44"/>
      <c r="D739" s="44"/>
      <c r="E739" s="44"/>
      <c r="F739" s="44"/>
      <c r="G739" s="44"/>
      <c r="H739" s="44"/>
      <c r="I739" s="44"/>
      <c r="J739" s="8"/>
      <c r="K739" s="8"/>
    </row>
    <row r="740" spans="1:11" x14ac:dyDescent="0.25">
      <c r="A740" s="44"/>
      <c r="B740" s="44"/>
      <c r="C740" s="44"/>
      <c r="D740" s="44"/>
      <c r="E740" s="44"/>
      <c r="F740" s="44"/>
      <c r="G740" s="44"/>
      <c r="H740" s="44"/>
      <c r="I740" s="44"/>
      <c r="J740" s="8"/>
      <c r="K740" s="8"/>
    </row>
    <row r="741" spans="1:11" x14ac:dyDescent="0.25">
      <c r="A741" s="44"/>
      <c r="B741" s="44"/>
      <c r="C741" s="44"/>
      <c r="D741" s="44"/>
      <c r="E741" s="44"/>
      <c r="F741" s="44"/>
      <c r="G741" s="44"/>
      <c r="H741" s="44"/>
      <c r="I741" s="44"/>
      <c r="J741" s="8"/>
      <c r="K741" s="8"/>
    </row>
    <row r="742" spans="1:11" x14ac:dyDescent="0.25">
      <c r="A742" s="44"/>
      <c r="B742" s="44"/>
      <c r="C742" s="44"/>
      <c r="D742" s="44"/>
      <c r="E742" s="44"/>
      <c r="F742" s="44"/>
      <c r="G742" s="44"/>
      <c r="H742" s="44"/>
      <c r="I742" s="44"/>
      <c r="J742" s="8"/>
      <c r="K742" s="8"/>
    </row>
    <row r="743" spans="1:11" x14ac:dyDescent="0.25">
      <c r="A743" s="44"/>
      <c r="B743" s="44"/>
      <c r="C743" s="44"/>
      <c r="D743" s="44"/>
      <c r="E743" s="44"/>
      <c r="F743" s="44"/>
      <c r="G743" s="44"/>
      <c r="H743" s="44"/>
      <c r="I743" s="44"/>
      <c r="J743" s="8"/>
      <c r="K743" s="8"/>
    </row>
    <row r="744" spans="1:11" x14ac:dyDescent="0.25">
      <c r="A744" s="44"/>
      <c r="B744" s="44"/>
      <c r="C744" s="44"/>
      <c r="D744" s="44"/>
      <c r="E744" s="44"/>
      <c r="F744" s="44"/>
      <c r="G744" s="44"/>
      <c r="H744" s="44"/>
      <c r="I744" s="44"/>
      <c r="J744" s="8"/>
      <c r="K744" s="8"/>
    </row>
    <row r="745" spans="1:11" x14ac:dyDescent="0.25">
      <c r="A745" s="44"/>
      <c r="B745" s="44"/>
      <c r="C745" s="44"/>
      <c r="D745" s="44"/>
      <c r="E745" s="44"/>
      <c r="F745" s="44"/>
      <c r="G745" s="44"/>
      <c r="H745" s="44"/>
      <c r="I745" s="44"/>
      <c r="J745" s="8"/>
      <c r="K745" s="8"/>
    </row>
    <row r="746" spans="1:11" x14ac:dyDescent="0.25">
      <c r="A746" s="44"/>
      <c r="B746" s="44"/>
      <c r="C746" s="44"/>
      <c r="D746" s="44"/>
      <c r="E746" s="44"/>
      <c r="F746" s="44"/>
      <c r="G746" s="44"/>
      <c r="H746" s="44"/>
      <c r="I746" s="44"/>
      <c r="J746" s="8"/>
      <c r="K746" s="8"/>
    </row>
    <row r="747" spans="1:11" x14ac:dyDescent="0.25">
      <c r="A747" s="44"/>
      <c r="B747" s="44"/>
      <c r="C747" s="44"/>
      <c r="D747" s="44"/>
      <c r="E747" s="44"/>
      <c r="F747" s="44"/>
      <c r="G747" s="44"/>
      <c r="H747" s="44"/>
      <c r="I747" s="44"/>
      <c r="J747" s="8"/>
      <c r="K747" s="8"/>
    </row>
    <row r="748" spans="1:11" x14ac:dyDescent="0.25">
      <c r="A748" s="44"/>
      <c r="B748" s="44"/>
      <c r="C748" s="44"/>
      <c r="D748" s="44"/>
      <c r="E748" s="44"/>
      <c r="F748" s="44"/>
      <c r="G748" s="44"/>
      <c r="H748" s="44"/>
      <c r="I748" s="44"/>
      <c r="J748" s="8"/>
      <c r="K748" s="8"/>
    </row>
    <row r="749" spans="1:11" x14ac:dyDescent="0.25">
      <c r="A749" s="44"/>
      <c r="B749" s="44"/>
      <c r="C749" s="44"/>
      <c r="D749" s="44"/>
      <c r="E749" s="44"/>
      <c r="F749" s="44"/>
      <c r="G749" s="44"/>
      <c r="H749" s="44"/>
      <c r="I749" s="44"/>
      <c r="J749" s="8"/>
      <c r="K749" s="8"/>
    </row>
    <row r="750" spans="1:11" x14ac:dyDescent="0.25">
      <c r="A750" s="44"/>
      <c r="B750" s="44"/>
      <c r="C750" s="44"/>
      <c r="D750" s="44"/>
      <c r="E750" s="44"/>
      <c r="F750" s="44"/>
      <c r="G750" s="44"/>
      <c r="H750" s="44"/>
      <c r="I750" s="44"/>
      <c r="J750" s="8"/>
      <c r="K750" s="8"/>
    </row>
    <row r="751" spans="1:11" x14ac:dyDescent="0.25">
      <c r="A751" s="44"/>
      <c r="B751" s="44"/>
      <c r="C751" s="44"/>
      <c r="D751" s="44"/>
      <c r="E751" s="44"/>
      <c r="F751" s="44"/>
      <c r="G751" s="44"/>
      <c r="H751" s="44"/>
      <c r="I751" s="44"/>
      <c r="J751" s="8"/>
      <c r="K751" s="8"/>
    </row>
    <row r="752" spans="1:11" x14ac:dyDescent="0.25">
      <c r="A752" s="44"/>
      <c r="B752" s="44"/>
      <c r="C752" s="44"/>
      <c r="D752" s="44"/>
      <c r="E752" s="44"/>
      <c r="F752" s="44"/>
      <c r="G752" s="44"/>
      <c r="H752" s="44"/>
      <c r="I752" s="44"/>
      <c r="J752" s="8"/>
      <c r="K752" s="8"/>
    </row>
    <row r="753" spans="1:11" x14ac:dyDescent="0.25">
      <c r="A753" s="44"/>
      <c r="B753" s="44"/>
      <c r="C753" s="44"/>
      <c r="D753" s="44"/>
      <c r="E753" s="44"/>
      <c r="F753" s="44"/>
      <c r="G753" s="44"/>
      <c r="H753" s="44"/>
      <c r="I753" s="44"/>
      <c r="J753" s="8"/>
      <c r="K753" s="8"/>
    </row>
    <row r="754" spans="1:11" x14ac:dyDescent="0.25">
      <c r="A754" s="44"/>
      <c r="B754" s="44"/>
      <c r="C754" s="44"/>
      <c r="D754" s="44"/>
      <c r="E754" s="44"/>
      <c r="F754" s="44"/>
      <c r="G754" s="44"/>
      <c r="H754" s="44"/>
      <c r="I754" s="44"/>
      <c r="J754" s="8"/>
      <c r="K754" s="8"/>
    </row>
    <row r="755" spans="1:11" x14ac:dyDescent="0.25">
      <c r="A755" s="44"/>
      <c r="B755" s="44"/>
      <c r="C755" s="44"/>
      <c r="D755" s="44"/>
      <c r="E755" s="44"/>
      <c r="F755" s="44"/>
      <c r="G755" s="44"/>
      <c r="H755" s="44"/>
      <c r="I755" s="44"/>
      <c r="J755" s="8"/>
      <c r="K755" s="8"/>
    </row>
    <row r="756" spans="1:11" x14ac:dyDescent="0.25">
      <c r="A756" s="44"/>
      <c r="B756" s="44"/>
      <c r="C756" s="44"/>
      <c r="D756" s="44"/>
      <c r="E756" s="44"/>
      <c r="F756" s="44"/>
      <c r="G756" s="44"/>
      <c r="H756" s="44"/>
      <c r="I756" s="44"/>
      <c r="J756" s="8"/>
      <c r="K756" s="8"/>
    </row>
    <row r="757" spans="1:11" x14ac:dyDescent="0.25">
      <c r="A757" s="44"/>
      <c r="B757" s="44"/>
      <c r="C757" s="44"/>
      <c r="D757" s="44"/>
      <c r="E757" s="44"/>
      <c r="F757" s="44"/>
      <c r="G757" s="44"/>
      <c r="H757" s="44"/>
      <c r="I757" s="44"/>
      <c r="J757" s="8"/>
      <c r="K757" s="8"/>
    </row>
    <row r="758" spans="1:11" x14ac:dyDescent="0.25">
      <c r="A758" s="44"/>
      <c r="B758" s="44"/>
      <c r="C758" s="44"/>
      <c r="D758" s="44"/>
      <c r="E758" s="44"/>
      <c r="F758" s="44"/>
      <c r="G758" s="44"/>
      <c r="H758" s="44"/>
      <c r="I758" s="44"/>
      <c r="J758" s="8"/>
      <c r="K758" s="8"/>
    </row>
    <row r="759" spans="1:11" x14ac:dyDescent="0.25">
      <c r="A759" s="44"/>
      <c r="B759" s="44"/>
      <c r="C759" s="44"/>
      <c r="D759" s="44"/>
      <c r="E759" s="44"/>
      <c r="F759" s="44"/>
      <c r="G759" s="44"/>
      <c r="H759" s="44"/>
      <c r="I759" s="44"/>
      <c r="J759" s="8"/>
      <c r="K759" s="8"/>
    </row>
    <row r="760" spans="1:11" x14ac:dyDescent="0.25">
      <c r="A760" s="44"/>
      <c r="B760" s="44"/>
      <c r="C760" s="44"/>
      <c r="D760" s="44"/>
      <c r="E760" s="44"/>
      <c r="F760" s="44"/>
      <c r="G760" s="44"/>
      <c r="H760" s="44"/>
      <c r="I760" s="44"/>
      <c r="J760" s="8"/>
      <c r="K760" s="8"/>
    </row>
    <row r="761" spans="1:11" x14ac:dyDescent="0.25">
      <c r="A761" s="44"/>
      <c r="B761" s="44"/>
      <c r="C761" s="44"/>
      <c r="D761" s="44"/>
      <c r="E761" s="44"/>
      <c r="F761" s="44"/>
      <c r="G761" s="44"/>
      <c r="H761" s="44"/>
      <c r="I761" s="44"/>
      <c r="J761" s="8"/>
      <c r="K761" s="8"/>
    </row>
    <row r="762" spans="1:11" x14ac:dyDescent="0.25">
      <c r="A762" s="44"/>
      <c r="B762" s="44"/>
      <c r="C762" s="44"/>
      <c r="D762" s="44"/>
      <c r="E762" s="44"/>
      <c r="F762" s="44"/>
      <c r="G762" s="44"/>
      <c r="H762" s="44"/>
      <c r="I762" s="44"/>
      <c r="J762" s="8"/>
      <c r="K762" s="8"/>
    </row>
    <row r="763" spans="1:11" x14ac:dyDescent="0.25">
      <c r="A763" s="44"/>
      <c r="B763" s="44"/>
      <c r="C763" s="44"/>
      <c r="D763" s="44"/>
      <c r="E763" s="44"/>
      <c r="F763" s="44"/>
      <c r="G763" s="44"/>
      <c r="H763" s="44"/>
      <c r="I763" s="44"/>
      <c r="J763" s="8"/>
      <c r="K763" s="8"/>
    </row>
    <row r="764" spans="1:11" x14ac:dyDescent="0.25">
      <c r="A764" s="44"/>
      <c r="B764" s="44"/>
      <c r="C764" s="44"/>
      <c r="D764" s="44"/>
      <c r="E764" s="44"/>
      <c r="F764" s="44"/>
      <c r="G764" s="44"/>
      <c r="H764" s="44"/>
      <c r="I764" s="44"/>
      <c r="J764" s="8"/>
      <c r="K764" s="8"/>
    </row>
    <row r="765" spans="1:11" x14ac:dyDescent="0.25">
      <c r="A765" s="44"/>
      <c r="B765" s="44"/>
      <c r="C765" s="44"/>
      <c r="D765" s="44"/>
      <c r="E765" s="44"/>
      <c r="F765" s="44"/>
      <c r="G765" s="44"/>
      <c r="H765" s="44"/>
      <c r="I765" s="44"/>
      <c r="J765" s="8"/>
      <c r="K765" s="8"/>
    </row>
    <row r="766" spans="1:11" x14ac:dyDescent="0.25">
      <c r="A766" s="44"/>
      <c r="B766" s="44"/>
      <c r="C766" s="44"/>
      <c r="D766" s="44"/>
      <c r="E766" s="44"/>
      <c r="F766" s="44"/>
      <c r="G766" s="44"/>
      <c r="H766" s="44"/>
      <c r="I766" s="44"/>
      <c r="J766" s="8"/>
      <c r="K766" s="8"/>
    </row>
    <row r="767" spans="1:11" x14ac:dyDescent="0.25">
      <c r="A767" s="44"/>
      <c r="B767" s="44"/>
      <c r="C767" s="44"/>
      <c r="D767" s="44"/>
      <c r="E767" s="44"/>
      <c r="F767" s="44"/>
      <c r="G767" s="44"/>
      <c r="H767" s="44"/>
      <c r="I767" s="44"/>
      <c r="J767" s="8"/>
      <c r="K767" s="8"/>
    </row>
    <row r="768" spans="1:11" x14ac:dyDescent="0.25">
      <c r="A768" s="44"/>
      <c r="B768" s="44"/>
      <c r="C768" s="44"/>
      <c r="D768" s="44"/>
      <c r="E768" s="44"/>
      <c r="F768" s="44"/>
      <c r="G768" s="44"/>
      <c r="H768" s="44"/>
      <c r="I768" s="44"/>
      <c r="J768" s="8"/>
      <c r="K768" s="8"/>
    </row>
    <row r="769" spans="1:11" x14ac:dyDescent="0.25">
      <c r="A769" s="44"/>
      <c r="B769" s="44"/>
      <c r="C769" s="44"/>
      <c r="D769" s="44"/>
      <c r="E769" s="44"/>
      <c r="F769" s="44"/>
      <c r="G769" s="44"/>
      <c r="H769" s="44"/>
      <c r="I769" s="44"/>
      <c r="J769" s="8"/>
      <c r="K769" s="8"/>
    </row>
    <row r="770" spans="1:11" x14ac:dyDescent="0.25">
      <c r="A770" s="44"/>
      <c r="B770" s="44"/>
      <c r="C770" s="44"/>
      <c r="D770" s="44"/>
      <c r="E770" s="44"/>
      <c r="F770" s="44"/>
      <c r="G770" s="44"/>
      <c r="H770" s="44"/>
      <c r="I770" s="44"/>
      <c r="J770" s="8"/>
      <c r="K770" s="8"/>
    </row>
    <row r="771" spans="1:11" x14ac:dyDescent="0.25">
      <c r="A771" s="44"/>
      <c r="B771" s="44"/>
      <c r="C771" s="44"/>
      <c r="D771" s="44"/>
      <c r="E771" s="44"/>
      <c r="F771" s="44"/>
      <c r="G771" s="44"/>
      <c r="H771" s="44"/>
      <c r="I771" s="44"/>
      <c r="J771" s="8"/>
      <c r="K771" s="8"/>
    </row>
    <row r="772" spans="1:11" x14ac:dyDescent="0.25">
      <c r="A772" s="44"/>
      <c r="B772" s="44"/>
      <c r="C772" s="44"/>
      <c r="D772" s="44"/>
      <c r="E772" s="44"/>
      <c r="F772" s="44"/>
      <c r="G772" s="44"/>
      <c r="H772" s="44"/>
      <c r="I772" s="44"/>
      <c r="J772" s="8"/>
      <c r="K772" s="8"/>
    </row>
    <row r="773" spans="1:11" x14ac:dyDescent="0.25">
      <c r="A773" s="44"/>
      <c r="B773" s="44"/>
      <c r="C773" s="44"/>
      <c r="D773" s="44"/>
      <c r="E773" s="44"/>
      <c r="F773" s="44"/>
      <c r="G773" s="44"/>
      <c r="H773" s="44"/>
      <c r="I773" s="44"/>
      <c r="J773" s="8"/>
      <c r="K773" s="8"/>
    </row>
    <row r="774" spans="1:11" x14ac:dyDescent="0.25">
      <c r="A774" s="44"/>
      <c r="B774" s="44"/>
      <c r="C774" s="44"/>
      <c r="D774" s="44"/>
      <c r="E774" s="44"/>
      <c r="F774" s="44"/>
      <c r="G774" s="44"/>
      <c r="H774" s="44"/>
      <c r="I774" s="44"/>
      <c r="J774" s="8"/>
      <c r="K774" s="8"/>
    </row>
    <row r="775" spans="1:11" x14ac:dyDescent="0.25">
      <c r="A775" s="44"/>
      <c r="B775" s="44"/>
      <c r="C775" s="44"/>
      <c r="D775" s="44"/>
      <c r="E775" s="44"/>
      <c r="F775" s="44"/>
      <c r="G775" s="44"/>
      <c r="H775" s="44"/>
      <c r="I775" s="44"/>
      <c r="J775" s="8"/>
      <c r="K775" s="8"/>
    </row>
    <row r="776" spans="1:11" x14ac:dyDescent="0.25">
      <c r="A776" s="44"/>
      <c r="B776" s="44"/>
      <c r="C776" s="44"/>
      <c r="D776" s="44"/>
      <c r="E776" s="44"/>
      <c r="F776" s="44"/>
      <c r="G776" s="44"/>
      <c r="H776" s="44"/>
      <c r="I776" s="44"/>
      <c r="J776" s="8"/>
      <c r="K776" s="8"/>
    </row>
    <row r="777" spans="1:11" x14ac:dyDescent="0.25">
      <c r="A777" s="44"/>
      <c r="B777" s="44"/>
      <c r="C777" s="44"/>
      <c r="D777" s="44"/>
      <c r="E777" s="44"/>
      <c r="F777" s="44"/>
      <c r="G777" s="44"/>
      <c r="H777" s="44"/>
      <c r="I777" s="44"/>
      <c r="J777" s="8"/>
      <c r="K777" s="8"/>
    </row>
    <row r="778" spans="1:11" x14ac:dyDescent="0.25">
      <c r="A778" s="44"/>
      <c r="B778" s="44"/>
      <c r="C778" s="44"/>
      <c r="D778" s="44"/>
      <c r="E778" s="44"/>
      <c r="F778" s="44"/>
      <c r="G778" s="44"/>
      <c r="H778" s="44"/>
      <c r="I778" s="44"/>
      <c r="J778" s="8"/>
      <c r="K778" s="8"/>
    </row>
    <row r="779" spans="1:11" x14ac:dyDescent="0.25">
      <c r="A779" s="44"/>
      <c r="B779" s="44"/>
      <c r="C779" s="44"/>
      <c r="D779" s="44"/>
      <c r="E779" s="44"/>
      <c r="F779" s="44"/>
      <c r="G779" s="44"/>
      <c r="H779" s="44"/>
      <c r="I779" s="44"/>
      <c r="J779" s="8"/>
      <c r="K779" s="8"/>
    </row>
    <row r="780" spans="1:11" x14ac:dyDescent="0.25">
      <c r="A780" s="44"/>
      <c r="B780" s="44"/>
      <c r="C780" s="44"/>
      <c r="D780" s="44"/>
      <c r="E780" s="44"/>
      <c r="F780" s="44"/>
      <c r="G780" s="44"/>
      <c r="H780" s="44"/>
      <c r="I780" s="44"/>
      <c r="J780" s="8"/>
      <c r="K780" s="8"/>
    </row>
    <row r="781" spans="1:11" x14ac:dyDescent="0.25">
      <c r="A781" s="44"/>
      <c r="B781" s="44"/>
      <c r="C781" s="44"/>
      <c r="D781" s="44"/>
      <c r="E781" s="44"/>
      <c r="F781" s="44"/>
      <c r="G781" s="44"/>
      <c r="H781" s="44"/>
      <c r="I781" s="44"/>
      <c r="J781" s="8"/>
      <c r="K781" s="8"/>
    </row>
    <row r="782" spans="1:11" x14ac:dyDescent="0.25">
      <c r="A782" s="44"/>
      <c r="B782" s="44"/>
      <c r="C782" s="44"/>
      <c r="D782" s="44"/>
      <c r="E782" s="44"/>
      <c r="F782" s="44"/>
      <c r="G782" s="44"/>
      <c r="H782" s="44"/>
      <c r="I782" s="44"/>
      <c r="J782" s="8"/>
      <c r="K782" s="8"/>
    </row>
    <row r="783" spans="1:11" x14ac:dyDescent="0.25">
      <c r="A783" s="44"/>
      <c r="B783" s="44"/>
      <c r="C783" s="44"/>
      <c r="D783" s="44"/>
      <c r="E783" s="44"/>
      <c r="F783" s="44"/>
      <c r="G783" s="44"/>
      <c r="H783" s="44"/>
      <c r="I783" s="44"/>
      <c r="J783" s="8"/>
      <c r="K783" s="8"/>
    </row>
    <row r="784" spans="1:11" x14ac:dyDescent="0.25">
      <c r="A784" s="44"/>
      <c r="B784" s="44"/>
      <c r="C784" s="44"/>
      <c r="D784" s="44"/>
      <c r="E784" s="44"/>
      <c r="F784" s="44"/>
      <c r="G784" s="44"/>
      <c r="H784" s="44"/>
      <c r="I784" s="44"/>
      <c r="J784" s="8"/>
      <c r="K784" s="8"/>
    </row>
    <row r="785" spans="1:11" x14ac:dyDescent="0.25">
      <c r="A785" s="44"/>
      <c r="B785" s="44"/>
      <c r="C785" s="44"/>
      <c r="D785" s="44"/>
      <c r="E785" s="44"/>
      <c r="F785" s="44"/>
      <c r="G785" s="44"/>
      <c r="H785" s="44"/>
      <c r="I785" s="44"/>
      <c r="J785" s="8"/>
      <c r="K785" s="8"/>
    </row>
    <row r="786" spans="1:11" x14ac:dyDescent="0.25">
      <c r="A786" s="44"/>
      <c r="B786" s="44"/>
      <c r="C786" s="44"/>
      <c r="D786" s="44"/>
      <c r="E786" s="44"/>
      <c r="F786" s="44"/>
      <c r="G786" s="44"/>
      <c r="H786" s="44"/>
      <c r="I786" s="44"/>
      <c r="J786" s="8"/>
      <c r="K786" s="8"/>
    </row>
    <row r="787" spans="1:11" x14ac:dyDescent="0.25">
      <c r="A787" s="44"/>
      <c r="B787" s="44"/>
      <c r="C787" s="44"/>
      <c r="D787" s="44"/>
      <c r="E787" s="44"/>
      <c r="F787" s="44"/>
      <c r="G787" s="44"/>
      <c r="H787" s="44"/>
      <c r="I787" s="44"/>
      <c r="J787" s="8"/>
      <c r="K787" s="8"/>
    </row>
    <row r="788" spans="1:11" x14ac:dyDescent="0.25">
      <c r="A788" s="44"/>
      <c r="B788" s="44"/>
      <c r="C788" s="44"/>
      <c r="D788" s="44"/>
      <c r="E788" s="44"/>
      <c r="F788" s="44"/>
      <c r="G788" s="44"/>
      <c r="H788" s="44"/>
      <c r="I788" s="44"/>
      <c r="J788" s="8"/>
      <c r="K788" s="8"/>
    </row>
    <row r="789" spans="1:11" x14ac:dyDescent="0.25">
      <c r="A789" s="44"/>
      <c r="B789" s="44"/>
      <c r="C789" s="44"/>
      <c r="D789" s="44"/>
      <c r="E789" s="44"/>
      <c r="F789" s="44"/>
      <c r="G789" s="44"/>
      <c r="H789" s="44"/>
      <c r="I789" s="44"/>
      <c r="J789" s="8"/>
      <c r="K789" s="8"/>
    </row>
    <row r="790" spans="1:11" x14ac:dyDescent="0.25">
      <c r="A790" s="44"/>
      <c r="B790" s="44"/>
      <c r="C790" s="44"/>
      <c r="D790" s="44"/>
      <c r="E790" s="44"/>
      <c r="F790" s="44"/>
      <c r="G790" s="44"/>
      <c r="H790" s="44"/>
      <c r="I790" s="44"/>
      <c r="J790" s="8"/>
      <c r="K790" s="8"/>
    </row>
    <row r="791" spans="1:11" x14ac:dyDescent="0.25">
      <c r="A791" s="44"/>
      <c r="B791" s="44"/>
      <c r="C791" s="44"/>
      <c r="D791" s="44"/>
      <c r="E791" s="44"/>
      <c r="F791" s="44"/>
      <c r="G791" s="44"/>
      <c r="H791" s="44"/>
      <c r="I791" s="44"/>
      <c r="J791" s="8"/>
      <c r="K791" s="8"/>
    </row>
    <row r="792" spans="1:11" x14ac:dyDescent="0.25">
      <c r="A792" s="44"/>
      <c r="B792" s="44"/>
      <c r="C792" s="44"/>
      <c r="D792" s="44"/>
      <c r="E792" s="44"/>
      <c r="F792" s="44"/>
      <c r="G792" s="44"/>
      <c r="H792" s="44"/>
      <c r="I792" s="44"/>
      <c r="J792" s="8"/>
      <c r="K792" s="8"/>
    </row>
    <row r="793" spans="1:11" x14ac:dyDescent="0.25">
      <c r="A793" s="44"/>
      <c r="B793" s="44"/>
      <c r="C793" s="44"/>
      <c r="D793" s="44"/>
      <c r="E793" s="44"/>
      <c r="F793" s="44"/>
      <c r="G793" s="44"/>
      <c r="H793" s="44"/>
      <c r="I793" s="44"/>
      <c r="J793" s="8"/>
      <c r="K793" s="8"/>
    </row>
    <row r="794" spans="1:11" x14ac:dyDescent="0.25">
      <c r="A794" s="44"/>
      <c r="B794" s="44"/>
      <c r="C794" s="44"/>
      <c r="D794" s="44"/>
      <c r="E794" s="44"/>
      <c r="F794" s="44"/>
      <c r="G794" s="44"/>
      <c r="H794" s="44"/>
      <c r="I794" s="44"/>
      <c r="J794" s="8"/>
      <c r="K794" s="8"/>
    </row>
    <row r="795" spans="1:11" x14ac:dyDescent="0.25">
      <c r="A795" s="44"/>
      <c r="B795" s="44"/>
      <c r="C795" s="44"/>
      <c r="D795" s="44"/>
      <c r="E795" s="44"/>
      <c r="F795" s="44"/>
      <c r="G795" s="44"/>
      <c r="H795" s="44"/>
      <c r="I795" s="44"/>
      <c r="J795" s="8"/>
      <c r="K795" s="8"/>
    </row>
    <row r="796" spans="1:11" x14ac:dyDescent="0.25">
      <c r="A796" s="44"/>
      <c r="B796" s="44"/>
      <c r="C796" s="44"/>
      <c r="D796" s="44"/>
      <c r="E796" s="44"/>
      <c r="F796" s="44"/>
      <c r="G796" s="44"/>
      <c r="H796" s="44"/>
      <c r="I796" s="44"/>
      <c r="J796" s="8"/>
      <c r="K796" s="8"/>
    </row>
    <row r="797" spans="1:11" x14ac:dyDescent="0.25">
      <c r="A797" s="44"/>
      <c r="B797" s="44"/>
      <c r="C797" s="44"/>
      <c r="D797" s="44"/>
      <c r="E797" s="44"/>
      <c r="F797" s="44"/>
      <c r="G797" s="44"/>
      <c r="H797" s="44"/>
      <c r="I797" s="44"/>
      <c r="J797" s="8"/>
      <c r="K797" s="8"/>
    </row>
    <row r="798" spans="1:11" x14ac:dyDescent="0.25">
      <c r="A798" s="44"/>
      <c r="B798" s="44"/>
      <c r="C798" s="44"/>
      <c r="D798" s="44"/>
      <c r="E798" s="44"/>
      <c r="F798" s="44"/>
      <c r="G798" s="44"/>
      <c r="H798" s="44"/>
      <c r="I798" s="44"/>
      <c r="J798" s="8"/>
      <c r="K798" s="8"/>
    </row>
    <row r="799" spans="1:11" x14ac:dyDescent="0.25">
      <c r="A799" s="44"/>
      <c r="B799" s="44"/>
      <c r="C799" s="44"/>
      <c r="D799" s="44"/>
      <c r="E799" s="44"/>
      <c r="F799" s="44"/>
      <c r="G799" s="44"/>
      <c r="H799" s="44"/>
      <c r="I799" s="44"/>
      <c r="J799" s="8"/>
      <c r="K799" s="8"/>
    </row>
    <row r="800" spans="1:11" x14ac:dyDescent="0.25">
      <c r="A800" s="44"/>
      <c r="B800" s="44"/>
      <c r="C800" s="44"/>
      <c r="D800" s="44"/>
      <c r="E800" s="44"/>
      <c r="F800" s="44"/>
      <c r="G800" s="44"/>
      <c r="H800" s="44"/>
      <c r="I800" s="44"/>
      <c r="J800" s="8"/>
      <c r="K800" s="8"/>
    </row>
    <row r="801" spans="1:11" x14ac:dyDescent="0.25">
      <c r="A801" s="44"/>
      <c r="B801" s="44"/>
      <c r="C801" s="44"/>
      <c r="D801" s="44"/>
      <c r="E801" s="44"/>
      <c r="F801" s="44"/>
      <c r="G801" s="44"/>
      <c r="H801" s="44"/>
      <c r="I801" s="44"/>
      <c r="J801" s="8"/>
      <c r="K801" s="8"/>
    </row>
    <row r="802" spans="1:11" x14ac:dyDescent="0.25">
      <c r="A802" s="44"/>
      <c r="B802" s="44"/>
      <c r="C802" s="44"/>
      <c r="D802" s="44"/>
      <c r="E802" s="44"/>
      <c r="F802" s="44"/>
      <c r="G802" s="44"/>
      <c r="H802" s="44"/>
      <c r="I802" s="44"/>
      <c r="J802" s="8"/>
      <c r="K802" s="8"/>
    </row>
    <row r="803" spans="1:11" x14ac:dyDescent="0.25">
      <c r="A803" s="44"/>
      <c r="B803" s="44"/>
      <c r="C803" s="44"/>
      <c r="D803" s="44"/>
      <c r="E803" s="44"/>
      <c r="F803" s="44"/>
      <c r="G803" s="44"/>
      <c r="H803" s="44"/>
      <c r="I803" s="44"/>
      <c r="J803" s="8"/>
      <c r="K803" s="8"/>
    </row>
    <row r="804" spans="1:11" x14ac:dyDescent="0.25">
      <c r="A804" s="44"/>
      <c r="B804" s="44"/>
      <c r="C804" s="44"/>
      <c r="D804" s="44"/>
      <c r="E804" s="44"/>
      <c r="F804" s="44"/>
      <c r="G804" s="44"/>
      <c r="H804" s="44"/>
      <c r="I804" s="44"/>
      <c r="J804" s="8"/>
      <c r="K804" s="8"/>
    </row>
    <row r="805" spans="1:11" x14ac:dyDescent="0.25">
      <c r="A805" s="44"/>
      <c r="B805" s="44"/>
      <c r="C805" s="44"/>
      <c r="D805" s="44"/>
      <c r="E805" s="44"/>
      <c r="F805" s="44"/>
      <c r="G805" s="44"/>
      <c r="H805" s="44"/>
      <c r="I805" s="44"/>
      <c r="J805" s="8"/>
      <c r="K805" s="8"/>
    </row>
    <row r="806" spans="1:11" x14ac:dyDescent="0.25">
      <c r="A806" s="44"/>
      <c r="B806" s="44"/>
      <c r="C806" s="44"/>
      <c r="D806" s="44"/>
      <c r="E806" s="44"/>
      <c r="F806" s="44"/>
      <c r="G806" s="44"/>
      <c r="H806" s="44"/>
      <c r="I806" s="44"/>
      <c r="J806" s="8"/>
      <c r="K806" s="8"/>
    </row>
    <row r="807" spans="1:11" x14ac:dyDescent="0.25">
      <c r="A807" s="44"/>
      <c r="B807" s="44"/>
      <c r="C807" s="44"/>
      <c r="D807" s="44"/>
      <c r="E807" s="44"/>
      <c r="F807" s="44"/>
      <c r="G807" s="44"/>
      <c r="H807" s="44"/>
      <c r="I807" s="44"/>
      <c r="J807" s="8"/>
      <c r="K807" s="8"/>
    </row>
    <row r="808" spans="1:11" x14ac:dyDescent="0.25">
      <c r="A808" s="44"/>
      <c r="B808" s="44"/>
      <c r="C808" s="44"/>
      <c r="D808" s="44"/>
      <c r="E808" s="44"/>
      <c r="F808" s="44"/>
      <c r="G808" s="44"/>
      <c r="H808" s="44"/>
      <c r="I808" s="44"/>
      <c r="J808" s="8"/>
      <c r="K808" s="8"/>
    </row>
    <row r="809" spans="1:11" x14ac:dyDescent="0.25">
      <c r="A809" s="44"/>
      <c r="B809" s="44"/>
      <c r="C809" s="44"/>
      <c r="D809" s="44"/>
      <c r="E809" s="44"/>
      <c r="F809" s="44"/>
      <c r="G809" s="44"/>
      <c r="H809" s="44"/>
      <c r="I809" s="44"/>
      <c r="J809" s="8"/>
      <c r="K809" s="8"/>
    </row>
    <row r="810" spans="1:11" x14ac:dyDescent="0.25">
      <c r="A810" s="44"/>
      <c r="B810" s="44"/>
      <c r="C810" s="44"/>
      <c r="D810" s="44"/>
      <c r="E810" s="44"/>
      <c r="F810" s="44"/>
      <c r="G810" s="44"/>
      <c r="H810" s="44"/>
      <c r="I810" s="44"/>
      <c r="J810" s="8"/>
      <c r="K810" s="8"/>
    </row>
    <row r="811" spans="1:11" x14ac:dyDescent="0.25">
      <c r="A811" s="44"/>
      <c r="B811" s="44"/>
      <c r="C811" s="44"/>
      <c r="D811" s="44"/>
      <c r="E811" s="44"/>
      <c r="F811" s="44"/>
      <c r="G811" s="44"/>
      <c r="H811" s="44"/>
      <c r="I811" s="44"/>
      <c r="J811" s="8"/>
      <c r="K811" s="8"/>
    </row>
    <row r="812" spans="1:11" x14ac:dyDescent="0.25">
      <c r="A812" s="44"/>
      <c r="B812" s="44"/>
      <c r="C812" s="44"/>
      <c r="D812" s="44"/>
      <c r="E812" s="44"/>
      <c r="F812" s="44"/>
      <c r="G812" s="44"/>
      <c r="H812" s="44"/>
      <c r="I812" s="44"/>
      <c r="J812" s="8"/>
      <c r="K812" s="8"/>
    </row>
    <row r="813" spans="1:11" x14ac:dyDescent="0.25">
      <c r="A813" s="44"/>
      <c r="B813" s="44"/>
      <c r="C813" s="44"/>
      <c r="D813" s="44"/>
      <c r="E813" s="44"/>
      <c r="F813" s="44"/>
      <c r="G813" s="44"/>
      <c r="H813" s="44"/>
      <c r="I813" s="44"/>
      <c r="J813" s="8"/>
      <c r="K813" s="8"/>
    </row>
    <row r="814" spans="1:11" x14ac:dyDescent="0.25">
      <c r="A814" s="44"/>
      <c r="B814" s="44"/>
      <c r="C814" s="44"/>
      <c r="D814" s="44"/>
      <c r="E814" s="44"/>
      <c r="F814" s="44"/>
      <c r="G814" s="44"/>
      <c r="H814" s="44"/>
      <c r="I814" s="44"/>
      <c r="J814" s="8"/>
      <c r="K814" s="8"/>
    </row>
    <row r="815" spans="1:11" x14ac:dyDescent="0.25">
      <c r="A815" s="44"/>
      <c r="B815" s="44"/>
      <c r="C815" s="44"/>
      <c r="D815" s="44"/>
      <c r="E815" s="44"/>
      <c r="F815" s="44"/>
      <c r="G815" s="44"/>
      <c r="H815" s="44"/>
      <c r="I815" s="44"/>
      <c r="J815" s="8"/>
      <c r="K815" s="8"/>
    </row>
    <row r="816" spans="1:11" x14ac:dyDescent="0.25">
      <c r="A816" s="44"/>
      <c r="B816" s="44"/>
      <c r="C816" s="44"/>
      <c r="D816" s="44"/>
      <c r="E816" s="44"/>
      <c r="F816" s="44"/>
      <c r="G816" s="44"/>
      <c r="H816" s="44"/>
      <c r="I816" s="44"/>
      <c r="J816" s="8"/>
      <c r="K816" s="8"/>
    </row>
    <row r="817" spans="1:11" x14ac:dyDescent="0.25">
      <c r="A817" s="44"/>
      <c r="B817" s="44"/>
      <c r="C817" s="44"/>
      <c r="D817" s="44"/>
      <c r="E817" s="44"/>
      <c r="F817" s="44"/>
      <c r="G817" s="44"/>
      <c r="H817" s="44"/>
      <c r="I817" s="44"/>
      <c r="J817" s="8"/>
      <c r="K817" s="8"/>
    </row>
    <row r="818" spans="1:11" x14ac:dyDescent="0.25">
      <c r="A818" s="44"/>
      <c r="B818" s="44"/>
      <c r="C818" s="44"/>
      <c r="D818" s="44"/>
      <c r="E818" s="44"/>
      <c r="F818" s="44"/>
      <c r="G818" s="44"/>
      <c r="H818" s="44"/>
      <c r="I818" s="44"/>
      <c r="J818" s="8"/>
      <c r="K818" s="8"/>
    </row>
    <row r="819" spans="1:11" x14ac:dyDescent="0.25">
      <c r="A819" s="44"/>
      <c r="B819" s="44"/>
      <c r="C819" s="44"/>
      <c r="D819" s="44"/>
      <c r="E819" s="44"/>
      <c r="F819" s="44"/>
      <c r="G819" s="44"/>
      <c r="H819" s="44"/>
      <c r="I819" s="44"/>
      <c r="J819" s="8"/>
      <c r="K819" s="8"/>
    </row>
    <row r="820" spans="1:11" x14ac:dyDescent="0.25">
      <c r="A820" s="44"/>
      <c r="B820" s="44"/>
      <c r="C820" s="44"/>
      <c r="D820" s="44"/>
      <c r="E820" s="44"/>
      <c r="F820" s="44"/>
      <c r="G820" s="44"/>
      <c r="H820" s="44"/>
      <c r="I820" s="44"/>
      <c r="J820" s="8"/>
      <c r="K820" s="8"/>
    </row>
    <row r="821" spans="1:11" x14ac:dyDescent="0.25">
      <c r="A821" s="44"/>
      <c r="B821" s="44"/>
      <c r="C821" s="44"/>
      <c r="D821" s="44"/>
      <c r="E821" s="44"/>
      <c r="F821" s="44"/>
      <c r="G821" s="44"/>
      <c r="H821" s="44"/>
      <c r="I821" s="44"/>
      <c r="J821" s="8"/>
      <c r="K821" s="8"/>
    </row>
    <row r="822" spans="1:11" x14ac:dyDescent="0.25">
      <c r="A822" s="44"/>
      <c r="B822" s="44"/>
      <c r="C822" s="44"/>
      <c r="D822" s="44"/>
      <c r="E822" s="44"/>
      <c r="F822" s="44"/>
      <c r="G822" s="44"/>
      <c r="H822" s="44"/>
      <c r="I822" s="44"/>
      <c r="J822" s="8"/>
      <c r="K822" s="8"/>
    </row>
    <row r="823" spans="1:11" x14ac:dyDescent="0.25">
      <c r="A823" s="44"/>
      <c r="B823" s="44"/>
      <c r="C823" s="44"/>
      <c r="D823" s="44"/>
      <c r="E823" s="44"/>
      <c r="F823" s="44"/>
      <c r="G823" s="44"/>
      <c r="H823" s="44"/>
      <c r="I823" s="44"/>
      <c r="J823" s="8"/>
      <c r="K823" s="8"/>
    </row>
    <row r="824" spans="1:11" x14ac:dyDescent="0.25">
      <c r="A824" s="44"/>
      <c r="B824" s="44"/>
      <c r="C824" s="44"/>
      <c r="D824" s="44"/>
      <c r="E824" s="44"/>
      <c r="F824" s="44"/>
      <c r="G824" s="44"/>
      <c r="H824" s="44"/>
      <c r="I824" s="44"/>
      <c r="J824" s="8"/>
      <c r="K824" s="8"/>
    </row>
    <row r="825" spans="1:11" x14ac:dyDescent="0.25">
      <c r="A825" s="44"/>
      <c r="B825" s="44"/>
      <c r="C825" s="44"/>
      <c r="D825" s="44"/>
      <c r="E825" s="44"/>
      <c r="F825" s="44"/>
      <c r="G825" s="44"/>
      <c r="H825" s="44"/>
      <c r="I825" s="44"/>
      <c r="J825" s="8"/>
      <c r="K825" s="8"/>
    </row>
    <row r="826" spans="1:11" x14ac:dyDescent="0.25">
      <c r="A826" s="44"/>
      <c r="B826" s="44"/>
      <c r="C826" s="44"/>
      <c r="D826" s="44"/>
      <c r="E826" s="44"/>
      <c r="F826" s="44"/>
      <c r="G826" s="44"/>
      <c r="H826" s="44"/>
      <c r="I826" s="44"/>
      <c r="J826" s="8"/>
      <c r="K826" s="8"/>
    </row>
    <row r="827" spans="1:11" x14ac:dyDescent="0.25">
      <c r="A827" s="44"/>
      <c r="B827" s="44"/>
      <c r="C827" s="44"/>
      <c r="D827" s="44"/>
      <c r="E827" s="44"/>
      <c r="F827" s="44"/>
      <c r="G827" s="44"/>
      <c r="H827" s="44"/>
      <c r="I827" s="44"/>
      <c r="J827" s="8"/>
      <c r="K827" s="8"/>
    </row>
    <row r="828" spans="1:11" x14ac:dyDescent="0.25">
      <c r="A828" s="44"/>
      <c r="B828" s="44"/>
      <c r="C828" s="44"/>
      <c r="D828" s="44"/>
      <c r="E828" s="44"/>
      <c r="F828" s="44"/>
      <c r="G828" s="44"/>
      <c r="H828" s="44"/>
      <c r="I828" s="44"/>
      <c r="J828" s="8"/>
      <c r="K828" s="8"/>
    </row>
    <row r="829" spans="1:11" x14ac:dyDescent="0.25">
      <c r="A829" s="44"/>
      <c r="B829" s="44"/>
      <c r="C829" s="44"/>
      <c r="D829" s="44"/>
      <c r="E829" s="44"/>
      <c r="F829" s="44"/>
      <c r="G829" s="44"/>
      <c r="H829" s="44"/>
      <c r="I829" s="44"/>
      <c r="J829" s="8"/>
      <c r="K829" s="8"/>
    </row>
    <row r="830" spans="1:11" x14ac:dyDescent="0.25">
      <c r="A830" s="44"/>
      <c r="B830" s="44"/>
      <c r="C830" s="44"/>
      <c r="D830" s="44"/>
      <c r="E830" s="44"/>
      <c r="F830" s="44"/>
      <c r="G830" s="44"/>
      <c r="H830" s="44"/>
      <c r="I830" s="44"/>
      <c r="J830" s="8"/>
      <c r="K830" s="8"/>
    </row>
    <row r="831" spans="1:11" x14ac:dyDescent="0.25">
      <c r="A831" s="44"/>
      <c r="B831" s="44"/>
      <c r="C831" s="44"/>
      <c r="D831" s="44"/>
      <c r="E831" s="44"/>
      <c r="F831" s="44"/>
      <c r="G831" s="44"/>
      <c r="H831" s="44"/>
      <c r="I831" s="44"/>
      <c r="J831" s="8"/>
      <c r="K831" s="8"/>
    </row>
    <row r="832" spans="1:11" x14ac:dyDescent="0.25">
      <c r="A832" s="44"/>
      <c r="B832" s="44"/>
      <c r="C832" s="44"/>
      <c r="D832" s="44"/>
      <c r="E832" s="44"/>
      <c r="F832" s="44"/>
      <c r="G832" s="44"/>
      <c r="H832" s="44"/>
      <c r="I832" s="44"/>
      <c r="J832" s="8"/>
      <c r="K832" s="8"/>
    </row>
    <row r="833" spans="1:11" x14ac:dyDescent="0.25">
      <c r="A833" s="44"/>
      <c r="B833" s="44"/>
      <c r="C833" s="44"/>
      <c r="D833" s="44"/>
      <c r="E833" s="44"/>
      <c r="F833" s="44"/>
      <c r="G833" s="44"/>
      <c r="H833" s="44"/>
      <c r="I833" s="44"/>
      <c r="J833" s="8"/>
      <c r="K833" s="8"/>
    </row>
    <row r="834" spans="1:11" x14ac:dyDescent="0.25">
      <c r="A834" s="44"/>
      <c r="B834" s="44"/>
      <c r="C834" s="44"/>
      <c r="D834" s="44"/>
      <c r="E834" s="44"/>
      <c r="F834" s="44"/>
      <c r="G834" s="44"/>
      <c r="H834" s="44"/>
      <c r="I834" s="44"/>
      <c r="J834" s="8"/>
      <c r="K834" s="8"/>
    </row>
    <row r="835" spans="1:11" x14ac:dyDescent="0.25">
      <c r="A835" s="44"/>
      <c r="B835" s="44"/>
      <c r="C835" s="44"/>
      <c r="D835" s="44"/>
      <c r="E835" s="44"/>
      <c r="F835" s="44"/>
      <c r="G835" s="44"/>
      <c r="H835" s="44"/>
      <c r="I835" s="44"/>
      <c r="J835" s="8"/>
      <c r="K835" s="8"/>
    </row>
    <row r="836" spans="1:11" x14ac:dyDescent="0.25">
      <c r="A836" s="44"/>
      <c r="B836" s="44"/>
      <c r="C836" s="44"/>
      <c r="D836" s="44"/>
      <c r="E836" s="44"/>
      <c r="F836" s="44"/>
      <c r="G836" s="44"/>
      <c r="H836" s="44"/>
      <c r="I836" s="44"/>
      <c r="J836" s="8"/>
      <c r="K836" s="8"/>
    </row>
    <row r="837" spans="1:11" x14ac:dyDescent="0.25">
      <c r="A837" s="44"/>
      <c r="B837" s="44"/>
      <c r="C837" s="44"/>
      <c r="D837" s="44"/>
      <c r="E837" s="44"/>
      <c r="F837" s="44"/>
      <c r="G837" s="44"/>
      <c r="H837" s="44"/>
      <c r="I837" s="44"/>
      <c r="J837" s="8"/>
      <c r="K837" s="8"/>
    </row>
    <row r="838" spans="1:11" x14ac:dyDescent="0.25">
      <c r="A838" s="44"/>
      <c r="B838" s="44"/>
      <c r="C838" s="44"/>
      <c r="D838" s="44"/>
      <c r="E838" s="44"/>
      <c r="F838" s="44"/>
      <c r="G838" s="44"/>
      <c r="H838" s="44"/>
      <c r="I838" s="44"/>
      <c r="J838" s="8"/>
      <c r="K838" s="8"/>
    </row>
    <row r="839" spans="1:11" x14ac:dyDescent="0.25">
      <c r="A839" s="44"/>
      <c r="B839" s="44"/>
      <c r="C839" s="44"/>
      <c r="D839" s="44"/>
      <c r="E839" s="44"/>
      <c r="F839" s="44"/>
      <c r="G839" s="44"/>
      <c r="H839" s="44"/>
      <c r="I839" s="44"/>
      <c r="J839" s="8"/>
      <c r="K839" s="8"/>
    </row>
    <row r="840" spans="1:11" x14ac:dyDescent="0.25">
      <c r="A840" s="44"/>
      <c r="B840" s="44"/>
      <c r="C840" s="44"/>
      <c r="D840" s="44"/>
      <c r="E840" s="44"/>
      <c r="F840" s="44"/>
      <c r="G840" s="44"/>
      <c r="H840" s="44"/>
      <c r="I840" s="44"/>
      <c r="J840" s="8"/>
      <c r="K840" s="8"/>
    </row>
    <row r="841" spans="1:11" x14ac:dyDescent="0.25">
      <c r="A841" s="44"/>
      <c r="B841" s="44"/>
      <c r="C841" s="44"/>
      <c r="D841" s="44"/>
      <c r="E841" s="44"/>
      <c r="F841" s="44"/>
      <c r="G841" s="44"/>
      <c r="H841" s="44"/>
      <c r="I841" s="44"/>
      <c r="J841" s="8"/>
      <c r="K841" s="8"/>
    </row>
    <row r="842" spans="1:11" x14ac:dyDescent="0.25">
      <c r="A842" s="44"/>
      <c r="B842" s="44"/>
      <c r="C842" s="44"/>
      <c r="D842" s="44"/>
      <c r="E842" s="44"/>
      <c r="F842" s="44"/>
      <c r="G842" s="44"/>
      <c r="H842" s="44"/>
      <c r="I842" s="44"/>
      <c r="J842" s="8"/>
      <c r="K842" s="8"/>
    </row>
    <row r="843" spans="1:11" x14ac:dyDescent="0.25">
      <c r="A843" s="44"/>
      <c r="B843" s="44"/>
      <c r="C843" s="44"/>
      <c r="D843" s="44"/>
      <c r="E843" s="44"/>
      <c r="F843" s="44"/>
      <c r="G843" s="44"/>
      <c r="H843" s="44"/>
      <c r="I843" s="44"/>
      <c r="J843" s="8"/>
      <c r="K843" s="8"/>
    </row>
    <row r="844" spans="1:11" x14ac:dyDescent="0.25">
      <c r="A844" s="44"/>
      <c r="B844" s="44"/>
      <c r="C844" s="44"/>
      <c r="D844" s="44"/>
      <c r="E844" s="44"/>
      <c r="F844" s="44"/>
      <c r="G844" s="44"/>
      <c r="H844" s="44"/>
      <c r="I844" s="44"/>
      <c r="J844" s="8"/>
      <c r="K844" s="8"/>
    </row>
    <row r="845" spans="1:11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8"/>
      <c r="K845" s="8"/>
    </row>
    <row r="846" spans="1:11" x14ac:dyDescent="0.25">
      <c r="A846" s="44"/>
      <c r="B846" s="44"/>
      <c r="C846" s="44"/>
      <c r="D846" s="44"/>
      <c r="E846" s="44"/>
      <c r="F846" s="44"/>
      <c r="G846" s="44"/>
      <c r="H846" s="44"/>
      <c r="I846" s="44"/>
      <c r="J846" s="8"/>
      <c r="K846" s="8"/>
    </row>
    <row r="847" spans="1:11" x14ac:dyDescent="0.25">
      <c r="A847" s="44"/>
      <c r="B847" s="44"/>
      <c r="C847" s="44"/>
      <c r="D847" s="44"/>
      <c r="E847" s="44"/>
      <c r="F847" s="44"/>
      <c r="G847" s="44"/>
      <c r="H847" s="44"/>
      <c r="I847" s="44"/>
      <c r="J847" s="8"/>
      <c r="K847" s="8"/>
    </row>
    <row r="848" spans="1:11" x14ac:dyDescent="0.25">
      <c r="A848" s="44"/>
      <c r="B848" s="44"/>
      <c r="C848" s="44"/>
      <c r="D848" s="44"/>
      <c r="E848" s="44"/>
      <c r="F848" s="44"/>
      <c r="G848" s="44"/>
      <c r="H848" s="44"/>
      <c r="I848" s="44"/>
      <c r="J848" s="8"/>
      <c r="K848" s="8"/>
    </row>
    <row r="849" spans="1:11" x14ac:dyDescent="0.25">
      <c r="A849" s="44"/>
      <c r="B849" s="44"/>
      <c r="C849" s="44"/>
      <c r="D849" s="44"/>
      <c r="E849" s="44"/>
      <c r="F849" s="44"/>
      <c r="G849" s="44"/>
      <c r="H849" s="44"/>
      <c r="I849" s="44"/>
      <c r="J849" s="8"/>
      <c r="K849" s="8"/>
    </row>
    <row r="850" spans="1:11" x14ac:dyDescent="0.25">
      <c r="A850" s="44"/>
      <c r="B850" s="44"/>
      <c r="C850" s="44"/>
      <c r="D850" s="44"/>
      <c r="E850" s="44"/>
      <c r="F850" s="44"/>
      <c r="G850" s="44"/>
      <c r="H850" s="44"/>
      <c r="I850" s="44"/>
      <c r="J850" s="8"/>
      <c r="K850" s="8"/>
    </row>
    <row r="851" spans="1:11" x14ac:dyDescent="0.25">
      <c r="A851" s="44"/>
      <c r="B851" s="44"/>
      <c r="C851" s="44"/>
      <c r="D851" s="44"/>
      <c r="E851" s="44"/>
      <c r="F851" s="44"/>
      <c r="G851" s="44"/>
      <c r="H851" s="44"/>
      <c r="I851" s="44"/>
      <c r="J851" s="8"/>
      <c r="K851" s="8"/>
    </row>
    <row r="852" spans="1:11" x14ac:dyDescent="0.25">
      <c r="A852" s="44"/>
      <c r="B852" s="44"/>
      <c r="C852" s="44"/>
      <c r="D852" s="44"/>
      <c r="E852" s="44"/>
      <c r="F852" s="44"/>
      <c r="G852" s="44"/>
      <c r="H852" s="44"/>
      <c r="I852" s="44"/>
      <c r="J852" s="8"/>
      <c r="K852" s="8"/>
    </row>
    <row r="853" spans="1:11" x14ac:dyDescent="0.25">
      <c r="A853" s="44"/>
      <c r="B853" s="44"/>
      <c r="C853" s="44"/>
      <c r="D853" s="44"/>
      <c r="E853" s="44"/>
      <c r="F853" s="44"/>
      <c r="G853" s="44"/>
      <c r="H853" s="44"/>
      <c r="I853" s="44"/>
      <c r="J853" s="8"/>
      <c r="K853" s="8"/>
    </row>
    <row r="854" spans="1:11" x14ac:dyDescent="0.25">
      <c r="A854" s="44"/>
      <c r="B854" s="44"/>
      <c r="C854" s="44"/>
      <c r="D854" s="44"/>
      <c r="E854" s="44"/>
      <c r="F854" s="44"/>
      <c r="G854" s="44"/>
      <c r="H854" s="44"/>
      <c r="I854" s="44"/>
      <c r="J854" s="8"/>
      <c r="K854" s="8"/>
    </row>
    <row r="855" spans="1:11" x14ac:dyDescent="0.25">
      <c r="A855" s="44"/>
      <c r="B855" s="44"/>
      <c r="C855" s="44"/>
      <c r="D855" s="44"/>
      <c r="E855" s="44"/>
      <c r="F855" s="44"/>
      <c r="G855" s="44"/>
      <c r="H855" s="44"/>
      <c r="I855" s="44"/>
      <c r="J855" s="8"/>
      <c r="K855" s="8"/>
    </row>
    <row r="856" spans="1:11" x14ac:dyDescent="0.25">
      <c r="A856" s="44"/>
      <c r="B856" s="44"/>
      <c r="C856" s="44"/>
      <c r="D856" s="44"/>
      <c r="E856" s="44"/>
      <c r="F856" s="44"/>
      <c r="G856" s="44"/>
      <c r="H856" s="44"/>
      <c r="I856" s="44"/>
      <c r="J856" s="8"/>
      <c r="K856" s="8"/>
    </row>
    <row r="857" spans="1:11" x14ac:dyDescent="0.25">
      <c r="A857" s="44"/>
      <c r="B857" s="44"/>
      <c r="C857" s="44"/>
      <c r="D857" s="44"/>
      <c r="E857" s="44"/>
      <c r="F857" s="44"/>
      <c r="G857" s="44"/>
      <c r="H857" s="44"/>
      <c r="I857" s="44"/>
      <c r="J857" s="8"/>
      <c r="K857" s="8"/>
    </row>
    <row r="858" spans="1:11" x14ac:dyDescent="0.25">
      <c r="A858" s="44"/>
      <c r="B858" s="44"/>
      <c r="C858" s="44"/>
      <c r="D858" s="44"/>
      <c r="E858" s="44"/>
      <c r="F858" s="44"/>
      <c r="G858" s="44"/>
      <c r="H858" s="44"/>
      <c r="I858" s="44"/>
      <c r="J858" s="8"/>
      <c r="K858" s="8"/>
    </row>
    <row r="859" spans="1:11" x14ac:dyDescent="0.25">
      <c r="A859" s="44"/>
      <c r="B859" s="44"/>
      <c r="C859" s="44"/>
      <c r="D859" s="44"/>
      <c r="E859" s="44"/>
      <c r="F859" s="44"/>
      <c r="G859" s="44"/>
      <c r="H859" s="44"/>
      <c r="I859" s="44"/>
      <c r="J859" s="8"/>
      <c r="K859" s="8"/>
    </row>
    <row r="860" spans="1:11" x14ac:dyDescent="0.25">
      <c r="A860" s="44"/>
      <c r="B860" s="44"/>
      <c r="C860" s="44"/>
      <c r="D860" s="44"/>
      <c r="E860" s="44"/>
      <c r="F860" s="44"/>
      <c r="G860" s="44"/>
      <c r="H860" s="44"/>
      <c r="I860" s="44"/>
      <c r="J860" s="8"/>
      <c r="K860" s="8"/>
    </row>
    <row r="861" spans="1:11" x14ac:dyDescent="0.25">
      <c r="A861" s="44"/>
      <c r="B861" s="44"/>
      <c r="C861" s="44"/>
      <c r="D861" s="44"/>
      <c r="E861" s="44"/>
      <c r="F861" s="44"/>
      <c r="G861" s="44"/>
      <c r="H861" s="44"/>
      <c r="I861" s="44"/>
      <c r="J861" s="8"/>
      <c r="K861" s="8"/>
    </row>
    <row r="862" spans="1:11" x14ac:dyDescent="0.25">
      <c r="A862" s="44"/>
      <c r="B862" s="44"/>
      <c r="C862" s="44"/>
      <c r="D862" s="44"/>
      <c r="E862" s="44"/>
      <c r="F862" s="44"/>
      <c r="G862" s="44"/>
      <c r="H862" s="44"/>
      <c r="I862" s="44"/>
      <c r="J862" s="8"/>
      <c r="K862" s="8"/>
    </row>
    <row r="863" spans="1:11" x14ac:dyDescent="0.25">
      <c r="A863" s="44"/>
      <c r="B863" s="44"/>
      <c r="C863" s="44"/>
      <c r="D863" s="44"/>
      <c r="E863" s="44"/>
      <c r="F863" s="44"/>
      <c r="G863" s="44"/>
      <c r="H863" s="44"/>
      <c r="I863" s="44"/>
      <c r="J863" s="8"/>
      <c r="K863" s="8"/>
    </row>
    <row r="864" spans="1:11" x14ac:dyDescent="0.25">
      <c r="A864" s="44"/>
      <c r="B864" s="44"/>
      <c r="C864" s="44"/>
      <c r="D864" s="44"/>
      <c r="E864" s="44"/>
      <c r="F864" s="44"/>
      <c r="G864" s="44"/>
      <c r="H864" s="44"/>
      <c r="I864" s="44"/>
      <c r="J864" s="8"/>
      <c r="K864" s="8"/>
    </row>
    <row r="865" spans="1:11" x14ac:dyDescent="0.25">
      <c r="A865" s="44"/>
      <c r="B865" s="44"/>
      <c r="C865" s="44"/>
      <c r="D865" s="44"/>
      <c r="E865" s="44"/>
      <c r="F865" s="44"/>
      <c r="G865" s="44"/>
      <c r="H865" s="44"/>
      <c r="I865" s="44"/>
      <c r="J865" s="8"/>
      <c r="K865" s="8"/>
    </row>
    <row r="866" spans="1:11" x14ac:dyDescent="0.25">
      <c r="A866" s="44"/>
      <c r="B866" s="44"/>
      <c r="C866" s="44"/>
      <c r="D866" s="44"/>
      <c r="E866" s="44"/>
      <c r="F866" s="44"/>
      <c r="G866" s="44"/>
      <c r="H866" s="44"/>
      <c r="I866" s="44"/>
      <c r="J866" s="8"/>
      <c r="K866" s="8"/>
    </row>
    <row r="867" spans="1:11" x14ac:dyDescent="0.25">
      <c r="A867" s="44"/>
      <c r="B867" s="44"/>
      <c r="C867" s="44"/>
      <c r="D867" s="44"/>
      <c r="E867" s="44"/>
      <c r="F867" s="44"/>
      <c r="G867" s="44"/>
      <c r="H867" s="44"/>
      <c r="I867" s="44"/>
      <c r="J867" s="8"/>
      <c r="K867" s="8"/>
    </row>
    <row r="868" spans="1:11" x14ac:dyDescent="0.25">
      <c r="A868" s="44"/>
      <c r="B868" s="44"/>
      <c r="C868" s="44"/>
      <c r="D868" s="44"/>
      <c r="E868" s="44"/>
      <c r="F868" s="44"/>
      <c r="G868" s="44"/>
      <c r="H868" s="44"/>
      <c r="I868" s="44"/>
      <c r="J868" s="8"/>
      <c r="K868" s="8"/>
    </row>
    <row r="869" spans="1:11" x14ac:dyDescent="0.25">
      <c r="A869" s="44"/>
      <c r="B869" s="44"/>
      <c r="C869" s="44"/>
      <c r="D869" s="44"/>
      <c r="E869" s="44"/>
      <c r="F869" s="44"/>
      <c r="G869" s="44"/>
      <c r="H869" s="44"/>
      <c r="I869" s="44"/>
      <c r="J869" s="8"/>
      <c r="K869" s="8"/>
    </row>
    <row r="870" spans="1:11" x14ac:dyDescent="0.25">
      <c r="A870" s="44"/>
      <c r="B870" s="44"/>
      <c r="C870" s="44"/>
      <c r="D870" s="44"/>
      <c r="E870" s="44"/>
      <c r="F870" s="44"/>
      <c r="G870" s="44"/>
      <c r="H870" s="44"/>
      <c r="I870" s="44"/>
      <c r="J870" s="8"/>
      <c r="K870" s="8"/>
    </row>
    <row r="871" spans="1:11" x14ac:dyDescent="0.25">
      <c r="A871" s="44"/>
      <c r="B871" s="44"/>
      <c r="C871" s="44"/>
      <c r="D871" s="44"/>
      <c r="E871" s="44"/>
      <c r="F871" s="44"/>
      <c r="G871" s="44"/>
      <c r="H871" s="44"/>
      <c r="I871" s="44"/>
      <c r="J871" s="8"/>
      <c r="K871" s="8"/>
    </row>
    <row r="872" spans="1:11" x14ac:dyDescent="0.25">
      <c r="A872" s="44"/>
      <c r="B872" s="44"/>
      <c r="C872" s="44"/>
      <c r="D872" s="44"/>
      <c r="E872" s="44"/>
      <c r="F872" s="44"/>
      <c r="G872" s="44"/>
      <c r="H872" s="44"/>
      <c r="I872" s="44"/>
      <c r="J872" s="8"/>
      <c r="K872" s="8"/>
    </row>
    <row r="873" spans="1:11" x14ac:dyDescent="0.25">
      <c r="A873" s="44"/>
      <c r="B873" s="44"/>
      <c r="C873" s="44"/>
      <c r="D873" s="44"/>
      <c r="E873" s="44"/>
      <c r="F873" s="44"/>
      <c r="G873" s="44"/>
      <c r="H873" s="44"/>
      <c r="I873" s="44"/>
      <c r="J873" s="8"/>
      <c r="K873" s="8"/>
    </row>
    <row r="874" spans="1:11" x14ac:dyDescent="0.25">
      <c r="A874" s="44"/>
      <c r="B874" s="44"/>
      <c r="C874" s="44"/>
      <c r="D874" s="44"/>
      <c r="E874" s="44"/>
      <c r="F874" s="44"/>
      <c r="G874" s="44"/>
      <c r="H874" s="44"/>
      <c r="I874" s="44"/>
      <c r="J874" s="8"/>
      <c r="K874" s="8"/>
    </row>
    <row r="875" spans="1:11" x14ac:dyDescent="0.25">
      <c r="A875" s="44"/>
      <c r="B875" s="44"/>
      <c r="C875" s="44"/>
      <c r="D875" s="44"/>
      <c r="E875" s="44"/>
      <c r="F875" s="44"/>
      <c r="G875" s="44"/>
      <c r="H875" s="44"/>
      <c r="I875" s="44"/>
      <c r="J875" s="8"/>
      <c r="K875" s="8"/>
    </row>
    <row r="876" spans="1:11" x14ac:dyDescent="0.25">
      <c r="A876" s="44"/>
      <c r="B876" s="44"/>
      <c r="C876" s="44"/>
      <c r="D876" s="44"/>
      <c r="E876" s="44"/>
      <c r="F876" s="44"/>
      <c r="G876" s="44"/>
      <c r="H876" s="44"/>
      <c r="I876" s="44"/>
      <c r="J876" s="8"/>
      <c r="K876" s="8"/>
    </row>
    <row r="877" spans="1:11" x14ac:dyDescent="0.25">
      <c r="A877" s="44"/>
      <c r="B877" s="44"/>
      <c r="C877" s="44"/>
      <c r="D877" s="44"/>
      <c r="E877" s="44"/>
      <c r="F877" s="44"/>
      <c r="G877" s="44"/>
      <c r="H877" s="44"/>
      <c r="I877" s="44"/>
      <c r="J877" s="8"/>
      <c r="K877" s="8"/>
    </row>
    <row r="878" spans="1:11" x14ac:dyDescent="0.25">
      <c r="A878" s="44"/>
      <c r="B878" s="44"/>
      <c r="C878" s="44"/>
      <c r="D878" s="44"/>
      <c r="E878" s="44"/>
      <c r="F878" s="44"/>
      <c r="G878" s="44"/>
      <c r="H878" s="44"/>
      <c r="I878" s="44"/>
      <c r="J878" s="8"/>
      <c r="K878" s="8"/>
    </row>
    <row r="879" spans="1:11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8"/>
      <c r="K879" s="8"/>
    </row>
    <row r="880" spans="1:11" x14ac:dyDescent="0.25">
      <c r="A880" s="44"/>
      <c r="B880" s="44"/>
      <c r="C880" s="44"/>
      <c r="D880" s="44"/>
      <c r="E880" s="44"/>
      <c r="F880" s="44"/>
      <c r="G880" s="44"/>
      <c r="H880" s="44"/>
      <c r="I880" s="44"/>
      <c r="J880" s="8"/>
      <c r="K880" s="8"/>
    </row>
    <row r="881" spans="1:11" x14ac:dyDescent="0.25">
      <c r="A881" s="44"/>
      <c r="B881" s="44"/>
      <c r="C881" s="44"/>
      <c r="D881" s="44"/>
      <c r="E881" s="44"/>
      <c r="F881" s="44"/>
      <c r="G881" s="44"/>
      <c r="H881" s="44"/>
      <c r="I881" s="44"/>
      <c r="J881" s="8"/>
      <c r="K881" s="8"/>
    </row>
    <row r="882" spans="1:11" x14ac:dyDescent="0.25">
      <c r="A882" s="44"/>
      <c r="B882" s="44"/>
      <c r="C882" s="44"/>
      <c r="D882" s="44"/>
      <c r="E882" s="44"/>
      <c r="F882" s="44"/>
      <c r="G882" s="44"/>
      <c r="H882" s="44"/>
      <c r="I882" s="44"/>
      <c r="J882" s="8"/>
      <c r="K882" s="8"/>
    </row>
    <row r="883" spans="1:11" x14ac:dyDescent="0.25">
      <c r="A883" s="44"/>
      <c r="B883" s="44"/>
      <c r="C883" s="44"/>
      <c r="D883" s="44"/>
      <c r="E883" s="44"/>
      <c r="F883" s="44"/>
      <c r="G883" s="44"/>
      <c r="H883" s="44"/>
      <c r="I883" s="44"/>
      <c r="J883" s="8"/>
      <c r="K883" s="8"/>
    </row>
    <row r="884" spans="1:11" x14ac:dyDescent="0.25">
      <c r="A884" s="44"/>
      <c r="B884" s="44"/>
      <c r="C884" s="44"/>
      <c r="D884" s="44"/>
      <c r="E884" s="44"/>
      <c r="F884" s="44"/>
      <c r="G884" s="44"/>
      <c r="H884" s="44"/>
      <c r="I884" s="44"/>
      <c r="J884" s="8"/>
      <c r="K884" s="8"/>
    </row>
    <row r="885" spans="1:11" x14ac:dyDescent="0.25">
      <c r="A885" s="44"/>
      <c r="B885" s="44"/>
      <c r="C885" s="44"/>
      <c r="D885" s="44"/>
      <c r="E885" s="44"/>
      <c r="F885" s="44"/>
      <c r="G885" s="44"/>
      <c r="H885" s="44"/>
      <c r="I885" s="44"/>
      <c r="J885" s="8"/>
      <c r="K885" s="8"/>
    </row>
    <row r="886" spans="1:11" x14ac:dyDescent="0.25">
      <c r="A886" s="44"/>
      <c r="B886" s="44"/>
      <c r="C886" s="44"/>
      <c r="D886" s="44"/>
      <c r="E886" s="44"/>
      <c r="F886" s="44"/>
      <c r="G886" s="44"/>
      <c r="H886" s="44"/>
      <c r="I886" s="44"/>
      <c r="J886" s="8"/>
      <c r="K886" s="8"/>
    </row>
    <row r="887" spans="1:11" x14ac:dyDescent="0.25">
      <c r="A887" s="44"/>
      <c r="B887" s="44"/>
      <c r="C887" s="44"/>
      <c r="D887" s="44"/>
      <c r="E887" s="44"/>
      <c r="F887" s="44"/>
      <c r="G887" s="44"/>
      <c r="H887" s="44"/>
      <c r="I887" s="44"/>
      <c r="J887" s="8"/>
      <c r="K887" s="8"/>
    </row>
    <row r="888" spans="1:11" x14ac:dyDescent="0.25">
      <c r="A888" s="44"/>
      <c r="B888" s="44"/>
      <c r="C888" s="44"/>
      <c r="D888" s="44"/>
      <c r="E888" s="44"/>
      <c r="F888" s="44"/>
      <c r="G888" s="44"/>
      <c r="H888" s="44"/>
      <c r="I888" s="44"/>
      <c r="J888" s="8"/>
      <c r="K888" s="8"/>
    </row>
    <row r="889" spans="1:11" x14ac:dyDescent="0.25">
      <c r="A889" s="44"/>
      <c r="B889" s="44"/>
      <c r="C889" s="44"/>
      <c r="D889" s="44"/>
      <c r="E889" s="44"/>
      <c r="F889" s="44"/>
      <c r="G889" s="44"/>
      <c r="H889" s="44"/>
      <c r="I889" s="44"/>
      <c r="J889" s="8"/>
      <c r="K889" s="8"/>
    </row>
    <row r="890" spans="1:11" x14ac:dyDescent="0.25">
      <c r="A890" s="44"/>
      <c r="B890" s="44"/>
      <c r="C890" s="44"/>
      <c r="D890" s="44"/>
      <c r="E890" s="44"/>
      <c r="F890" s="44"/>
      <c r="G890" s="44"/>
      <c r="H890" s="44"/>
      <c r="I890" s="44"/>
      <c r="J890" s="8"/>
      <c r="K890" s="8"/>
    </row>
    <row r="891" spans="1:11" x14ac:dyDescent="0.25">
      <c r="A891" s="44"/>
      <c r="B891" s="44"/>
      <c r="C891" s="44"/>
      <c r="D891" s="44"/>
      <c r="E891" s="44"/>
      <c r="F891" s="44"/>
      <c r="G891" s="44"/>
      <c r="H891" s="44"/>
      <c r="I891" s="44"/>
      <c r="J891" s="8"/>
      <c r="K891" s="8"/>
    </row>
    <row r="892" spans="1:11" x14ac:dyDescent="0.25">
      <c r="A892" s="44"/>
      <c r="B892" s="44"/>
      <c r="C892" s="44"/>
      <c r="D892" s="44"/>
      <c r="E892" s="44"/>
      <c r="F892" s="44"/>
      <c r="G892" s="44"/>
      <c r="H892" s="44"/>
      <c r="I892" s="44"/>
      <c r="J892" s="8"/>
      <c r="K892" s="8"/>
    </row>
    <row r="893" spans="1:11" x14ac:dyDescent="0.25">
      <c r="A893" s="44"/>
      <c r="B893" s="44"/>
      <c r="C893" s="44"/>
      <c r="D893" s="44"/>
      <c r="E893" s="44"/>
      <c r="F893" s="44"/>
      <c r="G893" s="44"/>
      <c r="H893" s="44"/>
      <c r="I893" s="44"/>
      <c r="J893" s="8"/>
      <c r="K893" s="8"/>
    </row>
    <row r="894" spans="1:11" x14ac:dyDescent="0.25">
      <c r="A894" s="44"/>
      <c r="B894" s="44"/>
      <c r="C894" s="44"/>
      <c r="D894" s="44"/>
      <c r="E894" s="44"/>
      <c r="F894" s="44"/>
      <c r="G894" s="44"/>
      <c r="H894" s="44"/>
      <c r="I894" s="44"/>
      <c r="J894" s="8"/>
      <c r="K894" s="8"/>
    </row>
    <row r="895" spans="1:11" x14ac:dyDescent="0.25">
      <c r="A895" s="44"/>
      <c r="B895" s="44"/>
      <c r="C895" s="44"/>
      <c r="D895" s="44"/>
      <c r="E895" s="44"/>
      <c r="F895" s="44"/>
      <c r="G895" s="44"/>
      <c r="H895" s="44"/>
      <c r="I895" s="44"/>
      <c r="J895" s="8"/>
      <c r="K895" s="8"/>
    </row>
    <row r="896" spans="1:11" x14ac:dyDescent="0.25">
      <c r="A896" s="44"/>
      <c r="B896" s="44"/>
      <c r="C896" s="44"/>
      <c r="D896" s="44"/>
      <c r="E896" s="44"/>
      <c r="F896" s="44"/>
      <c r="G896" s="44"/>
      <c r="H896" s="44"/>
      <c r="I896" s="44"/>
      <c r="J896" s="8"/>
      <c r="K896" s="8"/>
    </row>
    <row r="897" spans="1:11" x14ac:dyDescent="0.25">
      <c r="A897" s="44"/>
      <c r="B897" s="44"/>
      <c r="C897" s="44"/>
      <c r="D897" s="44"/>
      <c r="E897" s="44"/>
      <c r="F897" s="44"/>
      <c r="G897" s="44"/>
      <c r="H897" s="44"/>
      <c r="I897" s="44"/>
      <c r="J897" s="8"/>
      <c r="K897" s="8"/>
    </row>
    <row r="898" spans="1:11" x14ac:dyDescent="0.25">
      <c r="A898" s="44"/>
      <c r="B898" s="44"/>
      <c r="C898" s="44"/>
      <c r="D898" s="44"/>
      <c r="E898" s="44"/>
      <c r="F898" s="44"/>
      <c r="G898" s="44"/>
      <c r="H898" s="44"/>
      <c r="I898" s="44"/>
      <c r="J898" s="8"/>
      <c r="K898" s="8"/>
    </row>
    <row r="899" spans="1:11" x14ac:dyDescent="0.25">
      <c r="A899" s="44"/>
      <c r="B899" s="44"/>
      <c r="C899" s="44"/>
      <c r="D899" s="44"/>
      <c r="E899" s="44"/>
      <c r="F899" s="44"/>
      <c r="G899" s="44"/>
      <c r="H899" s="44"/>
      <c r="I899" s="44"/>
      <c r="J899" s="8"/>
      <c r="K899" s="8"/>
    </row>
    <row r="900" spans="1:11" x14ac:dyDescent="0.25">
      <c r="A900" s="44"/>
      <c r="B900" s="44"/>
      <c r="C900" s="44"/>
      <c r="D900" s="44"/>
      <c r="E900" s="44"/>
      <c r="F900" s="44"/>
      <c r="G900" s="44"/>
      <c r="H900" s="44"/>
      <c r="I900" s="44"/>
      <c r="J900" s="8"/>
      <c r="K900" s="8"/>
    </row>
    <row r="901" spans="1:11" x14ac:dyDescent="0.25">
      <c r="A901" s="44"/>
      <c r="B901" s="44"/>
      <c r="C901" s="44"/>
      <c r="D901" s="44"/>
      <c r="E901" s="44"/>
      <c r="F901" s="44"/>
      <c r="G901" s="44"/>
      <c r="H901" s="44"/>
      <c r="I901" s="44"/>
      <c r="J901" s="8"/>
      <c r="K901" s="8"/>
    </row>
    <row r="902" spans="1:11" x14ac:dyDescent="0.25">
      <c r="A902" s="44"/>
      <c r="B902" s="44"/>
      <c r="C902" s="44"/>
      <c r="D902" s="44"/>
      <c r="E902" s="44"/>
      <c r="F902" s="44"/>
      <c r="G902" s="44"/>
      <c r="H902" s="44"/>
      <c r="I902" s="44"/>
      <c r="J902" s="8"/>
      <c r="K902" s="8"/>
    </row>
    <row r="903" spans="1:11" x14ac:dyDescent="0.25">
      <c r="A903" s="44"/>
      <c r="B903" s="44"/>
      <c r="C903" s="44"/>
      <c r="D903" s="44"/>
      <c r="E903" s="44"/>
      <c r="F903" s="44"/>
      <c r="G903" s="44"/>
      <c r="H903" s="44"/>
      <c r="I903" s="44"/>
      <c r="J903" s="8"/>
      <c r="K903" s="8"/>
    </row>
    <row r="904" spans="1:11" x14ac:dyDescent="0.25">
      <c r="A904" s="44"/>
      <c r="B904" s="44"/>
      <c r="C904" s="44"/>
      <c r="D904" s="44"/>
      <c r="E904" s="44"/>
      <c r="F904" s="44"/>
      <c r="G904" s="44"/>
      <c r="H904" s="44"/>
      <c r="I904" s="44"/>
      <c r="J904" s="8"/>
      <c r="K904" s="8"/>
    </row>
    <row r="905" spans="1:11" x14ac:dyDescent="0.25">
      <c r="A905" s="44"/>
      <c r="B905" s="44"/>
      <c r="C905" s="44"/>
      <c r="D905" s="44"/>
      <c r="E905" s="44"/>
      <c r="F905" s="44"/>
      <c r="G905" s="44"/>
      <c r="H905" s="44"/>
      <c r="I905" s="44"/>
      <c r="J905" s="8"/>
      <c r="K905" s="8"/>
    </row>
    <row r="906" spans="1:11" x14ac:dyDescent="0.25">
      <c r="A906" s="44"/>
      <c r="B906" s="44"/>
      <c r="C906" s="44"/>
      <c r="D906" s="44"/>
      <c r="E906" s="44"/>
      <c r="F906" s="44"/>
      <c r="G906" s="44"/>
      <c r="H906" s="44"/>
      <c r="I906" s="44"/>
      <c r="J906" s="8"/>
      <c r="K906" s="8"/>
    </row>
    <row r="907" spans="1:11" x14ac:dyDescent="0.25">
      <c r="A907" s="44"/>
      <c r="B907" s="44"/>
      <c r="C907" s="44"/>
      <c r="D907" s="44"/>
      <c r="E907" s="44"/>
      <c r="F907" s="44"/>
      <c r="G907" s="44"/>
      <c r="H907" s="44"/>
      <c r="I907" s="44"/>
      <c r="J907" s="8"/>
      <c r="K907" s="8"/>
    </row>
    <row r="908" spans="1:11" x14ac:dyDescent="0.25">
      <c r="A908" s="44"/>
      <c r="B908" s="44"/>
      <c r="C908" s="44"/>
      <c r="D908" s="44"/>
      <c r="E908" s="44"/>
      <c r="F908" s="44"/>
      <c r="G908" s="44"/>
      <c r="H908" s="44"/>
      <c r="I908" s="44"/>
      <c r="J908" s="8"/>
      <c r="K908" s="8"/>
    </row>
    <row r="909" spans="1:11" x14ac:dyDescent="0.25">
      <c r="A909" s="44"/>
      <c r="B909" s="44"/>
      <c r="C909" s="44"/>
      <c r="D909" s="44"/>
      <c r="E909" s="44"/>
      <c r="F909" s="44"/>
      <c r="G909" s="44"/>
      <c r="H909" s="44"/>
      <c r="I909" s="44"/>
      <c r="J909" s="8"/>
      <c r="K909" s="8"/>
    </row>
    <row r="910" spans="1:11" x14ac:dyDescent="0.25">
      <c r="A910" s="44"/>
      <c r="B910" s="44"/>
      <c r="C910" s="44"/>
      <c r="D910" s="44"/>
      <c r="E910" s="44"/>
      <c r="F910" s="44"/>
      <c r="G910" s="44"/>
      <c r="H910" s="44"/>
      <c r="I910" s="44"/>
      <c r="J910" s="8"/>
      <c r="K910" s="8"/>
    </row>
    <row r="911" spans="1:11" x14ac:dyDescent="0.25">
      <c r="A911" s="44"/>
      <c r="B911" s="44"/>
      <c r="C911" s="44"/>
      <c r="D911" s="44"/>
      <c r="E911" s="44"/>
      <c r="F911" s="44"/>
      <c r="G911" s="44"/>
      <c r="H911" s="44"/>
      <c r="I911" s="44"/>
      <c r="J911" s="8"/>
      <c r="K911" s="8"/>
    </row>
    <row r="912" spans="1:11" x14ac:dyDescent="0.25">
      <c r="A912" s="44"/>
      <c r="B912" s="44"/>
      <c r="C912" s="44"/>
      <c r="D912" s="44"/>
      <c r="E912" s="44"/>
      <c r="F912" s="44"/>
      <c r="G912" s="44"/>
      <c r="H912" s="44"/>
      <c r="I912" s="44"/>
      <c r="J912" s="8"/>
      <c r="K912" s="8"/>
    </row>
    <row r="913" spans="1:11" x14ac:dyDescent="0.25">
      <c r="A913" s="44"/>
      <c r="B913" s="44"/>
      <c r="C913" s="44"/>
      <c r="D913" s="44"/>
      <c r="E913" s="44"/>
      <c r="F913" s="44"/>
      <c r="G913" s="44"/>
      <c r="H913" s="44"/>
      <c r="I913" s="44"/>
      <c r="J913" s="8"/>
      <c r="K913" s="8"/>
    </row>
    <row r="914" spans="1:11" x14ac:dyDescent="0.25">
      <c r="A914" s="44"/>
      <c r="B914" s="44"/>
      <c r="C914" s="44"/>
      <c r="D914" s="44"/>
      <c r="E914" s="44"/>
      <c r="F914" s="44"/>
      <c r="G914" s="44"/>
      <c r="H914" s="44"/>
      <c r="I914" s="44"/>
      <c r="J914" s="8"/>
      <c r="K914" s="8"/>
    </row>
    <row r="915" spans="1:11" x14ac:dyDescent="0.25">
      <c r="A915" s="44"/>
      <c r="B915" s="44"/>
      <c r="C915" s="44"/>
      <c r="D915" s="44"/>
      <c r="E915" s="44"/>
      <c r="F915" s="44"/>
      <c r="G915" s="44"/>
      <c r="H915" s="44"/>
      <c r="I915" s="44"/>
      <c r="J915" s="8"/>
      <c r="K915" s="8"/>
    </row>
    <row r="916" spans="1:11" x14ac:dyDescent="0.25">
      <c r="A916" s="44"/>
      <c r="B916" s="44"/>
      <c r="C916" s="44"/>
      <c r="D916" s="44"/>
      <c r="E916" s="44"/>
      <c r="F916" s="44"/>
      <c r="G916" s="44"/>
      <c r="H916" s="44"/>
      <c r="I916" s="44"/>
      <c r="J916" s="8"/>
      <c r="K916" s="8"/>
    </row>
    <row r="917" spans="1:11" x14ac:dyDescent="0.25">
      <c r="A917" s="44"/>
      <c r="B917" s="44"/>
      <c r="C917" s="44"/>
      <c r="D917" s="44"/>
      <c r="E917" s="44"/>
      <c r="F917" s="44"/>
      <c r="G917" s="44"/>
      <c r="H917" s="44"/>
      <c r="I917" s="44"/>
      <c r="J917" s="8"/>
      <c r="K917" s="8"/>
    </row>
    <row r="918" spans="1:11" x14ac:dyDescent="0.25">
      <c r="A918" s="44"/>
      <c r="B918" s="44"/>
      <c r="C918" s="44"/>
      <c r="D918" s="44"/>
      <c r="E918" s="44"/>
      <c r="F918" s="44"/>
      <c r="G918" s="44"/>
      <c r="H918" s="44"/>
      <c r="I918" s="44"/>
      <c r="J918" s="8"/>
      <c r="K918" s="8"/>
    </row>
    <row r="919" spans="1:11" x14ac:dyDescent="0.25">
      <c r="A919" s="44"/>
      <c r="B919" s="44"/>
      <c r="C919" s="44"/>
      <c r="D919" s="44"/>
      <c r="E919" s="44"/>
      <c r="F919" s="44"/>
      <c r="G919" s="44"/>
      <c r="H919" s="44"/>
      <c r="I919" s="44"/>
      <c r="J919" s="8"/>
      <c r="K919" s="8"/>
    </row>
    <row r="920" spans="1:11" x14ac:dyDescent="0.25">
      <c r="A920" s="44"/>
      <c r="B920" s="44"/>
      <c r="C920" s="44"/>
      <c r="D920" s="44"/>
      <c r="E920" s="44"/>
      <c r="F920" s="44"/>
      <c r="G920" s="44"/>
      <c r="H920" s="44"/>
      <c r="I920" s="44"/>
      <c r="J920" s="8"/>
      <c r="K920" s="8"/>
    </row>
    <row r="921" spans="1:11" x14ac:dyDescent="0.25">
      <c r="A921" s="44"/>
      <c r="B921" s="44"/>
      <c r="C921" s="44"/>
      <c r="D921" s="44"/>
      <c r="E921" s="44"/>
      <c r="F921" s="44"/>
      <c r="G921" s="44"/>
      <c r="H921" s="44"/>
      <c r="I921" s="44"/>
      <c r="J921" s="8"/>
      <c r="K921" s="8"/>
    </row>
    <row r="922" spans="1:11" x14ac:dyDescent="0.25">
      <c r="A922" s="44"/>
      <c r="B922" s="44"/>
      <c r="C922" s="44"/>
      <c r="D922" s="44"/>
      <c r="E922" s="44"/>
      <c r="F922" s="44"/>
      <c r="G922" s="44"/>
      <c r="H922" s="44"/>
      <c r="I922" s="44"/>
      <c r="J922" s="8"/>
      <c r="K922" s="8"/>
    </row>
    <row r="923" spans="1:11" x14ac:dyDescent="0.25">
      <c r="A923" s="44"/>
      <c r="B923" s="44"/>
      <c r="C923" s="44"/>
      <c r="D923" s="44"/>
      <c r="E923" s="44"/>
      <c r="F923" s="44"/>
      <c r="G923" s="44"/>
      <c r="H923" s="44"/>
      <c r="I923" s="44"/>
      <c r="J923" s="8"/>
      <c r="K923" s="8"/>
    </row>
    <row r="924" spans="1:11" x14ac:dyDescent="0.25">
      <c r="A924" s="44"/>
      <c r="B924" s="44"/>
      <c r="C924" s="44"/>
      <c r="D924" s="44"/>
      <c r="E924" s="44"/>
      <c r="F924" s="44"/>
      <c r="G924" s="44"/>
      <c r="H924" s="44"/>
      <c r="I924" s="44"/>
      <c r="J924" s="8"/>
      <c r="K924" s="8"/>
    </row>
    <row r="925" spans="1:11" x14ac:dyDescent="0.25">
      <c r="A925" s="44"/>
      <c r="B925" s="44"/>
      <c r="C925" s="44"/>
      <c r="D925" s="44"/>
      <c r="E925" s="44"/>
      <c r="F925" s="44"/>
      <c r="G925" s="44"/>
      <c r="H925" s="44"/>
      <c r="I925" s="44"/>
      <c r="J925" s="8"/>
      <c r="K925" s="8"/>
    </row>
    <row r="926" spans="1:11" x14ac:dyDescent="0.25">
      <c r="A926" s="44"/>
      <c r="B926" s="44"/>
      <c r="C926" s="44"/>
      <c r="D926" s="44"/>
      <c r="E926" s="44"/>
      <c r="F926" s="44"/>
      <c r="G926" s="44"/>
      <c r="H926" s="44"/>
      <c r="I926" s="44"/>
      <c r="J926" s="8"/>
      <c r="K926" s="8"/>
    </row>
    <row r="927" spans="1:11" x14ac:dyDescent="0.25">
      <c r="A927" s="44"/>
      <c r="B927" s="44"/>
      <c r="C927" s="44"/>
      <c r="D927" s="44"/>
      <c r="E927" s="44"/>
      <c r="F927" s="44"/>
      <c r="G927" s="44"/>
      <c r="H927" s="44"/>
      <c r="I927" s="44"/>
      <c r="J927" s="8"/>
      <c r="K927" s="8"/>
    </row>
    <row r="928" spans="1:11" x14ac:dyDescent="0.25">
      <c r="A928" s="44"/>
      <c r="B928" s="44"/>
      <c r="C928" s="44"/>
      <c r="D928" s="44"/>
      <c r="E928" s="44"/>
      <c r="F928" s="44"/>
      <c r="G928" s="44"/>
      <c r="H928" s="44"/>
      <c r="I928" s="44"/>
      <c r="J928" s="8"/>
      <c r="K928" s="8"/>
    </row>
    <row r="929" spans="1:11" x14ac:dyDescent="0.25">
      <c r="A929" s="44"/>
      <c r="B929" s="44"/>
      <c r="C929" s="44"/>
      <c r="D929" s="44"/>
      <c r="E929" s="44"/>
      <c r="F929" s="44"/>
      <c r="G929" s="44"/>
      <c r="H929" s="44"/>
      <c r="I929" s="44"/>
      <c r="J929" s="8"/>
      <c r="K929" s="8"/>
    </row>
    <row r="930" spans="1:11" x14ac:dyDescent="0.25">
      <c r="A930" s="44"/>
      <c r="B930" s="44"/>
      <c r="C930" s="44"/>
      <c r="D930" s="44"/>
      <c r="E930" s="44"/>
      <c r="F930" s="44"/>
      <c r="G930" s="44"/>
      <c r="H930" s="44"/>
      <c r="I930" s="44"/>
      <c r="J930" s="8"/>
      <c r="K930" s="8"/>
    </row>
    <row r="931" spans="1:11" x14ac:dyDescent="0.25">
      <c r="A931" s="44"/>
      <c r="B931" s="44"/>
      <c r="C931" s="44"/>
      <c r="D931" s="44"/>
      <c r="E931" s="44"/>
      <c r="F931" s="44"/>
      <c r="G931" s="44"/>
      <c r="H931" s="44"/>
      <c r="I931" s="44"/>
      <c r="J931" s="8"/>
      <c r="K931" s="8"/>
    </row>
    <row r="932" spans="1:11" x14ac:dyDescent="0.25">
      <c r="A932" s="44"/>
      <c r="B932" s="44"/>
      <c r="C932" s="44"/>
      <c r="D932" s="44"/>
      <c r="E932" s="44"/>
      <c r="F932" s="44"/>
      <c r="G932" s="44"/>
      <c r="H932" s="44"/>
      <c r="I932" s="44"/>
      <c r="J932" s="8"/>
      <c r="K932" s="8"/>
    </row>
    <row r="933" spans="1:11" x14ac:dyDescent="0.25">
      <c r="A933" s="44"/>
      <c r="B933" s="44"/>
      <c r="C933" s="44"/>
      <c r="D933" s="44"/>
      <c r="E933" s="44"/>
      <c r="F933" s="44"/>
      <c r="G933" s="44"/>
      <c r="H933" s="44"/>
      <c r="I933" s="44"/>
      <c r="J933" s="8"/>
      <c r="K933" s="8"/>
    </row>
    <row r="934" spans="1:11" x14ac:dyDescent="0.25">
      <c r="A934" s="44"/>
      <c r="B934" s="44"/>
      <c r="C934" s="44"/>
      <c r="D934" s="44"/>
      <c r="E934" s="44"/>
      <c r="F934" s="44"/>
      <c r="G934" s="44"/>
      <c r="H934" s="44"/>
      <c r="I934" s="44"/>
      <c r="J934" s="8"/>
      <c r="K934" s="8"/>
    </row>
    <row r="935" spans="1:11" x14ac:dyDescent="0.25">
      <c r="A935" s="44"/>
      <c r="B935" s="44"/>
      <c r="C935" s="44"/>
      <c r="D935" s="44"/>
      <c r="E935" s="44"/>
      <c r="F935" s="44"/>
      <c r="G935" s="44"/>
      <c r="H935" s="44"/>
      <c r="I935" s="44"/>
      <c r="J935" s="8"/>
      <c r="K935" s="8"/>
    </row>
    <row r="936" spans="1:11" x14ac:dyDescent="0.25">
      <c r="A936" s="44"/>
      <c r="B936" s="44"/>
      <c r="C936" s="44"/>
      <c r="D936" s="44"/>
      <c r="E936" s="44"/>
      <c r="F936" s="44"/>
      <c r="G936" s="44"/>
      <c r="H936" s="44"/>
      <c r="I936" s="44"/>
      <c r="J936" s="8"/>
      <c r="K936" s="8"/>
    </row>
    <row r="937" spans="1:11" x14ac:dyDescent="0.25">
      <c r="A937" s="44"/>
      <c r="B937" s="44"/>
      <c r="C937" s="44"/>
      <c r="D937" s="44"/>
      <c r="E937" s="44"/>
      <c r="F937" s="44"/>
      <c r="G937" s="44"/>
      <c r="H937" s="44"/>
      <c r="I937" s="44"/>
      <c r="J937" s="8"/>
      <c r="K937" s="8"/>
    </row>
    <row r="938" spans="1:11" x14ac:dyDescent="0.25">
      <c r="A938" s="44"/>
      <c r="B938" s="44"/>
      <c r="C938" s="44"/>
      <c r="D938" s="44"/>
      <c r="E938" s="44"/>
      <c r="F938" s="44"/>
      <c r="G938" s="44"/>
      <c r="H938" s="44"/>
      <c r="I938" s="44"/>
      <c r="J938" s="8"/>
      <c r="K938" s="8"/>
    </row>
    <row r="939" spans="1:11" x14ac:dyDescent="0.25">
      <c r="A939" s="44"/>
      <c r="B939" s="44"/>
      <c r="C939" s="44"/>
      <c r="D939" s="44"/>
      <c r="E939" s="44"/>
      <c r="F939" s="44"/>
      <c r="G939" s="44"/>
      <c r="H939" s="44"/>
      <c r="I939" s="44"/>
      <c r="J939" s="8"/>
      <c r="K939" s="8"/>
    </row>
    <row r="940" spans="1:11" x14ac:dyDescent="0.25">
      <c r="A940" s="44"/>
      <c r="B940" s="44"/>
      <c r="C940" s="44"/>
      <c r="D940" s="44"/>
      <c r="E940" s="44"/>
      <c r="F940" s="44"/>
      <c r="G940" s="44"/>
      <c r="H940" s="44"/>
      <c r="I940" s="44"/>
      <c r="J940" s="8"/>
      <c r="K940" s="8"/>
    </row>
    <row r="941" spans="1:11" x14ac:dyDescent="0.25">
      <c r="A941" s="44"/>
      <c r="B941" s="44"/>
      <c r="C941" s="44"/>
      <c r="D941" s="44"/>
      <c r="E941" s="44"/>
      <c r="F941" s="44"/>
      <c r="G941" s="44"/>
      <c r="H941" s="44"/>
      <c r="I941" s="44"/>
      <c r="J941" s="8"/>
      <c r="K941" s="8"/>
    </row>
    <row r="942" spans="1:11" x14ac:dyDescent="0.25">
      <c r="A942" s="44"/>
      <c r="B942" s="44"/>
      <c r="C942" s="44"/>
      <c r="D942" s="44"/>
      <c r="E942" s="44"/>
      <c r="F942" s="44"/>
      <c r="G942" s="44"/>
      <c r="H942" s="44"/>
      <c r="I942" s="44"/>
      <c r="J942" s="8"/>
      <c r="K942" s="8"/>
    </row>
    <row r="943" spans="1:11" x14ac:dyDescent="0.25">
      <c r="A943" s="44"/>
      <c r="B943" s="44"/>
      <c r="C943" s="44"/>
      <c r="D943" s="44"/>
      <c r="E943" s="44"/>
      <c r="F943" s="44"/>
      <c r="G943" s="44"/>
      <c r="H943" s="44"/>
      <c r="I943" s="44"/>
      <c r="J943" s="8"/>
      <c r="K943" s="8"/>
    </row>
    <row r="944" spans="1:11" x14ac:dyDescent="0.25">
      <c r="A944" s="44"/>
      <c r="B944" s="44"/>
      <c r="C944" s="44"/>
      <c r="D944" s="44"/>
      <c r="E944" s="44"/>
      <c r="F944" s="44"/>
      <c r="G944" s="44"/>
      <c r="H944" s="44"/>
      <c r="I944" s="44"/>
      <c r="J944" s="8"/>
      <c r="K944" s="8"/>
    </row>
    <row r="945" spans="1:11" x14ac:dyDescent="0.25">
      <c r="A945" s="44"/>
      <c r="B945" s="44"/>
      <c r="C945" s="44"/>
      <c r="D945" s="44"/>
      <c r="E945" s="44"/>
      <c r="F945" s="44"/>
      <c r="G945" s="44"/>
      <c r="H945" s="44"/>
      <c r="I945" s="44"/>
      <c r="J945" s="8"/>
      <c r="K945" s="8"/>
    </row>
    <row r="946" spans="1:11" x14ac:dyDescent="0.25">
      <c r="A946" s="44"/>
      <c r="B946" s="44"/>
      <c r="C946" s="44"/>
      <c r="D946" s="44"/>
      <c r="E946" s="44"/>
      <c r="F946" s="44"/>
      <c r="G946" s="44"/>
      <c r="H946" s="44"/>
      <c r="I946" s="44"/>
      <c r="J946" s="8"/>
      <c r="K946" s="8"/>
    </row>
    <row r="947" spans="1:11" x14ac:dyDescent="0.25">
      <c r="A947" s="44"/>
      <c r="B947" s="44"/>
      <c r="C947" s="44"/>
      <c r="D947" s="44"/>
      <c r="E947" s="44"/>
      <c r="F947" s="44"/>
      <c r="G947" s="44"/>
      <c r="H947" s="44"/>
      <c r="I947" s="44"/>
      <c r="J947" s="8"/>
      <c r="K947" s="8"/>
    </row>
    <row r="948" spans="1:11" x14ac:dyDescent="0.25">
      <c r="A948" s="44"/>
      <c r="B948" s="44"/>
      <c r="C948" s="44"/>
      <c r="D948" s="44"/>
      <c r="E948" s="44"/>
      <c r="F948" s="44"/>
      <c r="G948" s="44"/>
      <c r="H948" s="44"/>
      <c r="I948" s="44"/>
      <c r="J948" s="8"/>
      <c r="K948" s="8"/>
    </row>
    <row r="949" spans="1:11" x14ac:dyDescent="0.25">
      <c r="A949" s="44"/>
      <c r="B949" s="44"/>
      <c r="C949" s="44"/>
      <c r="D949" s="44"/>
      <c r="E949" s="44"/>
      <c r="F949" s="44"/>
      <c r="G949" s="44"/>
      <c r="H949" s="44"/>
      <c r="I949" s="44"/>
      <c r="J949" s="8"/>
      <c r="K949" s="8"/>
    </row>
    <row r="950" spans="1:11" x14ac:dyDescent="0.25">
      <c r="A950" s="44"/>
      <c r="B950" s="44"/>
      <c r="C950" s="44"/>
      <c r="D950" s="44"/>
      <c r="E950" s="44"/>
      <c r="F950" s="44"/>
      <c r="G950" s="44"/>
      <c r="H950" s="44"/>
      <c r="I950" s="44"/>
      <c r="J950" s="8"/>
      <c r="K950" s="8"/>
    </row>
    <row r="951" spans="1:11" x14ac:dyDescent="0.25">
      <c r="A951" s="44"/>
      <c r="B951" s="44"/>
      <c r="C951" s="44"/>
      <c r="D951" s="44"/>
      <c r="E951" s="44"/>
      <c r="F951" s="44"/>
      <c r="G951" s="44"/>
      <c r="H951" s="44"/>
      <c r="I951" s="44"/>
      <c r="J951" s="8"/>
      <c r="K951" s="8"/>
    </row>
    <row r="952" spans="1:11" x14ac:dyDescent="0.25">
      <c r="A952" s="44"/>
      <c r="B952" s="44"/>
      <c r="C952" s="44"/>
      <c r="D952" s="44"/>
      <c r="E952" s="44"/>
      <c r="F952" s="44"/>
      <c r="G952" s="44"/>
      <c r="H952" s="44"/>
      <c r="I952" s="44"/>
      <c r="J952" s="8"/>
      <c r="K952" s="8"/>
    </row>
    <row r="953" spans="1:11" x14ac:dyDescent="0.25">
      <c r="A953" s="44"/>
      <c r="B953" s="44"/>
      <c r="C953" s="44"/>
      <c r="D953" s="44"/>
      <c r="E953" s="44"/>
      <c r="F953" s="44"/>
      <c r="G953" s="44"/>
      <c r="H953" s="44"/>
      <c r="I953" s="44"/>
      <c r="J953" s="8"/>
      <c r="K953" s="8"/>
    </row>
    <row r="954" spans="1:11" x14ac:dyDescent="0.25">
      <c r="A954" s="44"/>
      <c r="B954" s="44"/>
      <c r="C954" s="44"/>
      <c r="D954" s="44"/>
      <c r="E954" s="44"/>
      <c r="F954" s="44"/>
      <c r="G954" s="44"/>
      <c r="H954" s="44"/>
      <c r="I954" s="44"/>
      <c r="J954" s="8"/>
      <c r="K954" s="8"/>
    </row>
    <row r="955" spans="1:11" x14ac:dyDescent="0.25">
      <c r="A955" s="44"/>
      <c r="B955" s="44"/>
      <c r="C955" s="44"/>
      <c r="D955" s="44"/>
      <c r="E955" s="44"/>
      <c r="F955" s="44"/>
      <c r="G955" s="44"/>
      <c r="H955" s="44"/>
      <c r="I955" s="44"/>
      <c r="J955" s="8"/>
      <c r="K955" s="8"/>
    </row>
    <row r="956" spans="1:11" x14ac:dyDescent="0.25">
      <c r="A956" s="44"/>
      <c r="B956" s="44"/>
      <c r="C956" s="44"/>
      <c r="D956" s="44"/>
      <c r="E956" s="44"/>
      <c r="F956" s="44"/>
      <c r="G956" s="44"/>
      <c r="H956" s="44"/>
      <c r="I956" s="44"/>
      <c r="J956" s="8"/>
      <c r="K956" s="8"/>
    </row>
    <row r="957" spans="1:11" x14ac:dyDescent="0.25">
      <c r="A957" s="44"/>
      <c r="B957" s="44"/>
      <c r="C957" s="44"/>
      <c r="D957" s="44"/>
      <c r="E957" s="44"/>
      <c r="F957" s="44"/>
      <c r="G957" s="44"/>
      <c r="H957" s="44"/>
      <c r="I957" s="44"/>
      <c r="J957" s="8"/>
      <c r="K957" s="8"/>
    </row>
    <row r="958" spans="1:11" x14ac:dyDescent="0.25">
      <c r="A958" s="44"/>
      <c r="B958" s="44"/>
      <c r="C958" s="44"/>
      <c r="D958" s="44"/>
      <c r="E958" s="44"/>
      <c r="F958" s="44"/>
      <c r="G958" s="44"/>
      <c r="H958" s="44"/>
      <c r="I958" s="44"/>
      <c r="J958" s="8"/>
      <c r="K958" s="8"/>
    </row>
    <row r="959" spans="1:11" x14ac:dyDescent="0.25">
      <c r="A959" s="44"/>
      <c r="B959" s="44"/>
      <c r="C959" s="44"/>
      <c r="D959" s="44"/>
      <c r="E959" s="44"/>
      <c r="F959" s="44"/>
      <c r="G959" s="44"/>
      <c r="H959" s="44"/>
      <c r="I959" s="44"/>
      <c r="J959" s="8"/>
      <c r="K959" s="8"/>
    </row>
    <row r="960" spans="1:11" x14ac:dyDescent="0.25">
      <c r="A960" s="44"/>
      <c r="B960" s="44"/>
      <c r="C960" s="44"/>
      <c r="D960" s="44"/>
      <c r="E960" s="44"/>
      <c r="F960" s="44"/>
      <c r="G960" s="44"/>
      <c r="H960" s="44"/>
      <c r="I960" s="44"/>
      <c r="J960" s="8"/>
      <c r="K960" s="8"/>
    </row>
    <row r="961" spans="1:11" x14ac:dyDescent="0.25">
      <c r="A961" s="44"/>
      <c r="B961" s="44"/>
      <c r="C961" s="44"/>
      <c r="D961" s="44"/>
      <c r="E961" s="44"/>
      <c r="F961" s="44"/>
      <c r="G961" s="44"/>
      <c r="H961" s="44"/>
      <c r="I961" s="44"/>
      <c r="J961" s="8"/>
      <c r="K961" s="8"/>
    </row>
    <row r="962" spans="1:11" x14ac:dyDescent="0.25">
      <c r="A962" s="44"/>
      <c r="B962" s="44"/>
      <c r="C962" s="44"/>
      <c r="D962" s="44"/>
      <c r="E962" s="44"/>
      <c r="F962" s="44"/>
      <c r="G962" s="44"/>
      <c r="H962" s="44"/>
      <c r="I962" s="44"/>
      <c r="J962" s="8"/>
      <c r="K962" s="8"/>
    </row>
    <row r="963" spans="1:11" x14ac:dyDescent="0.25">
      <c r="A963" s="44"/>
      <c r="B963" s="44"/>
      <c r="C963" s="44"/>
      <c r="D963" s="44"/>
      <c r="E963" s="44"/>
      <c r="F963" s="44"/>
      <c r="G963" s="44"/>
      <c r="H963" s="44"/>
      <c r="I963" s="44"/>
      <c r="J963" s="8"/>
      <c r="K963" s="8"/>
    </row>
    <row r="964" spans="1:11" x14ac:dyDescent="0.25">
      <c r="A964" s="44"/>
      <c r="B964" s="44"/>
      <c r="C964" s="44"/>
      <c r="D964" s="44"/>
      <c r="E964" s="44"/>
      <c r="F964" s="44"/>
      <c r="G964" s="44"/>
      <c r="H964" s="44"/>
      <c r="I964" s="44"/>
      <c r="J964" s="8"/>
      <c r="K964" s="8"/>
    </row>
    <row r="965" spans="1:11" x14ac:dyDescent="0.25">
      <c r="A965" s="44"/>
      <c r="B965" s="44"/>
      <c r="C965" s="44"/>
      <c r="D965" s="44"/>
      <c r="E965" s="44"/>
      <c r="F965" s="44"/>
      <c r="G965" s="44"/>
      <c r="H965" s="44"/>
      <c r="I965" s="44"/>
      <c r="J965" s="8"/>
      <c r="K965" s="8"/>
    </row>
    <row r="966" spans="1:11" x14ac:dyDescent="0.25">
      <c r="A966" s="44"/>
      <c r="B966" s="44"/>
      <c r="C966" s="44"/>
      <c r="D966" s="44"/>
      <c r="E966" s="44"/>
      <c r="F966" s="44"/>
      <c r="G966" s="44"/>
      <c r="H966" s="44"/>
      <c r="I966" s="44"/>
      <c r="J966" s="8"/>
      <c r="K966" s="8"/>
    </row>
    <row r="967" spans="1:11" x14ac:dyDescent="0.25">
      <c r="A967" s="44"/>
      <c r="B967" s="44"/>
      <c r="C967" s="44"/>
      <c r="D967" s="44"/>
      <c r="E967" s="44"/>
      <c r="F967" s="44"/>
      <c r="G967" s="44"/>
      <c r="H967" s="44"/>
      <c r="I967" s="44"/>
      <c r="J967" s="8"/>
      <c r="K967" s="8"/>
    </row>
    <row r="968" spans="1:11" x14ac:dyDescent="0.25">
      <c r="A968" s="44"/>
      <c r="B968" s="44"/>
      <c r="C968" s="44"/>
      <c r="D968" s="44"/>
      <c r="E968" s="44"/>
      <c r="F968" s="44"/>
      <c r="G968" s="44"/>
      <c r="H968" s="44"/>
      <c r="I968" s="44"/>
      <c r="J968" s="8"/>
      <c r="K968" s="8"/>
    </row>
    <row r="969" spans="1:11" x14ac:dyDescent="0.25">
      <c r="A969" s="44"/>
      <c r="B969" s="44"/>
      <c r="C969" s="44"/>
      <c r="D969" s="44"/>
      <c r="E969" s="44"/>
      <c r="F969" s="44"/>
      <c r="G969" s="44"/>
      <c r="H969" s="44"/>
      <c r="I969" s="44"/>
      <c r="J969" s="8"/>
      <c r="K969" s="8"/>
    </row>
    <row r="970" spans="1:11" x14ac:dyDescent="0.25">
      <c r="A970" s="44"/>
      <c r="B970" s="44"/>
      <c r="C970" s="44"/>
      <c r="D970" s="44"/>
      <c r="E970" s="44"/>
      <c r="F970" s="44"/>
      <c r="G970" s="44"/>
      <c r="H970" s="44"/>
      <c r="I970" s="44"/>
      <c r="J970" s="8"/>
      <c r="K970" s="8"/>
    </row>
    <row r="971" spans="1:11" x14ac:dyDescent="0.25">
      <c r="A971" s="44"/>
      <c r="B971" s="44"/>
      <c r="C971" s="44"/>
      <c r="D971" s="44"/>
      <c r="E971" s="44"/>
      <c r="F971" s="44"/>
      <c r="G971" s="44"/>
      <c r="H971" s="44"/>
      <c r="I971" s="44"/>
      <c r="J971" s="8"/>
      <c r="K971" s="8"/>
    </row>
    <row r="972" spans="1:11" x14ac:dyDescent="0.25">
      <c r="A972" s="44"/>
      <c r="B972" s="44"/>
      <c r="C972" s="44"/>
      <c r="D972" s="44"/>
      <c r="E972" s="44"/>
      <c r="F972" s="44"/>
      <c r="G972" s="44"/>
      <c r="H972" s="44"/>
      <c r="I972" s="44"/>
      <c r="J972" s="8"/>
      <c r="K972" s="8"/>
    </row>
    <row r="973" spans="1:11" x14ac:dyDescent="0.25">
      <c r="A973" s="44"/>
      <c r="B973" s="44"/>
      <c r="C973" s="44"/>
      <c r="D973" s="44"/>
      <c r="E973" s="44"/>
      <c r="F973" s="44"/>
      <c r="G973" s="44"/>
      <c r="H973" s="44"/>
      <c r="I973" s="44"/>
      <c r="J973" s="8"/>
      <c r="K973" s="8"/>
    </row>
    <row r="974" spans="1:11" x14ac:dyDescent="0.25">
      <c r="A974" s="44"/>
      <c r="B974" s="44"/>
      <c r="C974" s="44"/>
      <c r="D974" s="44"/>
      <c r="E974" s="44"/>
      <c r="F974" s="44"/>
      <c r="G974" s="44"/>
      <c r="H974" s="44"/>
      <c r="I974" s="44"/>
      <c r="J974" s="8"/>
      <c r="K974" s="8"/>
    </row>
    <row r="975" spans="1:11" x14ac:dyDescent="0.25">
      <c r="A975" s="44"/>
      <c r="B975" s="44"/>
      <c r="C975" s="44"/>
      <c r="D975" s="44"/>
      <c r="E975" s="44"/>
      <c r="F975" s="44"/>
      <c r="G975" s="44"/>
      <c r="H975" s="44"/>
      <c r="I975" s="44"/>
      <c r="J975" s="8"/>
      <c r="K975" s="8"/>
    </row>
    <row r="976" spans="1:11" x14ac:dyDescent="0.25">
      <c r="A976" s="44"/>
      <c r="B976" s="44"/>
      <c r="C976" s="44"/>
      <c r="D976" s="44"/>
      <c r="E976" s="44"/>
      <c r="F976" s="44"/>
      <c r="G976" s="44"/>
      <c r="H976" s="44"/>
      <c r="I976" s="44"/>
      <c r="J976" s="8"/>
      <c r="K976" s="8"/>
    </row>
    <row r="977" spans="1:11" x14ac:dyDescent="0.25">
      <c r="A977" s="44"/>
      <c r="B977" s="44"/>
      <c r="C977" s="44"/>
      <c r="D977" s="44"/>
      <c r="E977" s="44"/>
      <c r="F977" s="44"/>
      <c r="G977" s="44"/>
      <c r="H977" s="44"/>
      <c r="I977" s="44"/>
      <c r="J977" s="8"/>
      <c r="K977" s="8"/>
    </row>
    <row r="978" spans="1:11" x14ac:dyDescent="0.25">
      <c r="A978" s="44"/>
      <c r="B978" s="44"/>
      <c r="C978" s="44"/>
      <c r="D978" s="44"/>
      <c r="E978" s="44"/>
      <c r="F978" s="44"/>
      <c r="G978" s="44"/>
      <c r="H978" s="44"/>
      <c r="I978" s="44"/>
      <c r="J978" s="8"/>
      <c r="K978" s="8"/>
    </row>
    <row r="979" spans="1:11" x14ac:dyDescent="0.25">
      <c r="A979" s="44"/>
      <c r="B979" s="44"/>
      <c r="C979" s="44"/>
      <c r="D979" s="44"/>
      <c r="E979" s="44"/>
      <c r="F979" s="44"/>
      <c r="G979" s="44"/>
      <c r="H979" s="44"/>
      <c r="I979" s="44"/>
      <c r="J979" s="8"/>
      <c r="K979" s="8"/>
    </row>
    <row r="980" spans="1:11" x14ac:dyDescent="0.25">
      <c r="A980" s="44"/>
      <c r="B980" s="44"/>
      <c r="C980" s="44"/>
      <c r="D980" s="44"/>
      <c r="E980" s="44"/>
      <c r="F980" s="44"/>
      <c r="G980" s="44"/>
      <c r="H980" s="44"/>
      <c r="I980" s="44"/>
      <c r="J980" s="8"/>
      <c r="K980" s="8"/>
    </row>
    <row r="981" spans="1:11" x14ac:dyDescent="0.25">
      <c r="A981" s="44"/>
      <c r="B981" s="44"/>
      <c r="C981" s="44"/>
      <c r="D981" s="44"/>
      <c r="E981" s="44"/>
      <c r="F981" s="44"/>
      <c r="G981" s="44"/>
      <c r="H981" s="44"/>
      <c r="I981" s="44"/>
      <c r="J981" s="8"/>
      <c r="K981" s="8"/>
    </row>
    <row r="982" spans="1:11" x14ac:dyDescent="0.25">
      <c r="A982" s="44"/>
      <c r="B982" s="44"/>
      <c r="C982" s="44"/>
      <c r="D982" s="44"/>
      <c r="E982" s="44"/>
      <c r="F982" s="44"/>
      <c r="G982" s="44"/>
      <c r="H982" s="44"/>
      <c r="I982" s="44"/>
      <c r="J982" s="8"/>
      <c r="K982" s="8"/>
    </row>
    <row r="983" spans="1:11" x14ac:dyDescent="0.25">
      <c r="A983" s="44"/>
      <c r="B983" s="44"/>
      <c r="C983" s="44"/>
      <c r="D983" s="44"/>
      <c r="E983" s="44"/>
      <c r="F983" s="44"/>
      <c r="G983" s="44"/>
      <c r="H983" s="44"/>
      <c r="I983" s="44"/>
      <c r="J983" s="8"/>
      <c r="K983" s="8"/>
    </row>
    <row r="984" spans="1:11" x14ac:dyDescent="0.25">
      <c r="A984" s="44"/>
      <c r="B984" s="44"/>
      <c r="C984" s="44"/>
      <c r="D984" s="44"/>
      <c r="E984" s="44"/>
      <c r="F984" s="44"/>
      <c r="G984" s="44"/>
      <c r="H984" s="44"/>
      <c r="I984" s="44"/>
      <c r="J984" s="8"/>
      <c r="K984" s="8"/>
    </row>
    <row r="985" spans="1:11" x14ac:dyDescent="0.25">
      <c r="A985" s="44"/>
      <c r="B985" s="44"/>
      <c r="C985" s="44"/>
      <c r="D985" s="44"/>
      <c r="E985" s="44"/>
      <c r="F985" s="44"/>
      <c r="G985" s="44"/>
      <c r="H985" s="44"/>
      <c r="I985" s="44"/>
      <c r="J985" s="8"/>
      <c r="K985" s="8"/>
    </row>
    <row r="986" spans="1:11" x14ac:dyDescent="0.25">
      <c r="A986" s="44"/>
      <c r="B986" s="44"/>
      <c r="C986" s="44"/>
      <c r="D986" s="44"/>
      <c r="E986" s="44"/>
      <c r="F986" s="44"/>
      <c r="G986" s="44"/>
      <c r="H986" s="44"/>
      <c r="I986" s="44"/>
      <c r="J986" s="8"/>
      <c r="K986" s="8"/>
    </row>
    <row r="987" spans="1:11" x14ac:dyDescent="0.25">
      <c r="A987" s="44"/>
      <c r="B987" s="44"/>
      <c r="C987" s="44"/>
      <c r="D987" s="44"/>
      <c r="E987" s="44"/>
      <c r="F987" s="44"/>
      <c r="G987" s="44"/>
      <c r="H987" s="44"/>
      <c r="I987" s="44"/>
      <c r="J987" s="8"/>
      <c r="K987" s="8"/>
    </row>
    <row r="988" spans="1:11" x14ac:dyDescent="0.25">
      <c r="A988" s="44"/>
      <c r="B988" s="44"/>
      <c r="C988" s="44"/>
      <c r="D988" s="44"/>
      <c r="E988" s="44"/>
      <c r="F988" s="44"/>
      <c r="G988" s="44"/>
      <c r="H988" s="44"/>
      <c r="I988" s="44"/>
      <c r="J988" s="8"/>
      <c r="K988" s="8"/>
    </row>
    <row r="989" spans="1:11" x14ac:dyDescent="0.25">
      <c r="A989" s="44"/>
      <c r="B989" s="44"/>
      <c r="C989" s="44"/>
      <c r="D989" s="44"/>
      <c r="E989" s="44"/>
      <c r="F989" s="44"/>
      <c r="G989" s="44"/>
      <c r="H989" s="44"/>
      <c r="I989" s="44"/>
      <c r="J989" s="8"/>
      <c r="K989" s="8"/>
    </row>
    <row r="990" spans="1:11" x14ac:dyDescent="0.25">
      <c r="A990" s="44"/>
      <c r="B990" s="44"/>
      <c r="C990" s="44"/>
      <c r="D990" s="44"/>
      <c r="E990" s="44"/>
      <c r="F990" s="44"/>
      <c r="G990" s="44"/>
      <c r="H990" s="44"/>
      <c r="I990" s="44"/>
      <c r="J990" s="8"/>
      <c r="K990" s="8"/>
    </row>
    <row r="991" spans="1:11" x14ac:dyDescent="0.25">
      <c r="A991" s="44"/>
      <c r="B991" s="44"/>
      <c r="C991" s="44"/>
      <c r="D991" s="44"/>
      <c r="E991" s="44"/>
      <c r="F991" s="44"/>
      <c r="G991" s="44"/>
      <c r="H991" s="44"/>
      <c r="I991" s="44"/>
      <c r="J991" s="8"/>
      <c r="K991" s="8"/>
    </row>
    <row r="992" spans="1:11" x14ac:dyDescent="0.25">
      <c r="A992" s="44"/>
      <c r="B992" s="44"/>
      <c r="C992" s="44"/>
      <c r="D992" s="44"/>
      <c r="E992" s="44"/>
      <c r="F992" s="44"/>
      <c r="G992" s="44"/>
      <c r="H992" s="44"/>
      <c r="I992" s="44"/>
      <c r="J992" s="8"/>
      <c r="K992" s="8"/>
    </row>
    <row r="993" spans="1:11" x14ac:dyDescent="0.25">
      <c r="A993" s="44"/>
      <c r="B993" s="44"/>
      <c r="C993" s="44"/>
      <c r="D993" s="44"/>
      <c r="E993" s="44"/>
      <c r="F993" s="44"/>
      <c r="G993" s="44"/>
      <c r="H993" s="44"/>
      <c r="I993" s="44"/>
      <c r="J993" s="8"/>
      <c r="K993" s="8"/>
    </row>
    <row r="994" spans="1:11" x14ac:dyDescent="0.25">
      <c r="A994" s="44"/>
      <c r="B994" s="44"/>
      <c r="C994" s="44"/>
      <c r="D994" s="44"/>
      <c r="E994" s="44"/>
      <c r="F994" s="44"/>
      <c r="G994" s="44"/>
      <c r="H994" s="44"/>
      <c r="I994" s="44"/>
      <c r="J994" s="8"/>
      <c r="K994" s="8"/>
    </row>
    <row r="995" spans="1:11" x14ac:dyDescent="0.25">
      <c r="A995" s="44"/>
      <c r="B995" s="44"/>
      <c r="C995" s="44"/>
      <c r="D995" s="44"/>
      <c r="E995" s="44"/>
      <c r="F995" s="44"/>
      <c r="G995" s="44"/>
      <c r="H995" s="44"/>
      <c r="I995" s="44"/>
      <c r="J995" s="8"/>
      <c r="K995" s="8"/>
    </row>
    <row r="996" spans="1:11" x14ac:dyDescent="0.25">
      <c r="A996" s="44"/>
      <c r="B996" s="44"/>
      <c r="C996" s="44"/>
      <c r="D996" s="44"/>
      <c r="E996" s="44"/>
      <c r="F996" s="44"/>
      <c r="G996" s="44"/>
      <c r="H996" s="44"/>
      <c r="I996" s="44"/>
      <c r="J996" s="8"/>
      <c r="K996" s="8"/>
    </row>
    <row r="997" spans="1:11" x14ac:dyDescent="0.25">
      <c r="A997" s="44"/>
      <c r="B997" s="44"/>
      <c r="C997" s="44"/>
      <c r="D997" s="44"/>
      <c r="E997" s="44"/>
      <c r="F997" s="44"/>
      <c r="G997" s="44"/>
      <c r="H997" s="44"/>
      <c r="I997" s="44"/>
      <c r="J997" s="8"/>
      <c r="K997" s="8"/>
    </row>
    <row r="998" spans="1:11" x14ac:dyDescent="0.25">
      <c r="A998" s="44"/>
      <c r="B998" s="44"/>
      <c r="C998" s="44"/>
      <c r="D998" s="44"/>
      <c r="E998" s="44"/>
      <c r="F998" s="44"/>
      <c r="G998" s="44"/>
      <c r="H998" s="44"/>
      <c r="I998" s="44"/>
      <c r="J998" s="8"/>
      <c r="K998" s="8"/>
    </row>
    <row r="999" spans="1:11" x14ac:dyDescent="0.25">
      <c r="A999" s="44"/>
      <c r="B999" s="44"/>
      <c r="C999" s="44"/>
      <c r="D999" s="44"/>
      <c r="E999" s="44"/>
      <c r="F999" s="44"/>
      <c r="G999" s="44"/>
      <c r="H999" s="44"/>
      <c r="I999" s="44"/>
      <c r="J999" s="8"/>
      <c r="K999" s="8"/>
    </row>
    <row r="1000" spans="1:11" x14ac:dyDescent="0.25">
      <c r="A1000" s="44"/>
      <c r="B1000" s="44"/>
      <c r="C1000" s="44"/>
      <c r="D1000" s="44"/>
      <c r="E1000" s="44"/>
      <c r="F1000" s="44"/>
      <c r="G1000" s="44"/>
      <c r="H1000" s="44"/>
      <c r="I1000" s="44"/>
      <c r="J1000" s="8"/>
      <c r="K1000" s="8"/>
    </row>
    <row r="1001" spans="1:11" x14ac:dyDescent="0.25">
      <c r="A1001" s="44"/>
      <c r="B1001" s="44"/>
      <c r="C1001" s="44"/>
      <c r="D1001" s="44"/>
      <c r="E1001" s="44"/>
      <c r="F1001" s="44"/>
      <c r="G1001" s="44"/>
      <c r="H1001" s="44"/>
      <c r="I1001" s="44"/>
      <c r="J1001" s="8"/>
      <c r="K1001" s="8"/>
    </row>
    <row r="1002" spans="1:11" x14ac:dyDescent="0.25">
      <c r="A1002" s="44"/>
      <c r="B1002" s="44"/>
      <c r="C1002" s="44"/>
      <c r="D1002" s="44"/>
      <c r="E1002" s="44"/>
      <c r="F1002" s="44"/>
      <c r="G1002" s="44"/>
      <c r="H1002" s="44"/>
      <c r="I1002" s="44"/>
      <c r="J1002" s="8"/>
      <c r="K1002" s="8"/>
    </row>
  </sheetData>
  <mergeCells count="7">
    <mergeCell ref="J132:L132"/>
    <mergeCell ref="J186:K186"/>
    <mergeCell ref="J68:L68"/>
    <mergeCell ref="J69:K69"/>
    <mergeCell ref="J71:K71"/>
    <mergeCell ref="J116:K116"/>
    <mergeCell ref="J128:K12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W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3" x14ac:dyDescent="0.25">
      <c r="A1" s="50" t="s">
        <v>0</v>
      </c>
      <c r="B1" s="50" t="s">
        <v>4354</v>
      </c>
      <c r="C1" s="50" t="s">
        <v>4355</v>
      </c>
      <c r="D1" s="50" t="s">
        <v>6</v>
      </c>
      <c r="E1" s="50" t="s">
        <v>4356</v>
      </c>
      <c r="F1" s="50" t="s">
        <v>4357</v>
      </c>
      <c r="G1" s="50" t="s">
        <v>4358</v>
      </c>
      <c r="H1" s="50" t="s">
        <v>4359</v>
      </c>
      <c r="I1" s="50" t="s">
        <v>4360</v>
      </c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</row>
    <row r="2" spans="1:23" x14ac:dyDescent="0.25">
      <c r="A2" s="44" t="s">
        <v>4235</v>
      </c>
      <c r="B2" s="44">
        <v>584215130</v>
      </c>
      <c r="C2" s="44">
        <v>785756660</v>
      </c>
      <c r="D2" s="44">
        <f t="shared" ref="D2:D187" si="0">((C2-B2)/B2)*100</f>
        <v>34.497827880630204</v>
      </c>
      <c r="E2" s="44">
        <v>2</v>
      </c>
      <c r="F2" s="44">
        <v>0</v>
      </c>
      <c r="G2" s="44">
        <v>0</v>
      </c>
      <c r="H2" s="44">
        <f t="shared" ref="H2:H187" si="1">(E2/(E2+F2+G2))*100</f>
        <v>100</v>
      </c>
      <c r="I2" s="44">
        <f t="shared" ref="I2:I187" si="2">(F2/(E2+F2+G2))*100</f>
        <v>0</v>
      </c>
      <c r="J2" s="8"/>
      <c r="K2" s="8"/>
    </row>
    <row r="3" spans="1:23" x14ac:dyDescent="0.25">
      <c r="A3" s="44" t="s">
        <v>3867</v>
      </c>
      <c r="B3" s="44">
        <v>4099986220</v>
      </c>
      <c r="C3" s="44">
        <v>5428514012.8999996</v>
      </c>
      <c r="D3" s="44">
        <f t="shared" si="0"/>
        <v>32.403225806451601</v>
      </c>
      <c r="E3" s="39">
        <v>1</v>
      </c>
      <c r="F3" s="39">
        <v>0</v>
      </c>
      <c r="G3" s="39">
        <v>0</v>
      </c>
      <c r="H3" s="44">
        <f t="shared" si="1"/>
        <v>100</v>
      </c>
      <c r="I3" s="44">
        <f t="shared" si="2"/>
        <v>0</v>
      </c>
      <c r="J3" s="8"/>
      <c r="K3" s="8"/>
    </row>
    <row r="4" spans="1:23" x14ac:dyDescent="0.25">
      <c r="A4" s="44" t="s">
        <v>3883</v>
      </c>
      <c r="B4" s="44">
        <v>380599132324.70001</v>
      </c>
      <c r="C4" s="44">
        <v>477814635634.54999</v>
      </c>
      <c r="D4" s="44">
        <f t="shared" si="0"/>
        <v>25.54275484446261</v>
      </c>
      <c r="E4" s="39">
        <v>4</v>
      </c>
      <c r="F4" s="39">
        <v>0</v>
      </c>
      <c r="G4" s="39">
        <v>0</v>
      </c>
      <c r="H4" s="44">
        <f t="shared" si="1"/>
        <v>100</v>
      </c>
      <c r="I4" s="44">
        <f t="shared" si="2"/>
        <v>0</v>
      </c>
      <c r="J4" s="8"/>
      <c r="K4" s="8"/>
    </row>
    <row r="5" spans="1:23" x14ac:dyDescent="0.25">
      <c r="A5" s="44" t="s">
        <v>2816</v>
      </c>
      <c r="B5" s="44">
        <v>361588222601.25</v>
      </c>
      <c r="C5" s="44">
        <v>445175702403</v>
      </c>
      <c r="D5" s="44">
        <f t="shared" si="0"/>
        <v>23.116759500745154</v>
      </c>
      <c r="E5" s="39">
        <v>2</v>
      </c>
      <c r="F5" s="39">
        <v>0</v>
      </c>
      <c r="G5" s="39">
        <v>0</v>
      </c>
      <c r="H5" s="44">
        <f t="shared" si="1"/>
        <v>100</v>
      </c>
      <c r="I5" s="44">
        <f t="shared" si="2"/>
        <v>0</v>
      </c>
      <c r="J5" s="8"/>
      <c r="K5" s="8"/>
    </row>
    <row r="6" spans="1:23" x14ac:dyDescent="0.25">
      <c r="A6" s="44" t="s">
        <v>4261</v>
      </c>
      <c r="B6" s="44">
        <v>30153851700.549999</v>
      </c>
      <c r="C6" s="44">
        <v>34828537503.5</v>
      </c>
      <c r="D6" s="44">
        <f t="shared" si="0"/>
        <v>15.502781698912235</v>
      </c>
      <c r="E6" s="44">
        <v>1</v>
      </c>
      <c r="F6" s="44">
        <v>0</v>
      </c>
      <c r="G6" s="44">
        <v>0</v>
      </c>
      <c r="H6" s="44">
        <f t="shared" si="1"/>
        <v>100</v>
      </c>
      <c r="I6" s="44">
        <f t="shared" si="2"/>
        <v>0</v>
      </c>
      <c r="J6" s="69" t="s">
        <v>4425</v>
      </c>
      <c r="K6" s="67"/>
      <c r="L6" s="67"/>
    </row>
    <row r="7" spans="1:23" x14ac:dyDescent="0.25">
      <c r="A7" s="44" t="s">
        <v>4051</v>
      </c>
      <c r="B7" s="44">
        <v>34635109346.599998</v>
      </c>
      <c r="C7" s="44">
        <v>39883286526.699997</v>
      </c>
      <c r="D7" s="44">
        <f t="shared" si="0"/>
        <v>15.15276630883567</v>
      </c>
      <c r="E7" s="39">
        <v>1</v>
      </c>
      <c r="F7" s="39">
        <v>0</v>
      </c>
      <c r="G7" s="39">
        <v>0</v>
      </c>
      <c r="H7" s="44">
        <f t="shared" si="1"/>
        <v>100</v>
      </c>
      <c r="I7" s="44">
        <f t="shared" si="2"/>
        <v>0</v>
      </c>
      <c r="J7" s="8"/>
      <c r="K7" s="8"/>
    </row>
    <row r="8" spans="1:23" x14ac:dyDescent="0.25">
      <c r="A8" s="44" t="s">
        <v>3639</v>
      </c>
      <c r="B8" s="44">
        <v>3390590019.7099996</v>
      </c>
      <c r="C8" s="44">
        <v>3702403199.3800001</v>
      </c>
      <c r="D8" s="44">
        <f t="shared" si="0"/>
        <v>9.1964282870351362</v>
      </c>
      <c r="E8" s="39">
        <v>3</v>
      </c>
      <c r="F8" s="39">
        <v>0</v>
      </c>
      <c r="G8" s="39">
        <v>0</v>
      </c>
      <c r="H8" s="44">
        <f t="shared" si="1"/>
        <v>100</v>
      </c>
      <c r="I8" s="44">
        <f t="shared" si="2"/>
        <v>0</v>
      </c>
      <c r="J8" s="8"/>
      <c r="K8" s="8"/>
    </row>
    <row r="9" spans="1:23" x14ac:dyDescent="0.25">
      <c r="A9" s="44" t="s">
        <v>2787</v>
      </c>
      <c r="B9" s="44">
        <v>614971590776.62</v>
      </c>
      <c r="C9" s="44">
        <v>661937463819.73999</v>
      </c>
      <c r="D9" s="44">
        <f t="shared" si="0"/>
        <v>7.6370801102875179</v>
      </c>
      <c r="E9" s="39">
        <v>7</v>
      </c>
      <c r="F9" s="39">
        <v>0</v>
      </c>
      <c r="G9" s="39">
        <v>0</v>
      </c>
      <c r="H9" s="44">
        <f t="shared" si="1"/>
        <v>100</v>
      </c>
      <c r="I9" s="44">
        <f t="shared" si="2"/>
        <v>0</v>
      </c>
      <c r="J9" s="8"/>
      <c r="K9" s="8"/>
    </row>
    <row r="10" spans="1:23" x14ac:dyDescent="0.25">
      <c r="A10" s="44" t="s">
        <v>96</v>
      </c>
      <c r="B10" s="44">
        <v>28743497994.459999</v>
      </c>
      <c r="C10" s="44">
        <v>30765425183.279999</v>
      </c>
      <c r="D10" s="44">
        <f t="shared" si="0"/>
        <v>7.0343810944990217</v>
      </c>
      <c r="E10" s="39">
        <v>3</v>
      </c>
      <c r="F10" s="39">
        <v>0</v>
      </c>
      <c r="G10" s="39">
        <v>0</v>
      </c>
      <c r="H10" s="44">
        <f t="shared" si="1"/>
        <v>100</v>
      </c>
      <c r="I10" s="44">
        <f t="shared" si="2"/>
        <v>0</v>
      </c>
      <c r="J10" s="8"/>
      <c r="K10" s="8"/>
    </row>
    <row r="11" spans="1:23" x14ac:dyDescent="0.25">
      <c r="A11" s="44" t="s">
        <v>52</v>
      </c>
      <c r="B11" s="44">
        <v>851484150574.64001</v>
      </c>
      <c r="C11" s="44">
        <v>899798610039.59009</v>
      </c>
      <c r="D11" s="44">
        <f t="shared" si="0"/>
        <v>5.6741466570275154</v>
      </c>
      <c r="E11" s="39">
        <v>3</v>
      </c>
      <c r="F11" s="39">
        <v>0</v>
      </c>
      <c r="G11" s="39">
        <v>0</v>
      </c>
      <c r="H11" s="44">
        <f t="shared" si="1"/>
        <v>100</v>
      </c>
      <c r="I11" s="44">
        <f t="shared" si="2"/>
        <v>0</v>
      </c>
      <c r="J11" s="8"/>
      <c r="K11" s="8"/>
      <c r="L11" s="8"/>
    </row>
    <row r="12" spans="1:23" x14ac:dyDescent="0.25">
      <c r="A12" s="44" t="s">
        <v>758</v>
      </c>
      <c r="B12" s="44">
        <v>76416415607.100006</v>
      </c>
      <c r="C12" s="44">
        <v>79659769953.899994</v>
      </c>
      <c r="D12" s="44">
        <f t="shared" si="0"/>
        <v>4.2443162519895026</v>
      </c>
      <c r="E12" s="39">
        <v>2</v>
      </c>
      <c r="F12" s="39">
        <v>0</v>
      </c>
      <c r="G12" s="39">
        <v>0</v>
      </c>
      <c r="H12" s="44">
        <f t="shared" si="1"/>
        <v>100</v>
      </c>
      <c r="I12" s="44">
        <f t="shared" si="2"/>
        <v>0</v>
      </c>
      <c r="J12" s="8"/>
      <c r="K12" s="8"/>
    </row>
    <row r="13" spans="1:23" x14ac:dyDescent="0.25">
      <c r="A13" s="44" t="s">
        <v>4077</v>
      </c>
      <c r="B13" s="44">
        <v>4638183907.5</v>
      </c>
      <c r="C13" s="44">
        <v>4827470895</v>
      </c>
      <c r="D13" s="44">
        <f t="shared" si="0"/>
        <v>4.0810582606248245</v>
      </c>
      <c r="E13" s="39">
        <v>1</v>
      </c>
      <c r="F13" s="39">
        <v>0</v>
      </c>
      <c r="G13" s="39">
        <v>0</v>
      </c>
      <c r="H13" s="44">
        <f t="shared" si="1"/>
        <v>100</v>
      </c>
      <c r="I13" s="44">
        <f t="shared" si="2"/>
        <v>0</v>
      </c>
      <c r="J13" s="8"/>
      <c r="K13" s="8"/>
    </row>
    <row r="14" spans="1:23" x14ac:dyDescent="0.25">
      <c r="A14" s="44" t="s">
        <v>4133</v>
      </c>
      <c r="B14" s="44">
        <v>4587744596.4000006</v>
      </c>
      <c r="C14" s="44">
        <v>4761873559.8000002</v>
      </c>
      <c r="D14" s="44">
        <f t="shared" si="0"/>
        <v>3.795524352786301</v>
      </c>
      <c r="E14" s="39">
        <v>1</v>
      </c>
      <c r="F14" s="39">
        <v>0</v>
      </c>
      <c r="G14" s="39">
        <v>0</v>
      </c>
      <c r="H14" s="44">
        <f t="shared" si="1"/>
        <v>100</v>
      </c>
      <c r="I14" s="44">
        <f t="shared" si="2"/>
        <v>0</v>
      </c>
      <c r="J14" s="8"/>
      <c r="K14" s="8"/>
    </row>
    <row r="15" spans="1:23" x14ac:dyDescent="0.25">
      <c r="A15" s="44" t="s">
        <v>3287</v>
      </c>
      <c r="B15" s="44">
        <v>226768069490.79999</v>
      </c>
      <c r="C15" s="44">
        <v>234506356680</v>
      </c>
      <c r="D15" s="44">
        <f t="shared" si="0"/>
        <v>3.4124236302650872</v>
      </c>
      <c r="E15" s="39">
        <v>6</v>
      </c>
      <c r="F15" s="39">
        <v>0</v>
      </c>
      <c r="G15" s="39">
        <v>0</v>
      </c>
      <c r="H15" s="44">
        <f t="shared" si="1"/>
        <v>100</v>
      </c>
      <c r="I15" s="44">
        <f t="shared" si="2"/>
        <v>0</v>
      </c>
      <c r="J15" s="8"/>
      <c r="K15" s="8"/>
    </row>
    <row r="16" spans="1:23" x14ac:dyDescent="0.25">
      <c r="A16" s="44" t="s">
        <v>3900</v>
      </c>
      <c r="B16" s="44">
        <v>272249449879.16</v>
      </c>
      <c r="C16" s="44">
        <v>279409675737.48004</v>
      </c>
      <c r="D16" s="44">
        <f t="shared" si="0"/>
        <v>2.6300239950891209</v>
      </c>
      <c r="E16" s="39">
        <v>4</v>
      </c>
      <c r="F16" s="39">
        <v>0</v>
      </c>
      <c r="G16" s="39">
        <v>0</v>
      </c>
      <c r="H16" s="44">
        <f t="shared" si="1"/>
        <v>100</v>
      </c>
      <c r="I16" s="44">
        <f t="shared" si="2"/>
        <v>0</v>
      </c>
      <c r="J16" s="8"/>
      <c r="K16" s="8"/>
    </row>
    <row r="17" spans="1:11" x14ac:dyDescent="0.25">
      <c r="A17" s="44" t="s">
        <v>4245</v>
      </c>
      <c r="B17" s="44">
        <v>1015905000.0000001</v>
      </c>
      <c r="C17" s="44">
        <v>1037190000</v>
      </c>
      <c r="D17" s="44">
        <f t="shared" si="0"/>
        <v>2.0951762221861179</v>
      </c>
      <c r="E17" s="44">
        <v>1</v>
      </c>
      <c r="F17" s="44">
        <v>0</v>
      </c>
      <c r="G17" s="44">
        <v>0</v>
      </c>
      <c r="H17" s="44">
        <f t="shared" si="1"/>
        <v>100</v>
      </c>
      <c r="I17" s="44">
        <f t="shared" si="2"/>
        <v>0</v>
      </c>
      <c r="J17" s="8"/>
      <c r="K17" s="8"/>
    </row>
    <row r="18" spans="1:11" x14ac:dyDescent="0.25">
      <c r="A18" s="44" t="s">
        <v>4194</v>
      </c>
      <c r="B18" s="44">
        <v>7063172860</v>
      </c>
      <c r="C18" s="44">
        <v>7122714101</v>
      </c>
      <c r="D18" s="44">
        <f t="shared" si="0"/>
        <v>0.84298150675587458</v>
      </c>
      <c r="E18" s="39">
        <v>3</v>
      </c>
      <c r="F18" s="39">
        <v>0</v>
      </c>
      <c r="G18" s="39">
        <v>0</v>
      </c>
      <c r="H18" s="44">
        <f t="shared" si="1"/>
        <v>100</v>
      </c>
      <c r="I18" s="44">
        <f t="shared" si="2"/>
        <v>0</v>
      </c>
      <c r="J18" s="8"/>
      <c r="K18" s="8"/>
    </row>
    <row r="19" spans="1:11" x14ac:dyDescent="0.25">
      <c r="A19" s="44" t="s">
        <v>3190</v>
      </c>
      <c r="B19" s="44">
        <v>99049127280.680008</v>
      </c>
      <c r="C19" s="44">
        <v>104076667985.57001</v>
      </c>
      <c r="D19" s="44">
        <f t="shared" si="0"/>
        <v>5.0758051513601217</v>
      </c>
      <c r="E19" s="39">
        <v>9</v>
      </c>
      <c r="F19" s="39">
        <v>1</v>
      </c>
      <c r="G19" s="39">
        <v>0</v>
      </c>
      <c r="H19" s="44">
        <f t="shared" si="1"/>
        <v>90</v>
      </c>
      <c r="I19" s="44">
        <f t="shared" si="2"/>
        <v>10</v>
      </c>
      <c r="J19" s="8"/>
      <c r="K19" s="8"/>
    </row>
    <row r="20" spans="1:11" x14ac:dyDescent="0.25">
      <c r="A20" s="44" t="s">
        <v>11</v>
      </c>
      <c r="B20" s="44">
        <v>1905921795937.3901</v>
      </c>
      <c r="C20" s="44">
        <v>2164055692532.54</v>
      </c>
      <c r="D20" s="44">
        <f t="shared" si="0"/>
        <v>13.543782181691869</v>
      </c>
      <c r="E20" s="39">
        <v>8</v>
      </c>
      <c r="F20" s="39">
        <v>0</v>
      </c>
      <c r="G20" s="39">
        <v>1</v>
      </c>
      <c r="H20" s="44">
        <f t="shared" si="1"/>
        <v>88.888888888888886</v>
      </c>
      <c r="I20" s="44">
        <f t="shared" si="2"/>
        <v>0</v>
      </c>
      <c r="J20" s="8"/>
      <c r="K20" s="8"/>
    </row>
    <row r="21" spans="1:11" x14ac:dyDescent="0.25">
      <c r="A21" s="44" t="s">
        <v>262</v>
      </c>
      <c r="B21" s="44">
        <v>14003152245.389999</v>
      </c>
      <c r="C21" s="44">
        <v>14945492837.800001</v>
      </c>
      <c r="D21" s="44">
        <f t="shared" si="0"/>
        <v>6.7294890171620549</v>
      </c>
      <c r="E21" s="39">
        <v>7</v>
      </c>
      <c r="F21" s="39">
        <v>1</v>
      </c>
      <c r="G21" s="39">
        <v>0</v>
      </c>
      <c r="H21" s="44">
        <f t="shared" si="1"/>
        <v>87.5</v>
      </c>
      <c r="I21" s="44">
        <f t="shared" si="2"/>
        <v>12.5</v>
      </c>
      <c r="J21" s="8"/>
      <c r="K21" s="8"/>
    </row>
    <row r="22" spans="1:11" x14ac:dyDescent="0.25">
      <c r="A22" s="44" t="s">
        <v>1935</v>
      </c>
      <c r="B22" s="44">
        <v>475373186322.70001</v>
      </c>
      <c r="C22" s="44">
        <v>493065366511.24994</v>
      </c>
      <c r="D22" s="44">
        <f t="shared" si="0"/>
        <v>3.7217455038660621</v>
      </c>
      <c r="E22" s="39">
        <v>7</v>
      </c>
      <c r="F22" s="39">
        <v>1</v>
      </c>
      <c r="G22" s="39">
        <v>0</v>
      </c>
      <c r="H22" s="44">
        <f t="shared" si="1"/>
        <v>87.5</v>
      </c>
      <c r="I22" s="44">
        <f t="shared" si="2"/>
        <v>12.5</v>
      </c>
      <c r="J22" s="8"/>
      <c r="K22" s="8"/>
    </row>
    <row r="23" spans="1:11" x14ac:dyDescent="0.25">
      <c r="A23" s="44" t="s">
        <v>295</v>
      </c>
      <c r="B23" s="44">
        <v>99270694549.149994</v>
      </c>
      <c r="C23" s="44">
        <v>95386921170.199997</v>
      </c>
      <c r="D23" s="44">
        <f t="shared" si="0"/>
        <v>-3.9123060401547796</v>
      </c>
      <c r="E23" s="39">
        <v>6</v>
      </c>
      <c r="F23" s="39">
        <v>1</v>
      </c>
      <c r="G23" s="39">
        <v>0</v>
      </c>
      <c r="H23" s="44">
        <f t="shared" si="1"/>
        <v>85.714285714285708</v>
      </c>
      <c r="I23" s="44">
        <f t="shared" si="2"/>
        <v>14.285714285714285</v>
      </c>
      <c r="J23" s="8"/>
      <c r="K23" s="8"/>
    </row>
    <row r="24" spans="1:11" x14ac:dyDescent="0.25">
      <c r="A24" s="44" t="s">
        <v>2321</v>
      </c>
      <c r="B24" s="44">
        <v>190605861425.94998</v>
      </c>
      <c r="C24" s="44">
        <v>219073573886.25</v>
      </c>
      <c r="D24" s="44">
        <f t="shared" si="0"/>
        <v>14.935381444898363</v>
      </c>
      <c r="E24" s="39">
        <v>5</v>
      </c>
      <c r="F24" s="39">
        <v>1</v>
      </c>
      <c r="G24" s="39">
        <v>0</v>
      </c>
      <c r="H24" s="44">
        <f t="shared" si="1"/>
        <v>83.333333333333343</v>
      </c>
      <c r="I24" s="44">
        <f t="shared" si="2"/>
        <v>16.666666666666664</v>
      </c>
      <c r="J24" s="8"/>
      <c r="K24" s="8"/>
    </row>
    <row r="25" spans="1:11" x14ac:dyDescent="0.25">
      <c r="A25" s="44" t="s">
        <v>2671</v>
      </c>
      <c r="B25" s="44">
        <v>262378272557.19</v>
      </c>
      <c r="C25" s="44">
        <v>294946097617.86005</v>
      </c>
      <c r="D25" s="44">
        <f t="shared" si="0"/>
        <v>12.412546489942802</v>
      </c>
      <c r="E25" s="39">
        <v>10</v>
      </c>
      <c r="F25" s="39">
        <v>2</v>
      </c>
      <c r="G25" s="39">
        <v>0</v>
      </c>
      <c r="H25" s="44">
        <f t="shared" si="1"/>
        <v>83.333333333333343</v>
      </c>
      <c r="I25" s="44">
        <f t="shared" si="2"/>
        <v>16.666666666666664</v>
      </c>
      <c r="J25" s="8"/>
      <c r="K25" s="8"/>
    </row>
    <row r="26" spans="1:11" x14ac:dyDescent="0.25">
      <c r="A26" s="44" t="s">
        <v>108</v>
      </c>
      <c r="B26" s="39">
        <v>3005018974745.2998</v>
      </c>
      <c r="C26" s="39">
        <v>3106396392616.9995</v>
      </c>
      <c r="D26" s="44">
        <f t="shared" si="0"/>
        <v>3.3736032525482567</v>
      </c>
      <c r="E26" s="39">
        <v>13</v>
      </c>
      <c r="F26" s="39">
        <v>3</v>
      </c>
      <c r="G26" s="39">
        <v>0</v>
      </c>
      <c r="H26" s="44">
        <f t="shared" si="1"/>
        <v>81.25</v>
      </c>
      <c r="I26" s="44">
        <f t="shared" si="2"/>
        <v>18.75</v>
      </c>
      <c r="J26" s="69" t="s">
        <v>4426</v>
      </c>
      <c r="K26" s="67"/>
    </row>
    <row r="27" spans="1:11" x14ac:dyDescent="0.25">
      <c r="A27" s="44" t="s">
        <v>3707</v>
      </c>
      <c r="B27" s="44">
        <v>202356543995.42999</v>
      </c>
      <c r="C27" s="44">
        <v>224349306352.06998</v>
      </c>
      <c r="D27" s="44">
        <f t="shared" si="0"/>
        <v>10.868322774447396</v>
      </c>
      <c r="E27" s="39">
        <v>8</v>
      </c>
      <c r="F27" s="39">
        <v>2</v>
      </c>
      <c r="G27" s="39">
        <v>0</v>
      </c>
      <c r="H27" s="44">
        <f t="shared" si="1"/>
        <v>80</v>
      </c>
      <c r="I27" s="44">
        <f t="shared" si="2"/>
        <v>20</v>
      </c>
      <c r="J27" s="8"/>
      <c r="K27" s="8"/>
    </row>
    <row r="28" spans="1:11" x14ac:dyDescent="0.25">
      <c r="A28" s="44" t="s">
        <v>2757</v>
      </c>
      <c r="B28" s="44">
        <v>598418651814.61011</v>
      </c>
      <c r="C28" s="44">
        <v>617259626384.23999</v>
      </c>
      <c r="D28" s="44">
        <f t="shared" si="0"/>
        <v>3.1484604486336782</v>
      </c>
      <c r="E28" s="39">
        <v>4</v>
      </c>
      <c r="F28" s="39">
        <v>1</v>
      </c>
      <c r="G28" s="39">
        <v>0</v>
      </c>
      <c r="H28" s="44">
        <f t="shared" si="1"/>
        <v>80</v>
      </c>
      <c r="I28" s="44">
        <f t="shared" si="2"/>
        <v>20</v>
      </c>
      <c r="J28" s="8"/>
      <c r="K28" s="8"/>
    </row>
    <row r="29" spans="1:11" x14ac:dyDescent="0.25">
      <c r="A29" s="44" t="s">
        <v>1695</v>
      </c>
      <c r="B29" s="44">
        <v>170371290439.86002</v>
      </c>
      <c r="C29" s="44">
        <v>189850706103.24002</v>
      </c>
      <c r="D29" s="44">
        <f t="shared" si="0"/>
        <v>11.433508317679918</v>
      </c>
      <c r="E29" s="39">
        <v>15</v>
      </c>
      <c r="F29" s="39">
        <v>4</v>
      </c>
      <c r="G29" s="39">
        <v>0</v>
      </c>
      <c r="H29" s="44">
        <f t="shared" si="1"/>
        <v>78.94736842105263</v>
      </c>
      <c r="I29" s="44">
        <f t="shared" si="2"/>
        <v>21.052631578947366</v>
      </c>
      <c r="J29" s="69" t="s">
        <v>4427</v>
      </c>
      <c r="K29" s="67"/>
    </row>
    <row r="30" spans="1:11" x14ac:dyDescent="0.25">
      <c r="A30" s="44" t="s">
        <v>1907</v>
      </c>
      <c r="B30" s="44">
        <v>545360445513.34991</v>
      </c>
      <c r="C30" s="44">
        <v>614157819399.96997</v>
      </c>
      <c r="D30" s="44">
        <f t="shared" si="0"/>
        <v>12.615028180465274</v>
      </c>
      <c r="E30" s="39">
        <v>11</v>
      </c>
      <c r="F30" s="39">
        <v>3</v>
      </c>
      <c r="G30" s="39">
        <v>0</v>
      </c>
      <c r="H30" s="44">
        <f t="shared" si="1"/>
        <v>78.571428571428569</v>
      </c>
      <c r="I30" s="44">
        <f t="shared" si="2"/>
        <v>21.428571428571427</v>
      </c>
      <c r="J30" s="8"/>
      <c r="K30" s="8"/>
    </row>
    <row r="31" spans="1:11" x14ac:dyDescent="0.25">
      <c r="A31" s="44" t="s">
        <v>1760</v>
      </c>
      <c r="B31" s="44">
        <v>229198574591.95001</v>
      </c>
      <c r="C31" s="44">
        <v>255030514953.97</v>
      </c>
      <c r="D31" s="44">
        <f t="shared" si="0"/>
        <v>11.270550180344475</v>
      </c>
      <c r="E31" s="39">
        <v>7</v>
      </c>
      <c r="F31" s="39">
        <v>2</v>
      </c>
      <c r="G31" s="39">
        <v>0</v>
      </c>
      <c r="H31" s="44">
        <f t="shared" si="1"/>
        <v>77.777777777777786</v>
      </c>
      <c r="I31" s="44">
        <f t="shared" si="2"/>
        <v>22.222222222222221</v>
      </c>
      <c r="J31" s="8"/>
      <c r="K31" s="8"/>
    </row>
    <row r="32" spans="1:11" x14ac:dyDescent="0.25">
      <c r="A32" s="44" t="s">
        <v>3847</v>
      </c>
      <c r="B32" s="44">
        <v>1001125896450.76</v>
      </c>
      <c r="C32" s="44">
        <v>1046946094657.8099</v>
      </c>
      <c r="D32" s="44">
        <f t="shared" si="0"/>
        <v>4.5768667426838032</v>
      </c>
      <c r="E32" s="39">
        <v>7</v>
      </c>
      <c r="F32" s="39">
        <v>2</v>
      </c>
      <c r="G32" s="39">
        <v>0</v>
      </c>
      <c r="H32" s="44">
        <f t="shared" si="1"/>
        <v>77.777777777777786</v>
      </c>
      <c r="I32" s="44">
        <f t="shared" si="2"/>
        <v>22.222222222222221</v>
      </c>
      <c r="J32" s="69" t="s">
        <v>4428</v>
      </c>
      <c r="K32" s="67"/>
    </row>
    <row r="33" spans="1:11" x14ac:dyDescent="0.25">
      <c r="A33" s="44" t="s">
        <v>1453</v>
      </c>
      <c r="B33" s="44">
        <v>480905863302.09003</v>
      </c>
      <c r="C33" s="44">
        <v>460047168933.03998</v>
      </c>
      <c r="D33" s="44">
        <f t="shared" si="0"/>
        <v>-4.3373757653579013</v>
      </c>
      <c r="E33" s="39">
        <v>7</v>
      </c>
      <c r="F33" s="39">
        <v>2</v>
      </c>
      <c r="G33" s="39">
        <v>0</v>
      </c>
      <c r="H33" s="44">
        <f t="shared" si="1"/>
        <v>77.777777777777786</v>
      </c>
      <c r="I33" s="44">
        <f t="shared" si="2"/>
        <v>22.222222222222221</v>
      </c>
      <c r="J33" s="8"/>
      <c r="K33" s="8"/>
    </row>
    <row r="34" spans="1:11" x14ac:dyDescent="0.25">
      <c r="A34" s="44" t="s">
        <v>3872</v>
      </c>
      <c r="B34" s="44">
        <v>646722475213.94995</v>
      </c>
      <c r="C34" s="44">
        <v>721907022661.10999</v>
      </c>
      <c r="D34" s="44">
        <f t="shared" si="0"/>
        <v>11.625473109201492</v>
      </c>
      <c r="E34" s="39">
        <v>17</v>
      </c>
      <c r="F34" s="39">
        <v>5</v>
      </c>
      <c r="G34" s="39">
        <v>0</v>
      </c>
      <c r="H34" s="44">
        <f t="shared" si="1"/>
        <v>77.272727272727266</v>
      </c>
      <c r="I34" s="44">
        <f t="shared" si="2"/>
        <v>22.727272727272727</v>
      </c>
      <c r="J34" s="8"/>
      <c r="K34" s="8"/>
    </row>
    <row r="35" spans="1:11" x14ac:dyDescent="0.25">
      <c r="A35" s="44" t="s">
        <v>3209</v>
      </c>
      <c r="B35" s="44">
        <v>334255410018.46002</v>
      </c>
      <c r="C35" s="44">
        <v>354419938780.16998</v>
      </c>
      <c r="D35" s="44">
        <f t="shared" si="0"/>
        <v>6.0326708730297973</v>
      </c>
      <c r="E35" s="39">
        <v>34</v>
      </c>
      <c r="F35" s="39">
        <v>8</v>
      </c>
      <c r="G35" s="39">
        <v>3</v>
      </c>
      <c r="H35" s="44">
        <f t="shared" si="1"/>
        <v>75.555555555555557</v>
      </c>
      <c r="I35" s="44">
        <f t="shared" si="2"/>
        <v>17.777777777777779</v>
      </c>
      <c r="J35" s="8"/>
      <c r="K35" s="8"/>
    </row>
    <row r="36" spans="1:11" x14ac:dyDescent="0.25">
      <c r="A36" s="44" t="s">
        <v>3501</v>
      </c>
      <c r="B36" s="44">
        <v>30875343546.450005</v>
      </c>
      <c r="C36" s="44">
        <v>35966934520.100006</v>
      </c>
      <c r="D36" s="44">
        <f t="shared" si="0"/>
        <v>16.490799417308587</v>
      </c>
      <c r="E36" s="39">
        <v>3</v>
      </c>
      <c r="F36" s="39">
        <v>1</v>
      </c>
      <c r="G36" s="39">
        <v>0</v>
      </c>
      <c r="H36" s="44">
        <f t="shared" si="1"/>
        <v>75</v>
      </c>
      <c r="I36" s="44">
        <f t="shared" si="2"/>
        <v>25</v>
      </c>
      <c r="J36" s="8"/>
      <c r="K36" s="8"/>
    </row>
    <row r="37" spans="1:11" x14ac:dyDescent="0.25">
      <c r="A37" s="44" t="s">
        <v>1333</v>
      </c>
      <c r="B37" s="44">
        <v>113083784948.32001</v>
      </c>
      <c r="C37" s="44">
        <v>129376618257.73001</v>
      </c>
      <c r="D37" s="44">
        <f t="shared" si="0"/>
        <v>14.407753787915686</v>
      </c>
      <c r="E37" s="39">
        <v>3</v>
      </c>
      <c r="F37" s="39">
        <v>1</v>
      </c>
      <c r="G37" s="39">
        <v>0</v>
      </c>
      <c r="H37" s="44">
        <f t="shared" si="1"/>
        <v>75</v>
      </c>
      <c r="I37" s="44">
        <f t="shared" si="2"/>
        <v>25</v>
      </c>
      <c r="J37" s="8"/>
      <c r="K37" s="8"/>
    </row>
    <row r="38" spans="1:11" x14ac:dyDescent="0.25">
      <c r="A38" s="44" t="s">
        <v>1616</v>
      </c>
      <c r="B38" s="44">
        <v>641268821762.40002</v>
      </c>
      <c r="C38" s="44">
        <v>702519543811.34985</v>
      </c>
      <c r="D38" s="44">
        <f t="shared" si="0"/>
        <v>9.5514891680862295</v>
      </c>
      <c r="E38" s="39">
        <v>3</v>
      </c>
      <c r="F38" s="39">
        <v>1</v>
      </c>
      <c r="G38" s="39">
        <v>0</v>
      </c>
      <c r="H38" s="44">
        <f t="shared" si="1"/>
        <v>75</v>
      </c>
      <c r="I38" s="44">
        <f t="shared" si="2"/>
        <v>25</v>
      </c>
      <c r="J38" s="8"/>
      <c r="K38" s="8"/>
    </row>
    <row r="39" spans="1:11" x14ac:dyDescent="0.25">
      <c r="A39" s="44" t="s">
        <v>166</v>
      </c>
      <c r="B39" s="44">
        <v>516467864825.54999</v>
      </c>
      <c r="C39" s="44">
        <v>554873513848.25</v>
      </c>
      <c r="D39" s="44">
        <f t="shared" si="0"/>
        <v>7.4362127129966717</v>
      </c>
      <c r="E39" s="39">
        <v>3</v>
      </c>
      <c r="F39" s="39">
        <v>1</v>
      </c>
      <c r="G39" s="39">
        <v>0</v>
      </c>
      <c r="H39" s="44">
        <f t="shared" si="1"/>
        <v>75</v>
      </c>
      <c r="I39" s="44">
        <f t="shared" si="2"/>
        <v>25</v>
      </c>
      <c r="J39" s="8"/>
      <c r="K39" s="8"/>
    </row>
    <row r="40" spans="1:11" x14ac:dyDescent="0.25">
      <c r="A40" s="44" t="s">
        <v>4053</v>
      </c>
      <c r="B40" s="44">
        <v>16718407922.299999</v>
      </c>
      <c r="C40" s="44">
        <v>17605959015.5</v>
      </c>
      <c r="D40" s="44">
        <f t="shared" si="0"/>
        <v>5.3088254415429876</v>
      </c>
      <c r="E40" s="39">
        <v>3</v>
      </c>
      <c r="F40" s="39">
        <v>1</v>
      </c>
      <c r="G40" s="39">
        <v>0</v>
      </c>
      <c r="H40" s="44">
        <f t="shared" si="1"/>
        <v>75</v>
      </c>
      <c r="I40" s="44">
        <f t="shared" si="2"/>
        <v>25</v>
      </c>
      <c r="J40" s="8"/>
      <c r="K40" s="8"/>
    </row>
    <row r="41" spans="1:11" x14ac:dyDescent="0.25">
      <c r="A41" s="44" t="s">
        <v>3611</v>
      </c>
      <c r="B41" s="44">
        <v>190032271497.32999</v>
      </c>
      <c r="C41" s="44">
        <v>198202829793.38998</v>
      </c>
      <c r="D41" s="44">
        <f t="shared" si="0"/>
        <v>4.2995635592214647</v>
      </c>
      <c r="E41" s="39">
        <v>9</v>
      </c>
      <c r="F41" s="39">
        <v>3</v>
      </c>
      <c r="G41" s="39">
        <v>0</v>
      </c>
      <c r="H41" s="44">
        <f t="shared" si="1"/>
        <v>75</v>
      </c>
      <c r="I41" s="44">
        <f t="shared" si="2"/>
        <v>25</v>
      </c>
      <c r="J41" s="8"/>
      <c r="K41" s="8"/>
    </row>
    <row r="42" spans="1:11" x14ac:dyDescent="0.25">
      <c r="A42" s="44" t="s">
        <v>4016</v>
      </c>
      <c r="B42" s="44">
        <v>1677923375751.72</v>
      </c>
      <c r="C42" s="44">
        <v>1734826641664.5798</v>
      </c>
      <c r="D42" s="44">
        <f t="shared" si="0"/>
        <v>3.3912910884483538</v>
      </c>
      <c r="E42" s="39">
        <v>3</v>
      </c>
      <c r="F42" s="39">
        <v>1</v>
      </c>
      <c r="G42" s="39">
        <v>0</v>
      </c>
      <c r="H42" s="44">
        <f t="shared" si="1"/>
        <v>75</v>
      </c>
      <c r="I42" s="44">
        <f t="shared" si="2"/>
        <v>25</v>
      </c>
      <c r="J42" s="8"/>
      <c r="K42" s="8"/>
    </row>
    <row r="43" spans="1:11" x14ac:dyDescent="0.25">
      <c r="A43" s="44" t="s">
        <v>3672</v>
      </c>
      <c r="B43" s="44">
        <v>8195459263.9499998</v>
      </c>
      <c r="C43" s="44">
        <v>8369435109.9799995</v>
      </c>
      <c r="D43" s="44">
        <f t="shared" si="0"/>
        <v>2.1228321736071676</v>
      </c>
      <c r="E43" s="39">
        <v>3</v>
      </c>
      <c r="F43" s="39">
        <v>1</v>
      </c>
      <c r="G43" s="39">
        <v>0</v>
      </c>
      <c r="H43" s="44">
        <f t="shared" si="1"/>
        <v>75</v>
      </c>
      <c r="I43" s="44">
        <f t="shared" si="2"/>
        <v>25</v>
      </c>
      <c r="J43" s="8"/>
      <c r="K43" s="8"/>
    </row>
    <row r="44" spans="1:11" x14ac:dyDescent="0.25">
      <c r="A44" s="44" t="s">
        <v>2721</v>
      </c>
      <c r="B44" s="44">
        <v>6186027184738.7598</v>
      </c>
      <c r="C44" s="44">
        <v>6033361355800.0908</v>
      </c>
      <c r="D44" s="44">
        <f t="shared" si="0"/>
        <v>-2.4679139677126418</v>
      </c>
      <c r="E44" s="39">
        <v>6</v>
      </c>
      <c r="F44" s="39">
        <v>2</v>
      </c>
      <c r="G44" s="39">
        <v>0</v>
      </c>
      <c r="H44" s="44">
        <f t="shared" si="1"/>
        <v>75</v>
      </c>
      <c r="I44" s="44">
        <f t="shared" si="2"/>
        <v>25</v>
      </c>
      <c r="J44" s="8"/>
      <c r="K44" s="8"/>
    </row>
    <row r="45" spans="1:11" x14ac:dyDescent="0.25">
      <c r="A45" s="44" t="s">
        <v>935</v>
      </c>
      <c r="B45" s="44">
        <v>3541716567584.5</v>
      </c>
      <c r="C45" s="44">
        <v>3449754255717.1499</v>
      </c>
      <c r="D45" s="44">
        <f t="shared" si="0"/>
        <v>-2.5965463388299779</v>
      </c>
      <c r="E45" s="39">
        <v>9</v>
      </c>
      <c r="F45" s="39">
        <v>3</v>
      </c>
      <c r="G45" s="39">
        <v>0</v>
      </c>
      <c r="H45" s="44">
        <f t="shared" si="1"/>
        <v>75</v>
      </c>
      <c r="I45" s="44">
        <f t="shared" si="2"/>
        <v>25</v>
      </c>
      <c r="J45" s="8"/>
      <c r="K45" s="8"/>
    </row>
    <row r="46" spans="1:11" x14ac:dyDescent="0.25">
      <c r="A46" s="51" t="s">
        <v>2577</v>
      </c>
      <c r="B46" s="44">
        <v>648500837527.09998</v>
      </c>
      <c r="C46" s="44">
        <v>595879714272.34998</v>
      </c>
      <c r="D46" s="44">
        <f t="shared" si="0"/>
        <v>-8.1142722121081352</v>
      </c>
      <c r="E46" s="39">
        <v>3</v>
      </c>
      <c r="F46" s="39">
        <v>1</v>
      </c>
      <c r="G46" s="39">
        <v>0</v>
      </c>
      <c r="H46" s="44">
        <f t="shared" si="1"/>
        <v>75</v>
      </c>
      <c r="I46" s="44">
        <f t="shared" si="2"/>
        <v>25</v>
      </c>
      <c r="J46" s="8"/>
      <c r="K46" s="8"/>
    </row>
    <row r="47" spans="1:11" x14ac:dyDescent="0.25">
      <c r="A47" s="44" t="s">
        <v>1337</v>
      </c>
      <c r="B47" s="44">
        <v>1076971027174.0801</v>
      </c>
      <c r="C47" s="44">
        <v>1151523390706.2195</v>
      </c>
      <c r="D47" s="44">
        <f t="shared" si="0"/>
        <v>6.9224112488672231</v>
      </c>
      <c r="E47" s="39">
        <v>44</v>
      </c>
      <c r="F47" s="39">
        <v>14</v>
      </c>
      <c r="G47" s="39">
        <v>1</v>
      </c>
      <c r="H47" s="44">
        <f t="shared" si="1"/>
        <v>74.576271186440678</v>
      </c>
      <c r="I47" s="44">
        <f t="shared" si="2"/>
        <v>23.728813559322035</v>
      </c>
      <c r="J47" s="8"/>
      <c r="K47" s="8"/>
    </row>
    <row r="48" spans="1:11" x14ac:dyDescent="0.25">
      <c r="A48" s="44" t="s">
        <v>2444</v>
      </c>
      <c r="B48" s="44">
        <v>1274332857837.1201</v>
      </c>
      <c r="C48" s="44">
        <v>1373325198044.7097</v>
      </c>
      <c r="D48" s="44">
        <f t="shared" si="0"/>
        <v>7.7681697994985228</v>
      </c>
      <c r="E48" s="39">
        <v>11</v>
      </c>
      <c r="F48" s="39">
        <v>4</v>
      </c>
      <c r="G48" s="39">
        <v>0</v>
      </c>
      <c r="H48" s="44">
        <f t="shared" si="1"/>
        <v>73.333333333333329</v>
      </c>
      <c r="I48" s="44">
        <f t="shared" si="2"/>
        <v>26.666666666666668</v>
      </c>
      <c r="J48" s="8"/>
      <c r="K48" s="8"/>
    </row>
    <row r="49" spans="1:11" x14ac:dyDescent="0.25">
      <c r="A49" s="44" t="s">
        <v>1046</v>
      </c>
      <c r="B49" s="44">
        <v>962384930666.17004</v>
      </c>
      <c r="C49" s="44">
        <v>1087371451775.63</v>
      </c>
      <c r="D49" s="44">
        <f t="shared" si="0"/>
        <v>12.987165231581855</v>
      </c>
      <c r="E49" s="39">
        <v>16</v>
      </c>
      <c r="F49" s="39">
        <v>6</v>
      </c>
      <c r="G49" s="39">
        <v>0</v>
      </c>
      <c r="H49" s="44">
        <f t="shared" si="1"/>
        <v>72.727272727272734</v>
      </c>
      <c r="I49" s="44">
        <f t="shared" si="2"/>
        <v>27.27272727272727</v>
      </c>
      <c r="J49" s="8"/>
      <c r="K49" s="8"/>
    </row>
    <row r="50" spans="1:11" x14ac:dyDescent="0.25">
      <c r="A50" s="44" t="s">
        <v>1001</v>
      </c>
      <c r="B50" s="44">
        <v>1088789724771.7899</v>
      </c>
      <c r="C50" s="44">
        <v>1218372192112.55</v>
      </c>
      <c r="D50" s="44">
        <f t="shared" si="0"/>
        <v>11.901514534215558</v>
      </c>
      <c r="E50" s="39">
        <v>8</v>
      </c>
      <c r="F50" s="39">
        <v>3</v>
      </c>
      <c r="G50" s="39">
        <v>0</v>
      </c>
      <c r="H50" s="44">
        <f t="shared" si="1"/>
        <v>72.727272727272734</v>
      </c>
      <c r="I50" s="44">
        <f t="shared" si="2"/>
        <v>27.27272727272727</v>
      </c>
      <c r="J50" s="8"/>
      <c r="K50" s="8"/>
    </row>
    <row r="51" spans="1:11" x14ac:dyDescent="0.25">
      <c r="A51" s="44" t="s">
        <v>3652</v>
      </c>
      <c r="B51" s="44">
        <v>125895546780.07999</v>
      </c>
      <c r="C51" s="44">
        <v>144378707073.26999</v>
      </c>
      <c r="D51" s="44">
        <f t="shared" si="0"/>
        <v>14.681345580457442</v>
      </c>
      <c r="E51" s="39">
        <v>5</v>
      </c>
      <c r="F51" s="39">
        <v>2</v>
      </c>
      <c r="G51" s="39">
        <v>0</v>
      </c>
      <c r="H51" s="44">
        <f t="shared" si="1"/>
        <v>71.428571428571431</v>
      </c>
      <c r="I51" s="44">
        <f t="shared" si="2"/>
        <v>28.571428571428569</v>
      </c>
      <c r="J51" s="8"/>
      <c r="K51" s="8"/>
    </row>
    <row r="52" spans="1:11" x14ac:dyDescent="0.25">
      <c r="A52" s="44" t="s">
        <v>3402</v>
      </c>
      <c r="B52" s="44">
        <v>7252307747757.9404</v>
      </c>
      <c r="C52" s="44">
        <v>7306295458371.8193</v>
      </c>
      <c r="D52" s="44">
        <f t="shared" si="0"/>
        <v>0.74442112071939126</v>
      </c>
      <c r="E52" s="39">
        <v>5</v>
      </c>
      <c r="F52" s="39">
        <v>2</v>
      </c>
      <c r="G52" s="39">
        <v>0</v>
      </c>
      <c r="H52" s="44">
        <f t="shared" si="1"/>
        <v>71.428571428571431</v>
      </c>
      <c r="I52" s="44">
        <f t="shared" si="2"/>
        <v>28.571428571428569</v>
      </c>
      <c r="J52" s="8"/>
      <c r="K52" s="8"/>
    </row>
    <row r="53" spans="1:11" x14ac:dyDescent="0.25">
      <c r="A53" s="44" t="s">
        <v>3475</v>
      </c>
      <c r="B53" s="44">
        <v>7876052579378.8096</v>
      </c>
      <c r="C53" s="44">
        <v>7911470478172.3408</v>
      </c>
      <c r="D53" s="44">
        <f t="shared" si="0"/>
        <v>0.44969098970038474</v>
      </c>
      <c r="E53" s="39">
        <v>24</v>
      </c>
      <c r="F53" s="39">
        <v>10</v>
      </c>
      <c r="G53" s="39">
        <v>0</v>
      </c>
      <c r="H53" s="44">
        <f t="shared" si="1"/>
        <v>70.588235294117652</v>
      </c>
      <c r="I53" s="44">
        <f t="shared" si="2"/>
        <v>29.411764705882355</v>
      </c>
      <c r="J53" s="8"/>
      <c r="K53" s="8"/>
    </row>
    <row r="54" spans="1:11" x14ac:dyDescent="0.25">
      <c r="A54" s="44" t="s">
        <v>711</v>
      </c>
      <c r="B54" s="44">
        <v>371820658126.75006</v>
      </c>
      <c r="C54" s="44">
        <v>365061841362.12006</v>
      </c>
      <c r="D54" s="44">
        <f t="shared" si="0"/>
        <v>-1.8177625736776546</v>
      </c>
      <c r="E54" s="39">
        <v>16</v>
      </c>
      <c r="F54" s="39">
        <v>6</v>
      </c>
      <c r="G54" s="39">
        <v>1</v>
      </c>
      <c r="H54" s="44">
        <f t="shared" si="1"/>
        <v>69.565217391304344</v>
      </c>
      <c r="I54" s="44">
        <f t="shared" si="2"/>
        <v>26.086956521739129</v>
      </c>
      <c r="J54" s="8"/>
      <c r="K54" s="8"/>
    </row>
    <row r="55" spans="1:11" x14ac:dyDescent="0.25">
      <c r="A55" s="44" t="s">
        <v>3561</v>
      </c>
      <c r="B55" s="44">
        <v>346671352609.01007</v>
      </c>
      <c r="C55" s="44">
        <v>350752477078.14001</v>
      </c>
      <c r="D55" s="44">
        <f t="shared" si="0"/>
        <v>1.1772315302132277</v>
      </c>
      <c r="E55" s="39">
        <v>35</v>
      </c>
      <c r="F55" s="39">
        <v>14</v>
      </c>
      <c r="G55" s="39">
        <v>2</v>
      </c>
      <c r="H55" s="44">
        <f t="shared" si="1"/>
        <v>68.627450980392155</v>
      </c>
      <c r="I55" s="44">
        <f t="shared" si="2"/>
        <v>27.450980392156865</v>
      </c>
      <c r="J55" s="8"/>
      <c r="K55" s="8"/>
    </row>
    <row r="56" spans="1:11" x14ac:dyDescent="0.25">
      <c r="A56" s="44" t="s">
        <v>206</v>
      </c>
      <c r="B56" s="44">
        <v>1100682970986.77</v>
      </c>
      <c r="C56" s="44">
        <v>1192297912308.5498</v>
      </c>
      <c r="D56" s="44">
        <f t="shared" si="0"/>
        <v>8.3234631348612886</v>
      </c>
      <c r="E56" s="39">
        <v>23</v>
      </c>
      <c r="F56" s="39">
        <v>11</v>
      </c>
      <c r="G56" s="39">
        <v>0</v>
      </c>
      <c r="H56" s="44">
        <f t="shared" si="1"/>
        <v>67.64705882352942</v>
      </c>
      <c r="I56" s="44">
        <f t="shared" si="2"/>
        <v>32.352941176470587</v>
      </c>
      <c r="J56" s="8"/>
      <c r="K56" s="8"/>
    </row>
    <row r="57" spans="1:11" x14ac:dyDescent="0.25">
      <c r="A57" s="44" t="s">
        <v>1136</v>
      </c>
      <c r="B57" s="44">
        <v>7177121474831.6104</v>
      </c>
      <c r="C57" s="44">
        <v>7154034612235.9209</v>
      </c>
      <c r="D57" s="44">
        <f t="shared" si="0"/>
        <v>-0.32167300883298922</v>
      </c>
      <c r="E57" s="39">
        <v>29</v>
      </c>
      <c r="F57" s="39">
        <v>13</v>
      </c>
      <c r="G57" s="39">
        <v>1</v>
      </c>
      <c r="H57" s="44">
        <f t="shared" si="1"/>
        <v>67.441860465116278</v>
      </c>
      <c r="I57" s="44">
        <f t="shared" si="2"/>
        <v>30.232558139534881</v>
      </c>
      <c r="J57" s="8"/>
      <c r="K57" s="8"/>
    </row>
    <row r="58" spans="1:11" x14ac:dyDescent="0.25">
      <c r="A58" s="44" t="s">
        <v>1672</v>
      </c>
      <c r="B58" s="44">
        <v>440572094956.34998</v>
      </c>
      <c r="C58" s="44">
        <v>546838142276.5</v>
      </c>
      <c r="D58" s="44">
        <f t="shared" si="0"/>
        <v>24.120013168486853</v>
      </c>
      <c r="E58" s="39">
        <v>2</v>
      </c>
      <c r="F58" s="39">
        <v>1</v>
      </c>
      <c r="G58" s="39">
        <v>0</v>
      </c>
      <c r="H58" s="44">
        <f t="shared" si="1"/>
        <v>66.666666666666657</v>
      </c>
      <c r="I58" s="44">
        <f t="shared" si="2"/>
        <v>33.333333333333329</v>
      </c>
      <c r="J58" s="8"/>
      <c r="K58" s="8"/>
    </row>
    <row r="59" spans="1:11" x14ac:dyDescent="0.25">
      <c r="A59" s="44" t="s">
        <v>4200</v>
      </c>
      <c r="B59" s="44">
        <v>168923309954.19998</v>
      </c>
      <c r="C59" s="44">
        <v>190009187268.40002</v>
      </c>
      <c r="D59" s="44">
        <f t="shared" si="0"/>
        <v>12.482514887919871</v>
      </c>
      <c r="E59" s="39">
        <v>2</v>
      </c>
      <c r="F59" s="39">
        <v>1</v>
      </c>
      <c r="G59" s="39">
        <v>0</v>
      </c>
      <c r="H59" s="44">
        <f t="shared" si="1"/>
        <v>66.666666666666657</v>
      </c>
      <c r="I59" s="44">
        <f t="shared" si="2"/>
        <v>33.333333333333329</v>
      </c>
      <c r="J59" s="69" t="s">
        <v>4429</v>
      </c>
      <c r="K59" s="67"/>
    </row>
    <row r="60" spans="1:11" x14ac:dyDescent="0.25">
      <c r="A60" s="44" t="s">
        <v>1807</v>
      </c>
      <c r="B60" s="44">
        <v>1336778550000.0798</v>
      </c>
      <c r="C60" s="44">
        <v>1471640265602.5403</v>
      </c>
      <c r="D60" s="44">
        <f t="shared" si="0"/>
        <v>10.088560712053047</v>
      </c>
      <c r="E60" s="39">
        <v>12</v>
      </c>
      <c r="F60" s="39">
        <v>6</v>
      </c>
      <c r="G60" s="39">
        <v>0</v>
      </c>
      <c r="H60" s="44">
        <f t="shared" si="1"/>
        <v>66.666666666666657</v>
      </c>
      <c r="I60" s="44">
        <f t="shared" si="2"/>
        <v>33.333333333333329</v>
      </c>
      <c r="J60" s="8"/>
      <c r="K60" s="8"/>
    </row>
    <row r="61" spans="1:11" x14ac:dyDescent="0.25">
      <c r="A61" s="44" t="s">
        <v>2627</v>
      </c>
      <c r="B61" s="44">
        <v>498540183395.87994</v>
      </c>
      <c r="C61" s="44">
        <v>542674302110.58002</v>
      </c>
      <c r="D61" s="44">
        <f t="shared" si="0"/>
        <v>8.8526702931093766</v>
      </c>
      <c r="E61" s="39">
        <v>8</v>
      </c>
      <c r="F61" s="39">
        <v>4</v>
      </c>
      <c r="G61" s="39">
        <v>0</v>
      </c>
      <c r="H61" s="44">
        <f t="shared" si="1"/>
        <v>66.666666666666657</v>
      </c>
      <c r="I61" s="44">
        <f t="shared" si="2"/>
        <v>33.333333333333329</v>
      </c>
      <c r="J61" s="8"/>
      <c r="K61" s="8"/>
    </row>
    <row r="62" spans="1:11" x14ac:dyDescent="0.25">
      <c r="A62" s="44" t="s">
        <v>324</v>
      </c>
      <c r="B62" s="44">
        <v>312450796917.59998</v>
      </c>
      <c r="C62" s="44">
        <v>334546903106.29999</v>
      </c>
      <c r="D62" s="44">
        <f t="shared" si="0"/>
        <v>7.0718674449491745</v>
      </c>
      <c r="E62" s="39">
        <v>4</v>
      </c>
      <c r="F62" s="39">
        <v>2</v>
      </c>
      <c r="G62" s="39">
        <v>0</v>
      </c>
      <c r="H62" s="44">
        <f t="shared" si="1"/>
        <v>66.666666666666657</v>
      </c>
      <c r="I62" s="44">
        <f t="shared" si="2"/>
        <v>33.333333333333329</v>
      </c>
      <c r="J62" s="8"/>
      <c r="K62" s="8"/>
    </row>
    <row r="63" spans="1:11" x14ac:dyDescent="0.25">
      <c r="A63" s="51" t="s">
        <v>2567</v>
      </c>
      <c r="B63" s="44">
        <v>182947947766.59998</v>
      </c>
      <c r="C63" s="44">
        <v>194306948793.40002</v>
      </c>
      <c r="D63" s="44">
        <f t="shared" si="0"/>
        <v>6.2088704276101279</v>
      </c>
      <c r="E63" s="39">
        <v>2</v>
      </c>
      <c r="F63" s="39">
        <v>1</v>
      </c>
      <c r="G63" s="39">
        <v>0</v>
      </c>
      <c r="H63" s="44">
        <f t="shared" si="1"/>
        <v>66.666666666666657</v>
      </c>
      <c r="I63" s="44">
        <f t="shared" si="2"/>
        <v>33.333333333333329</v>
      </c>
      <c r="J63" s="8"/>
      <c r="K63" s="8"/>
    </row>
    <row r="64" spans="1:11" x14ac:dyDescent="0.25">
      <c r="A64" s="44" t="s">
        <v>807</v>
      </c>
      <c r="B64" s="44">
        <v>4595469094983.1182</v>
      </c>
      <c r="C64" s="44">
        <v>4832117143558.8086</v>
      </c>
      <c r="D64" s="44">
        <f t="shared" si="0"/>
        <v>5.1495950399065791</v>
      </c>
      <c r="E64" s="39">
        <v>20</v>
      </c>
      <c r="F64" s="39">
        <v>10</v>
      </c>
      <c r="G64" s="39">
        <v>0</v>
      </c>
      <c r="H64" s="44">
        <f t="shared" si="1"/>
        <v>66.666666666666657</v>
      </c>
      <c r="I64" s="44">
        <f t="shared" si="2"/>
        <v>33.333333333333329</v>
      </c>
      <c r="J64" s="8"/>
      <c r="K64" s="8"/>
    </row>
    <row r="65" spans="1:13" x14ac:dyDescent="0.25">
      <c r="A65" s="44" t="s">
        <v>3690</v>
      </c>
      <c r="B65" s="44">
        <v>117440388783.75</v>
      </c>
      <c r="C65" s="44">
        <v>122794119584</v>
      </c>
      <c r="D65" s="44">
        <f t="shared" si="0"/>
        <v>4.5586793910467582</v>
      </c>
      <c r="E65" s="39">
        <v>2</v>
      </c>
      <c r="F65" s="39">
        <v>1</v>
      </c>
      <c r="G65" s="39">
        <v>0</v>
      </c>
      <c r="H65" s="44">
        <f t="shared" si="1"/>
        <v>66.666666666666657</v>
      </c>
      <c r="I65" s="44">
        <f t="shared" si="2"/>
        <v>33.333333333333329</v>
      </c>
      <c r="J65" s="8"/>
      <c r="K65" s="8"/>
    </row>
    <row r="66" spans="1:13" x14ac:dyDescent="0.25">
      <c r="A66" s="44" t="s">
        <v>1501</v>
      </c>
      <c r="B66" s="44">
        <v>745934936460.79004</v>
      </c>
      <c r="C66" s="44">
        <v>774189519630.63</v>
      </c>
      <c r="D66" s="44">
        <f t="shared" si="0"/>
        <v>3.7878079962172628</v>
      </c>
      <c r="E66" s="39">
        <v>6</v>
      </c>
      <c r="F66" s="39">
        <v>2</v>
      </c>
      <c r="G66" s="39">
        <v>1</v>
      </c>
      <c r="H66" s="44">
        <f t="shared" si="1"/>
        <v>66.666666666666657</v>
      </c>
      <c r="I66" s="44">
        <f t="shared" si="2"/>
        <v>22.222222222222221</v>
      </c>
      <c r="J66" s="8"/>
      <c r="K66" s="8"/>
    </row>
    <row r="67" spans="1:13" x14ac:dyDescent="0.25">
      <c r="A67" s="44" t="s">
        <v>2867</v>
      </c>
      <c r="B67" s="44">
        <v>5118870082.1000004</v>
      </c>
      <c r="C67" s="44">
        <v>5274190351.25</v>
      </c>
      <c r="D67" s="44">
        <f t="shared" si="0"/>
        <v>3.0342686307498541</v>
      </c>
      <c r="E67" s="39">
        <v>4</v>
      </c>
      <c r="F67" s="39">
        <v>2</v>
      </c>
      <c r="G67" s="39">
        <v>0</v>
      </c>
      <c r="H67" s="44">
        <f t="shared" si="1"/>
        <v>66.666666666666657</v>
      </c>
      <c r="I67" s="44">
        <f t="shared" si="2"/>
        <v>33.333333333333329</v>
      </c>
      <c r="J67" s="8"/>
      <c r="K67" s="8"/>
    </row>
    <row r="68" spans="1:13" x14ac:dyDescent="0.25">
      <c r="A68" s="44" t="s">
        <v>4066</v>
      </c>
      <c r="B68" s="44">
        <v>86318838852.699997</v>
      </c>
      <c r="C68" s="44">
        <v>88592504460.850006</v>
      </c>
      <c r="D68" s="44">
        <f t="shared" si="0"/>
        <v>2.6340317344049748</v>
      </c>
      <c r="E68" s="39">
        <v>6</v>
      </c>
      <c r="F68" s="39">
        <v>3</v>
      </c>
      <c r="G68" s="39">
        <v>0</v>
      </c>
      <c r="H68" s="44">
        <f t="shared" si="1"/>
        <v>66.666666666666657</v>
      </c>
      <c r="I68" s="44">
        <f t="shared" si="2"/>
        <v>33.333333333333329</v>
      </c>
      <c r="J68" s="8"/>
      <c r="K68" s="8"/>
    </row>
    <row r="69" spans="1:13" x14ac:dyDescent="0.25">
      <c r="A69" s="44" t="s">
        <v>831</v>
      </c>
      <c r="B69" s="44">
        <v>208554876047.64999</v>
      </c>
      <c r="C69" s="44">
        <v>214028179941.04999</v>
      </c>
      <c r="D69" s="44">
        <f t="shared" si="0"/>
        <v>2.6243950739130502</v>
      </c>
      <c r="E69" s="39">
        <v>4</v>
      </c>
      <c r="F69" s="39">
        <v>2</v>
      </c>
      <c r="G69" s="39">
        <v>0</v>
      </c>
      <c r="H69" s="44">
        <f t="shared" si="1"/>
        <v>66.666666666666657</v>
      </c>
      <c r="I69" s="44">
        <f t="shared" si="2"/>
        <v>33.333333333333329</v>
      </c>
      <c r="J69" s="8"/>
      <c r="K69" s="8"/>
    </row>
    <row r="70" spans="1:13" x14ac:dyDescent="0.25">
      <c r="A70" s="44" t="s">
        <v>2892</v>
      </c>
      <c r="B70" s="44">
        <v>2832868562229.75</v>
      </c>
      <c r="C70" s="44">
        <v>2762014414469.7002</v>
      </c>
      <c r="D70" s="44">
        <f t="shared" si="0"/>
        <v>-2.5011449067824216</v>
      </c>
      <c r="E70" s="39">
        <v>2</v>
      </c>
      <c r="F70" s="39">
        <v>1</v>
      </c>
      <c r="G70" s="39">
        <v>0</v>
      </c>
      <c r="H70" s="44">
        <f t="shared" si="1"/>
        <v>66.666666666666657</v>
      </c>
      <c r="I70" s="44">
        <f t="shared" si="2"/>
        <v>33.333333333333329</v>
      </c>
      <c r="J70" s="8"/>
      <c r="K70" s="8"/>
      <c r="M70" s="8"/>
    </row>
    <row r="71" spans="1:13" x14ac:dyDescent="0.25">
      <c r="A71" s="44" t="s">
        <v>4145</v>
      </c>
      <c r="B71" s="44">
        <v>10702125753844.42</v>
      </c>
      <c r="C71" s="44">
        <v>10363107988190.32</v>
      </c>
      <c r="D71" s="44">
        <f t="shared" si="0"/>
        <v>-3.1677609986251341</v>
      </c>
      <c r="E71" s="39">
        <v>8</v>
      </c>
      <c r="F71" s="39">
        <v>4</v>
      </c>
      <c r="G71" s="39">
        <v>0</v>
      </c>
      <c r="H71" s="44">
        <f t="shared" si="1"/>
        <v>66.666666666666657</v>
      </c>
      <c r="I71" s="44">
        <f t="shared" si="2"/>
        <v>33.333333333333329</v>
      </c>
      <c r="J71" s="8"/>
      <c r="K71" s="8"/>
    </row>
    <row r="72" spans="1:13" x14ac:dyDescent="0.25">
      <c r="A72" s="44" t="s">
        <v>4057</v>
      </c>
      <c r="B72" s="44">
        <v>8190661900.4800005</v>
      </c>
      <c r="C72" s="44">
        <v>7878173618</v>
      </c>
      <c r="D72" s="44">
        <f t="shared" si="0"/>
        <v>-3.8151774090649209</v>
      </c>
      <c r="E72" s="39">
        <v>2</v>
      </c>
      <c r="F72" s="39">
        <v>1</v>
      </c>
      <c r="G72" s="39">
        <v>0</v>
      </c>
      <c r="H72" s="44">
        <f t="shared" si="1"/>
        <v>66.666666666666657</v>
      </c>
      <c r="I72" s="44">
        <f t="shared" si="2"/>
        <v>33.333333333333329</v>
      </c>
      <c r="J72" s="8"/>
      <c r="K72" s="8"/>
    </row>
    <row r="73" spans="1:13" x14ac:dyDescent="0.25">
      <c r="A73" s="44" t="s">
        <v>3744</v>
      </c>
      <c r="B73" s="44">
        <v>1398033099199.97</v>
      </c>
      <c r="C73" s="44">
        <v>1580674781930.8999</v>
      </c>
      <c r="D73" s="44">
        <f t="shared" si="0"/>
        <v>13.06418874026998</v>
      </c>
      <c r="E73" s="39">
        <v>37</v>
      </c>
      <c r="F73" s="39">
        <v>17</v>
      </c>
      <c r="G73" s="39">
        <v>2</v>
      </c>
      <c r="H73" s="44">
        <f t="shared" si="1"/>
        <v>66.071428571428569</v>
      </c>
      <c r="I73" s="44">
        <f t="shared" si="2"/>
        <v>30.357142857142854</v>
      </c>
      <c r="J73" s="69" t="s">
        <v>4430</v>
      </c>
      <c r="K73" s="67"/>
    </row>
    <row r="74" spans="1:13" x14ac:dyDescent="0.25">
      <c r="A74" s="44" t="s">
        <v>3683</v>
      </c>
      <c r="B74" s="44">
        <v>5024248355489.5801</v>
      </c>
      <c r="C74" s="44">
        <v>5158658995823.5713</v>
      </c>
      <c r="D74" s="44">
        <f t="shared" si="0"/>
        <v>2.6752387784957294</v>
      </c>
      <c r="E74" s="39">
        <v>25</v>
      </c>
      <c r="F74" s="39">
        <v>13</v>
      </c>
      <c r="G74" s="39">
        <v>0</v>
      </c>
      <c r="H74" s="44">
        <f t="shared" si="1"/>
        <v>65.789473684210535</v>
      </c>
      <c r="I74" s="44">
        <f t="shared" si="2"/>
        <v>34.210526315789473</v>
      </c>
      <c r="J74" s="8"/>
      <c r="K74" s="8"/>
    </row>
    <row r="75" spans="1:13" x14ac:dyDescent="0.25">
      <c r="A75" s="44" t="s">
        <v>2286</v>
      </c>
      <c r="B75" s="44">
        <v>595156240809.55005</v>
      </c>
      <c r="C75" s="44">
        <v>649686538829.6001</v>
      </c>
      <c r="D75" s="44">
        <f t="shared" si="0"/>
        <v>9.1623500319640847</v>
      </c>
      <c r="E75" s="39">
        <v>21</v>
      </c>
      <c r="F75" s="39">
        <v>10</v>
      </c>
      <c r="G75" s="39">
        <v>1</v>
      </c>
      <c r="H75" s="44">
        <f t="shared" si="1"/>
        <v>65.625</v>
      </c>
      <c r="I75" s="44">
        <f t="shared" si="2"/>
        <v>31.25</v>
      </c>
      <c r="J75" s="8"/>
      <c r="K75" s="8"/>
    </row>
    <row r="76" spans="1:13" x14ac:dyDescent="0.25">
      <c r="A76" s="44" t="s">
        <v>3503</v>
      </c>
      <c r="B76" s="44">
        <v>1777395393728.7998</v>
      </c>
      <c r="C76" s="44">
        <v>1793682402043.5601</v>
      </c>
      <c r="D76" s="44">
        <f t="shared" si="0"/>
        <v>0.91634131450018663</v>
      </c>
      <c r="E76" s="39">
        <v>17</v>
      </c>
      <c r="F76" s="39">
        <v>9</v>
      </c>
      <c r="G76" s="39">
        <v>0</v>
      </c>
      <c r="H76" s="44">
        <f t="shared" si="1"/>
        <v>65.384615384615387</v>
      </c>
      <c r="I76" s="44">
        <f t="shared" si="2"/>
        <v>34.615384615384613</v>
      </c>
      <c r="J76" s="8"/>
      <c r="K76" s="8"/>
    </row>
    <row r="77" spans="1:13" x14ac:dyDescent="0.25">
      <c r="A77" s="44" t="s">
        <v>3431</v>
      </c>
      <c r="B77" s="44">
        <v>4231520970675.9492</v>
      </c>
      <c r="C77" s="44">
        <v>4217223171037.8594</v>
      </c>
      <c r="D77" s="44">
        <f t="shared" si="0"/>
        <v>-0.33788795416996109</v>
      </c>
      <c r="E77" s="39">
        <v>11</v>
      </c>
      <c r="F77" s="39">
        <v>4</v>
      </c>
      <c r="G77" s="39">
        <v>2</v>
      </c>
      <c r="H77" s="44">
        <f t="shared" si="1"/>
        <v>64.705882352941174</v>
      </c>
      <c r="I77" s="44">
        <f t="shared" si="2"/>
        <v>23.52941176470588</v>
      </c>
      <c r="J77" s="8"/>
      <c r="K77" s="8"/>
    </row>
    <row r="78" spans="1:13" x14ac:dyDescent="0.25">
      <c r="A78" s="44" t="s">
        <v>1968</v>
      </c>
      <c r="B78" s="44">
        <v>29079917136833</v>
      </c>
      <c r="C78" s="44">
        <v>29473567891423.332</v>
      </c>
      <c r="D78" s="44">
        <f t="shared" si="0"/>
        <v>1.3536859570061459</v>
      </c>
      <c r="E78" s="39">
        <v>45</v>
      </c>
      <c r="F78" s="39">
        <v>25</v>
      </c>
      <c r="G78" s="39">
        <v>1</v>
      </c>
      <c r="H78" s="44">
        <f t="shared" si="1"/>
        <v>63.380281690140848</v>
      </c>
      <c r="I78" s="44">
        <f t="shared" si="2"/>
        <v>35.2112676056338</v>
      </c>
      <c r="J78" s="69" t="s">
        <v>4431</v>
      </c>
      <c r="K78" s="67"/>
    </row>
    <row r="79" spans="1:13" x14ac:dyDescent="0.25">
      <c r="A79" s="44" t="s">
        <v>1478</v>
      </c>
      <c r="B79" s="44">
        <v>546222619711.66998</v>
      </c>
      <c r="C79" s="44">
        <v>576070637695.15991</v>
      </c>
      <c r="D79" s="44">
        <f t="shared" si="0"/>
        <v>5.4644419521193681</v>
      </c>
      <c r="E79" s="39">
        <v>29</v>
      </c>
      <c r="F79" s="39">
        <v>17</v>
      </c>
      <c r="G79" s="39">
        <v>0</v>
      </c>
      <c r="H79" s="44">
        <f t="shared" si="1"/>
        <v>63.04347826086957</v>
      </c>
      <c r="I79" s="44">
        <f t="shared" si="2"/>
        <v>36.95652173913043</v>
      </c>
      <c r="J79" s="8"/>
      <c r="K79" s="8"/>
    </row>
    <row r="80" spans="1:13" x14ac:dyDescent="0.25">
      <c r="A80" s="44" t="s">
        <v>1271</v>
      </c>
      <c r="B80" s="44">
        <v>998800774483.54993</v>
      </c>
      <c r="C80" s="44">
        <v>1025278442455.7</v>
      </c>
      <c r="D80" s="44">
        <f t="shared" si="0"/>
        <v>2.6509458791560143</v>
      </c>
      <c r="E80" s="39">
        <v>10</v>
      </c>
      <c r="F80" s="39">
        <v>6</v>
      </c>
      <c r="G80" s="39">
        <v>0</v>
      </c>
      <c r="H80" s="44">
        <f t="shared" si="1"/>
        <v>62.5</v>
      </c>
      <c r="I80" s="44">
        <f t="shared" si="2"/>
        <v>37.5</v>
      </c>
      <c r="J80" s="8"/>
      <c r="K80" s="8"/>
    </row>
    <row r="81" spans="1:12" x14ac:dyDescent="0.25">
      <c r="A81" s="44" t="s">
        <v>1868</v>
      </c>
      <c r="B81" s="44">
        <v>4898402410298.9707</v>
      </c>
      <c r="C81" s="44">
        <v>5033093696809.4707</v>
      </c>
      <c r="D81" s="44">
        <f t="shared" si="0"/>
        <v>2.7496982736107878</v>
      </c>
      <c r="E81" s="39">
        <v>59</v>
      </c>
      <c r="F81" s="39">
        <v>33</v>
      </c>
      <c r="G81" s="39">
        <v>3</v>
      </c>
      <c r="H81" s="44">
        <f t="shared" si="1"/>
        <v>62.10526315789474</v>
      </c>
      <c r="I81" s="44">
        <f t="shared" si="2"/>
        <v>34.736842105263158</v>
      </c>
      <c r="J81" s="8"/>
      <c r="K81" s="8"/>
    </row>
    <row r="82" spans="1:12" x14ac:dyDescent="0.25">
      <c r="A82" s="44" t="s">
        <v>376</v>
      </c>
      <c r="B82" s="44">
        <v>5183327978637.9404</v>
      </c>
      <c r="C82" s="44">
        <v>5230051187231.5205</v>
      </c>
      <c r="D82" s="44">
        <f t="shared" si="0"/>
        <v>0.90141331565628346</v>
      </c>
      <c r="E82" s="39">
        <v>67</v>
      </c>
      <c r="F82" s="39">
        <v>39</v>
      </c>
      <c r="G82" s="39">
        <v>2</v>
      </c>
      <c r="H82" s="44">
        <f t="shared" si="1"/>
        <v>62.037037037037038</v>
      </c>
      <c r="I82" s="44">
        <f t="shared" si="2"/>
        <v>36.111111111111107</v>
      </c>
      <c r="J82" s="8"/>
      <c r="K82" s="8"/>
    </row>
    <row r="83" spans="1:12" x14ac:dyDescent="0.25">
      <c r="A83" s="44" t="s">
        <v>4094</v>
      </c>
      <c r="B83" s="44">
        <v>42897008798.399994</v>
      </c>
      <c r="C83" s="44">
        <v>51622798471.560005</v>
      </c>
      <c r="D83" s="44">
        <f t="shared" si="0"/>
        <v>20.341254361505673</v>
      </c>
      <c r="E83" s="39">
        <v>13</v>
      </c>
      <c r="F83" s="39">
        <v>7</v>
      </c>
      <c r="G83" s="39">
        <v>1</v>
      </c>
      <c r="H83" s="44">
        <f t="shared" si="1"/>
        <v>61.904761904761905</v>
      </c>
      <c r="I83" s="44">
        <f t="shared" si="2"/>
        <v>33.333333333333329</v>
      </c>
      <c r="J83" s="8"/>
      <c r="K83" s="8"/>
      <c r="L83" s="8"/>
    </row>
    <row r="84" spans="1:12" x14ac:dyDescent="0.25">
      <c r="A84" s="44" t="s">
        <v>4036</v>
      </c>
      <c r="B84" s="44">
        <v>160781246162.87</v>
      </c>
      <c r="C84" s="44">
        <v>174028246638.64001</v>
      </c>
      <c r="D84" s="44">
        <f t="shared" si="0"/>
        <v>8.2391452933204192</v>
      </c>
      <c r="E84" s="39">
        <v>16</v>
      </c>
      <c r="F84" s="39">
        <v>8</v>
      </c>
      <c r="G84" s="39">
        <v>2</v>
      </c>
      <c r="H84" s="44">
        <f t="shared" si="1"/>
        <v>61.53846153846154</v>
      </c>
      <c r="I84" s="44">
        <f t="shared" si="2"/>
        <v>30.76923076923077</v>
      </c>
      <c r="J84" s="8"/>
      <c r="K84" s="8"/>
    </row>
    <row r="85" spans="1:12" x14ac:dyDescent="0.25">
      <c r="A85" s="44" t="s">
        <v>1633</v>
      </c>
      <c r="B85" s="44">
        <v>1233162356915.5701</v>
      </c>
      <c r="C85" s="44">
        <v>1287484468458.0698</v>
      </c>
      <c r="D85" s="44">
        <f t="shared" si="0"/>
        <v>4.4051062082670258</v>
      </c>
      <c r="E85" s="39">
        <v>44</v>
      </c>
      <c r="F85" s="39">
        <v>27</v>
      </c>
      <c r="G85" s="39">
        <v>1</v>
      </c>
      <c r="H85" s="44">
        <f t="shared" si="1"/>
        <v>61.111111111111114</v>
      </c>
      <c r="I85" s="44">
        <f t="shared" si="2"/>
        <v>37.5</v>
      </c>
      <c r="J85" s="8"/>
      <c r="K85" s="8"/>
    </row>
    <row r="86" spans="1:12" x14ac:dyDescent="0.25">
      <c r="A86" s="44" t="s">
        <v>110</v>
      </c>
      <c r="B86" s="44">
        <v>490823121568.29999</v>
      </c>
      <c r="C86" s="44">
        <v>501529838312.83997</v>
      </c>
      <c r="D86" s="44">
        <f t="shared" si="0"/>
        <v>2.1813798645690117</v>
      </c>
      <c r="E86" s="39">
        <v>14</v>
      </c>
      <c r="F86" s="39">
        <v>8</v>
      </c>
      <c r="G86" s="39">
        <v>1</v>
      </c>
      <c r="H86" s="44">
        <f t="shared" si="1"/>
        <v>60.869565217391312</v>
      </c>
      <c r="I86" s="44">
        <f t="shared" si="2"/>
        <v>34.782608695652172</v>
      </c>
      <c r="J86" s="8"/>
      <c r="K86" s="8"/>
    </row>
    <row r="87" spans="1:12" x14ac:dyDescent="0.25">
      <c r="A87" s="44" t="s">
        <v>3793</v>
      </c>
      <c r="B87" s="44">
        <v>1040597025647.05</v>
      </c>
      <c r="C87" s="44">
        <v>1169949804502.4202</v>
      </c>
      <c r="D87" s="44">
        <f t="shared" si="0"/>
        <v>12.430631230657008</v>
      </c>
      <c r="E87" s="39">
        <v>3</v>
      </c>
      <c r="F87" s="39">
        <v>2</v>
      </c>
      <c r="G87" s="39">
        <v>0</v>
      </c>
      <c r="H87" s="44">
        <f t="shared" si="1"/>
        <v>60</v>
      </c>
      <c r="I87" s="44">
        <f t="shared" si="2"/>
        <v>40</v>
      </c>
      <c r="J87" s="8"/>
      <c r="K87" s="8"/>
    </row>
    <row r="88" spans="1:12" x14ac:dyDescent="0.25">
      <c r="A88" s="44" t="s">
        <v>2753</v>
      </c>
      <c r="B88" s="44">
        <v>1330870147123.26</v>
      </c>
      <c r="C88" s="44">
        <v>1392689094498.7102</v>
      </c>
      <c r="D88" s="44">
        <f t="shared" si="0"/>
        <v>4.6450021821493879</v>
      </c>
      <c r="E88" s="39">
        <v>36</v>
      </c>
      <c r="F88" s="39">
        <v>24</v>
      </c>
      <c r="G88" s="39">
        <v>0</v>
      </c>
      <c r="H88" s="44">
        <f t="shared" si="1"/>
        <v>60</v>
      </c>
      <c r="I88" s="44">
        <f t="shared" si="2"/>
        <v>40</v>
      </c>
      <c r="J88" s="69" t="s">
        <v>4432</v>
      </c>
      <c r="K88" s="67"/>
    </row>
    <row r="89" spans="1:12" x14ac:dyDescent="0.25">
      <c r="A89" s="44" t="s">
        <v>985</v>
      </c>
      <c r="B89" s="44">
        <v>2487647023125.6001</v>
      </c>
      <c r="C89" s="44">
        <v>2502694589039.3799</v>
      </c>
      <c r="D89" s="44">
        <f t="shared" si="0"/>
        <v>0.60489152093906373</v>
      </c>
      <c r="E89" s="39">
        <v>12</v>
      </c>
      <c r="F89" s="39">
        <v>7</v>
      </c>
      <c r="G89" s="39">
        <v>1</v>
      </c>
      <c r="H89" s="44">
        <f t="shared" si="1"/>
        <v>60</v>
      </c>
      <c r="I89" s="44">
        <f t="shared" si="2"/>
        <v>35</v>
      </c>
      <c r="J89" s="8"/>
      <c r="K89" s="8"/>
    </row>
    <row r="90" spans="1:12" x14ac:dyDescent="0.25">
      <c r="A90" s="44" t="s">
        <v>1315</v>
      </c>
      <c r="B90" s="44">
        <v>166048835029.70001</v>
      </c>
      <c r="C90" s="44">
        <v>166650236313.88</v>
      </c>
      <c r="D90" s="44">
        <f t="shared" si="0"/>
        <v>0.36218338061355515</v>
      </c>
      <c r="E90" s="39">
        <v>3</v>
      </c>
      <c r="F90" s="39">
        <v>2</v>
      </c>
      <c r="G90" s="39">
        <v>0</v>
      </c>
      <c r="H90" s="44">
        <f t="shared" si="1"/>
        <v>60</v>
      </c>
      <c r="I90" s="44">
        <f t="shared" si="2"/>
        <v>40</v>
      </c>
      <c r="J90" s="8"/>
      <c r="K90" s="8"/>
    </row>
    <row r="91" spans="1:12" x14ac:dyDescent="0.25">
      <c r="A91" s="44" t="s">
        <v>1563</v>
      </c>
      <c r="B91" s="44">
        <v>50609955376.149994</v>
      </c>
      <c r="C91" s="44">
        <v>49448057956.900002</v>
      </c>
      <c r="D91" s="44">
        <f t="shared" si="0"/>
        <v>-2.295788270537654</v>
      </c>
      <c r="E91" s="39">
        <v>3</v>
      </c>
      <c r="F91" s="39">
        <v>2</v>
      </c>
      <c r="G91" s="39">
        <v>0</v>
      </c>
      <c r="H91" s="44">
        <f t="shared" si="1"/>
        <v>60</v>
      </c>
      <c r="I91" s="44">
        <f t="shared" si="2"/>
        <v>40</v>
      </c>
      <c r="J91" s="8"/>
      <c r="K91" s="8"/>
    </row>
    <row r="92" spans="1:12" x14ac:dyDescent="0.25">
      <c r="A92" s="44" t="s">
        <v>2998</v>
      </c>
      <c r="B92" s="44">
        <v>13016462309.779999</v>
      </c>
      <c r="C92" s="44">
        <v>12614263466.059999</v>
      </c>
      <c r="D92" s="44">
        <f t="shared" si="0"/>
        <v>-3.0899243907294589</v>
      </c>
      <c r="E92" s="39">
        <v>3</v>
      </c>
      <c r="F92" s="39">
        <v>2</v>
      </c>
      <c r="G92" s="39">
        <v>0</v>
      </c>
      <c r="H92" s="44">
        <f t="shared" si="1"/>
        <v>60</v>
      </c>
      <c r="I92" s="44">
        <f t="shared" si="2"/>
        <v>40</v>
      </c>
      <c r="J92" s="8"/>
      <c r="K92" s="8"/>
    </row>
    <row r="93" spans="1:12" x14ac:dyDescent="0.25">
      <c r="A93" s="44" t="s">
        <v>183</v>
      </c>
      <c r="B93" s="44">
        <v>1019899837730.1401</v>
      </c>
      <c r="C93" s="44">
        <v>970782446104.57996</v>
      </c>
      <c r="D93" s="44">
        <f t="shared" si="0"/>
        <v>-4.8159034650769668</v>
      </c>
      <c r="E93" s="39">
        <v>3</v>
      </c>
      <c r="F93" s="39">
        <v>2</v>
      </c>
      <c r="G93" s="39">
        <v>0</v>
      </c>
      <c r="H93" s="44">
        <f t="shared" si="1"/>
        <v>60</v>
      </c>
      <c r="I93" s="44">
        <f t="shared" si="2"/>
        <v>40</v>
      </c>
      <c r="J93" s="8"/>
      <c r="K93" s="8"/>
    </row>
    <row r="94" spans="1:12" x14ac:dyDescent="0.25">
      <c r="A94" s="44" t="s">
        <v>3312</v>
      </c>
      <c r="B94" s="44">
        <v>198590314579.20001</v>
      </c>
      <c r="C94" s="44">
        <v>214414683743.49997</v>
      </c>
      <c r="D94" s="44">
        <f t="shared" si="0"/>
        <v>7.9683489085712811</v>
      </c>
      <c r="E94" s="39">
        <v>7</v>
      </c>
      <c r="F94" s="39">
        <v>4</v>
      </c>
      <c r="G94" s="39">
        <v>1</v>
      </c>
      <c r="H94" s="44">
        <f t="shared" si="1"/>
        <v>58.333333333333336</v>
      </c>
      <c r="I94" s="44">
        <f t="shared" si="2"/>
        <v>33.333333333333329</v>
      </c>
      <c r="J94" s="8"/>
      <c r="K94" s="8"/>
    </row>
    <row r="95" spans="1:12" x14ac:dyDescent="0.25">
      <c r="A95" s="44" t="s">
        <v>2297</v>
      </c>
      <c r="B95" s="44">
        <v>1479391418297.76</v>
      </c>
      <c r="C95" s="44">
        <v>1549129058056.7798</v>
      </c>
      <c r="D95" s="44">
        <f t="shared" si="0"/>
        <v>4.7139410771533585</v>
      </c>
      <c r="E95" s="39">
        <v>64</v>
      </c>
      <c r="F95" s="39">
        <v>38</v>
      </c>
      <c r="G95" s="39">
        <v>8</v>
      </c>
      <c r="H95" s="44">
        <f t="shared" si="1"/>
        <v>58.18181818181818</v>
      </c>
      <c r="I95" s="44">
        <f t="shared" si="2"/>
        <v>34.545454545454547</v>
      </c>
      <c r="J95" s="8"/>
      <c r="K95" s="8"/>
    </row>
    <row r="96" spans="1:12" x14ac:dyDescent="0.25">
      <c r="A96" s="44" t="s">
        <v>2422</v>
      </c>
      <c r="B96" s="44">
        <v>475340431712.94006</v>
      </c>
      <c r="C96" s="44">
        <v>490178195356.98999</v>
      </c>
      <c r="D96" s="44">
        <f t="shared" si="0"/>
        <v>3.1215025388394713</v>
      </c>
      <c r="E96" s="39">
        <v>20</v>
      </c>
      <c r="F96" s="39">
        <v>14</v>
      </c>
      <c r="G96" s="39">
        <v>1</v>
      </c>
      <c r="H96" s="44">
        <f t="shared" si="1"/>
        <v>57.142857142857139</v>
      </c>
      <c r="I96" s="44">
        <f t="shared" si="2"/>
        <v>40</v>
      </c>
      <c r="J96" s="8"/>
      <c r="K96" s="8"/>
    </row>
    <row r="97" spans="1:11" x14ac:dyDescent="0.25">
      <c r="A97" s="44" t="s">
        <v>67</v>
      </c>
      <c r="B97" s="44">
        <v>846217454759.95007</v>
      </c>
      <c r="C97" s="44">
        <v>831783722331.54993</v>
      </c>
      <c r="D97" s="44">
        <f t="shared" si="0"/>
        <v>-1.7056765193403651</v>
      </c>
      <c r="E97" s="39">
        <v>4</v>
      </c>
      <c r="F97" s="39">
        <v>3</v>
      </c>
      <c r="G97" s="39">
        <v>0</v>
      </c>
      <c r="H97" s="44">
        <f t="shared" si="1"/>
        <v>57.142857142857139</v>
      </c>
      <c r="I97" s="44">
        <f t="shared" si="2"/>
        <v>42.857142857142854</v>
      </c>
      <c r="J97" s="8"/>
      <c r="K97" s="8"/>
    </row>
    <row r="98" spans="1:11" x14ac:dyDescent="0.25">
      <c r="A98" s="44" t="s">
        <v>1064</v>
      </c>
      <c r="B98" s="44">
        <v>1232615279855.2998</v>
      </c>
      <c r="C98" s="44">
        <v>1327853869643.1997</v>
      </c>
      <c r="D98" s="44">
        <f t="shared" si="0"/>
        <v>7.726546258543884</v>
      </c>
      <c r="E98" s="39">
        <v>29</v>
      </c>
      <c r="F98" s="39">
        <v>20</v>
      </c>
      <c r="G98" s="39">
        <v>2</v>
      </c>
      <c r="H98" s="44">
        <f t="shared" si="1"/>
        <v>56.862745098039213</v>
      </c>
      <c r="I98" s="44">
        <f t="shared" si="2"/>
        <v>39.215686274509807</v>
      </c>
      <c r="J98" s="8"/>
      <c r="K98" s="8"/>
    </row>
    <row r="99" spans="1:11" x14ac:dyDescent="0.25">
      <c r="A99" s="44" t="s">
        <v>858</v>
      </c>
      <c r="B99" s="44">
        <v>4400492621027.8604</v>
      </c>
      <c r="C99" s="44">
        <v>4405624859687.1201</v>
      </c>
      <c r="D99" s="44">
        <f t="shared" si="0"/>
        <v>0.11662873003661543</v>
      </c>
      <c r="E99" s="39">
        <v>87</v>
      </c>
      <c r="F99" s="39">
        <v>57</v>
      </c>
      <c r="G99" s="39">
        <v>10</v>
      </c>
      <c r="H99" s="44">
        <f t="shared" si="1"/>
        <v>56.493506493506494</v>
      </c>
      <c r="I99" s="44">
        <f t="shared" si="2"/>
        <v>37.012987012987011</v>
      </c>
      <c r="J99" s="8"/>
      <c r="K99" s="8"/>
    </row>
    <row r="100" spans="1:11" x14ac:dyDescent="0.25">
      <c r="A100" s="44" t="s">
        <v>2228</v>
      </c>
      <c r="B100" s="44">
        <v>5291624555384.0703</v>
      </c>
      <c r="C100" s="44">
        <v>5196683127871.4805</v>
      </c>
      <c r="D100" s="44">
        <f t="shared" si="0"/>
        <v>-1.7941829870751085</v>
      </c>
      <c r="E100" s="39">
        <v>9</v>
      </c>
      <c r="F100" s="39">
        <v>7</v>
      </c>
      <c r="G100" s="39">
        <v>0</v>
      </c>
      <c r="H100" s="44">
        <f t="shared" si="1"/>
        <v>56.25</v>
      </c>
      <c r="I100" s="44">
        <f t="shared" si="2"/>
        <v>43.75</v>
      </c>
      <c r="J100" s="8"/>
      <c r="K100" s="8"/>
    </row>
    <row r="101" spans="1:11" x14ac:dyDescent="0.25">
      <c r="A101" s="44" t="s">
        <v>1999</v>
      </c>
      <c r="B101" s="44">
        <v>981256391055.36011</v>
      </c>
      <c r="C101" s="44">
        <v>998524194756.82996</v>
      </c>
      <c r="D101" s="44">
        <f t="shared" si="0"/>
        <v>1.7597647117383861</v>
      </c>
      <c r="E101" s="39">
        <v>32</v>
      </c>
      <c r="F101" s="39">
        <v>18</v>
      </c>
      <c r="G101" s="39">
        <v>7</v>
      </c>
      <c r="H101" s="44">
        <f t="shared" si="1"/>
        <v>56.140350877192979</v>
      </c>
      <c r="I101" s="44">
        <f t="shared" si="2"/>
        <v>31.578947368421051</v>
      </c>
      <c r="J101" s="8"/>
      <c r="K101" s="8"/>
    </row>
    <row r="102" spans="1:11" x14ac:dyDescent="0.25">
      <c r="A102" s="44" t="s">
        <v>1376</v>
      </c>
      <c r="B102" s="44">
        <v>871431181422.10999</v>
      </c>
      <c r="C102" s="44">
        <v>914177571544.17993</v>
      </c>
      <c r="D102" s="44">
        <f t="shared" si="0"/>
        <v>4.9053087648655236</v>
      </c>
      <c r="E102" s="39">
        <v>10</v>
      </c>
      <c r="F102" s="39">
        <v>7</v>
      </c>
      <c r="G102" s="39">
        <v>1</v>
      </c>
      <c r="H102" s="44">
        <f t="shared" si="1"/>
        <v>55.555555555555557</v>
      </c>
      <c r="I102" s="44">
        <f t="shared" si="2"/>
        <v>38.888888888888893</v>
      </c>
      <c r="J102" s="8"/>
      <c r="K102" s="8"/>
    </row>
    <row r="103" spans="1:11" x14ac:dyDescent="0.25">
      <c r="A103" s="44" t="s">
        <v>3976</v>
      </c>
      <c r="B103" s="44">
        <v>1376151749992.72</v>
      </c>
      <c r="C103" s="20">
        <v>1331910020768.5801</v>
      </c>
      <c r="D103" s="44">
        <f t="shared" si="0"/>
        <v>-3.2148874006354267</v>
      </c>
      <c r="E103" s="39">
        <v>10</v>
      </c>
      <c r="F103" s="39">
        <v>8</v>
      </c>
      <c r="G103" s="39">
        <v>0</v>
      </c>
      <c r="H103" s="44">
        <f t="shared" si="1"/>
        <v>55.555555555555557</v>
      </c>
      <c r="I103" s="44">
        <f t="shared" si="2"/>
        <v>44.444444444444443</v>
      </c>
      <c r="J103" s="8"/>
      <c r="K103" s="8"/>
    </row>
    <row r="104" spans="1:11" x14ac:dyDescent="0.25">
      <c r="A104" s="44" t="s">
        <v>3110</v>
      </c>
      <c r="B104" s="44">
        <v>1275549890241.4895</v>
      </c>
      <c r="C104" s="44">
        <v>1276993950246.9399</v>
      </c>
      <c r="D104" s="44">
        <f t="shared" si="0"/>
        <v>0.11321078199278017</v>
      </c>
      <c r="E104" s="39">
        <v>21</v>
      </c>
      <c r="F104" s="39">
        <v>15</v>
      </c>
      <c r="G104" s="39">
        <v>2</v>
      </c>
      <c r="H104" s="44">
        <f t="shared" si="1"/>
        <v>55.26315789473685</v>
      </c>
      <c r="I104" s="44">
        <f t="shared" si="2"/>
        <v>39.473684210526315</v>
      </c>
      <c r="J104" s="8"/>
      <c r="K104" s="8"/>
    </row>
    <row r="105" spans="1:11" x14ac:dyDescent="0.25">
      <c r="A105" s="44" t="s">
        <v>1793</v>
      </c>
      <c r="B105" s="44">
        <v>1054017700063.6802</v>
      </c>
      <c r="C105" s="44">
        <v>1172354709208.25</v>
      </c>
      <c r="D105" s="44">
        <f t="shared" si="0"/>
        <v>11.227231680968954</v>
      </c>
      <c r="E105" s="39">
        <v>126</v>
      </c>
      <c r="F105" s="39">
        <v>89</v>
      </c>
      <c r="G105" s="39">
        <v>14</v>
      </c>
      <c r="H105" s="44">
        <f t="shared" si="1"/>
        <v>55.021834061135365</v>
      </c>
      <c r="I105" s="44">
        <f t="shared" si="2"/>
        <v>38.864628820960704</v>
      </c>
      <c r="J105" s="8"/>
      <c r="K105" s="8"/>
    </row>
    <row r="106" spans="1:11" x14ac:dyDescent="0.25">
      <c r="A106" s="44" t="s">
        <v>3951</v>
      </c>
      <c r="B106" s="44">
        <v>1026067448109.2198</v>
      </c>
      <c r="C106" s="44">
        <v>1023615442372.0199</v>
      </c>
      <c r="D106" s="44">
        <f t="shared" si="0"/>
        <v>-0.23897120425351875</v>
      </c>
      <c r="E106" s="39">
        <v>11</v>
      </c>
      <c r="F106" s="39">
        <v>9</v>
      </c>
      <c r="G106" s="39">
        <v>0</v>
      </c>
      <c r="H106" s="44">
        <f t="shared" si="1"/>
        <v>55.000000000000007</v>
      </c>
      <c r="I106" s="44">
        <f t="shared" si="2"/>
        <v>45</v>
      </c>
      <c r="J106" s="8"/>
      <c r="K106" s="8"/>
    </row>
    <row r="107" spans="1:11" x14ac:dyDescent="0.25">
      <c r="A107" s="44" t="s">
        <v>3369</v>
      </c>
      <c r="B107" s="44">
        <v>55384153961.050003</v>
      </c>
      <c r="C107" s="44">
        <v>54260365923.989998</v>
      </c>
      <c r="D107" s="44">
        <f t="shared" si="0"/>
        <v>-2.029078638359866</v>
      </c>
      <c r="E107" s="39">
        <v>11</v>
      </c>
      <c r="F107" s="39">
        <v>8</v>
      </c>
      <c r="G107" s="39">
        <v>1</v>
      </c>
      <c r="H107" s="44">
        <f t="shared" si="1"/>
        <v>55.000000000000007</v>
      </c>
      <c r="I107" s="44">
        <f t="shared" si="2"/>
        <v>40</v>
      </c>
      <c r="J107" s="8"/>
      <c r="K107" s="8"/>
    </row>
    <row r="108" spans="1:11" x14ac:dyDescent="0.25">
      <c r="A108" s="44" t="s">
        <v>680</v>
      </c>
      <c r="B108" s="44">
        <v>26739635156398.719</v>
      </c>
      <c r="C108" s="44">
        <v>25907998769671.941</v>
      </c>
      <c r="D108" s="44">
        <f t="shared" si="0"/>
        <v>-3.1101261549104162</v>
      </c>
      <c r="E108" s="39">
        <v>11</v>
      </c>
      <c r="F108" s="39">
        <v>9</v>
      </c>
      <c r="G108" s="39">
        <v>0</v>
      </c>
      <c r="H108" s="44">
        <f t="shared" si="1"/>
        <v>55.000000000000007</v>
      </c>
      <c r="I108" s="44">
        <f t="shared" si="2"/>
        <v>45</v>
      </c>
      <c r="J108" s="8"/>
      <c r="K108" s="8"/>
    </row>
    <row r="109" spans="1:11" x14ac:dyDescent="0.25">
      <c r="A109" s="44" t="s">
        <v>2905</v>
      </c>
      <c r="B109" s="44">
        <v>48996823096.919998</v>
      </c>
      <c r="C109" s="44">
        <v>49107386851.819992</v>
      </c>
      <c r="D109" s="44">
        <f t="shared" si="0"/>
        <v>0.22565494640599273</v>
      </c>
      <c r="E109" s="39">
        <v>6</v>
      </c>
      <c r="F109" s="39">
        <v>5</v>
      </c>
      <c r="G109" s="39">
        <v>0</v>
      </c>
      <c r="H109" s="44">
        <f t="shared" si="1"/>
        <v>54.54545454545454</v>
      </c>
      <c r="I109" s="44">
        <f t="shared" si="2"/>
        <v>45.454545454545453</v>
      </c>
      <c r="J109" s="8"/>
      <c r="K109" s="8"/>
    </row>
    <row r="110" spans="1:11" x14ac:dyDescent="0.25">
      <c r="A110" s="44" t="s">
        <v>15</v>
      </c>
      <c r="B110" s="44">
        <v>12998293815966.492</v>
      </c>
      <c r="C110" s="44">
        <v>13081454101943.861</v>
      </c>
      <c r="D110" s="44">
        <f t="shared" si="0"/>
        <v>0.63977847519663666</v>
      </c>
      <c r="E110" s="39">
        <v>88</v>
      </c>
      <c r="F110" s="39">
        <v>71</v>
      </c>
      <c r="G110" s="39">
        <v>3</v>
      </c>
      <c r="H110" s="44">
        <f t="shared" si="1"/>
        <v>54.320987654320987</v>
      </c>
      <c r="I110" s="44">
        <f t="shared" si="2"/>
        <v>43.827160493827158</v>
      </c>
      <c r="J110" s="8"/>
      <c r="K110" s="8"/>
    </row>
    <row r="111" spans="1:11" x14ac:dyDescent="0.25">
      <c r="A111" s="44" t="s">
        <v>2575</v>
      </c>
      <c r="B111" s="44">
        <v>940025810295.92981</v>
      </c>
      <c r="C111" s="44">
        <v>920024207449.42004</v>
      </c>
      <c r="D111" s="44">
        <f t="shared" si="0"/>
        <v>-2.1277716662070221</v>
      </c>
      <c r="E111" s="39">
        <v>13</v>
      </c>
      <c r="F111" s="39">
        <v>11</v>
      </c>
      <c r="G111" s="39">
        <v>0</v>
      </c>
      <c r="H111" s="44">
        <f t="shared" si="1"/>
        <v>54.166666666666664</v>
      </c>
      <c r="I111" s="44">
        <f t="shared" si="2"/>
        <v>45.833333333333329</v>
      </c>
      <c r="J111" s="8"/>
      <c r="K111" s="8"/>
    </row>
    <row r="112" spans="1:11" x14ac:dyDescent="0.25">
      <c r="A112" s="44" t="s">
        <v>3906</v>
      </c>
      <c r="B112" s="44">
        <v>402795898978.38989</v>
      </c>
      <c r="C112" s="44">
        <v>498545603656.31</v>
      </c>
      <c r="D112" s="44">
        <f t="shared" si="0"/>
        <v>23.771270988798499</v>
      </c>
      <c r="E112" s="39">
        <v>23</v>
      </c>
      <c r="F112" s="39">
        <v>18</v>
      </c>
      <c r="G112" s="39">
        <v>2</v>
      </c>
      <c r="H112" s="44">
        <f t="shared" si="1"/>
        <v>53.488372093023251</v>
      </c>
      <c r="I112" s="44">
        <f t="shared" si="2"/>
        <v>41.860465116279073</v>
      </c>
      <c r="J112" s="8"/>
      <c r="K112" s="8"/>
    </row>
    <row r="113" spans="1:12" x14ac:dyDescent="0.25">
      <c r="A113" s="44" t="s">
        <v>2261</v>
      </c>
      <c r="B113" s="44">
        <v>106898624922.83</v>
      </c>
      <c r="C113" s="44">
        <v>107306599324.37</v>
      </c>
      <c r="D113" s="44">
        <f t="shared" si="0"/>
        <v>0.381646070596801</v>
      </c>
      <c r="E113" s="39">
        <v>8</v>
      </c>
      <c r="F113" s="39">
        <v>7</v>
      </c>
      <c r="G113" s="39">
        <v>0</v>
      </c>
      <c r="H113" s="44">
        <f t="shared" si="1"/>
        <v>53.333333333333336</v>
      </c>
      <c r="I113" s="44">
        <f t="shared" si="2"/>
        <v>46.666666666666664</v>
      </c>
      <c r="J113" s="69" t="s">
        <v>4433</v>
      </c>
      <c r="K113" s="67"/>
    </row>
    <row r="114" spans="1:12" x14ac:dyDescent="0.25">
      <c r="A114" s="44" t="s">
        <v>2929</v>
      </c>
      <c r="B114" s="44">
        <v>410833505531.93011</v>
      </c>
      <c r="C114" s="44">
        <v>415178954250.08008</v>
      </c>
      <c r="D114" s="44">
        <f t="shared" si="0"/>
        <v>1.0577152689928875</v>
      </c>
      <c r="E114" s="39">
        <v>32</v>
      </c>
      <c r="F114" s="39">
        <v>29</v>
      </c>
      <c r="G114" s="39">
        <v>1</v>
      </c>
      <c r="H114" s="44">
        <f t="shared" si="1"/>
        <v>51.612903225806448</v>
      </c>
      <c r="I114" s="44">
        <f t="shared" si="2"/>
        <v>46.774193548387096</v>
      </c>
      <c r="J114" s="8"/>
      <c r="K114" s="8"/>
    </row>
    <row r="115" spans="1:12" x14ac:dyDescent="0.25">
      <c r="A115" s="44" t="s">
        <v>13</v>
      </c>
      <c r="B115" s="44">
        <v>9717555867321.9512</v>
      </c>
      <c r="C115" s="44">
        <v>9630590969908.4336</v>
      </c>
      <c r="D115" s="44">
        <f t="shared" si="0"/>
        <v>-0.89492562328313241</v>
      </c>
      <c r="E115" s="39">
        <v>140</v>
      </c>
      <c r="F115" s="39">
        <v>108</v>
      </c>
      <c r="G115" s="39">
        <v>27</v>
      </c>
      <c r="H115" s="44">
        <f t="shared" si="1"/>
        <v>50.909090909090907</v>
      </c>
      <c r="I115" s="44">
        <f t="shared" si="2"/>
        <v>39.272727272727273</v>
      </c>
      <c r="J115" s="8"/>
      <c r="K115" s="8"/>
    </row>
    <row r="116" spans="1:12" x14ac:dyDescent="0.25">
      <c r="A116" s="44" t="s">
        <v>356</v>
      </c>
      <c r="B116" s="44">
        <v>3244341966135.5103</v>
      </c>
      <c r="C116" s="44">
        <v>3444450999795.9004</v>
      </c>
      <c r="D116" s="44">
        <f t="shared" si="0"/>
        <v>6.1679390073281795</v>
      </c>
      <c r="E116" s="39">
        <v>37</v>
      </c>
      <c r="F116" s="39">
        <v>31</v>
      </c>
      <c r="G116" s="39">
        <v>5</v>
      </c>
      <c r="H116" s="44">
        <f t="shared" si="1"/>
        <v>50.684931506849317</v>
      </c>
      <c r="I116" s="44">
        <f t="shared" si="2"/>
        <v>42.465753424657535</v>
      </c>
      <c r="J116" s="69" t="s">
        <v>4434</v>
      </c>
      <c r="K116" s="67"/>
    </row>
    <row r="117" spans="1:12" x14ac:dyDescent="0.25">
      <c r="A117" s="44" t="s">
        <v>2825</v>
      </c>
      <c r="B117" s="44">
        <v>2066164234.5999999</v>
      </c>
      <c r="C117" s="44">
        <v>2420254577.6500001</v>
      </c>
      <c r="D117" s="44">
        <f t="shared" si="0"/>
        <v>17.13757004987314</v>
      </c>
      <c r="E117" s="39">
        <v>1</v>
      </c>
      <c r="F117" s="39">
        <v>1</v>
      </c>
      <c r="G117" s="39">
        <v>0</v>
      </c>
      <c r="H117" s="44">
        <f t="shared" si="1"/>
        <v>50</v>
      </c>
      <c r="I117" s="44">
        <f t="shared" si="2"/>
        <v>50</v>
      </c>
      <c r="J117" s="8"/>
      <c r="K117" s="8"/>
    </row>
    <row r="118" spans="1:12" x14ac:dyDescent="0.25">
      <c r="A118" s="44" t="s">
        <v>2594</v>
      </c>
      <c r="B118" s="44">
        <v>3713096019.3000002</v>
      </c>
      <c r="C118" s="44">
        <v>4256898881.6999998</v>
      </c>
      <c r="D118" s="44">
        <f t="shared" si="0"/>
        <v>14.645537297538519</v>
      </c>
      <c r="E118" s="39">
        <v>4</v>
      </c>
      <c r="F118" s="39">
        <v>3</v>
      </c>
      <c r="G118" s="39">
        <v>1</v>
      </c>
      <c r="H118" s="44">
        <f t="shared" si="1"/>
        <v>50</v>
      </c>
      <c r="I118" s="44">
        <f t="shared" si="2"/>
        <v>37.5</v>
      </c>
      <c r="J118" s="8"/>
      <c r="K118" s="8"/>
    </row>
    <row r="119" spans="1:12" x14ac:dyDescent="0.25">
      <c r="A119" s="44" t="s">
        <v>2522</v>
      </c>
      <c r="B119" s="44">
        <v>326627821821.72003</v>
      </c>
      <c r="C119" s="44">
        <v>362939269274.64996</v>
      </c>
      <c r="D119" s="44">
        <f t="shared" si="0"/>
        <v>11.117071182242841</v>
      </c>
      <c r="E119" s="39">
        <v>6</v>
      </c>
      <c r="F119" s="39">
        <v>6</v>
      </c>
      <c r="G119" s="39">
        <v>0</v>
      </c>
      <c r="H119" s="44">
        <f t="shared" si="1"/>
        <v>50</v>
      </c>
      <c r="I119" s="44">
        <f t="shared" si="2"/>
        <v>50</v>
      </c>
      <c r="J119" s="8"/>
      <c r="K119" s="8"/>
    </row>
    <row r="120" spans="1:12" x14ac:dyDescent="0.25">
      <c r="A120" s="44" t="s">
        <v>815</v>
      </c>
      <c r="B120" s="44">
        <v>36643246870.5</v>
      </c>
      <c r="C120" s="44">
        <v>40430037135.199997</v>
      </c>
      <c r="D120" s="44">
        <f t="shared" si="0"/>
        <v>10.334210497456189</v>
      </c>
      <c r="E120" s="39">
        <v>2</v>
      </c>
      <c r="F120" s="39">
        <v>2</v>
      </c>
      <c r="G120" s="39">
        <v>0</v>
      </c>
      <c r="H120" s="44">
        <f t="shared" si="1"/>
        <v>50</v>
      </c>
      <c r="I120" s="44">
        <f t="shared" si="2"/>
        <v>50</v>
      </c>
      <c r="J120" s="8"/>
      <c r="K120" s="8"/>
    </row>
    <row r="121" spans="1:12" x14ac:dyDescent="0.25">
      <c r="A121" s="44" t="s">
        <v>3519</v>
      </c>
      <c r="B121" s="44">
        <v>8299250776.4400005</v>
      </c>
      <c r="C121" s="44">
        <v>8980546692.3199997</v>
      </c>
      <c r="D121" s="44">
        <f t="shared" si="0"/>
        <v>8.2091255491889594</v>
      </c>
      <c r="E121" s="39">
        <v>2</v>
      </c>
      <c r="F121" s="39">
        <v>2</v>
      </c>
      <c r="G121" s="39">
        <v>0</v>
      </c>
      <c r="H121" s="44">
        <f t="shared" si="1"/>
        <v>50</v>
      </c>
      <c r="I121" s="44">
        <f t="shared" si="2"/>
        <v>50</v>
      </c>
      <c r="J121" s="8"/>
      <c r="K121" s="8"/>
    </row>
    <row r="122" spans="1:12" x14ac:dyDescent="0.25">
      <c r="A122" s="44" t="s">
        <v>4168</v>
      </c>
      <c r="B122" s="44">
        <v>99645224380</v>
      </c>
      <c r="C122" s="44">
        <v>104144390585.79999</v>
      </c>
      <c r="D122" s="44">
        <f t="shared" si="0"/>
        <v>4.5151849813115827</v>
      </c>
      <c r="E122" s="39">
        <v>2</v>
      </c>
      <c r="F122" s="39">
        <v>2</v>
      </c>
      <c r="G122" s="39">
        <v>0</v>
      </c>
      <c r="H122" s="44">
        <f t="shared" si="1"/>
        <v>50</v>
      </c>
      <c r="I122" s="44">
        <f t="shared" si="2"/>
        <v>50</v>
      </c>
      <c r="J122" s="8"/>
      <c r="K122" s="8"/>
    </row>
    <row r="123" spans="1:12" x14ac:dyDescent="0.25">
      <c r="A123" s="44" t="s">
        <v>3068</v>
      </c>
      <c r="B123" s="44">
        <v>3896127438.96</v>
      </c>
      <c r="C123" s="44">
        <v>3978574425.7599998</v>
      </c>
      <c r="D123" s="44">
        <f t="shared" si="0"/>
        <v>2.1161265408199128</v>
      </c>
      <c r="E123" s="39">
        <v>2</v>
      </c>
      <c r="F123" s="39">
        <v>1</v>
      </c>
      <c r="G123" s="39">
        <v>1</v>
      </c>
      <c r="H123" s="44">
        <f t="shared" si="1"/>
        <v>50</v>
      </c>
      <c r="I123" s="44">
        <f t="shared" si="2"/>
        <v>25</v>
      </c>
      <c r="J123" s="8"/>
      <c r="K123" s="8"/>
    </row>
    <row r="124" spans="1:12" x14ac:dyDescent="0.25">
      <c r="A124" s="44" t="s">
        <v>1351</v>
      </c>
      <c r="B124" s="44">
        <v>42900193091.25</v>
      </c>
      <c r="C124" s="44">
        <v>43540455013.300003</v>
      </c>
      <c r="D124" s="44">
        <f t="shared" si="0"/>
        <v>1.4924453153116275</v>
      </c>
      <c r="E124" s="39">
        <v>3</v>
      </c>
      <c r="F124" s="39">
        <v>3</v>
      </c>
      <c r="G124" s="39">
        <v>0</v>
      </c>
      <c r="H124" s="44">
        <f t="shared" si="1"/>
        <v>50</v>
      </c>
      <c r="I124" s="44">
        <f t="shared" si="2"/>
        <v>50</v>
      </c>
      <c r="J124" s="8"/>
      <c r="K124" s="8"/>
      <c r="L124" s="8"/>
    </row>
    <row r="125" spans="1:12" x14ac:dyDescent="0.25">
      <c r="A125" s="44" t="s">
        <v>3874</v>
      </c>
      <c r="B125" s="44">
        <v>197776368324.90002</v>
      </c>
      <c r="C125" s="44">
        <v>199347498010.70001</v>
      </c>
      <c r="D125" s="44">
        <f t="shared" si="0"/>
        <v>0.79439707539729498</v>
      </c>
      <c r="E125" s="39">
        <v>1</v>
      </c>
      <c r="F125" s="39">
        <v>1</v>
      </c>
      <c r="G125" s="39">
        <v>0</v>
      </c>
      <c r="H125" s="44">
        <f t="shared" si="1"/>
        <v>50</v>
      </c>
      <c r="I125" s="44">
        <f t="shared" si="2"/>
        <v>50</v>
      </c>
      <c r="J125" s="8"/>
      <c r="K125" s="8"/>
    </row>
    <row r="126" spans="1:12" x14ac:dyDescent="0.25">
      <c r="A126" s="44" t="s">
        <v>833</v>
      </c>
      <c r="B126" s="44">
        <v>330404674574.33997</v>
      </c>
      <c r="C126" s="44">
        <v>331469479948.85999</v>
      </c>
      <c r="D126" s="44">
        <f t="shared" si="0"/>
        <v>0.32227309613334237</v>
      </c>
      <c r="E126" s="39">
        <v>2</v>
      </c>
      <c r="F126" s="39">
        <v>2</v>
      </c>
      <c r="G126" s="39">
        <v>0</v>
      </c>
      <c r="H126" s="44">
        <f t="shared" si="1"/>
        <v>50</v>
      </c>
      <c r="I126" s="44">
        <f t="shared" si="2"/>
        <v>50</v>
      </c>
      <c r="J126" s="8"/>
      <c r="K126" s="8"/>
    </row>
    <row r="127" spans="1:12" x14ac:dyDescent="0.25">
      <c r="A127" s="44" t="s">
        <v>3085</v>
      </c>
      <c r="B127" s="44">
        <v>8299894771006.4502</v>
      </c>
      <c r="C127" s="44">
        <v>8299692109907.6494</v>
      </c>
      <c r="D127" s="44">
        <f t="shared" si="0"/>
        <v>-2.4417309422852655E-3</v>
      </c>
      <c r="E127" s="39">
        <v>3</v>
      </c>
      <c r="F127" s="39">
        <v>3</v>
      </c>
      <c r="G127" s="39">
        <v>0</v>
      </c>
      <c r="H127" s="44">
        <f t="shared" si="1"/>
        <v>50</v>
      </c>
      <c r="I127" s="44">
        <f t="shared" si="2"/>
        <v>50</v>
      </c>
      <c r="J127" s="8"/>
      <c r="K127" s="8"/>
    </row>
    <row r="128" spans="1:12" x14ac:dyDescent="0.25">
      <c r="A128" s="44" t="s">
        <v>642</v>
      </c>
      <c r="B128" s="44">
        <v>1613360107615.8501</v>
      </c>
      <c r="C128" s="44">
        <v>1604816085733.9001</v>
      </c>
      <c r="D128" s="44">
        <f t="shared" si="0"/>
        <v>-0.52957934447603994</v>
      </c>
      <c r="E128" s="39">
        <v>2</v>
      </c>
      <c r="F128" s="39">
        <v>2</v>
      </c>
      <c r="G128" s="39">
        <v>0</v>
      </c>
      <c r="H128" s="44">
        <f t="shared" si="1"/>
        <v>50</v>
      </c>
      <c r="I128" s="44">
        <f t="shared" si="2"/>
        <v>50</v>
      </c>
      <c r="J128" s="8"/>
      <c r="K128" s="8"/>
    </row>
    <row r="129" spans="1:11" x14ac:dyDescent="0.25">
      <c r="A129" s="44" t="s">
        <v>1538</v>
      </c>
      <c r="B129" s="44">
        <v>1141223591.4400001</v>
      </c>
      <c r="C129" s="44">
        <v>1130885277.75</v>
      </c>
      <c r="D129" s="44">
        <f t="shared" si="0"/>
        <v>-0.90589729896445059</v>
      </c>
      <c r="E129" s="39">
        <v>3</v>
      </c>
      <c r="F129" s="39">
        <v>3</v>
      </c>
      <c r="G129" s="39">
        <v>0</v>
      </c>
      <c r="H129" s="44">
        <f t="shared" si="1"/>
        <v>50</v>
      </c>
      <c r="I129" s="44">
        <f t="shared" si="2"/>
        <v>50</v>
      </c>
      <c r="J129" s="8"/>
      <c r="K129" s="8"/>
    </row>
    <row r="130" spans="1:11" x14ac:dyDescent="0.25">
      <c r="A130" s="44" t="s">
        <v>3814</v>
      </c>
      <c r="B130" s="44">
        <v>3481935208.1500001</v>
      </c>
      <c r="C130" s="44">
        <v>3435204762.9000001</v>
      </c>
      <c r="D130" s="44">
        <f t="shared" si="0"/>
        <v>-1.3420825620367738</v>
      </c>
      <c r="E130" s="39">
        <v>2</v>
      </c>
      <c r="F130" s="39">
        <v>2</v>
      </c>
      <c r="G130" s="39">
        <v>0</v>
      </c>
      <c r="H130" s="44">
        <f t="shared" si="1"/>
        <v>50</v>
      </c>
      <c r="I130" s="44">
        <f t="shared" si="2"/>
        <v>50</v>
      </c>
      <c r="J130" s="8"/>
      <c r="K130" s="8"/>
    </row>
    <row r="131" spans="1:11" x14ac:dyDescent="0.25">
      <c r="A131" s="44" t="s">
        <v>677</v>
      </c>
      <c r="B131" s="44">
        <v>348444009116.82001</v>
      </c>
      <c r="C131" s="44">
        <v>339877428304.70001</v>
      </c>
      <c r="D131" s="44">
        <f t="shared" si="0"/>
        <v>-2.4585243505357406</v>
      </c>
      <c r="E131" s="39">
        <v>4</v>
      </c>
      <c r="F131" s="39">
        <v>3</v>
      </c>
      <c r="G131" s="39">
        <v>1</v>
      </c>
      <c r="H131" s="44">
        <f t="shared" si="1"/>
        <v>50</v>
      </c>
      <c r="I131" s="44">
        <f t="shared" si="2"/>
        <v>37.5</v>
      </c>
      <c r="J131" s="8"/>
      <c r="K131" s="8"/>
    </row>
    <row r="132" spans="1:11" x14ac:dyDescent="0.25">
      <c r="A132" s="44" t="s">
        <v>2749</v>
      </c>
      <c r="B132" s="44">
        <v>20898761040.34</v>
      </c>
      <c r="C132" s="44">
        <v>20370059159.02</v>
      </c>
      <c r="D132" s="44">
        <f t="shared" si="0"/>
        <v>-2.5298240421978542</v>
      </c>
      <c r="E132" s="39">
        <v>1</v>
      </c>
      <c r="F132" s="39">
        <v>1</v>
      </c>
      <c r="G132" s="39">
        <v>0</v>
      </c>
      <c r="H132" s="44">
        <f t="shared" si="1"/>
        <v>50</v>
      </c>
      <c r="I132" s="44">
        <f t="shared" si="2"/>
        <v>50</v>
      </c>
      <c r="J132" s="8"/>
      <c r="K132" s="8"/>
    </row>
    <row r="133" spans="1:11" x14ac:dyDescent="0.25">
      <c r="A133" s="44" t="s">
        <v>876</v>
      </c>
      <c r="B133" s="44">
        <v>787153318.15999997</v>
      </c>
      <c r="C133" s="44">
        <v>767086039.20000005</v>
      </c>
      <c r="D133" s="44">
        <f t="shared" si="0"/>
        <v>-2.5493482015559468</v>
      </c>
      <c r="E133" s="39">
        <v>2</v>
      </c>
      <c r="F133" s="39">
        <v>2</v>
      </c>
      <c r="G133" s="39">
        <v>0</v>
      </c>
      <c r="H133" s="44">
        <f t="shared" si="1"/>
        <v>50</v>
      </c>
      <c r="I133" s="44">
        <f t="shared" si="2"/>
        <v>50</v>
      </c>
      <c r="J133" s="8"/>
      <c r="K133" s="8"/>
    </row>
    <row r="134" spans="1:11" x14ac:dyDescent="0.25">
      <c r="A134" s="44" t="s">
        <v>2778</v>
      </c>
      <c r="B134" s="44">
        <v>3486038052.4099998</v>
      </c>
      <c r="C134" s="44">
        <v>3390720229.8899999</v>
      </c>
      <c r="D134" s="44">
        <f t="shared" si="0"/>
        <v>-2.734273725271128</v>
      </c>
      <c r="E134" s="39">
        <v>1</v>
      </c>
      <c r="F134" s="39">
        <v>1</v>
      </c>
      <c r="G134" s="39">
        <v>0</v>
      </c>
      <c r="H134" s="44">
        <f t="shared" si="1"/>
        <v>50</v>
      </c>
      <c r="I134" s="44">
        <f t="shared" si="2"/>
        <v>50</v>
      </c>
      <c r="J134" s="8"/>
      <c r="K134" s="8"/>
    </row>
    <row r="135" spans="1:11" x14ac:dyDescent="0.25">
      <c r="A135" s="44" t="s">
        <v>2755</v>
      </c>
      <c r="B135" s="44">
        <v>3862041463834.3687</v>
      </c>
      <c r="C135" s="44">
        <v>3736991594312.6992</v>
      </c>
      <c r="D135" s="44">
        <f t="shared" si="0"/>
        <v>-3.2379214644038439</v>
      </c>
      <c r="E135" s="39">
        <v>21</v>
      </c>
      <c r="F135" s="39">
        <v>19</v>
      </c>
      <c r="G135" s="39">
        <v>2</v>
      </c>
      <c r="H135" s="44">
        <f t="shared" si="1"/>
        <v>50</v>
      </c>
      <c r="I135" s="44">
        <f t="shared" si="2"/>
        <v>45.238095238095241</v>
      </c>
      <c r="J135" s="8"/>
      <c r="K135" s="8"/>
    </row>
    <row r="136" spans="1:11" x14ac:dyDescent="0.25">
      <c r="A136" s="44" t="s">
        <v>850</v>
      </c>
      <c r="B136" s="44">
        <v>552817307615.79004</v>
      </c>
      <c r="C136" s="44">
        <v>529577008334.43005</v>
      </c>
      <c r="D136" s="44">
        <f t="shared" si="0"/>
        <v>-4.2039746153374917</v>
      </c>
      <c r="E136" s="39">
        <v>3</v>
      </c>
      <c r="F136" s="39">
        <v>3</v>
      </c>
      <c r="G136" s="39">
        <v>0</v>
      </c>
      <c r="H136" s="44">
        <f t="shared" si="1"/>
        <v>50</v>
      </c>
      <c r="I136" s="44">
        <f t="shared" si="2"/>
        <v>50</v>
      </c>
      <c r="J136" s="8"/>
      <c r="K136" s="8"/>
    </row>
    <row r="137" spans="1:11" x14ac:dyDescent="0.25">
      <c r="A137" s="44" t="s">
        <v>3918</v>
      </c>
      <c r="B137" s="44">
        <v>64112355475.789993</v>
      </c>
      <c r="C137" s="44">
        <v>60892215237.029999</v>
      </c>
      <c r="D137" s="44">
        <f t="shared" si="0"/>
        <v>-5.0226515854279894</v>
      </c>
      <c r="E137" s="39">
        <v>4</v>
      </c>
      <c r="F137" s="39">
        <v>4</v>
      </c>
      <c r="G137" s="39">
        <v>0</v>
      </c>
      <c r="H137" s="44">
        <f t="shared" si="1"/>
        <v>50</v>
      </c>
      <c r="I137" s="44">
        <f t="shared" si="2"/>
        <v>50</v>
      </c>
      <c r="J137" s="8"/>
      <c r="K137" s="8"/>
    </row>
    <row r="138" spans="1:11" x14ac:dyDescent="0.25">
      <c r="A138" s="44" t="s">
        <v>3131</v>
      </c>
      <c r="B138" s="44">
        <v>1027129852343.7701</v>
      </c>
      <c r="C138" s="44">
        <v>862136891107.34998</v>
      </c>
      <c r="D138" s="44">
        <f t="shared" si="0"/>
        <v>-16.063495853024694</v>
      </c>
      <c r="E138" s="39">
        <v>1</v>
      </c>
      <c r="F138" s="39">
        <v>1</v>
      </c>
      <c r="G138" s="39">
        <v>0</v>
      </c>
      <c r="H138" s="44">
        <f t="shared" si="1"/>
        <v>50</v>
      </c>
      <c r="I138" s="44">
        <f t="shared" si="2"/>
        <v>50</v>
      </c>
      <c r="J138" s="8"/>
      <c r="K138" s="8"/>
    </row>
    <row r="139" spans="1:11" x14ac:dyDescent="0.25">
      <c r="A139" s="44" t="s">
        <v>1645</v>
      </c>
      <c r="B139" s="44">
        <v>674382225094.78967</v>
      </c>
      <c r="C139" s="44">
        <v>680103750942.20996</v>
      </c>
      <c r="D139" s="44">
        <f t="shared" si="0"/>
        <v>0.8484099423907685</v>
      </c>
      <c r="E139" s="39">
        <v>19</v>
      </c>
      <c r="F139" s="39">
        <v>18</v>
      </c>
      <c r="G139" s="39">
        <v>2</v>
      </c>
      <c r="H139" s="44">
        <f t="shared" si="1"/>
        <v>48.717948717948715</v>
      </c>
      <c r="I139" s="44">
        <f t="shared" si="2"/>
        <v>46.153846153846153</v>
      </c>
      <c r="J139" s="8"/>
      <c r="K139" s="8"/>
    </row>
    <row r="140" spans="1:11" x14ac:dyDescent="0.25">
      <c r="A140" s="44" t="s">
        <v>1685</v>
      </c>
      <c r="B140" s="44">
        <v>308674072730.66992</v>
      </c>
      <c r="C140" s="44">
        <v>335734614366.42004</v>
      </c>
      <c r="D140" s="44">
        <f t="shared" si="0"/>
        <v>8.7667037909469947</v>
      </c>
      <c r="E140" s="39">
        <v>26</v>
      </c>
      <c r="F140" s="39">
        <v>26</v>
      </c>
      <c r="G140" s="39">
        <v>2</v>
      </c>
      <c r="H140" s="44">
        <f t="shared" si="1"/>
        <v>48.148148148148145</v>
      </c>
      <c r="I140" s="44">
        <f t="shared" si="2"/>
        <v>48.148148148148145</v>
      </c>
      <c r="J140" s="8"/>
      <c r="K140" s="8"/>
    </row>
    <row r="141" spans="1:11" x14ac:dyDescent="0.25">
      <c r="A141" s="44" t="s">
        <v>2951</v>
      </c>
      <c r="B141" s="44">
        <v>345030152424.77985</v>
      </c>
      <c r="C141" s="44">
        <v>338237863074.06982</v>
      </c>
      <c r="D141" s="44">
        <f t="shared" si="0"/>
        <v>-1.9686074689344177</v>
      </c>
      <c r="E141" s="39">
        <v>98</v>
      </c>
      <c r="F141" s="39">
        <v>71</v>
      </c>
      <c r="G141" s="39">
        <v>45</v>
      </c>
      <c r="H141" s="44">
        <f t="shared" si="1"/>
        <v>45.794392523364486</v>
      </c>
      <c r="I141" s="44">
        <f t="shared" si="2"/>
        <v>33.177570093457945</v>
      </c>
      <c r="J141" s="8"/>
      <c r="K141" s="8"/>
    </row>
    <row r="142" spans="1:11" x14ac:dyDescent="0.25">
      <c r="A142" s="44" t="s">
        <v>3023</v>
      </c>
      <c r="B142" s="44">
        <v>37159629375.950005</v>
      </c>
      <c r="C142" s="44">
        <v>38885225898.840004</v>
      </c>
      <c r="D142" s="44">
        <f t="shared" si="0"/>
        <v>4.6437398646575812</v>
      </c>
      <c r="E142" s="39">
        <v>5</v>
      </c>
      <c r="F142" s="39">
        <v>6</v>
      </c>
      <c r="G142" s="39">
        <v>0</v>
      </c>
      <c r="H142" s="44">
        <f t="shared" si="1"/>
        <v>45.454545454545453</v>
      </c>
      <c r="I142" s="44">
        <f t="shared" si="2"/>
        <v>54.54545454545454</v>
      </c>
      <c r="J142" s="8"/>
      <c r="K142" s="8"/>
    </row>
    <row r="143" spans="1:11" x14ac:dyDescent="0.25">
      <c r="A143" s="44" t="s">
        <v>1171</v>
      </c>
      <c r="B143" s="44">
        <v>789355183095.90002</v>
      </c>
      <c r="C143" s="44">
        <v>806887073814.45032</v>
      </c>
      <c r="D143" s="44">
        <f t="shared" si="0"/>
        <v>2.2210395388536157</v>
      </c>
      <c r="E143" s="39">
        <v>56</v>
      </c>
      <c r="F143" s="39">
        <v>44</v>
      </c>
      <c r="G143" s="39">
        <v>25</v>
      </c>
      <c r="H143" s="44">
        <f t="shared" si="1"/>
        <v>44.800000000000004</v>
      </c>
      <c r="I143" s="44">
        <f t="shared" si="2"/>
        <v>35.199999999999996</v>
      </c>
      <c r="J143" s="8"/>
      <c r="K143" s="8"/>
    </row>
    <row r="144" spans="1:11" x14ac:dyDescent="0.25">
      <c r="A144" s="44" t="s">
        <v>1606</v>
      </c>
      <c r="B144" s="44">
        <v>199764511531.45999</v>
      </c>
      <c r="C144" s="44">
        <v>213305270447.63998</v>
      </c>
      <c r="D144" s="44">
        <f t="shared" si="0"/>
        <v>6.7783605868590531</v>
      </c>
      <c r="E144" s="39">
        <v>4</v>
      </c>
      <c r="F144" s="39">
        <v>4</v>
      </c>
      <c r="G144" s="39">
        <v>1</v>
      </c>
      <c r="H144" s="44">
        <f t="shared" si="1"/>
        <v>44.444444444444443</v>
      </c>
      <c r="I144" s="44">
        <f t="shared" si="2"/>
        <v>44.444444444444443</v>
      </c>
      <c r="J144" s="8"/>
      <c r="K144" s="8"/>
    </row>
    <row r="145" spans="1:12" x14ac:dyDescent="0.25">
      <c r="A145" s="44" t="s">
        <v>2346</v>
      </c>
      <c r="B145" s="44">
        <v>27484392324.580002</v>
      </c>
      <c r="C145" s="44">
        <v>28798227777.760002</v>
      </c>
      <c r="D145" s="44">
        <f t="shared" si="0"/>
        <v>4.7802965321703814</v>
      </c>
      <c r="E145" s="39">
        <v>10</v>
      </c>
      <c r="F145" s="39">
        <v>10</v>
      </c>
      <c r="G145" s="39">
        <v>3</v>
      </c>
      <c r="H145" s="44">
        <f t="shared" si="1"/>
        <v>43.478260869565219</v>
      </c>
      <c r="I145" s="44">
        <f t="shared" si="2"/>
        <v>43.478260869565219</v>
      </c>
      <c r="J145" s="8"/>
      <c r="K145" s="8"/>
    </row>
    <row r="146" spans="1:12" x14ac:dyDescent="0.25">
      <c r="A146" s="44" t="s">
        <v>4111</v>
      </c>
      <c r="B146" s="44">
        <v>52292110738.220001</v>
      </c>
      <c r="C146" s="44">
        <v>55735084386.609993</v>
      </c>
      <c r="D146" s="44">
        <f t="shared" si="0"/>
        <v>6.5841168003829349</v>
      </c>
      <c r="E146" s="39">
        <v>3</v>
      </c>
      <c r="F146" s="39">
        <v>3</v>
      </c>
      <c r="G146" s="39">
        <v>1</v>
      </c>
      <c r="H146" s="44">
        <f t="shared" si="1"/>
        <v>42.857142857142854</v>
      </c>
      <c r="I146" s="44">
        <f t="shared" si="2"/>
        <v>42.857142857142854</v>
      </c>
      <c r="J146" s="8"/>
      <c r="K146" s="8"/>
    </row>
    <row r="147" spans="1:12" x14ac:dyDescent="0.25">
      <c r="A147" s="44" t="s">
        <v>204</v>
      </c>
      <c r="B147" s="44">
        <v>1209504502759.1399</v>
      </c>
      <c r="C147" s="44">
        <v>1195905131133.9001</v>
      </c>
      <c r="D147" s="44">
        <f t="shared" si="0"/>
        <v>-1.1243754441770706</v>
      </c>
      <c r="E147" s="39">
        <v>6</v>
      </c>
      <c r="F147" s="39">
        <v>8</v>
      </c>
      <c r="G147" s="39">
        <v>0</v>
      </c>
      <c r="H147" s="44">
        <f t="shared" si="1"/>
        <v>42.857142857142854</v>
      </c>
      <c r="I147" s="44">
        <f t="shared" si="2"/>
        <v>57.142857142857139</v>
      </c>
      <c r="J147" s="8"/>
      <c r="K147" s="8"/>
    </row>
    <row r="148" spans="1:12" x14ac:dyDescent="0.25">
      <c r="A148" s="44" t="s">
        <v>3183</v>
      </c>
      <c r="B148" s="44">
        <v>4350669273565.2998</v>
      </c>
      <c r="C148" s="44">
        <v>4269295888893.3003</v>
      </c>
      <c r="D148" s="44">
        <f t="shared" si="0"/>
        <v>-1.8703647543706625</v>
      </c>
      <c r="E148" s="39">
        <v>3</v>
      </c>
      <c r="F148" s="39">
        <v>4</v>
      </c>
      <c r="G148" s="39">
        <v>0</v>
      </c>
      <c r="H148" s="44">
        <f t="shared" si="1"/>
        <v>42.857142857142854</v>
      </c>
      <c r="I148" s="44">
        <f t="shared" si="2"/>
        <v>57.142857142857139</v>
      </c>
      <c r="J148" s="8"/>
      <c r="K148" s="8"/>
    </row>
    <row r="149" spans="1:12" x14ac:dyDescent="0.25">
      <c r="A149" s="44" t="s">
        <v>9</v>
      </c>
      <c r="B149" s="44">
        <v>3542909116679.0298</v>
      </c>
      <c r="C149" s="44">
        <v>3426766460208.4702</v>
      </c>
      <c r="D149" s="44">
        <f t="shared" si="0"/>
        <v>-3.2781720514306243</v>
      </c>
      <c r="E149" s="39">
        <v>3</v>
      </c>
      <c r="F149" s="39">
        <v>4</v>
      </c>
      <c r="G149" s="39">
        <v>0</v>
      </c>
      <c r="H149" s="44">
        <f t="shared" si="1"/>
        <v>42.857142857142854</v>
      </c>
      <c r="I149" s="44">
        <f t="shared" si="2"/>
        <v>57.142857142857139</v>
      </c>
      <c r="J149" s="8"/>
      <c r="K149" s="8"/>
    </row>
    <row r="150" spans="1:12" x14ac:dyDescent="0.25">
      <c r="A150" s="44" t="s">
        <v>3232</v>
      </c>
      <c r="B150" s="44">
        <v>1098541985585.9301</v>
      </c>
      <c r="C150" s="44">
        <v>983076348357.05017</v>
      </c>
      <c r="D150" s="44">
        <f t="shared" si="0"/>
        <v>-10.510807847484672</v>
      </c>
      <c r="E150" s="39">
        <v>14</v>
      </c>
      <c r="F150" s="39">
        <v>16</v>
      </c>
      <c r="G150" s="39">
        <v>3</v>
      </c>
      <c r="H150" s="44">
        <f t="shared" si="1"/>
        <v>42.424242424242422</v>
      </c>
      <c r="I150" s="44">
        <f t="shared" si="2"/>
        <v>48.484848484848484</v>
      </c>
      <c r="J150" s="8"/>
      <c r="K150" s="8"/>
    </row>
    <row r="151" spans="1:12" x14ac:dyDescent="0.25">
      <c r="A151" s="44" t="s">
        <v>2681</v>
      </c>
      <c r="B151" s="44">
        <v>396001226680.18005</v>
      </c>
      <c r="C151" s="44">
        <v>433218485900.01007</v>
      </c>
      <c r="D151" s="44">
        <f t="shared" si="0"/>
        <v>9.3982686699825688</v>
      </c>
      <c r="E151" s="39">
        <v>43</v>
      </c>
      <c r="F151" s="39">
        <v>24</v>
      </c>
      <c r="G151" s="39">
        <v>39</v>
      </c>
      <c r="H151" s="44">
        <f t="shared" si="1"/>
        <v>40.566037735849058</v>
      </c>
      <c r="I151" s="44">
        <f t="shared" si="2"/>
        <v>22.641509433962266</v>
      </c>
      <c r="J151" s="8"/>
      <c r="K151" s="8"/>
    </row>
    <row r="152" spans="1:12" x14ac:dyDescent="0.25">
      <c r="A152" s="44" t="s">
        <v>3454</v>
      </c>
      <c r="B152" s="44">
        <v>32480428785.93</v>
      </c>
      <c r="C152" s="44">
        <v>37643733381.93</v>
      </c>
      <c r="D152" s="44">
        <f t="shared" si="0"/>
        <v>15.896663895757007</v>
      </c>
      <c r="E152" s="39">
        <v>2</v>
      </c>
      <c r="F152" s="39">
        <v>3</v>
      </c>
      <c r="G152" s="39">
        <v>0</v>
      </c>
      <c r="H152" s="44">
        <f t="shared" si="1"/>
        <v>40</v>
      </c>
      <c r="I152" s="44">
        <f t="shared" si="2"/>
        <v>60</v>
      </c>
      <c r="J152" s="8"/>
      <c r="K152" s="8"/>
    </row>
    <row r="153" spans="1:12" x14ac:dyDescent="0.25">
      <c r="A153" s="44" t="s">
        <v>3618</v>
      </c>
      <c r="B153" s="44">
        <v>181061790525.14999</v>
      </c>
      <c r="C153" s="44">
        <v>185265662593.10001</v>
      </c>
      <c r="D153" s="44">
        <f t="shared" si="0"/>
        <v>2.3217886312496629</v>
      </c>
      <c r="E153" s="39">
        <v>2</v>
      </c>
      <c r="F153" s="39">
        <v>3</v>
      </c>
      <c r="G153" s="39">
        <v>0</v>
      </c>
      <c r="H153" s="44">
        <f t="shared" si="1"/>
        <v>40</v>
      </c>
      <c r="I153" s="44">
        <f t="shared" si="2"/>
        <v>60</v>
      </c>
      <c r="J153" s="8"/>
      <c r="K153" s="8"/>
    </row>
    <row r="154" spans="1:12" x14ac:dyDescent="0.25">
      <c r="A154" s="44" t="s">
        <v>3974</v>
      </c>
      <c r="B154" s="44">
        <v>275812328749.43005</v>
      </c>
      <c r="C154" s="44">
        <v>279684381501.01996</v>
      </c>
      <c r="D154" s="44">
        <f t="shared" si="0"/>
        <v>1.4038722522471383</v>
      </c>
      <c r="E154" s="39">
        <v>4</v>
      </c>
      <c r="F154" s="39">
        <v>6</v>
      </c>
      <c r="G154" s="39">
        <v>0</v>
      </c>
      <c r="H154" s="44">
        <f t="shared" si="1"/>
        <v>40</v>
      </c>
      <c r="I154" s="44">
        <f t="shared" si="2"/>
        <v>60</v>
      </c>
      <c r="J154" s="8"/>
      <c r="K154" s="8"/>
    </row>
    <row r="155" spans="1:12" x14ac:dyDescent="0.25">
      <c r="A155" s="44" t="s">
        <v>2265</v>
      </c>
      <c r="B155" s="44">
        <v>26293394770.560001</v>
      </c>
      <c r="C155" s="44">
        <v>26169137737.98</v>
      </c>
      <c r="D155" s="44">
        <f t="shared" si="0"/>
        <v>-0.47257888783204616</v>
      </c>
      <c r="E155" s="39">
        <v>2</v>
      </c>
      <c r="F155" s="39">
        <v>3</v>
      </c>
      <c r="G155" s="39">
        <v>0</v>
      </c>
      <c r="H155" s="44">
        <f t="shared" si="1"/>
        <v>40</v>
      </c>
      <c r="I155" s="44">
        <f t="shared" si="2"/>
        <v>60</v>
      </c>
      <c r="J155" s="8"/>
      <c r="K155" s="8"/>
    </row>
    <row r="156" spans="1:12" x14ac:dyDescent="0.25">
      <c r="A156" s="44" t="s">
        <v>893</v>
      </c>
      <c r="B156" s="44">
        <v>1497260000143.8999</v>
      </c>
      <c r="C156" s="44">
        <v>1443370960257.5999</v>
      </c>
      <c r="D156" s="44">
        <f t="shared" si="0"/>
        <v>-3.5991771556790959</v>
      </c>
      <c r="E156" s="39">
        <v>6</v>
      </c>
      <c r="F156" s="39">
        <v>9</v>
      </c>
      <c r="G156" s="39">
        <v>0</v>
      </c>
      <c r="H156" s="44">
        <f t="shared" si="1"/>
        <v>40</v>
      </c>
      <c r="I156" s="44">
        <f t="shared" si="2"/>
        <v>60</v>
      </c>
      <c r="J156" s="8"/>
      <c r="K156" s="8"/>
    </row>
    <row r="157" spans="1:12" x14ac:dyDescent="0.25">
      <c r="A157" s="44" t="s">
        <v>3361</v>
      </c>
      <c r="B157" s="44">
        <v>159292011232.35001</v>
      </c>
      <c r="C157" s="44">
        <v>180780816652.5</v>
      </c>
      <c r="D157" s="44">
        <f t="shared" si="0"/>
        <v>13.490196560331908</v>
      </c>
      <c r="E157" s="39">
        <v>3</v>
      </c>
      <c r="F157" s="39">
        <v>4</v>
      </c>
      <c r="G157" s="39">
        <v>1</v>
      </c>
      <c r="H157" s="44">
        <f t="shared" si="1"/>
        <v>37.5</v>
      </c>
      <c r="I157" s="44">
        <f t="shared" si="2"/>
        <v>50</v>
      </c>
      <c r="J157" s="8"/>
      <c r="K157" s="8"/>
    </row>
    <row r="158" spans="1:12" x14ac:dyDescent="0.25">
      <c r="A158" s="44" t="s">
        <v>56</v>
      </c>
      <c r="B158" s="44">
        <v>18025855360.34</v>
      </c>
      <c r="C158" s="44">
        <v>18430016244.48</v>
      </c>
      <c r="D158" s="44">
        <f t="shared" si="0"/>
        <v>2.2421176474611197</v>
      </c>
      <c r="E158" s="39">
        <v>4</v>
      </c>
      <c r="F158" s="39">
        <v>7</v>
      </c>
      <c r="G158" s="39">
        <v>0</v>
      </c>
      <c r="H158" s="44">
        <f t="shared" si="1"/>
        <v>36.363636363636367</v>
      </c>
      <c r="I158" s="44">
        <f t="shared" si="2"/>
        <v>63.636363636363633</v>
      </c>
      <c r="J158" s="8"/>
      <c r="K158" s="8"/>
    </row>
    <row r="159" spans="1:12" x14ac:dyDescent="0.25">
      <c r="A159" s="44" t="s">
        <v>3831</v>
      </c>
      <c r="B159" s="44">
        <v>3095862065.75</v>
      </c>
      <c r="C159" s="44">
        <v>3002675707.25</v>
      </c>
      <c r="D159" s="44">
        <f t="shared" si="0"/>
        <v>-3.010029404440691</v>
      </c>
      <c r="E159" s="39">
        <v>6</v>
      </c>
      <c r="F159" s="39">
        <v>9</v>
      </c>
      <c r="G159" s="39">
        <v>2</v>
      </c>
      <c r="H159" s="44">
        <f t="shared" si="1"/>
        <v>35.294117647058826</v>
      </c>
      <c r="I159" s="44">
        <f t="shared" si="2"/>
        <v>52.941176470588239</v>
      </c>
      <c r="J159" s="8"/>
      <c r="K159" s="8"/>
    </row>
    <row r="160" spans="1:12" x14ac:dyDescent="0.25">
      <c r="A160" s="44" t="s">
        <v>3772</v>
      </c>
      <c r="B160" s="44">
        <v>758987041624.38</v>
      </c>
      <c r="C160" s="44">
        <v>753403544886.75</v>
      </c>
      <c r="D160" s="44">
        <f t="shared" si="0"/>
        <v>-0.73565112859901205</v>
      </c>
      <c r="E160" s="39">
        <v>2</v>
      </c>
      <c r="F160" s="39">
        <v>4</v>
      </c>
      <c r="G160" s="39">
        <v>0</v>
      </c>
      <c r="H160" s="44">
        <f t="shared" si="1"/>
        <v>33.333333333333329</v>
      </c>
      <c r="I160" s="44">
        <f t="shared" si="2"/>
        <v>66.666666666666657</v>
      </c>
      <c r="J160" s="69" t="s">
        <v>4435</v>
      </c>
      <c r="K160" s="67"/>
      <c r="L160" s="8"/>
    </row>
    <row r="161" spans="1:11" x14ac:dyDescent="0.25">
      <c r="A161" s="44" t="s">
        <v>2834</v>
      </c>
      <c r="B161" s="44">
        <v>29577227982.799999</v>
      </c>
      <c r="C161" s="44">
        <v>29060134883.450001</v>
      </c>
      <c r="D161" s="44">
        <f t="shared" si="0"/>
        <v>-1.7482811426774099</v>
      </c>
      <c r="E161" s="39">
        <v>3</v>
      </c>
      <c r="F161" s="39">
        <v>6</v>
      </c>
      <c r="G161" s="39">
        <v>0</v>
      </c>
      <c r="H161" s="44">
        <f t="shared" si="1"/>
        <v>33.333333333333329</v>
      </c>
      <c r="I161" s="44">
        <f t="shared" si="2"/>
        <v>66.666666666666657</v>
      </c>
      <c r="J161" s="8"/>
      <c r="K161" s="8"/>
    </row>
    <row r="162" spans="1:11" x14ac:dyDescent="0.25">
      <c r="A162" s="44" t="s">
        <v>3262</v>
      </c>
      <c r="B162" s="44">
        <v>1516232968534.45</v>
      </c>
      <c r="C162" s="44">
        <v>1458468740109.55</v>
      </c>
      <c r="D162" s="44">
        <f t="shared" si="0"/>
        <v>-3.8097198533239425</v>
      </c>
      <c r="E162" s="39">
        <v>2</v>
      </c>
      <c r="F162" s="39">
        <v>4</v>
      </c>
      <c r="G162" s="39">
        <v>0</v>
      </c>
      <c r="H162" s="44">
        <f t="shared" si="1"/>
        <v>33.333333333333329</v>
      </c>
      <c r="I162" s="44">
        <f t="shared" si="2"/>
        <v>66.666666666666657</v>
      </c>
      <c r="J162" s="8"/>
      <c r="K162" s="8"/>
    </row>
    <row r="163" spans="1:11" x14ac:dyDescent="0.25">
      <c r="A163" s="44" t="s">
        <v>959</v>
      </c>
      <c r="B163" s="44">
        <v>219856138073.29001</v>
      </c>
      <c r="C163" s="44">
        <v>214906246892.59003</v>
      </c>
      <c r="D163" s="44">
        <f t="shared" si="0"/>
        <v>-2.2514227822240351</v>
      </c>
      <c r="E163" s="39">
        <v>3</v>
      </c>
      <c r="F163" s="39">
        <v>6</v>
      </c>
      <c r="G163" s="39">
        <v>1</v>
      </c>
      <c r="H163" s="44">
        <f t="shared" si="1"/>
        <v>30</v>
      </c>
      <c r="I163" s="44">
        <f t="shared" si="2"/>
        <v>60</v>
      </c>
      <c r="J163" s="8"/>
      <c r="K163" s="8"/>
    </row>
    <row r="164" spans="1:11" x14ac:dyDescent="0.25">
      <c r="A164" s="44" t="s">
        <v>788</v>
      </c>
      <c r="B164" s="44">
        <v>19604471250583.531</v>
      </c>
      <c r="C164" s="44">
        <v>18717167912044.531</v>
      </c>
      <c r="D164" s="44">
        <f t="shared" si="0"/>
        <v>-4.5260253500210537</v>
      </c>
      <c r="E164" s="39">
        <v>3</v>
      </c>
      <c r="F164" s="39">
        <v>8</v>
      </c>
      <c r="G164" s="39">
        <v>0</v>
      </c>
      <c r="H164" s="44">
        <f t="shared" si="1"/>
        <v>27.27272727272727</v>
      </c>
      <c r="I164" s="44">
        <f t="shared" si="2"/>
        <v>72.727272727272734</v>
      </c>
      <c r="J164" s="8"/>
      <c r="K164" s="8"/>
    </row>
    <row r="165" spans="1:11" x14ac:dyDescent="0.25">
      <c r="A165" s="44" t="s">
        <v>1584</v>
      </c>
      <c r="B165" s="44">
        <v>463861578006.40002</v>
      </c>
      <c r="C165" s="44">
        <v>492506187605.42999</v>
      </c>
      <c r="D165" s="44">
        <f t="shared" si="0"/>
        <v>6.1752494617337659</v>
      </c>
      <c r="E165" s="39">
        <v>1</v>
      </c>
      <c r="F165" s="39">
        <v>2</v>
      </c>
      <c r="G165" s="39">
        <v>1</v>
      </c>
      <c r="H165" s="44">
        <f t="shared" si="1"/>
        <v>25</v>
      </c>
      <c r="I165" s="44">
        <f t="shared" si="2"/>
        <v>50</v>
      </c>
      <c r="J165" s="8"/>
      <c r="K165" s="8"/>
    </row>
    <row r="166" spans="1:11" x14ac:dyDescent="0.25">
      <c r="A166" s="44" t="s">
        <v>3140</v>
      </c>
      <c r="B166" s="44">
        <v>2523699986019.9907</v>
      </c>
      <c r="C166" s="44">
        <v>2495871601847.3804</v>
      </c>
      <c r="D166" s="44">
        <f t="shared" si="0"/>
        <v>-1.1026819482016639</v>
      </c>
      <c r="E166" s="39">
        <v>3</v>
      </c>
      <c r="F166" s="39">
        <v>9</v>
      </c>
      <c r="G166" s="39">
        <v>0</v>
      </c>
      <c r="H166" s="44">
        <f t="shared" si="1"/>
        <v>25</v>
      </c>
      <c r="I166" s="44">
        <f t="shared" si="2"/>
        <v>75</v>
      </c>
      <c r="J166" s="8"/>
      <c r="K166" s="8"/>
    </row>
    <row r="167" spans="1:11" x14ac:dyDescent="0.25">
      <c r="A167" s="44" t="s">
        <v>4033</v>
      </c>
      <c r="B167" s="44">
        <v>2856748687527</v>
      </c>
      <c r="C167" s="44">
        <v>2808510499293</v>
      </c>
      <c r="D167" s="44">
        <f t="shared" si="0"/>
        <v>-1.6885695421727254</v>
      </c>
      <c r="E167" s="39">
        <v>1</v>
      </c>
      <c r="F167" s="39">
        <v>3</v>
      </c>
      <c r="G167" s="39">
        <v>0</v>
      </c>
      <c r="H167" s="44">
        <f t="shared" si="1"/>
        <v>25</v>
      </c>
      <c r="I167" s="44">
        <f t="shared" si="2"/>
        <v>75</v>
      </c>
      <c r="J167" s="8"/>
      <c r="K167" s="8"/>
    </row>
    <row r="168" spans="1:11" x14ac:dyDescent="0.25">
      <c r="A168" s="44" t="s">
        <v>1598</v>
      </c>
      <c r="B168" s="44">
        <v>1484700648652</v>
      </c>
      <c r="C168" s="44">
        <v>1420878049194.75</v>
      </c>
      <c r="D168" s="44">
        <f t="shared" si="0"/>
        <v>-4.2986846887415497</v>
      </c>
      <c r="E168" s="39">
        <v>1</v>
      </c>
      <c r="F168" s="39">
        <v>2</v>
      </c>
      <c r="G168" s="39">
        <v>1</v>
      </c>
      <c r="H168" s="44">
        <f t="shared" si="1"/>
        <v>25</v>
      </c>
      <c r="I168" s="44">
        <f t="shared" si="2"/>
        <v>50</v>
      </c>
      <c r="J168" s="8"/>
      <c r="K168" s="8"/>
    </row>
    <row r="169" spans="1:11" x14ac:dyDescent="0.25">
      <c r="A169" s="44" t="s">
        <v>2501</v>
      </c>
      <c r="B169" s="44">
        <v>148637973412.94998</v>
      </c>
      <c r="C169" s="44">
        <v>156245905697.69998</v>
      </c>
      <c r="D169" s="44">
        <f t="shared" si="0"/>
        <v>5.1184311182805482</v>
      </c>
      <c r="E169" s="39">
        <v>1</v>
      </c>
      <c r="F169" s="39">
        <v>3</v>
      </c>
      <c r="G169" s="39">
        <v>1</v>
      </c>
      <c r="H169" s="44">
        <f t="shared" si="1"/>
        <v>20</v>
      </c>
      <c r="I169" s="44">
        <f t="shared" si="2"/>
        <v>60</v>
      </c>
      <c r="J169" s="8"/>
      <c r="K169" s="8"/>
    </row>
    <row r="170" spans="1:11" x14ac:dyDescent="0.25">
      <c r="A170" s="44" t="s">
        <v>3536</v>
      </c>
      <c r="B170" s="44">
        <v>2558986977035.4302</v>
      </c>
      <c r="C170" s="44">
        <v>2519528030051.5103</v>
      </c>
      <c r="D170" s="44">
        <f t="shared" si="0"/>
        <v>-1.5419752948345542</v>
      </c>
      <c r="E170" s="39">
        <v>1</v>
      </c>
      <c r="F170" s="39">
        <v>5</v>
      </c>
      <c r="G170" s="39">
        <v>0</v>
      </c>
      <c r="H170" s="44">
        <f t="shared" si="1"/>
        <v>16.666666666666664</v>
      </c>
      <c r="I170" s="44">
        <f t="shared" si="2"/>
        <v>83.333333333333343</v>
      </c>
      <c r="J170" s="8"/>
      <c r="K170" s="8"/>
    </row>
    <row r="171" spans="1:11" x14ac:dyDescent="0.25">
      <c r="A171" s="44" t="s">
        <v>350</v>
      </c>
      <c r="B171" s="44">
        <v>967235735016.59998</v>
      </c>
      <c r="C171" s="44">
        <v>942847100199.70007</v>
      </c>
      <c r="D171" s="44">
        <f t="shared" si="0"/>
        <v>-2.521477850121133</v>
      </c>
      <c r="E171" s="39">
        <v>1</v>
      </c>
      <c r="F171" s="39">
        <v>5</v>
      </c>
      <c r="G171" s="39">
        <v>0</v>
      </c>
      <c r="H171" s="44">
        <f t="shared" si="1"/>
        <v>16.666666666666664</v>
      </c>
      <c r="I171" s="44">
        <f t="shared" si="2"/>
        <v>83.333333333333343</v>
      </c>
      <c r="J171" s="8"/>
      <c r="K171" s="8"/>
    </row>
    <row r="172" spans="1:11" x14ac:dyDescent="0.25">
      <c r="A172" s="44" t="s">
        <v>1970</v>
      </c>
      <c r="B172" s="44">
        <v>873649436626.8501</v>
      </c>
      <c r="C172" s="44">
        <v>826716952562.34998</v>
      </c>
      <c r="D172" s="44">
        <f t="shared" si="0"/>
        <v>-5.3720041582932714</v>
      </c>
      <c r="E172" s="39">
        <v>1</v>
      </c>
      <c r="F172" s="39">
        <v>6</v>
      </c>
      <c r="G172" s="39">
        <v>0</v>
      </c>
      <c r="H172" s="44">
        <f t="shared" si="1"/>
        <v>14.285714285714285</v>
      </c>
      <c r="I172" s="44">
        <f t="shared" si="2"/>
        <v>85.714285714285708</v>
      </c>
      <c r="J172" s="8"/>
      <c r="K172" s="8"/>
    </row>
    <row r="173" spans="1:11" x14ac:dyDescent="0.25">
      <c r="A173" s="44" t="s">
        <v>767</v>
      </c>
      <c r="B173" s="44">
        <v>621945004555.71997</v>
      </c>
      <c r="C173" s="44">
        <v>985170375131.10999</v>
      </c>
      <c r="D173" s="44">
        <f t="shared" si="0"/>
        <v>58.401525523121833</v>
      </c>
      <c r="E173" s="39">
        <v>0</v>
      </c>
      <c r="F173" s="39">
        <v>4</v>
      </c>
      <c r="G173" s="39">
        <v>1</v>
      </c>
      <c r="H173" s="44">
        <f t="shared" si="1"/>
        <v>0</v>
      </c>
      <c r="I173" s="44">
        <f t="shared" si="2"/>
        <v>80</v>
      </c>
      <c r="J173" s="8"/>
      <c r="K173" s="8"/>
    </row>
    <row r="174" spans="1:11" x14ac:dyDescent="0.25">
      <c r="A174" s="44" t="s">
        <v>4082</v>
      </c>
      <c r="B174" s="44">
        <v>1361195757861.5</v>
      </c>
      <c r="C174" s="44">
        <v>1343036678100</v>
      </c>
      <c r="D174" s="44">
        <f t="shared" si="0"/>
        <v>-1.3340535082205027</v>
      </c>
      <c r="E174" s="39">
        <v>0</v>
      </c>
      <c r="F174" s="39">
        <v>1</v>
      </c>
      <c r="G174" s="39">
        <v>1</v>
      </c>
      <c r="H174" s="44">
        <f t="shared" si="1"/>
        <v>0</v>
      </c>
      <c r="I174" s="44">
        <f t="shared" si="2"/>
        <v>50</v>
      </c>
      <c r="J174" s="8"/>
      <c r="K174" s="8"/>
    </row>
    <row r="175" spans="1:11" x14ac:dyDescent="0.25">
      <c r="A175" s="44" t="s">
        <v>4230</v>
      </c>
      <c r="B175" s="44">
        <v>7796135421.0999994</v>
      </c>
      <c r="C175" s="44">
        <v>7571511785.6999998</v>
      </c>
      <c r="D175" s="44">
        <f t="shared" si="0"/>
        <v>-2.8812177222071167</v>
      </c>
      <c r="E175" s="39">
        <v>0</v>
      </c>
      <c r="F175" s="39">
        <v>1</v>
      </c>
      <c r="G175" s="39">
        <v>0</v>
      </c>
      <c r="H175" s="44">
        <f t="shared" si="1"/>
        <v>0</v>
      </c>
      <c r="I175" s="44">
        <f t="shared" si="2"/>
        <v>100</v>
      </c>
      <c r="J175" s="8"/>
      <c r="K175" s="8"/>
    </row>
    <row r="176" spans="1:11" x14ac:dyDescent="0.25">
      <c r="A176" s="44" t="s">
        <v>4210</v>
      </c>
      <c r="B176" s="44">
        <v>28981430376</v>
      </c>
      <c r="C176" s="44">
        <v>28023301120.399998</v>
      </c>
      <c r="D176" s="44">
        <f t="shared" si="0"/>
        <v>-3.3060109289617565</v>
      </c>
      <c r="E176" s="39">
        <v>0</v>
      </c>
      <c r="F176" s="39">
        <v>1</v>
      </c>
      <c r="G176" s="39">
        <v>0</v>
      </c>
      <c r="H176" s="44">
        <f t="shared" si="1"/>
        <v>0</v>
      </c>
      <c r="I176" s="44">
        <f t="shared" si="2"/>
        <v>100</v>
      </c>
      <c r="J176" s="8"/>
      <c r="K176" s="8"/>
    </row>
    <row r="177" spans="1:11" x14ac:dyDescent="0.25">
      <c r="A177" s="44" t="s">
        <v>3118</v>
      </c>
      <c r="B177" s="44">
        <v>10919874904188.602</v>
      </c>
      <c r="C177" s="44">
        <v>10542706610881.699</v>
      </c>
      <c r="D177" s="44">
        <f t="shared" si="0"/>
        <v>-3.4539616672918996</v>
      </c>
      <c r="E177" s="39">
        <v>0</v>
      </c>
      <c r="F177" s="39">
        <v>3</v>
      </c>
      <c r="G177" s="39">
        <v>0</v>
      </c>
      <c r="H177" s="44">
        <f t="shared" si="1"/>
        <v>0</v>
      </c>
      <c r="I177" s="44">
        <f t="shared" si="2"/>
        <v>100</v>
      </c>
      <c r="J177" s="8"/>
      <c r="K177" s="8"/>
    </row>
    <row r="178" spans="1:11" x14ac:dyDescent="0.25">
      <c r="A178" s="44" t="s">
        <v>342</v>
      </c>
      <c r="B178" s="44">
        <v>1285071678076.6001</v>
      </c>
      <c r="C178" s="44">
        <v>1220388168759.3999</v>
      </c>
      <c r="D178" s="44">
        <f t="shared" si="0"/>
        <v>-5.0334553644520179</v>
      </c>
      <c r="E178" s="39">
        <v>0</v>
      </c>
      <c r="F178" s="39">
        <v>3</v>
      </c>
      <c r="G178" s="39">
        <v>0</v>
      </c>
      <c r="H178" s="44">
        <f t="shared" si="1"/>
        <v>0</v>
      </c>
      <c r="I178" s="44">
        <f t="shared" si="2"/>
        <v>100</v>
      </c>
      <c r="J178" s="8"/>
      <c r="K178" s="8"/>
    </row>
    <row r="179" spans="1:11" x14ac:dyDescent="0.25">
      <c r="A179" s="44" t="s">
        <v>659</v>
      </c>
      <c r="B179" s="44">
        <v>103376631339.20001</v>
      </c>
      <c r="C179" s="44">
        <v>97440788667.25</v>
      </c>
      <c r="D179" s="44">
        <f t="shared" si="0"/>
        <v>-5.7419579212958585</v>
      </c>
      <c r="E179" s="39">
        <v>0</v>
      </c>
      <c r="F179" s="39">
        <v>2</v>
      </c>
      <c r="G179" s="39">
        <v>0</v>
      </c>
      <c r="H179" s="44">
        <f t="shared" si="1"/>
        <v>0</v>
      </c>
      <c r="I179" s="44">
        <f t="shared" si="2"/>
        <v>100</v>
      </c>
      <c r="J179" s="8"/>
      <c r="K179" s="8"/>
    </row>
    <row r="180" spans="1:11" x14ac:dyDescent="0.25">
      <c r="A180" s="44" t="s">
        <v>4177</v>
      </c>
      <c r="B180" s="44">
        <v>67080447951</v>
      </c>
      <c r="C180" s="44">
        <v>63181006969.75</v>
      </c>
      <c r="D180" s="44">
        <f t="shared" si="0"/>
        <v>-5.8130813081308128</v>
      </c>
      <c r="E180" s="39">
        <v>0</v>
      </c>
      <c r="F180" s="39">
        <v>1</v>
      </c>
      <c r="G180" s="39">
        <v>0</v>
      </c>
      <c r="H180" s="44">
        <f t="shared" si="1"/>
        <v>0</v>
      </c>
      <c r="I180" s="44">
        <f t="shared" si="2"/>
        <v>100</v>
      </c>
      <c r="J180" s="8"/>
      <c r="K180" s="8"/>
    </row>
    <row r="181" spans="1:11" x14ac:dyDescent="0.25">
      <c r="A181" s="44" t="s">
        <v>2247</v>
      </c>
      <c r="B181" s="44">
        <v>146135681289.51999</v>
      </c>
      <c r="C181" s="44">
        <v>136648428205.94</v>
      </c>
      <c r="D181" s="44">
        <f t="shared" si="0"/>
        <v>-6.4920853003614516</v>
      </c>
      <c r="E181" s="39">
        <v>0</v>
      </c>
      <c r="F181" s="39">
        <v>3</v>
      </c>
      <c r="G181" s="39">
        <v>0</v>
      </c>
      <c r="H181" s="44">
        <f t="shared" si="1"/>
        <v>0</v>
      </c>
      <c r="I181" s="44">
        <f t="shared" si="2"/>
        <v>100</v>
      </c>
      <c r="J181" s="8"/>
      <c r="K181" s="8"/>
    </row>
    <row r="182" spans="1:11" x14ac:dyDescent="0.25">
      <c r="A182" s="44" t="s">
        <v>4068</v>
      </c>
      <c r="B182" s="44">
        <v>47049908870.299995</v>
      </c>
      <c r="C182" s="44">
        <v>43329835719.800003</v>
      </c>
      <c r="D182" s="44">
        <f t="shared" si="0"/>
        <v>-7.9066532535799841</v>
      </c>
      <c r="E182" s="39">
        <v>0</v>
      </c>
      <c r="F182" s="39">
        <v>2</v>
      </c>
      <c r="G182" s="39">
        <v>0</v>
      </c>
      <c r="H182" s="44">
        <f t="shared" si="1"/>
        <v>0</v>
      </c>
      <c r="I182" s="44">
        <f t="shared" si="2"/>
        <v>100</v>
      </c>
      <c r="J182" s="8"/>
      <c r="K182" s="8"/>
    </row>
    <row r="183" spans="1:11" x14ac:dyDescent="0.25">
      <c r="A183" s="44" t="s">
        <v>41</v>
      </c>
      <c r="B183" s="44">
        <v>537407183597.09998</v>
      </c>
      <c r="C183" s="44">
        <v>491490915390.09998</v>
      </c>
      <c r="D183" s="44">
        <f t="shared" si="0"/>
        <v>-8.5440369255324153</v>
      </c>
      <c r="E183" s="39">
        <v>0</v>
      </c>
      <c r="F183" s="39">
        <v>3</v>
      </c>
      <c r="G183" s="39">
        <v>0</v>
      </c>
      <c r="H183" s="44">
        <f t="shared" si="1"/>
        <v>0</v>
      </c>
      <c r="I183" s="44">
        <f t="shared" si="2"/>
        <v>100</v>
      </c>
      <c r="J183" s="8"/>
      <c r="K183" s="8"/>
    </row>
    <row r="184" spans="1:11" x14ac:dyDescent="0.25">
      <c r="A184" s="44" t="s">
        <v>4191</v>
      </c>
      <c r="B184" s="44">
        <v>8709933363.5499992</v>
      </c>
      <c r="C184" s="44">
        <v>7666707439.5500011</v>
      </c>
      <c r="D184" s="44">
        <f t="shared" si="0"/>
        <v>-11.977427156512706</v>
      </c>
      <c r="E184" s="39">
        <v>0</v>
      </c>
      <c r="F184" s="39">
        <v>1</v>
      </c>
      <c r="G184" s="39">
        <v>0</v>
      </c>
      <c r="H184" s="44">
        <f t="shared" si="1"/>
        <v>0</v>
      </c>
      <c r="I184" s="44">
        <f t="shared" si="2"/>
        <v>100</v>
      </c>
      <c r="J184" s="8"/>
      <c r="K184" s="8"/>
    </row>
    <row r="185" spans="1:11" x14ac:dyDescent="0.25">
      <c r="A185" s="44" t="s">
        <v>668</v>
      </c>
      <c r="B185" s="44">
        <v>66866364396.300003</v>
      </c>
      <c r="C185" s="44">
        <v>58416243246.149994</v>
      </c>
      <c r="D185" s="44">
        <f t="shared" si="0"/>
        <v>-12.637327042439875</v>
      </c>
      <c r="E185" s="39">
        <v>0</v>
      </c>
      <c r="F185" s="39">
        <v>2</v>
      </c>
      <c r="G185" s="39">
        <v>0</v>
      </c>
      <c r="H185" s="44">
        <f t="shared" si="1"/>
        <v>0</v>
      </c>
      <c r="I185" s="44">
        <f t="shared" si="2"/>
        <v>100</v>
      </c>
      <c r="J185" s="8"/>
      <c r="K185" s="8"/>
    </row>
    <row r="186" spans="1:11" x14ac:dyDescent="0.25">
      <c r="A186" s="44" t="s">
        <v>3663</v>
      </c>
      <c r="B186" s="44">
        <v>113340819212.5</v>
      </c>
      <c r="C186" s="44">
        <v>96461390629.399994</v>
      </c>
      <c r="D186" s="44">
        <f t="shared" si="0"/>
        <v>-14.892629769556514</v>
      </c>
      <c r="E186" s="39">
        <v>0</v>
      </c>
      <c r="F186" s="39">
        <v>2</v>
      </c>
      <c r="G186" s="39">
        <v>0</v>
      </c>
      <c r="H186" s="44">
        <f t="shared" si="1"/>
        <v>0</v>
      </c>
      <c r="I186" s="44">
        <f t="shared" si="2"/>
        <v>100</v>
      </c>
      <c r="J186" s="8"/>
      <c r="K186" s="8"/>
    </row>
    <row r="187" spans="1:11" x14ac:dyDescent="0.25">
      <c r="A187" s="44" t="s">
        <v>4128</v>
      </c>
      <c r="B187" s="44">
        <v>41272275000</v>
      </c>
      <c r="C187" s="44">
        <v>26459400000</v>
      </c>
      <c r="D187" s="44">
        <f t="shared" si="0"/>
        <v>-35.89061906570452</v>
      </c>
      <c r="E187" s="39">
        <v>0</v>
      </c>
      <c r="F187" s="39">
        <v>1</v>
      </c>
      <c r="G187" s="39">
        <v>0</v>
      </c>
      <c r="H187" s="44">
        <f t="shared" si="1"/>
        <v>0</v>
      </c>
      <c r="I187" s="44">
        <f t="shared" si="2"/>
        <v>100</v>
      </c>
      <c r="J187" s="8"/>
      <c r="K187" s="8"/>
    </row>
    <row r="188" spans="1:11" x14ac:dyDescent="0.25">
      <c r="A188" s="44"/>
      <c r="B188" s="44"/>
      <c r="C188" s="44"/>
      <c r="D188" s="44"/>
      <c r="E188" s="44"/>
      <c r="F188" s="44"/>
      <c r="G188" s="44"/>
      <c r="H188" s="44"/>
      <c r="I188" s="44"/>
      <c r="J188" s="8"/>
      <c r="K188" s="8"/>
    </row>
    <row r="189" spans="1:11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8"/>
      <c r="K189" s="8"/>
    </row>
    <row r="190" spans="1:11" x14ac:dyDescent="0.25">
      <c r="A190" s="44"/>
      <c r="B190" s="44"/>
      <c r="C190" s="44"/>
      <c r="D190" s="44"/>
      <c r="E190" s="44"/>
      <c r="F190" s="44"/>
      <c r="G190" s="44"/>
      <c r="H190" s="44"/>
      <c r="I190" s="44"/>
      <c r="J190" s="8"/>
      <c r="K190" s="8"/>
    </row>
    <row r="191" spans="1:11" x14ac:dyDescent="0.25">
      <c r="A191" s="44"/>
      <c r="B191" s="44"/>
      <c r="C191" s="44"/>
      <c r="D191" s="44"/>
      <c r="E191" s="44"/>
      <c r="F191" s="44"/>
      <c r="G191" s="44"/>
      <c r="H191" s="44"/>
      <c r="I191" s="44"/>
      <c r="J191" s="8"/>
      <c r="K191" s="8"/>
    </row>
    <row r="192" spans="1:11" x14ac:dyDescent="0.25">
      <c r="A192" s="44"/>
      <c r="B192" s="44"/>
      <c r="C192" s="44"/>
      <c r="D192" s="44"/>
      <c r="E192" s="44"/>
      <c r="F192" s="44"/>
      <c r="G192" s="44"/>
      <c r="H192" s="44"/>
      <c r="I192" s="44"/>
      <c r="J192" s="8"/>
      <c r="K192" s="8"/>
    </row>
    <row r="193" spans="1:11" x14ac:dyDescent="0.25">
      <c r="A193" s="44"/>
      <c r="B193" s="44"/>
      <c r="C193" s="44"/>
      <c r="D193" s="44"/>
      <c r="E193" s="44"/>
      <c r="F193" s="44"/>
      <c r="G193" s="44"/>
      <c r="H193" s="44"/>
      <c r="I193" s="44"/>
      <c r="J193" s="8"/>
      <c r="K193" s="8"/>
    </row>
    <row r="194" spans="1:11" x14ac:dyDescent="0.25">
      <c r="A194" s="44"/>
      <c r="B194" s="44"/>
      <c r="C194" s="44"/>
      <c r="D194" s="44"/>
      <c r="E194" s="44"/>
      <c r="F194" s="44"/>
      <c r="G194" s="44"/>
      <c r="H194" s="44"/>
      <c r="I194" s="44"/>
      <c r="J194" s="8"/>
      <c r="K194" s="8"/>
    </row>
    <row r="195" spans="1:11" x14ac:dyDescent="0.25">
      <c r="A195" s="44"/>
      <c r="B195" s="44"/>
      <c r="C195" s="44"/>
      <c r="D195" s="44"/>
      <c r="E195" s="44"/>
      <c r="F195" s="44"/>
      <c r="G195" s="44"/>
      <c r="H195" s="44"/>
      <c r="I195" s="44"/>
      <c r="J195" s="8"/>
      <c r="K195" s="8"/>
    </row>
    <row r="196" spans="1:11" x14ac:dyDescent="0.25">
      <c r="A196" s="44"/>
      <c r="B196" s="44"/>
      <c r="C196" s="44"/>
      <c r="D196" s="44"/>
      <c r="E196" s="44"/>
      <c r="F196" s="44"/>
      <c r="G196" s="44"/>
      <c r="H196" s="44"/>
      <c r="I196" s="44"/>
      <c r="J196" s="8"/>
      <c r="K196" s="8"/>
    </row>
    <row r="197" spans="1:11" x14ac:dyDescent="0.25">
      <c r="A197" s="44"/>
      <c r="B197" s="44"/>
      <c r="C197" s="44"/>
      <c r="D197" s="44"/>
      <c r="E197" s="44"/>
      <c r="F197" s="44"/>
      <c r="G197" s="44"/>
      <c r="H197" s="44"/>
      <c r="I197" s="44"/>
      <c r="J197" s="8"/>
      <c r="K197" s="8"/>
    </row>
    <row r="198" spans="1:11" x14ac:dyDescent="0.25">
      <c r="A198" s="44"/>
      <c r="B198" s="44"/>
      <c r="C198" s="44"/>
      <c r="D198" s="44"/>
      <c r="E198" s="44"/>
      <c r="F198" s="44"/>
      <c r="G198" s="44"/>
      <c r="H198" s="44"/>
      <c r="I198" s="44"/>
      <c r="J198" s="8"/>
      <c r="K198" s="8"/>
    </row>
    <row r="199" spans="1:11" x14ac:dyDescent="0.25">
      <c r="A199" s="44"/>
      <c r="B199" s="44"/>
      <c r="C199" s="44"/>
      <c r="D199" s="44"/>
      <c r="E199" s="44"/>
      <c r="F199" s="44"/>
      <c r="G199" s="44"/>
      <c r="H199" s="44"/>
      <c r="I199" s="44"/>
      <c r="J199" s="8"/>
      <c r="K199" s="8"/>
    </row>
    <row r="200" spans="1:11" x14ac:dyDescent="0.25">
      <c r="A200" s="44"/>
      <c r="B200" s="44"/>
      <c r="C200" s="44"/>
      <c r="D200" s="44"/>
      <c r="E200" s="44"/>
      <c r="F200" s="44"/>
      <c r="G200" s="44"/>
      <c r="H200" s="44"/>
      <c r="I200" s="44"/>
      <c r="J200" s="8"/>
      <c r="K200" s="8"/>
    </row>
    <row r="201" spans="1:11" x14ac:dyDescent="0.25">
      <c r="A201" s="44"/>
      <c r="B201" s="44"/>
      <c r="C201" s="44"/>
      <c r="D201" s="44"/>
      <c r="E201" s="44"/>
      <c r="F201" s="44"/>
      <c r="G201" s="44"/>
      <c r="H201" s="44"/>
      <c r="I201" s="44"/>
      <c r="J201" s="8"/>
      <c r="K201" s="8"/>
    </row>
    <row r="202" spans="1:11" x14ac:dyDescent="0.25">
      <c r="A202" s="44"/>
      <c r="B202" s="44"/>
      <c r="C202" s="44"/>
      <c r="D202" s="44"/>
      <c r="E202" s="44"/>
      <c r="F202" s="44"/>
      <c r="G202" s="44"/>
      <c r="H202" s="44"/>
      <c r="I202" s="44"/>
      <c r="J202" s="8"/>
      <c r="K202" s="8"/>
    </row>
    <row r="203" spans="1:11" x14ac:dyDescent="0.25">
      <c r="A203" s="44"/>
      <c r="B203" s="44"/>
      <c r="C203" s="44"/>
      <c r="D203" s="44"/>
      <c r="E203" s="44"/>
      <c r="F203" s="44"/>
      <c r="G203" s="44"/>
      <c r="H203" s="44"/>
      <c r="I203" s="44"/>
      <c r="J203" s="8"/>
      <c r="K203" s="8"/>
    </row>
    <row r="204" spans="1:11" x14ac:dyDescent="0.25">
      <c r="A204" s="44"/>
      <c r="B204" s="44"/>
      <c r="C204" s="44"/>
      <c r="D204" s="44"/>
      <c r="E204" s="44"/>
      <c r="F204" s="44"/>
      <c r="G204" s="44"/>
      <c r="H204" s="44"/>
      <c r="I204" s="44"/>
      <c r="J204" s="8"/>
      <c r="K204" s="8"/>
    </row>
    <row r="205" spans="1:11" x14ac:dyDescent="0.25">
      <c r="A205" s="44"/>
      <c r="B205" s="44"/>
      <c r="C205" s="44"/>
      <c r="D205" s="44"/>
      <c r="E205" s="44"/>
      <c r="F205" s="44"/>
      <c r="G205" s="44"/>
      <c r="H205" s="44"/>
      <c r="I205" s="44"/>
      <c r="J205" s="8"/>
      <c r="K205" s="8"/>
    </row>
    <row r="206" spans="1:11" x14ac:dyDescent="0.25">
      <c r="A206" s="44"/>
      <c r="B206" s="44"/>
      <c r="C206" s="44"/>
      <c r="D206" s="44"/>
      <c r="E206" s="44"/>
      <c r="F206" s="44"/>
      <c r="G206" s="44"/>
      <c r="H206" s="44"/>
      <c r="I206" s="44"/>
      <c r="J206" s="8"/>
      <c r="K206" s="8"/>
    </row>
    <row r="207" spans="1:11" x14ac:dyDescent="0.25">
      <c r="A207" s="44"/>
      <c r="B207" s="44"/>
      <c r="C207" s="44"/>
      <c r="D207" s="44"/>
      <c r="E207" s="44"/>
      <c r="F207" s="44"/>
      <c r="G207" s="44"/>
      <c r="H207" s="44"/>
      <c r="I207" s="44"/>
      <c r="J207" s="8"/>
      <c r="K207" s="8"/>
    </row>
    <row r="208" spans="1:11" x14ac:dyDescent="0.25">
      <c r="A208" s="44"/>
      <c r="B208" s="44"/>
      <c r="C208" s="44"/>
      <c r="D208" s="44"/>
      <c r="E208" s="44"/>
      <c r="F208" s="44"/>
      <c r="G208" s="44"/>
      <c r="H208" s="44"/>
      <c r="I208" s="44"/>
      <c r="J208" s="8"/>
      <c r="K208" s="8"/>
    </row>
    <row r="209" spans="1:11" x14ac:dyDescent="0.25">
      <c r="A209" s="44"/>
      <c r="B209" s="44"/>
      <c r="C209" s="44"/>
      <c r="D209" s="44"/>
      <c r="E209" s="44"/>
      <c r="F209" s="44"/>
      <c r="G209" s="44"/>
      <c r="H209" s="44"/>
      <c r="I209" s="44"/>
      <c r="J209" s="8"/>
      <c r="K209" s="8"/>
    </row>
    <row r="210" spans="1:11" x14ac:dyDescent="0.25">
      <c r="A210" s="44"/>
      <c r="B210" s="44"/>
      <c r="C210" s="44"/>
      <c r="D210" s="44"/>
      <c r="E210" s="44"/>
      <c r="F210" s="44"/>
      <c r="G210" s="44"/>
      <c r="H210" s="44"/>
      <c r="I210" s="44"/>
      <c r="J210" s="8"/>
      <c r="K210" s="8"/>
    </row>
    <row r="211" spans="1:11" x14ac:dyDescent="0.25">
      <c r="A211" s="44"/>
      <c r="B211" s="44"/>
      <c r="C211" s="44"/>
      <c r="D211" s="44"/>
      <c r="E211" s="44"/>
      <c r="F211" s="44"/>
      <c r="G211" s="44"/>
      <c r="H211" s="44"/>
      <c r="I211" s="44"/>
      <c r="J211" s="8"/>
      <c r="K211" s="8"/>
    </row>
    <row r="212" spans="1:11" x14ac:dyDescent="0.25">
      <c r="A212" s="44"/>
      <c r="B212" s="44"/>
      <c r="C212" s="44"/>
      <c r="D212" s="44"/>
      <c r="E212" s="44"/>
      <c r="F212" s="44"/>
      <c r="G212" s="44"/>
      <c r="H212" s="44"/>
      <c r="I212" s="44"/>
      <c r="J212" s="8"/>
      <c r="K212" s="8"/>
    </row>
    <row r="213" spans="1:11" x14ac:dyDescent="0.25">
      <c r="A213" s="44"/>
      <c r="B213" s="44"/>
      <c r="C213" s="44"/>
      <c r="D213" s="44"/>
      <c r="E213" s="44"/>
      <c r="F213" s="44"/>
      <c r="G213" s="44"/>
      <c r="H213" s="44"/>
      <c r="I213" s="44"/>
      <c r="J213" s="8"/>
      <c r="K213" s="8"/>
    </row>
    <row r="214" spans="1:11" x14ac:dyDescent="0.25">
      <c r="A214" s="44"/>
      <c r="B214" s="44"/>
      <c r="C214" s="44"/>
      <c r="D214" s="44"/>
      <c r="E214" s="44"/>
      <c r="F214" s="44"/>
      <c r="G214" s="44"/>
      <c r="H214" s="44"/>
      <c r="I214" s="44"/>
      <c r="J214" s="8"/>
      <c r="K214" s="8"/>
    </row>
    <row r="215" spans="1:11" x14ac:dyDescent="0.25">
      <c r="A215" s="44"/>
      <c r="B215" s="44"/>
      <c r="C215" s="44"/>
      <c r="D215" s="44"/>
      <c r="E215" s="44"/>
      <c r="F215" s="44"/>
      <c r="G215" s="44"/>
      <c r="H215" s="44"/>
      <c r="I215" s="44"/>
      <c r="J215" s="8"/>
      <c r="K215" s="8"/>
    </row>
    <row r="216" spans="1:11" x14ac:dyDescent="0.25">
      <c r="A216" s="44"/>
      <c r="B216" s="44"/>
      <c r="C216" s="44"/>
      <c r="D216" s="44"/>
      <c r="E216" s="44"/>
      <c r="F216" s="44"/>
      <c r="G216" s="44"/>
      <c r="H216" s="44"/>
      <c r="I216" s="44"/>
      <c r="J216" s="8"/>
      <c r="K216" s="8"/>
    </row>
    <row r="217" spans="1:11" x14ac:dyDescent="0.25">
      <c r="A217" s="44"/>
      <c r="B217" s="44"/>
      <c r="C217" s="44"/>
      <c r="D217" s="44"/>
      <c r="E217" s="44"/>
      <c r="F217" s="44"/>
      <c r="G217" s="44"/>
      <c r="H217" s="44"/>
      <c r="I217" s="44"/>
      <c r="J217" s="8"/>
      <c r="K217" s="8"/>
    </row>
    <row r="218" spans="1:11" x14ac:dyDescent="0.25">
      <c r="A218" s="44"/>
      <c r="B218" s="44"/>
      <c r="C218" s="44"/>
      <c r="D218" s="44"/>
      <c r="E218" s="44"/>
      <c r="F218" s="44"/>
      <c r="G218" s="44"/>
      <c r="H218" s="44"/>
      <c r="I218" s="44"/>
      <c r="J218" s="8"/>
      <c r="K218" s="8"/>
    </row>
    <row r="219" spans="1:11" x14ac:dyDescent="0.25">
      <c r="A219" s="44"/>
      <c r="B219" s="44"/>
      <c r="C219" s="44"/>
      <c r="D219" s="44"/>
      <c r="E219" s="44"/>
      <c r="F219" s="44"/>
      <c r="G219" s="44"/>
      <c r="H219" s="44"/>
      <c r="I219" s="44"/>
      <c r="J219" s="8"/>
      <c r="K219" s="8"/>
    </row>
    <row r="220" spans="1:11" x14ac:dyDescent="0.25">
      <c r="A220" s="44"/>
      <c r="B220" s="44"/>
      <c r="C220" s="44"/>
      <c r="D220" s="44"/>
      <c r="E220" s="44"/>
      <c r="F220" s="44"/>
      <c r="G220" s="44"/>
      <c r="H220" s="44"/>
      <c r="I220" s="44"/>
      <c r="J220" s="8"/>
      <c r="K220" s="8"/>
    </row>
    <row r="221" spans="1:11" x14ac:dyDescent="0.25">
      <c r="A221" s="44"/>
      <c r="B221" s="44"/>
      <c r="C221" s="44"/>
      <c r="D221" s="44"/>
      <c r="E221" s="44"/>
      <c r="F221" s="44"/>
      <c r="G221" s="44"/>
      <c r="H221" s="44"/>
      <c r="I221" s="44"/>
      <c r="J221" s="8"/>
      <c r="K221" s="8"/>
    </row>
    <row r="222" spans="1:11" x14ac:dyDescent="0.25">
      <c r="A222" s="44"/>
      <c r="B222" s="44"/>
      <c r="C222" s="44"/>
      <c r="D222" s="44"/>
      <c r="E222" s="44"/>
      <c r="F222" s="44"/>
      <c r="G222" s="44"/>
      <c r="H222" s="44"/>
      <c r="I222" s="44"/>
      <c r="J222" s="8"/>
      <c r="K222" s="8"/>
    </row>
    <row r="223" spans="1:11" x14ac:dyDescent="0.25">
      <c r="A223" s="44"/>
      <c r="B223" s="44"/>
      <c r="C223" s="44"/>
      <c r="D223" s="44"/>
      <c r="E223" s="44"/>
      <c r="F223" s="44"/>
      <c r="G223" s="44"/>
      <c r="H223" s="44"/>
      <c r="I223" s="44"/>
      <c r="J223" s="8"/>
      <c r="K223" s="8"/>
    </row>
    <row r="224" spans="1:11" x14ac:dyDescent="0.25">
      <c r="A224" s="44"/>
      <c r="B224" s="44"/>
      <c r="C224" s="44"/>
      <c r="D224" s="44"/>
      <c r="E224" s="44"/>
      <c r="F224" s="44"/>
      <c r="G224" s="44"/>
      <c r="H224" s="44"/>
      <c r="I224" s="44"/>
      <c r="J224" s="8"/>
      <c r="K224" s="8"/>
    </row>
    <row r="225" spans="1:11" x14ac:dyDescent="0.25">
      <c r="A225" s="44"/>
      <c r="B225" s="44"/>
      <c r="C225" s="44"/>
      <c r="D225" s="44"/>
      <c r="E225" s="44"/>
      <c r="F225" s="44"/>
      <c r="G225" s="44"/>
      <c r="H225" s="44"/>
      <c r="I225" s="44"/>
      <c r="J225" s="8"/>
      <c r="K225" s="8"/>
    </row>
    <row r="226" spans="1:11" x14ac:dyDescent="0.25">
      <c r="A226" s="44"/>
      <c r="B226" s="44"/>
      <c r="C226" s="44"/>
      <c r="D226" s="44"/>
      <c r="E226" s="44"/>
      <c r="F226" s="44"/>
      <c r="G226" s="44"/>
      <c r="H226" s="44"/>
      <c r="I226" s="44"/>
      <c r="J226" s="8"/>
      <c r="K226" s="8"/>
    </row>
    <row r="227" spans="1:11" x14ac:dyDescent="0.25">
      <c r="A227" s="44"/>
      <c r="B227" s="44"/>
      <c r="C227" s="44"/>
      <c r="D227" s="44"/>
      <c r="E227" s="44"/>
      <c r="F227" s="44"/>
      <c r="G227" s="44"/>
      <c r="H227" s="44"/>
      <c r="I227" s="44"/>
      <c r="J227" s="8"/>
      <c r="K227" s="8"/>
    </row>
    <row r="228" spans="1:11" x14ac:dyDescent="0.25">
      <c r="A228" s="44"/>
      <c r="B228" s="44"/>
      <c r="C228" s="44"/>
      <c r="D228" s="44"/>
      <c r="E228" s="44"/>
      <c r="F228" s="44"/>
      <c r="G228" s="44"/>
      <c r="H228" s="44"/>
      <c r="I228" s="44"/>
      <c r="J228" s="8"/>
      <c r="K228" s="8"/>
    </row>
    <row r="229" spans="1:11" x14ac:dyDescent="0.25">
      <c r="A229" s="44"/>
      <c r="B229" s="44"/>
      <c r="C229" s="44"/>
      <c r="D229" s="44"/>
      <c r="E229" s="44"/>
      <c r="F229" s="44"/>
      <c r="G229" s="44"/>
      <c r="H229" s="44"/>
      <c r="I229" s="44"/>
      <c r="J229" s="8"/>
      <c r="K229" s="8"/>
    </row>
    <row r="230" spans="1:11" x14ac:dyDescent="0.25">
      <c r="A230" s="44"/>
      <c r="B230" s="44"/>
      <c r="C230" s="44"/>
      <c r="D230" s="44"/>
      <c r="E230" s="44"/>
      <c r="F230" s="44"/>
      <c r="G230" s="44"/>
      <c r="H230" s="44"/>
      <c r="I230" s="44"/>
      <c r="J230" s="8"/>
      <c r="K230" s="8"/>
    </row>
    <row r="231" spans="1:11" x14ac:dyDescent="0.25">
      <c r="A231" s="44"/>
      <c r="B231" s="44"/>
      <c r="C231" s="44"/>
      <c r="D231" s="44"/>
      <c r="E231" s="44"/>
      <c r="F231" s="44"/>
      <c r="G231" s="44"/>
      <c r="H231" s="44"/>
      <c r="I231" s="44"/>
      <c r="J231" s="8"/>
      <c r="K231" s="8"/>
    </row>
    <row r="232" spans="1:11" x14ac:dyDescent="0.25">
      <c r="A232" s="44"/>
      <c r="B232" s="44"/>
      <c r="C232" s="44"/>
      <c r="D232" s="44"/>
      <c r="E232" s="44"/>
      <c r="F232" s="44"/>
      <c r="G232" s="44"/>
      <c r="H232" s="44"/>
      <c r="I232" s="44"/>
      <c r="J232" s="8"/>
      <c r="K232" s="8"/>
    </row>
    <row r="233" spans="1:11" x14ac:dyDescent="0.25">
      <c r="A233" s="44"/>
      <c r="B233" s="44"/>
      <c r="C233" s="44"/>
      <c r="D233" s="44"/>
      <c r="E233" s="44"/>
      <c r="F233" s="44"/>
      <c r="G233" s="44"/>
      <c r="H233" s="44"/>
      <c r="I233" s="44"/>
      <c r="J233" s="8"/>
      <c r="K233" s="8"/>
    </row>
    <row r="234" spans="1:11" x14ac:dyDescent="0.25">
      <c r="A234" s="44"/>
      <c r="B234" s="44"/>
      <c r="C234" s="44"/>
      <c r="D234" s="44"/>
      <c r="E234" s="44"/>
      <c r="F234" s="44"/>
      <c r="G234" s="44"/>
      <c r="H234" s="44"/>
      <c r="I234" s="44"/>
      <c r="J234" s="8"/>
      <c r="K234" s="8"/>
    </row>
    <row r="235" spans="1:11" x14ac:dyDescent="0.25">
      <c r="A235" s="44"/>
      <c r="B235" s="44"/>
      <c r="C235" s="44"/>
      <c r="D235" s="44"/>
      <c r="E235" s="44"/>
      <c r="F235" s="44"/>
      <c r="G235" s="44"/>
      <c r="H235" s="44"/>
      <c r="I235" s="44"/>
      <c r="J235" s="8"/>
      <c r="K235" s="8"/>
    </row>
    <row r="236" spans="1:11" x14ac:dyDescent="0.25">
      <c r="A236" s="44"/>
      <c r="B236" s="44"/>
      <c r="C236" s="44"/>
      <c r="D236" s="44"/>
      <c r="E236" s="44"/>
      <c r="F236" s="44"/>
      <c r="G236" s="44"/>
      <c r="H236" s="44"/>
      <c r="I236" s="44"/>
      <c r="J236" s="8"/>
      <c r="K236" s="8"/>
    </row>
    <row r="237" spans="1:11" x14ac:dyDescent="0.25">
      <c r="A237" s="44"/>
      <c r="B237" s="44"/>
      <c r="C237" s="44"/>
      <c r="D237" s="44"/>
      <c r="E237" s="44"/>
      <c r="F237" s="44"/>
      <c r="G237" s="44"/>
      <c r="H237" s="44"/>
      <c r="I237" s="44"/>
      <c r="J237" s="8"/>
      <c r="K237" s="8"/>
    </row>
    <row r="238" spans="1:11" x14ac:dyDescent="0.25">
      <c r="A238" s="44"/>
      <c r="B238" s="44"/>
      <c r="C238" s="44"/>
      <c r="D238" s="44"/>
      <c r="E238" s="44"/>
      <c r="F238" s="44"/>
      <c r="G238" s="44"/>
      <c r="H238" s="44"/>
      <c r="I238" s="44"/>
      <c r="J238" s="8"/>
      <c r="K238" s="8"/>
    </row>
    <row r="239" spans="1:11" x14ac:dyDescent="0.25">
      <c r="A239" s="44"/>
      <c r="B239" s="44"/>
      <c r="C239" s="44"/>
      <c r="D239" s="44"/>
      <c r="E239" s="44"/>
      <c r="F239" s="44"/>
      <c r="G239" s="44"/>
      <c r="H239" s="44"/>
      <c r="I239" s="44"/>
      <c r="J239" s="8"/>
      <c r="K239" s="8"/>
    </row>
    <row r="240" spans="1:11" x14ac:dyDescent="0.25">
      <c r="A240" s="44"/>
      <c r="B240" s="44"/>
      <c r="C240" s="44"/>
      <c r="D240" s="44"/>
      <c r="E240" s="44"/>
      <c r="F240" s="44"/>
      <c r="G240" s="44"/>
      <c r="H240" s="44"/>
      <c r="I240" s="44"/>
      <c r="J240" s="8"/>
      <c r="K240" s="8"/>
    </row>
    <row r="241" spans="1:11" x14ac:dyDescent="0.25">
      <c r="A241" s="44"/>
      <c r="B241" s="44"/>
      <c r="C241" s="44"/>
      <c r="D241" s="44"/>
      <c r="E241" s="44"/>
      <c r="F241" s="44"/>
      <c r="G241" s="44"/>
      <c r="H241" s="44"/>
      <c r="I241" s="44"/>
      <c r="J241" s="8"/>
      <c r="K241" s="8"/>
    </row>
    <row r="242" spans="1:11" x14ac:dyDescent="0.25">
      <c r="A242" s="44"/>
      <c r="B242" s="44"/>
      <c r="C242" s="44"/>
      <c r="D242" s="44"/>
      <c r="E242" s="44"/>
      <c r="F242" s="44"/>
      <c r="G242" s="44"/>
      <c r="H242" s="44"/>
      <c r="I242" s="44"/>
      <c r="J242" s="8"/>
      <c r="K242" s="8"/>
    </row>
    <row r="243" spans="1:11" x14ac:dyDescent="0.25">
      <c r="A243" s="44"/>
      <c r="B243" s="44"/>
      <c r="C243" s="44"/>
      <c r="D243" s="44"/>
      <c r="E243" s="44"/>
      <c r="F243" s="44"/>
      <c r="G243" s="44"/>
      <c r="H243" s="44"/>
      <c r="I243" s="44"/>
      <c r="J243" s="8"/>
      <c r="K243" s="8"/>
    </row>
    <row r="244" spans="1:11" x14ac:dyDescent="0.25">
      <c r="A244" s="44"/>
      <c r="B244" s="44"/>
      <c r="C244" s="44"/>
      <c r="D244" s="44"/>
      <c r="E244" s="44"/>
      <c r="F244" s="44"/>
      <c r="G244" s="44"/>
      <c r="H244" s="44"/>
      <c r="I244" s="44"/>
      <c r="J244" s="8"/>
      <c r="K244" s="8"/>
    </row>
    <row r="245" spans="1:11" x14ac:dyDescent="0.25">
      <c r="A245" s="44"/>
      <c r="B245" s="44"/>
      <c r="C245" s="44"/>
      <c r="D245" s="44"/>
      <c r="E245" s="44"/>
      <c r="F245" s="44"/>
      <c r="G245" s="44"/>
      <c r="H245" s="44"/>
      <c r="I245" s="44"/>
      <c r="J245" s="8"/>
      <c r="K245" s="8"/>
    </row>
    <row r="246" spans="1:11" x14ac:dyDescent="0.25">
      <c r="A246" s="44"/>
      <c r="B246" s="44"/>
      <c r="C246" s="44"/>
      <c r="D246" s="44"/>
      <c r="E246" s="44"/>
      <c r="F246" s="44"/>
      <c r="G246" s="44"/>
      <c r="H246" s="44"/>
      <c r="I246" s="44"/>
      <c r="J246" s="8"/>
      <c r="K246" s="8"/>
    </row>
    <row r="247" spans="1:11" x14ac:dyDescent="0.25">
      <c r="A247" s="44"/>
      <c r="B247" s="44"/>
      <c r="C247" s="44"/>
      <c r="D247" s="44"/>
      <c r="E247" s="44"/>
      <c r="F247" s="44"/>
      <c r="G247" s="44"/>
      <c r="H247" s="44"/>
      <c r="I247" s="44"/>
      <c r="J247" s="8"/>
      <c r="K247" s="8"/>
    </row>
    <row r="248" spans="1:11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8"/>
      <c r="K248" s="8"/>
    </row>
    <row r="249" spans="1:11" x14ac:dyDescent="0.25">
      <c r="A249" s="44"/>
      <c r="B249" s="44"/>
      <c r="C249" s="44"/>
      <c r="D249" s="44"/>
      <c r="E249" s="44"/>
      <c r="F249" s="44"/>
      <c r="G249" s="44"/>
      <c r="H249" s="44"/>
      <c r="I249" s="44"/>
      <c r="J249" s="8"/>
      <c r="K249" s="8"/>
    </row>
    <row r="250" spans="1:11" x14ac:dyDescent="0.25">
      <c r="A250" s="44"/>
      <c r="B250" s="44"/>
      <c r="C250" s="44"/>
      <c r="D250" s="44"/>
      <c r="E250" s="44"/>
      <c r="F250" s="44"/>
      <c r="G250" s="44"/>
      <c r="H250" s="44"/>
      <c r="I250" s="44"/>
      <c r="J250" s="8"/>
      <c r="K250" s="8"/>
    </row>
    <row r="251" spans="1:11" x14ac:dyDescent="0.25">
      <c r="A251" s="44"/>
      <c r="B251" s="44"/>
      <c r="C251" s="44"/>
      <c r="D251" s="44"/>
      <c r="E251" s="44"/>
      <c r="F251" s="44"/>
      <c r="G251" s="44"/>
      <c r="H251" s="44"/>
      <c r="I251" s="44"/>
      <c r="J251" s="8"/>
      <c r="K251" s="8"/>
    </row>
    <row r="252" spans="1:11" x14ac:dyDescent="0.25">
      <c r="A252" s="44"/>
      <c r="B252" s="44"/>
      <c r="C252" s="44"/>
      <c r="D252" s="44"/>
      <c r="E252" s="44"/>
      <c r="F252" s="44"/>
      <c r="G252" s="44"/>
      <c r="H252" s="44"/>
      <c r="I252" s="44"/>
      <c r="J252" s="8"/>
      <c r="K252" s="8"/>
    </row>
    <row r="253" spans="1:11" x14ac:dyDescent="0.25">
      <c r="A253" s="44"/>
      <c r="B253" s="44"/>
      <c r="C253" s="44"/>
      <c r="D253" s="44"/>
      <c r="E253" s="44"/>
      <c r="F253" s="44"/>
      <c r="G253" s="44"/>
      <c r="H253" s="44"/>
      <c r="I253" s="44"/>
      <c r="J253" s="8"/>
      <c r="K253" s="8"/>
    </row>
    <row r="254" spans="1:11" x14ac:dyDescent="0.25">
      <c r="A254" s="44"/>
      <c r="B254" s="44"/>
      <c r="C254" s="44"/>
      <c r="D254" s="44"/>
      <c r="E254" s="44"/>
      <c r="F254" s="44"/>
      <c r="G254" s="44"/>
      <c r="H254" s="44"/>
      <c r="I254" s="44"/>
      <c r="J254" s="8"/>
      <c r="K254" s="8"/>
    </row>
    <row r="255" spans="1:11" x14ac:dyDescent="0.25">
      <c r="A255" s="44"/>
      <c r="B255" s="44"/>
      <c r="C255" s="44"/>
      <c r="D255" s="44"/>
      <c r="E255" s="44"/>
      <c r="F255" s="44"/>
      <c r="G255" s="44"/>
      <c r="H255" s="44"/>
      <c r="I255" s="44"/>
      <c r="J255" s="8"/>
      <c r="K255" s="8"/>
    </row>
    <row r="256" spans="1:11" x14ac:dyDescent="0.25">
      <c r="A256" s="44"/>
      <c r="B256" s="44"/>
      <c r="C256" s="44"/>
      <c r="D256" s="44"/>
      <c r="E256" s="44"/>
      <c r="F256" s="44"/>
      <c r="G256" s="44"/>
      <c r="H256" s="44"/>
      <c r="I256" s="44"/>
      <c r="J256" s="8"/>
      <c r="K256" s="8"/>
    </row>
    <row r="257" spans="1:11" x14ac:dyDescent="0.25">
      <c r="A257" s="44"/>
      <c r="B257" s="44"/>
      <c r="C257" s="44"/>
      <c r="D257" s="44"/>
      <c r="E257" s="44"/>
      <c r="F257" s="44"/>
      <c r="G257" s="44"/>
      <c r="H257" s="44"/>
      <c r="I257" s="44"/>
      <c r="J257" s="8"/>
      <c r="K257" s="8"/>
    </row>
    <row r="258" spans="1:11" x14ac:dyDescent="0.25">
      <c r="A258" s="44"/>
      <c r="B258" s="44"/>
      <c r="C258" s="44"/>
      <c r="D258" s="44"/>
      <c r="E258" s="44"/>
      <c r="F258" s="44"/>
      <c r="G258" s="44"/>
      <c r="H258" s="44"/>
      <c r="I258" s="44"/>
      <c r="J258" s="8"/>
      <c r="K258" s="8"/>
    </row>
    <row r="259" spans="1:11" x14ac:dyDescent="0.25">
      <c r="A259" s="44"/>
      <c r="B259" s="44"/>
      <c r="C259" s="44"/>
      <c r="D259" s="44"/>
      <c r="E259" s="44"/>
      <c r="F259" s="44"/>
      <c r="G259" s="44"/>
      <c r="H259" s="44"/>
      <c r="I259" s="44"/>
      <c r="J259" s="8"/>
      <c r="K259" s="8"/>
    </row>
    <row r="260" spans="1:11" x14ac:dyDescent="0.25">
      <c r="A260" s="44"/>
      <c r="B260" s="44"/>
      <c r="C260" s="44"/>
      <c r="D260" s="44"/>
      <c r="E260" s="44"/>
      <c r="F260" s="44"/>
      <c r="G260" s="44"/>
      <c r="H260" s="44"/>
      <c r="I260" s="44"/>
      <c r="J260" s="8"/>
      <c r="K260" s="8"/>
    </row>
    <row r="261" spans="1:11" x14ac:dyDescent="0.25">
      <c r="A261" s="44"/>
      <c r="B261" s="44"/>
      <c r="C261" s="44"/>
      <c r="D261" s="44"/>
      <c r="E261" s="44"/>
      <c r="F261" s="44"/>
      <c r="G261" s="44"/>
      <c r="H261" s="44"/>
      <c r="I261" s="44"/>
      <c r="J261" s="8"/>
      <c r="K261" s="8"/>
    </row>
    <row r="262" spans="1:11" x14ac:dyDescent="0.25">
      <c r="A262" s="44"/>
      <c r="B262" s="44"/>
      <c r="C262" s="44"/>
      <c r="D262" s="44"/>
      <c r="E262" s="44"/>
      <c r="F262" s="44"/>
      <c r="G262" s="44"/>
      <c r="H262" s="44"/>
      <c r="I262" s="44"/>
      <c r="J262" s="8"/>
      <c r="K262" s="8"/>
    </row>
    <row r="263" spans="1:11" x14ac:dyDescent="0.25">
      <c r="A263" s="44"/>
      <c r="B263" s="44"/>
      <c r="C263" s="44"/>
      <c r="D263" s="44"/>
      <c r="E263" s="44"/>
      <c r="F263" s="44"/>
      <c r="G263" s="44"/>
      <c r="H263" s="44"/>
      <c r="I263" s="44"/>
      <c r="J263" s="8"/>
      <c r="K263" s="8"/>
    </row>
    <row r="264" spans="1:11" x14ac:dyDescent="0.25">
      <c r="A264" s="44"/>
      <c r="B264" s="44"/>
      <c r="C264" s="44"/>
      <c r="D264" s="44"/>
      <c r="E264" s="44"/>
      <c r="F264" s="44"/>
      <c r="G264" s="44"/>
      <c r="H264" s="44"/>
      <c r="I264" s="44"/>
      <c r="J264" s="8"/>
      <c r="K264" s="8"/>
    </row>
    <row r="265" spans="1:11" x14ac:dyDescent="0.25">
      <c r="A265" s="44"/>
      <c r="B265" s="44"/>
      <c r="C265" s="44"/>
      <c r="D265" s="44"/>
      <c r="E265" s="44"/>
      <c r="F265" s="44"/>
      <c r="G265" s="44"/>
      <c r="H265" s="44"/>
      <c r="I265" s="44"/>
      <c r="J265" s="8"/>
      <c r="K265" s="8"/>
    </row>
    <row r="266" spans="1:11" x14ac:dyDescent="0.25">
      <c r="A266" s="44"/>
      <c r="B266" s="44"/>
      <c r="C266" s="44"/>
      <c r="D266" s="44"/>
      <c r="E266" s="44"/>
      <c r="F266" s="44"/>
      <c r="G266" s="44"/>
      <c r="H266" s="44"/>
      <c r="I266" s="44"/>
      <c r="J266" s="8"/>
      <c r="K266" s="8"/>
    </row>
    <row r="267" spans="1:11" x14ac:dyDescent="0.25">
      <c r="A267" s="44"/>
      <c r="B267" s="44"/>
      <c r="C267" s="44"/>
      <c r="D267" s="44"/>
      <c r="E267" s="44"/>
      <c r="F267" s="44"/>
      <c r="G267" s="44"/>
      <c r="H267" s="44"/>
      <c r="I267" s="44"/>
      <c r="J267" s="8"/>
      <c r="K267" s="8"/>
    </row>
    <row r="268" spans="1:11" x14ac:dyDescent="0.25">
      <c r="A268" s="44"/>
      <c r="B268" s="44"/>
      <c r="C268" s="44"/>
      <c r="D268" s="44"/>
      <c r="E268" s="44"/>
      <c r="F268" s="44"/>
      <c r="G268" s="44"/>
      <c r="H268" s="44"/>
      <c r="I268" s="44"/>
      <c r="J268" s="8"/>
      <c r="K268" s="8"/>
    </row>
    <row r="269" spans="1:11" x14ac:dyDescent="0.25">
      <c r="A269" s="44"/>
      <c r="B269" s="44"/>
      <c r="C269" s="44"/>
      <c r="D269" s="44"/>
      <c r="E269" s="44"/>
      <c r="F269" s="44"/>
      <c r="G269" s="44"/>
      <c r="H269" s="44"/>
      <c r="I269" s="44"/>
      <c r="J269" s="8"/>
      <c r="K269" s="8"/>
    </row>
    <row r="270" spans="1:11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8"/>
      <c r="K270" s="8"/>
    </row>
    <row r="271" spans="1:11" x14ac:dyDescent="0.25">
      <c r="A271" s="44"/>
      <c r="B271" s="44"/>
      <c r="C271" s="44"/>
      <c r="D271" s="44"/>
      <c r="E271" s="44"/>
      <c r="F271" s="44"/>
      <c r="G271" s="44"/>
      <c r="H271" s="44"/>
      <c r="I271" s="44"/>
      <c r="J271" s="8"/>
      <c r="K271" s="8"/>
    </row>
    <row r="272" spans="1:11" x14ac:dyDescent="0.25">
      <c r="A272" s="44"/>
      <c r="B272" s="44"/>
      <c r="C272" s="44"/>
      <c r="D272" s="44"/>
      <c r="E272" s="44"/>
      <c r="F272" s="44"/>
      <c r="G272" s="44"/>
      <c r="H272" s="44"/>
      <c r="I272" s="44"/>
      <c r="J272" s="8"/>
      <c r="K272" s="8"/>
    </row>
    <row r="273" spans="1:11" x14ac:dyDescent="0.25">
      <c r="A273" s="44"/>
      <c r="B273" s="44"/>
      <c r="C273" s="44"/>
      <c r="D273" s="44"/>
      <c r="E273" s="44"/>
      <c r="F273" s="44"/>
      <c r="G273" s="44"/>
      <c r="H273" s="44"/>
      <c r="I273" s="44"/>
      <c r="J273" s="8"/>
      <c r="K273" s="8"/>
    </row>
    <row r="274" spans="1:11" x14ac:dyDescent="0.25">
      <c r="A274" s="44"/>
      <c r="B274" s="44"/>
      <c r="C274" s="44"/>
      <c r="D274" s="44"/>
      <c r="E274" s="44"/>
      <c r="F274" s="44"/>
      <c r="G274" s="44"/>
      <c r="H274" s="44"/>
      <c r="I274" s="44"/>
      <c r="J274" s="8"/>
      <c r="K274" s="8"/>
    </row>
    <row r="275" spans="1:11" x14ac:dyDescent="0.25">
      <c r="A275" s="44"/>
      <c r="B275" s="44"/>
      <c r="C275" s="44"/>
      <c r="D275" s="44"/>
      <c r="E275" s="44"/>
      <c r="F275" s="44"/>
      <c r="G275" s="44"/>
      <c r="H275" s="44"/>
      <c r="I275" s="44"/>
      <c r="J275" s="8"/>
      <c r="K275" s="8"/>
    </row>
    <row r="276" spans="1:11" x14ac:dyDescent="0.25">
      <c r="A276" s="44"/>
      <c r="B276" s="44"/>
      <c r="C276" s="44"/>
      <c r="D276" s="44"/>
      <c r="E276" s="44"/>
      <c r="F276" s="44"/>
      <c r="G276" s="44"/>
      <c r="H276" s="44"/>
      <c r="I276" s="44"/>
      <c r="J276" s="8"/>
      <c r="K276" s="8"/>
    </row>
    <row r="277" spans="1:11" x14ac:dyDescent="0.25">
      <c r="A277" s="44"/>
      <c r="B277" s="44"/>
      <c r="C277" s="44"/>
      <c r="D277" s="44"/>
      <c r="E277" s="44"/>
      <c r="F277" s="44"/>
      <c r="G277" s="44"/>
      <c r="H277" s="44"/>
      <c r="I277" s="44"/>
      <c r="J277" s="8"/>
      <c r="K277" s="8"/>
    </row>
    <row r="278" spans="1:11" x14ac:dyDescent="0.25">
      <c r="A278" s="44"/>
      <c r="B278" s="44"/>
      <c r="C278" s="44"/>
      <c r="D278" s="44"/>
      <c r="E278" s="44"/>
      <c r="F278" s="44"/>
      <c r="G278" s="44"/>
      <c r="H278" s="44"/>
      <c r="I278" s="44"/>
      <c r="J278" s="8"/>
      <c r="K278" s="8"/>
    </row>
    <row r="279" spans="1:11" x14ac:dyDescent="0.25">
      <c r="A279" s="44"/>
      <c r="B279" s="44"/>
      <c r="C279" s="44"/>
      <c r="D279" s="44"/>
      <c r="E279" s="44"/>
      <c r="F279" s="44"/>
      <c r="G279" s="44"/>
      <c r="H279" s="44"/>
      <c r="I279" s="44"/>
      <c r="J279" s="8"/>
      <c r="K279" s="8"/>
    </row>
    <row r="280" spans="1:11" x14ac:dyDescent="0.25">
      <c r="A280" s="44"/>
      <c r="B280" s="44"/>
      <c r="C280" s="44"/>
      <c r="D280" s="44"/>
      <c r="E280" s="44"/>
      <c r="F280" s="44"/>
      <c r="G280" s="44"/>
      <c r="H280" s="44"/>
      <c r="I280" s="44"/>
      <c r="J280" s="8"/>
      <c r="K280" s="8"/>
    </row>
    <row r="281" spans="1:11" x14ac:dyDescent="0.25">
      <c r="A281" s="44"/>
      <c r="B281" s="44"/>
      <c r="C281" s="44"/>
      <c r="D281" s="44"/>
      <c r="E281" s="44"/>
      <c r="F281" s="44"/>
      <c r="G281" s="44"/>
      <c r="H281" s="44"/>
      <c r="I281" s="44"/>
      <c r="J281" s="8"/>
      <c r="K281" s="8"/>
    </row>
    <row r="282" spans="1:11" x14ac:dyDescent="0.25">
      <c r="A282" s="44"/>
      <c r="B282" s="44"/>
      <c r="C282" s="44"/>
      <c r="D282" s="44"/>
      <c r="E282" s="44"/>
      <c r="F282" s="44"/>
      <c r="G282" s="44"/>
      <c r="H282" s="44"/>
      <c r="I282" s="44"/>
      <c r="J282" s="8"/>
      <c r="K282" s="8"/>
    </row>
    <row r="283" spans="1:11" x14ac:dyDescent="0.25">
      <c r="A283" s="44"/>
      <c r="B283" s="44"/>
      <c r="C283" s="44"/>
      <c r="D283" s="44"/>
      <c r="E283" s="44"/>
      <c r="F283" s="44"/>
      <c r="G283" s="44"/>
      <c r="H283" s="44"/>
      <c r="I283" s="44"/>
      <c r="J283" s="8"/>
      <c r="K283" s="8"/>
    </row>
    <row r="284" spans="1:11" x14ac:dyDescent="0.25">
      <c r="A284" s="44"/>
      <c r="B284" s="44"/>
      <c r="C284" s="44"/>
      <c r="D284" s="44"/>
      <c r="E284" s="44"/>
      <c r="F284" s="44"/>
      <c r="G284" s="44"/>
      <c r="H284" s="44"/>
      <c r="I284" s="44"/>
      <c r="J284" s="8"/>
      <c r="K284" s="8"/>
    </row>
    <row r="285" spans="1:11" x14ac:dyDescent="0.25">
      <c r="A285" s="44"/>
      <c r="B285" s="44"/>
      <c r="C285" s="44"/>
      <c r="D285" s="44"/>
      <c r="E285" s="44"/>
      <c r="F285" s="44"/>
      <c r="G285" s="44"/>
      <c r="H285" s="44"/>
      <c r="I285" s="44"/>
      <c r="J285" s="8"/>
      <c r="K285" s="8"/>
    </row>
    <row r="286" spans="1:11" x14ac:dyDescent="0.25">
      <c r="A286" s="44"/>
      <c r="B286" s="44"/>
      <c r="C286" s="44"/>
      <c r="D286" s="44"/>
      <c r="E286" s="44"/>
      <c r="F286" s="44"/>
      <c r="G286" s="44"/>
      <c r="H286" s="44"/>
      <c r="I286" s="44"/>
      <c r="J286" s="8"/>
      <c r="K286" s="8"/>
    </row>
    <row r="287" spans="1:11" x14ac:dyDescent="0.25">
      <c r="A287" s="44"/>
      <c r="B287" s="44"/>
      <c r="C287" s="44"/>
      <c r="D287" s="44"/>
      <c r="E287" s="44"/>
      <c r="F287" s="44"/>
      <c r="G287" s="44"/>
      <c r="H287" s="44"/>
      <c r="I287" s="44"/>
      <c r="J287" s="8"/>
      <c r="K287" s="8"/>
    </row>
    <row r="288" spans="1:11" x14ac:dyDescent="0.25">
      <c r="A288" s="44"/>
      <c r="B288" s="44"/>
      <c r="C288" s="44"/>
      <c r="D288" s="44"/>
      <c r="E288" s="44"/>
      <c r="F288" s="44"/>
      <c r="G288" s="44"/>
      <c r="H288" s="44"/>
      <c r="I288" s="44"/>
      <c r="J288" s="8"/>
      <c r="K288" s="8"/>
    </row>
    <row r="289" spans="1:11" x14ac:dyDescent="0.25">
      <c r="A289" s="44"/>
      <c r="B289" s="44"/>
      <c r="C289" s="44"/>
      <c r="D289" s="44"/>
      <c r="E289" s="44"/>
      <c r="F289" s="44"/>
      <c r="G289" s="44"/>
      <c r="H289" s="44"/>
      <c r="I289" s="44"/>
      <c r="J289" s="8"/>
      <c r="K289" s="8"/>
    </row>
    <row r="290" spans="1:11" x14ac:dyDescent="0.25">
      <c r="A290" s="44"/>
      <c r="B290" s="44"/>
      <c r="C290" s="44"/>
      <c r="D290" s="44"/>
      <c r="E290" s="44"/>
      <c r="F290" s="44"/>
      <c r="G290" s="44"/>
      <c r="H290" s="44"/>
      <c r="I290" s="44"/>
      <c r="J290" s="8"/>
      <c r="K290" s="8"/>
    </row>
    <row r="291" spans="1:11" x14ac:dyDescent="0.25">
      <c r="A291" s="44"/>
      <c r="B291" s="44"/>
      <c r="C291" s="44"/>
      <c r="D291" s="44"/>
      <c r="E291" s="44"/>
      <c r="F291" s="44"/>
      <c r="G291" s="44"/>
      <c r="H291" s="44"/>
      <c r="I291" s="44"/>
      <c r="J291" s="8"/>
      <c r="K291" s="8"/>
    </row>
    <row r="292" spans="1:11" x14ac:dyDescent="0.25">
      <c r="A292" s="44"/>
      <c r="B292" s="44"/>
      <c r="C292" s="44"/>
      <c r="D292" s="44"/>
      <c r="E292" s="44"/>
      <c r="F292" s="44"/>
      <c r="G292" s="44"/>
      <c r="H292" s="44"/>
      <c r="I292" s="44"/>
      <c r="J292" s="8"/>
      <c r="K292" s="8"/>
    </row>
    <row r="293" spans="1:11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8"/>
      <c r="K293" s="8"/>
    </row>
    <row r="294" spans="1:11" x14ac:dyDescent="0.25">
      <c r="A294" s="44"/>
      <c r="B294" s="44"/>
      <c r="C294" s="44"/>
      <c r="D294" s="44"/>
      <c r="E294" s="44"/>
      <c r="F294" s="44"/>
      <c r="G294" s="44"/>
      <c r="H294" s="44"/>
      <c r="I294" s="44"/>
      <c r="J294" s="8"/>
      <c r="K294" s="8"/>
    </row>
    <row r="295" spans="1:11" x14ac:dyDescent="0.25">
      <c r="A295" s="44"/>
      <c r="B295" s="44"/>
      <c r="C295" s="44"/>
      <c r="D295" s="44"/>
      <c r="E295" s="44"/>
      <c r="F295" s="44"/>
      <c r="G295" s="44"/>
      <c r="H295" s="44"/>
      <c r="I295" s="44"/>
      <c r="J295" s="8"/>
      <c r="K295" s="8"/>
    </row>
    <row r="296" spans="1:11" x14ac:dyDescent="0.25">
      <c r="A296" s="44"/>
      <c r="B296" s="44"/>
      <c r="C296" s="44"/>
      <c r="D296" s="44"/>
      <c r="E296" s="44"/>
      <c r="F296" s="44"/>
      <c r="G296" s="44"/>
      <c r="H296" s="44"/>
      <c r="I296" s="44"/>
      <c r="J296" s="8"/>
      <c r="K296" s="8"/>
    </row>
    <row r="297" spans="1:11" x14ac:dyDescent="0.25">
      <c r="A297" s="44"/>
      <c r="B297" s="44"/>
      <c r="C297" s="44"/>
      <c r="D297" s="44"/>
      <c r="E297" s="44"/>
      <c r="F297" s="44"/>
      <c r="G297" s="44"/>
      <c r="H297" s="44"/>
      <c r="I297" s="44"/>
      <c r="J297" s="8"/>
      <c r="K297" s="8"/>
    </row>
    <row r="298" spans="1:11" x14ac:dyDescent="0.25">
      <c r="A298" s="44"/>
      <c r="B298" s="44"/>
      <c r="C298" s="44"/>
      <c r="D298" s="44"/>
      <c r="E298" s="44"/>
      <c r="F298" s="44"/>
      <c r="G298" s="44"/>
      <c r="H298" s="44"/>
      <c r="I298" s="44"/>
      <c r="J298" s="8"/>
      <c r="K298" s="8"/>
    </row>
    <row r="299" spans="1:11" x14ac:dyDescent="0.25">
      <c r="A299" s="44"/>
      <c r="B299" s="44"/>
      <c r="C299" s="44"/>
      <c r="D299" s="44"/>
      <c r="E299" s="44"/>
      <c r="F299" s="44"/>
      <c r="G299" s="44"/>
      <c r="H299" s="44"/>
      <c r="I299" s="44"/>
      <c r="J299" s="8"/>
      <c r="K299" s="8"/>
    </row>
    <row r="300" spans="1:11" x14ac:dyDescent="0.25">
      <c r="A300" s="44"/>
      <c r="B300" s="44"/>
      <c r="C300" s="44"/>
      <c r="D300" s="44"/>
      <c r="E300" s="44"/>
      <c r="F300" s="44"/>
      <c r="G300" s="44"/>
      <c r="H300" s="44"/>
      <c r="I300" s="44"/>
      <c r="J300" s="8"/>
      <c r="K300" s="8"/>
    </row>
    <row r="301" spans="1:11" x14ac:dyDescent="0.25">
      <c r="A301" s="44"/>
      <c r="B301" s="44"/>
      <c r="C301" s="44"/>
      <c r="D301" s="44"/>
      <c r="E301" s="44"/>
      <c r="F301" s="44"/>
      <c r="G301" s="44"/>
      <c r="H301" s="44"/>
      <c r="I301" s="44"/>
      <c r="J301" s="8"/>
      <c r="K301" s="8"/>
    </row>
    <row r="302" spans="1:11" x14ac:dyDescent="0.25">
      <c r="A302" s="44"/>
      <c r="B302" s="44"/>
      <c r="C302" s="44"/>
      <c r="D302" s="44"/>
      <c r="E302" s="44"/>
      <c r="F302" s="44"/>
      <c r="G302" s="44"/>
      <c r="H302" s="44"/>
      <c r="I302" s="44"/>
      <c r="J302" s="8"/>
      <c r="K302" s="8"/>
    </row>
    <row r="303" spans="1:11" x14ac:dyDescent="0.25">
      <c r="A303" s="44"/>
      <c r="B303" s="44"/>
      <c r="C303" s="44"/>
      <c r="D303" s="44"/>
      <c r="E303" s="44"/>
      <c r="F303" s="44"/>
      <c r="G303" s="44"/>
      <c r="H303" s="44"/>
      <c r="I303" s="44"/>
      <c r="J303" s="8"/>
      <c r="K303" s="8"/>
    </row>
    <row r="304" spans="1:11" x14ac:dyDescent="0.25">
      <c r="A304" s="44"/>
      <c r="B304" s="44"/>
      <c r="C304" s="44"/>
      <c r="D304" s="44"/>
      <c r="E304" s="44"/>
      <c r="F304" s="44"/>
      <c r="G304" s="44"/>
      <c r="H304" s="44"/>
      <c r="I304" s="44"/>
      <c r="J304" s="8"/>
      <c r="K304" s="8"/>
    </row>
    <row r="305" spans="1:11" x14ac:dyDescent="0.25">
      <c r="A305" s="44"/>
      <c r="B305" s="44"/>
      <c r="C305" s="44"/>
      <c r="D305" s="44"/>
      <c r="E305" s="44"/>
      <c r="F305" s="44"/>
      <c r="G305" s="44"/>
      <c r="H305" s="44"/>
      <c r="I305" s="44"/>
      <c r="J305" s="8"/>
      <c r="K305" s="8"/>
    </row>
    <row r="306" spans="1:11" x14ac:dyDescent="0.25">
      <c r="A306" s="44"/>
      <c r="B306" s="44"/>
      <c r="C306" s="44"/>
      <c r="D306" s="44"/>
      <c r="E306" s="44"/>
      <c r="F306" s="44"/>
      <c r="G306" s="44"/>
      <c r="H306" s="44"/>
      <c r="I306" s="44"/>
      <c r="J306" s="8"/>
      <c r="K306" s="8"/>
    </row>
    <row r="307" spans="1:11" x14ac:dyDescent="0.25">
      <c r="A307" s="44"/>
      <c r="B307" s="44"/>
      <c r="C307" s="44"/>
      <c r="D307" s="44"/>
      <c r="E307" s="44"/>
      <c r="F307" s="44"/>
      <c r="G307" s="44"/>
      <c r="H307" s="44"/>
      <c r="I307" s="44"/>
      <c r="J307" s="8"/>
      <c r="K307" s="8"/>
    </row>
    <row r="308" spans="1:11" x14ac:dyDescent="0.25">
      <c r="A308" s="44"/>
      <c r="B308" s="44"/>
      <c r="C308" s="44"/>
      <c r="D308" s="44"/>
      <c r="E308" s="44"/>
      <c r="F308" s="44"/>
      <c r="G308" s="44"/>
      <c r="H308" s="44"/>
      <c r="I308" s="44"/>
      <c r="J308" s="8"/>
      <c r="K308" s="8"/>
    </row>
    <row r="309" spans="1:11" x14ac:dyDescent="0.25">
      <c r="A309" s="44"/>
      <c r="B309" s="44"/>
      <c r="C309" s="44"/>
      <c r="D309" s="44"/>
      <c r="E309" s="44"/>
      <c r="F309" s="44"/>
      <c r="G309" s="44"/>
      <c r="H309" s="44"/>
      <c r="I309" s="44"/>
      <c r="J309" s="8"/>
      <c r="K309" s="8"/>
    </row>
    <row r="310" spans="1:11" x14ac:dyDescent="0.25">
      <c r="A310" s="44"/>
      <c r="B310" s="44"/>
      <c r="C310" s="44"/>
      <c r="D310" s="44"/>
      <c r="E310" s="44"/>
      <c r="F310" s="44"/>
      <c r="G310" s="44"/>
      <c r="H310" s="44"/>
      <c r="I310" s="44"/>
      <c r="J310" s="8"/>
      <c r="K310" s="8"/>
    </row>
    <row r="311" spans="1:11" x14ac:dyDescent="0.25">
      <c r="A311" s="44"/>
      <c r="B311" s="44"/>
      <c r="C311" s="44"/>
      <c r="D311" s="44"/>
      <c r="E311" s="44"/>
      <c r="F311" s="44"/>
      <c r="G311" s="44"/>
      <c r="H311" s="44"/>
      <c r="I311" s="44"/>
      <c r="J311" s="8"/>
      <c r="K311" s="8"/>
    </row>
    <row r="312" spans="1:11" x14ac:dyDescent="0.25">
      <c r="A312" s="44"/>
      <c r="B312" s="44"/>
      <c r="C312" s="44"/>
      <c r="D312" s="44"/>
      <c r="E312" s="44"/>
      <c r="F312" s="44"/>
      <c r="G312" s="44"/>
      <c r="H312" s="44"/>
      <c r="I312" s="44"/>
      <c r="J312" s="8"/>
      <c r="K312" s="8"/>
    </row>
    <row r="313" spans="1:11" x14ac:dyDescent="0.25">
      <c r="A313" s="44"/>
      <c r="B313" s="44"/>
      <c r="C313" s="44"/>
      <c r="D313" s="44"/>
      <c r="E313" s="44"/>
      <c r="F313" s="44"/>
      <c r="G313" s="44"/>
      <c r="H313" s="44"/>
      <c r="I313" s="44"/>
      <c r="J313" s="8"/>
      <c r="K313" s="8"/>
    </row>
    <row r="314" spans="1:11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8"/>
      <c r="K314" s="8"/>
    </row>
    <row r="315" spans="1:11" x14ac:dyDescent="0.25">
      <c r="A315" s="44"/>
      <c r="B315" s="44"/>
      <c r="C315" s="44"/>
      <c r="D315" s="44"/>
      <c r="E315" s="44"/>
      <c r="F315" s="44"/>
      <c r="G315" s="44"/>
      <c r="H315" s="44"/>
      <c r="I315" s="44"/>
      <c r="J315" s="8"/>
      <c r="K315" s="8"/>
    </row>
    <row r="316" spans="1:11" x14ac:dyDescent="0.25">
      <c r="A316" s="44"/>
      <c r="B316" s="44"/>
      <c r="C316" s="44"/>
      <c r="D316" s="44"/>
      <c r="E316" s="44"/>
      <c r="F316" s="44"/>
      <c r="G316" s="44"/>
      <c r="H316" s="44"/>
      <c r="I316" s="44"/>
      <c r="J316" s="8"/>
      <c r="K316" s="8"/>
    </row>
    <row r="317" spans="1:11" x14ac:dyDescent="0.25">
      <c r="A317" s="44"/>
      <c r="B317" s="44"/>
      <c r="C317" s="44"/>
      <c r="D317" s="44"/>
      <c r="E317" s="44"/>
      <c r="F317" s="44"/>
      <c r="G317" s="44"/>
      <c r="H317" s="44"/>
      <c r="I317" s="44"/>
      <c r="J317" s="8"/>
      <c r="K317" s="8"/>
    </row>
    <row r="318" spans="1:11" x14ac:dyDescent="0.25">
      <c r="A318" s="44"/>
      <c r="B318" s="44"/>
      <c r="C318" s="44"/>
      <c r="D318" s="44"/>
      <c r="E318" s="44"/>
      <c r="F318" s="44"/>
      <c r="G318" s="44"/>
      <c r="H318" s="44"/>
      <c r="I318" s="44"/>
      <c r="J318" s="8"/>
      <c r="K318" s="8"/>
    </row>
    <row r="319" spans="1:11" x14ac:dyDescent="0.25">
      <c r="A319" s="44"/>
      <c r="B319" s="44"/>
      <c r="C319" s="44"/>
      <c r="D319" s="44"/>
      <c r="E319" s="44"/>
      <c r="F319" s="44"/>
      <c r="G319" s="44"/>
      <c r="H319" s="44"/>
      <c r="I319" s="44"/>
      <c r="J319" s="8"/>
      <c r="K319" s="8"/>
    </row>
    <row r="320" spans="1:11" x14ac:dyDescent="0.25">
      <c r="A320" s="44"/>
      <c r="B320" s="44"/>
      <c r="C320" s="44"/>
      <c r="D320" s="44"/>
      <c r="E320" s="44"/>
      <c r="F320" s="44"/>
      <c r="G320" s="44"/>
      <c r="H320" s="44"/>
      <c r="I320" s="44"/>
      <c r="J320" s="8"/>
      <c r="K320" s="8"/>
    </row>
    <row r="321" spans="1:11" x14ac:dyDescent="0.25">
      <c r="A321" s="44"/>
      <c r="B321" s="44"/>
      <c r="C321" s="44"/>
      <c r="D321" s="44"/>
      <c r="E321" s="44"/>
      <c r="F321" s="44"/>
      <c r="G321" s="44"/>
      <c r="H321" s="44"/>
      <c r="I321" s="44"/>
      <c r="J321" s="8"/>
      <c r="K321" s="8"/>
    </row>
    <row r="322" spans="1:11" x14ac:dyDescent="0.25">
      <c r="A322" s="44"/>
      <c r="B322" s="44"/>
      <c r="C322" s="44"/>
      <c r="D322" s="44"/>
      <c r="E322" s="44"/>
      <c r="F322" s="44"/>
      <c r="G322" s="44"/>
      <c r="H322" s="44"/>
      <c r="I322" s="44"/>
      <c r="J322" s="8"/>
      <c r="K322" s="8"/>
    </row>
    <row r="323" spans="1:11" x14ac:dyDescent="0.25">
      <c r="A323" s="44"/>
      <c r="B323" s="44"/>
      <c r="C323" s="44"/>
      <c r="D323" s="44"/>
      <c r="E323" s="44"/>
      <c r="F323" s="44"/>
      <c r="G323" s="44"/>
      <c r="H323" s="44"/>
      <c r="I323" s="44"/>
      <c r="J323" s="8"/>
      <c r="K323" s="8"/>
    </row>
    <row r="324" spans="1:11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8"/>
      <c r="K324" s="8"/>
    </row>
    <row r="325" spans="1:11" x14ac:dyDescent="0.25">
      <c r="A325" s="44"/>
      <c r="B325" s="44"/>
      <c r="C325" s="44"/>
      <c r="D325" s="44"/>
      <c r="E325" s="44"/>
      <c r="F325" s="44"/>
      <c r="G325" s="44"/>
      <c r="H325" s="44"/>
      <c r="I325" s="44"/>
      <c r="J325" s="8"/>
      <c r="K325" s="8"/>
    </row>
    <row r="326" spans="1:11" x14ac:dyDescent="0.25">
      <c r="A326" s="44"/>
      <c r="B326" s="44"/>
      <c r="C326" s="44"/>
      <c r="D326" s="44"/>
      <c r="E326" s="44"/>
      <c r="F326" s="44"/>
      <c r="G326" s="44"/>
      <c r="H326" s="44"/>
      <c r="I326" s="44"/>
      <c r="J326" s="8"/>
      <c r="K326" s="8"/>
    </row>
    <row r="327" spans="1:11" x14ac:dyDescent="0.25">
      <c r="A327" s="44"/>
      <c r="B327" s="44"/>
      <c r="C327" s="44"/>
      <c r="D327" s="44"/>
      <c r="E327" s="44"/>
      <c r="F327" s="44"/>
      <c r="G327" s="44"/>
      <c r="H327" s="44"/>
      <c r="I327" s="44"/>
      <c r="J327" s="8"/>
      <c r="K327" s="8"/>
    </row>
    <row r="328" spans="1:11" x14ac:dyDescent="0.25">
      <c r="A328" s="44"/>
      <c r="B328" s="44"/>
      <c r="C328" s="44"/>
      <c r="D328" s="44"/>
      <c r="E328" s="44"/>
      <c r="F328" s="44"/>
      <c r="G328" s="44"/>
      <c r="H328" s="44"/>
      <c r="I328" s="44"/>
      <c r="J328" s="8"/>
      <c r="K328" s="8"/>
    </row>
    <row r="329" spans="1:11" x14ac:dyDescent="0.25">
      <c r="A329" s="44"/>
      <c r="B329" s="44"/>
      <c r="C329" s="44"/>
      <c r="D329" s="44"/>
      <c r="E329" s="44"/>
      <c r="F329" s="44"/>
      <c r="G329" s="44"/>
      <c r="H329" s="44"/>
      <c r="I329" s="44"/>
      <c r="J329" s="8"/>
      <c r="K329" s="8"/>
    </row>
    <row r="330" spans="1:11" x14ac:dyDescent="0.25">
      <c r="A330" s="44"/>
      <c r="B330" s="44"/>
      <c r="C330" s="44"/>
      <c r="D330" s="44"/>
      <c r="E330" s="44"/>
      <c r="F330" s="44"/>
      <c r="G330" s="44"/>
      <c r="H330" s="44"/>
      <c r="I330" s="44"/>
      <c r="J330" s="8"/>
      <c r="K330" s="8"/>
    </row>
    <row r="331" spans="1:11" x14ac:dyDescent="0.25">
      <c r="A331" s="44"/>
      <c r="B331" s="44"/>
      <c r="C331" s="44"/>
      <c r="D331" s="44"/>
      <c r="E331" s="44"/>
      <c r="F331" s="44"/>
      <c r="G331" s="44"/>
      <c r="H331" s="44"/>
      <c r="I331" s="44"/>
      <c r="J331" s="8"/>
      <c r="K331" s="8"/>
    </row>
    <row r="332" spans="1:11" x14ac:dyDescent="0.25">
      <c r="A332" s="44"/>
      <c r="B332" s="44"/>
      <c r="C332" s="44"/>
      <c r="D332" s="44"/>
      <c r="E332" s="44"/>
      <c r="F332" s="44"/>
      <c r="G332" s="44"/>
      <c r="H332" s="44"/>
      <c r="I332" s="44"/>
      <c r="J332" s="8"/>
      <c r="K332" s="8"/>
    </row>
    <row r="333" spans="1:11" x14ac:dyDescent="0.25">
      <c r="A333" s="44"/>
      <c r="B333" s="44"/>
      <c r="C333" s="44"/>
      <c r="D333" s="44"/>
      <c r="E333" s="44"/>
      <c r="F333" s="44"/>
      <c r="G333" s="44"/>
      <c r="H333" s="44"/>
      <c r="I333" s="44"/>
      <c r="J333" s="8"/>
      <c r="K333" s="8"/>
    </row>
    <row r="334" spans="1:11" x14ac:dyDescent="0.25">
      <c r="A334" s="44"/>
      <c r="B334" s="44"/>
      <c r="C334" s="44"/>
      <c r="D334" s="44"/>
      <c r="E334" s="44"/>
      <c r="F334" s="44"/>
      <c r="G334" s="44"/>
      <c r="H334" s="44"/>
      <c r="I334" s="44"/>
      <c r="J334" s="8"/>
      <c r="K334" s="8"/>
    </row>
    <row r="335" spans="1:11" x14ac:dyDescent="0.25">
      <c r="A335" s="44"/>
      <c r="B335" s="44"/>
      <c r="C335" s="44"/>
      <c r="D335" s="44"/>
      <c r="E335" s="44"/>
      <c r="F335" s="44"/>
      <c r="G335" s="44"/>
      <c r="H335" s="44"/>
      <c r="I335" s="44"/>
      <c r="J335" s="8"/>
      <c r="K335" s="8"/>
    </row>
    <row r="336" spans="1:11" x14ac:dyDescent="0.25">
      <c r="A336" s="44"/>
      <c r="B336" s="44"/>
      <c r="C336" s="44"/>
      <c r="D336" s="44"/>
      <c r="E336" s="44"/>
      <c r="F336" s="44"/>
      <c r="G336" s="44"/>
      <c r="H336" s="44"/>
      <c r="I336" s="44"/>
      <c r="J336" s="8"/>
      <c r="K336" s="8"/>
    </row>
    <row r="337" spans="1:11" x14ac:dyDescent="0.25">
      <c r="A337" s="44"/>
      <c r="B337" s="44"/>
      <c r="C337" s="44"/>
      <c r="D337" s="44"/>
      <c r="E337" s="44"/>
      <c r="F337" s="44"/>
      <c r="G337" s="44"/>
      <c r="H337" s="44"/>
      <c r="I337" s="44"/>
      <c r="J337" s="8"/>
      <c r="K337" s="8"/>
    </row>
    <row r="338" spans="1:11" x14ac:dyDescent="0.25">
      <c r="A338" s="44"/>
      <c r="B338" s="44"/>
      <c r="C338" s="44"/>
      <c r="D338" s="44"/>
      <c r="E338" s="44"/>
      <c r="F338" s="44"/>
      <c r="G338" s="44"/>
      <c r="H338" s="44"/>
      <c r="I338" s="44"/>
      <c r="J338" s="8"/>
      <c r="K338" s="8"/>
    </row>
    <row r="339" spans="1:11" x14ac:dyDescent="0.25">
      <c r="A339" s="44"/>
      <c r="B339" s="44"/>
      <c r="C339" s="44"/>
      <c r="D339" s="44"/>
      <c r="E339" s="44"/>
      <c r="F339" s="44"/>
      <c r="G339" s="44"/>
      <c r="H339" s="44"/>
      <c r="I339" s="44"/>
      <c r="J339" s="8"/>
      <c r="K339" s="8"/>
    </row>
    <row r="340" spans="1:11" x14ac:dyDescent="0.25">
      <c r="A340" s="44"/>
      <c r="B340" s="44"/>
      <c r="C340" s="44"/>
      <c r="D340" s="44"/>
      <c r="E340" s="44"/>
      <c r="F340" s="44"/>
      <c r="G340" s="44"/>
      <c r="H340" s="44"/>
      <c r="I340" s="44"/>
      <c r="J340" s="8"/>
      <c r="K340" s="8"/>
    </row>
    <row r="341" spans="1:11" x14ac:dyDescent="0.25">
      <c r="A341" s="44"/>
      <c r="B341" s="44"/>
      <c r="C341" s="44"/>
      <c r="D341" s="44"/>
      <c r="E341" s="44"/>
      <c r="F341" s="44"/>
      <c r="G341" s="44"/>
      <c r="H341" s="44"/>
      <c r="I341" s="44"/>
      <c r="J341" s="8"/>
      <c r="K341" s="8"/>
    </row>
    <row r="342" spans="1:11" x14ac:dyDescent="0.25">
      <c r="A342" s="44"/>
      <c r="B342" s="44"/>
      <c r="C342" s="44"/>
      <c r="D342" s="44"/>
      <c r="E342" s="44"/>
      <c r="F342" s="44"/>
      <c r="G342" s="44"/>
      <c r="H342" s="44"/>
      <c r="I342" s="44"/>
      <c r="J342" s="8"/>
      <c r="K342" s="8"/>
    </row>
    <row r="343" spans="1:11" x14ac:dyDescent="0.25">
      <c r="A343" s="44"/>
      <c r="B343" s="44"/>
      <c r="C343" s="44"/>
      <c r="D343" s="44"/>
      <c r="E343" s="44"/>
      <c r="F343" s="44"/>
      <c r="G343" s="44"/>
      <c r="H343" s="44"/>
      <c r="I343" s="44"/>
      <c r="J343" s="8"/>
      <c r="K343" s="8"/>
    </row>
    <row r="344" spans="1:11" x14ac:dyDescent="0.25">
      <c r="A344" s="44"/>
      <c r="B344" s="44"/>
      <c r="C344" s="44"/>
      <c r="D344" s="44"/>
      <c r="E344" s="44"/>
      <c r="F344" s="44"/>
      <c r="G344" s="44"/>
      <c r="H344" s="44"/>
      <c r="I344" s="44"/>
      <c r="J344" s="8"/>
      <c r="K344" s="8"/>
    </row>
    <row r="345" spans="1:11" x14ac:dyDescent="0.25">
      <c r="A345" s="44"/>
      <c r="B345" s="44"/>
      <c r="C345" s="44"/>
      <c r="D345" s="44"/>
      <c r="E345" s="44"/>
      <c r="F345" s="44"/>
      <c r="G345" s="44"/>
      <c r="H345" s="44"/>
      <c r="I345" s="44"/>
      <c r="J345" s="8"/>
      <c r="K345" s="8"/>
    </row>
    <row r="346" spans="1:11" x14ac:dyDescent="0.25">
      <c r="A346" s="44"/>
      <c r="B346" s="44"/>
      <c r="C346" s="44"/>
      <c r="D346" s="44"/>
      <c r="E346" s="44"/>
      <c r="F346" s="44"/>
      <c r="G346" s="44"/>
      <c r="H346" s="44"/>
      <c r="I346" s="44"/>
      <c r="J346" s="8"/>
      <c r="K346" s="8"/>
    </row>
    <row r="347" spans="1:11" x14ac:dyDescent="0.25">
      <c r="A347" s="44"/>
      <c r="B347" s="44"/>
      <c r="C347" s="44"/>
      <c r="D347" s="44"/>
      <c r="E347" s="44"/>
      <c r="F347" s="44"/>
      <c r="G347" s="44"/>
      <c r="H347" s="44"/>
      <c r="I347" s="44"/>
      <c r="J347" s="8"/>
      <c r="K347" s="8"/>
    </row>
    <row r="348" spans="1:11" x14ac:dyDescent="0.25">
      <c r="A348" s="44"/>
      <c r="B348" s="44"/>
      <c r="C348" s="44"/>
      <c r="D348" s="44"/>
      <c r="E348" s="44"/>
      <c r="F348" s="44"/>
      <c r="G348" s="44"/>
      <c r="H348" s="44"/>
      <c r="I348" s="44"/>
      <c r="J348" s="8"/>
      <c r="K348" s="8"/>
    </row>
    <row r="349" spans="1:11" x14ac:dyDescent="0.25">
      <c r="A349" s="44"/>
      <c r="B349" s="44"/>
      <c r="C349" s="44"/>
      <c r="D349" s="44"/>
      <c r="E349" s="44"/>
      <c r="F349" s="44"/>
      <c r="G349" s="44"/>
      <c r="H349" s="44"/>
      <c r="I349" s="44"/>
      <c r="J349" s="8"/>
      <c r="K349" s="8"/>
    </row>
    <row r="350" spans="1:11" x14ac:dyDescent="0.25">
      <c r="A350" s="44"/>
      <c r="B350" s="44"/>
      <c r="C350" s="44"/>
      <c r="D350" s="44"/>
      <c r="E350" s="44"/>
      <c r="F350" s="44"/>
      <c r="G350" s="44"/>
      <c r="H350" s="44"/>
      <c r="I350" s="44"/>
      <c r="J350" s="8"/>
      <c r="K350" s="8"/>
    </row>
    <row r="351" spans="1:11" x14ac:dyDescent="0.25">
      <c r="A351" s="44"/>
      <c r="B351" s="44"/>
      <c r="C351" s="44"/>
      <c r="D351" s="44"/>
      <c r="E351" s="44"/>
      <c r="F351" s="44"/>
      <c r="G351" s="44"/>
      <c r="H351" s="44"/>
      <c r="I351" s="44"/>
      <c r="J351" s="8"/>
      <c r="K351" s="8"/>
    </row>
    <row r="352" spans="1:11" x14ac:dyDescent="0.25">
      <c r="A352" s="44"/>
      <c r="B352" s="44"/>
      <c r="C352" s="44"/>
      <c r="D352" s="44"/>
      <c r="E352" s="44"/>
      <c r="F352" s="44"/>
      <c r="G352" s="44"/>
      <c r="H352" s="44"/>
      <c r="I352" s="44"/>
      <c r="J352" s="8"/>
      <c r="K352" s="8"/>
    </row>
    <row r="353" spans="1:11" x14ac:dyDescent="0.25">
      <c r="A353" s="44"/>
      <c r="B353" s="44"/>
      <c r="C353" s="44"/>
      <c r="D353" s="44"/>
      <c r="E353" s="44"/>
      <c r="F353" s="44"/>
      <c r="G353" s="44"/>
      <c r="H353" s="44"/>
      <c r="I353" s="44"/>
      <c r="J353" s="8"/>
      <c r="K353" s="8"/>
    </row>
    <row r="354" spans="1:11" x14ac:dyDescent="0.25">
      <c r="A354" s="44"/>
      <c r="B354" s="44"/>
      <c r="C354" s="44"/>
      <c r="D354" s="44"/>
      <c r="E354" s="44"/>
      <c r="F354" s="44"/>
      <c r="G354" s="44"/>
      <c r="H354" s="44"/>
      <c r="I354" s="44"/>
      <c r="J354" s="8"/>
      <c r="K354" s="8"/>
    </row>
    <row r="355" spans="1:11" x14ac:dyDescent="0.25">
      <c r="A355" s="44"/>
      <c r="B355" s="44"/>
      <c r="C355" s="44"/>
      <c r="D355" s="44"/>
      <c r="E355" s="44"/>
      <c r="F355" s="44"/>
      <c r="G355" s="44"/>
      <c r="H355" s="44"/>
      <c r="I355" s="44"/>
      <c r="J355" s="8"/>
      <c r="K355" s="8"/>
    </row>
    <row r="356" spans="1:11" x14ac:dyDescent="0.25">
      <c r="A356" s="44"/>
      <c r="B356" s="44"/>
      <c r="C356" s="44"/>
      <c r="D356" s="44"/>
      <c r="E356" s="44"/>
      <c r="F356" s="44"/>
      <c r="G356" s="44"/>
      <c r="H356" s="44"/>
      <c r="I356" s="44"/>
      <c r="J356" s="8"/>
      <c r="K356" s="8"/>
    </row>
    <row r="357" spans="1:11" x14ac:dyDescent="0.25">
      <c r="A357" s="44"/>
      <c r="B357" s="44"/>
      <c r="C357" s="44"/>
      <c r="D357" s="44"/>
      <c r="E357" s="44"/>
      <c r="F357" s="44"/>
      <c r="G357" s="44"/>
      <c r="H357" s="44"/>
      <c r="I357" s="44"/>
      <c r="J357" s="8"/>
      <c r="K357" s="8"/>
    </row>
    <row r="358" spans="1:11" x14ac:dyDescent="0.25">
      <c r="A358" s="44"/>
      <c r="B358" s="44"/>
      <c r="C358" s="44"/>
      <c r="D358" s="44"/>
      <c r="E358" s="44"/>
      <c r="F358" s="44"/>
      <c r="G358" s="44"/>
      <c r="H358" s="44"/>
      <c r="I358" s="44"/>
      <c r="J358" s="8"/>
      <c r="K358" s="8"/>
    </row>
    <row r="359" spans="1:11" x14ac:dyDescent="0.25">
      <c r="A359" s="44"/>
      <c r="B359" s="44"/>
      <c r="C359" s="44"/>
      <c r="D359" s="44"/>
      <c r="E359" s="44"/>
      <c r="F359" s="44"/>
      <c r="G359" s="44"/>
      <c r="H359" s="44"/>
      <c r="I359" s="44"/>
      <c r="J359" s="8"/>
      <c r="K359" s="8"/>
    </row>
    <row r="360" spans="1:11" x14ac:dyDescent="0.25">
      <c r="A360" s="44"/>
      <c r="B360" s="44"/>
      <c r="C360" s="44"/>
      <c r="D360" s="44"/>
      <c r="E360" s="44"/>
      <c r="F360" s="44"/>
      <c r="G360" s="44"/>
      <c r="H360" s="44"/>
      <c r="I360" s="44"/>
      <c r="J360" s="8"/>
      <c r="K360" s="8"/>
    </row>
    <row r="361" spans="1:11" x14ac:dyDescent="0.25">
      <c r="A361" s="44"/>
      <c r="B361" s="44"/>
      <c r="C361" s="44"/>
      <c r="D361" s="44"/>
      <c r="E361" s="44"/>
      <c r="F361" s="44"/>
      <c r="G361" s="44"/>
      <c r="H361" s="44"/>
      <c r="I361" s="44"/>
      <c r="J361" s="8"/>
      <c r="K361" s="8"/>
    </row>
    <row r="362" spans="1:11" x14ac:dyDescent="0.25">
      <c r="A362" s="44"/>
      <c r="B362" s="44"/>
      <c r="C362" s="44"/>
      <c r="D362" s="44"/>
      <c r="E362" s="44"/>
      <c r="F362" s="44"/>
      <c r="G362" s="44"/>
      <c r="H362" s="44"/>
      <c r="I362" s="44"/>
      <c r="J362" s="8"/>
      <c r="K362" s="8"/>
    </row>
    <row r="363" spans="1:11" x14ac:dyDescent="0.25">
      <c r="A363" s="44"/>
      <c r="B363" s="44"/>
      <c r="C363" s="44"/>
      <c r="D363" s="44"/>
      <c r="E363" s="44"/>
      <c r="F363" s="44"/>
      <c r="G363" s="44"/>
      <c r="H363" s="44"/>
      <c r="I363" s="44"/>
      <c r="J363" s="8"/>
      <c r="K363" s="8"/>
    </row>
    <row r="364" spans="1:11" x14ac:dyDescent="0.25">
      <c r="A364" s="44"/>
      <c r="B364" s="44"/>
      <c r="C364" s="44"/>
      <c r="D364" s="44"/>
      <c r="E364" s="44"/>
      <c r="F364" s="44"/>
      <c r="G364" s="44"/>
      <c r="H364" s="44"/>
      <c r="I364" s="44"/>
      <c r="J364" s="8"/>
      <c r="K364" s="8"/>
    </row>
    <row r="365" spans="1:11" x14ac:dyDescent="0.25">
      <c r="A365" s="44"/>
      <c r="B365" s="44"/>
      <c r="C365" s="44"/>
      <c r="D365" s="44"/>
      <c r="E365" s="44"/>
      <c r="F365" s="44"/>
      <c r="G365" s="44"/>
      <c r="H365" s="44"/>
      <c r="I365" s="44"/>
      <c r="J365" s="8"/>
      <c r="K365" s="8"/>
    </row>
    <row r="366" spans="1:11" x14ac:dyDescent="0.25">
      <c r="A366" s="44"/>
      <c r="B366" s="44"/>
      <c r="C366" s="44"/>
      <c r="D366" s="44"/>
      <c r="E366" s="44"/>
      <c r="F366" s="44"/>
      <c r="G366" s="44"/>
      <c r="H366" s="44"/>
      <c r="I366" s="44"/>
      <c r="J366" s="8"/>
      <c r="K366" s="8"/>
    </row>
    <row r="367" spans="1:11" x14ac:dyDescent="0.25">
      <c r="A367" s="44"/>
      <c r="B367" s="44"/>
      <c r="C367" s="44"/>
      <c r="D367" s="44"/>
      <c r="E367" s="44"/>
      <c r="F367" s="44"/>
      <c r="G367" s="44"/>
      <c r="H367" s="44"/>
      <c r="I367" s="44"/>
      <c r="J367" s="8"/>
      <c r="K367" s="8"/>
    </row>
    <row r="368" spans="1:11" x14ac:dyDescent="0.25">
      <c r="A368" s="44"/>
      <c r="B368" s="44"/>
      <c r="C368" s="44"/>
      <c r="D368" s="44"/>
      <c r="E368" s="44"/>
      <c r="F368" s="44"/>
      <c r="G368" s="44"/>
      <c r="H368" s="44"/>
      <c r="I368" s="44"/>
      <c r="J368" s="8"/>
      <c r="K368" s="8"/>
    </row>
    <row r="369" spans="1:11" x14ac:dyDescent="0.25">
      <c r="A369" s="44"/>
      <c r="B369" s="44"/>
      <c r="C369" s="44"/>
      <c r="D369" s="44"/>
      <c r="E369" s="44"/>
      <c r="F369" s="44"/>
      <c r="G369" s="44"/>
      <c r="H369" s="44"/>
      <c r="I369" s="44"/>
      <c r="J369" s="8"/>
      <c r="K369" s="8"/>
    </row>
    <row r="370" spans="1:11" x14ac:dyDescent="0.25">
      <c r="A370" s="44"/>
      <c r="B370" s="44"/>
      <c r="C370" s="44"/>
      <c r="D370" s="44"/>
      <c r="E370" s="44"/>
      <c r="F370" s="44"/>
      <c r="G370" s="44"/>
      <c r="H370" s="44"/>
      <c r="I370" s="44"/>
      <c r="J370" s="8"/>
      <c r="K370" s="8"/>
    </row>
    <row r="371" spans="1:11" x14ac:dyDescent="0.25">
      <c r="A371" s="44"/>
      <c r="B371" s="44"/>
      <c r="C371" s="44"/>
      <c r="D371" s="44"/>
      <c r="E371" s="44"/>
      <c r="F371" s="44"/>
      <c r="G371" s="44"/>
      <c r="H371" s="44"/>
      <c r="I371" s="44"/>
      <c r="J371" s="8"/>
      <c r="K371" s="8"/>
    </row>
    <row r="372" spans="1:11" x14ac:dyDescent="0.25">
      <c r="A372" s="44"/>
      <c r="B372" s="44"/>
      <c r="C372" s="44"/>
      <c r="D372" s="44"/>
      <c r="E372" s="44"/>
      <c r="F372" s="44"/>
      <c r="G372" s="44"/>
      <c r="H372" s="44"/>
      <c r="I372" s="44"/>
      <c r="J372" s="8"/>
      <c r="K372" s="8"/>
    </row>
    <row r="373" spans="1:11" x14ac:dyDescent="0.25">
      <c r="A373" s="44"/>
      <c r="B373" s="44"/>
      <c r="C373" s="44"/>
      <c r="D373" s="44"/>
      <c r="E373" s="44"/>
      <c r="F373" s="44"/>
      <c r="G373" s="44"/>
      <c r="H373" s="44"/>
      <c r="I373" s="44"/>
      <c r="J373" s="8"/>
      <c r="K373" s="8"/>
    </row>
    <row r="374" spans="1:11" x14ac:dyDescent="0.25">
      <c r="A374" s="44"/>
      <c r="B374" s="44"/>
      <c r="C374" s="44"/>
      <c r="D374" s="44"/>
      <c r="E374" s="44"/>
      <c r="F374" s="44"/>
      <c r="G374" s="44"/>
      <c r="H374" s="44"/>
      <c r="I374" s="44"/>
      <c r="J374" s="8"/>
      <c r="K374" s="8"/>
    </row>
    <row r="375" spans="1:11" x14ac:dyDescent="0.25">
      <c r="A375" s="44"/>
      <c r="B375" s="44"/>
      <c r="C375" s="44"/>
      <c r="D375" s="44"/>
      <c r="E375" s="44"/>
      <c r="F375" s="44"/>
      <c r="G375" s="44"/>
      <c r="H375" s="44"/>
      <c r="I375" s="44"/>
      <c r="J375" s="8"/>
      <c r="K375" s="8"/>
    </row>
    <row r="376" spans="1:11" x14ac:dyDescent="0.25">
      <c r="A376" s="44"/>
      <c r="B376" s="44"/>
      <c r="C376" s="44"/>
      <c r="D376" s="44"/>
      <c r="E376" s="44"/>
      <c r="F376" s="44"/>
      <c r="G376" s="44"/>
      <c r="H376" s="44"/>
      <c r="I376" s="44"/>
      <c r="J376" s="8"/>
      <c r="K376" s="8"/>
    </row>
    <row r="377" spans="1:11" x14ac:dyDescent="0.25">
      <c r="A377" s="44"/>
      <c r="B377" s="44"/>
      <c r="C377" s="44"/>
      <c r="D377" s="44"/>
      <c r="E377" s="44"/>
      <c r="F377" s="44"/>
      <c r="G377" s="44"/>
      <c r="H377" s="44"/>
      <c r="I377" s="44"/>
      <c r="J377" s="8"/>
      <c r="K377" s="8"/>
    </row>
    <row r="378" spans="1:11" x14ac:dyDescent="0.25">
      <c r="A378" s="44"/>
      <c r="B378" s="44"/>
      <c r="C378" s="44"/>
      <c r="D378" s="44"/>
      <c r="E378" s="44"/>
      <c r="F378" s="44"/>
      <c r="G378" s="44"/>
      <c r="H378" s="44"/>
      <c r="I378" s="44"/>
      <c r="J378" s="8"/>
      <c r="K378" s="8"/>
    </row>
    <row r="379" spans="1:11" x14ac:dyDescent="0.25">
      <c r="A379" s="44"/>
      <c r="B379" s="44"/>
      <c r="C379" s="44"/>
      <c r="D379" s="44"/>
      <c r="E379" s="44"/>
      <c r="F379" s="44"/>
      <c r="G379" s="44"/>
      <c r="H379" s="44"/>
      <c r="I379" s="44"/>
      <c r="J379" s="8"/>
      <c r="K379" s="8"/>
    </row>
    <row r="380" spans="1:11" x14ac:dyDescent="0.25">
      <c r="A380" s="44"/>
      <c r="B380" s="44"/>
      <c r="C380" s="44"/>
      <c r="D380" s="44"/>
      <c r="E380" s="44"/>
      <c r="F380" s="44"/>
      <c r="G380" s="44"/>
      <c r="H380" s="44"/>
      <c r="I380" s="44"/>
      <c r="J380" s="8"/>
      <c r="K380" s="8"/>
    </row>
    <row r="381" spans="1:11" x14ac:dyDescent="0.25">
      <c r="A381" s="44"/>
      <c r="B381" s="44"/>
      <c r="C381" s="44"/>
      <c r="D381" s="44"/>
      <c r="E381" s="44"/>
      <c r="F381" s="44"/>
      <c r="G381" s="44"/>
      <c r="H381" s="44"/>
      <c r="I381" s="44"/>
      <c r="J381" s="8"/>
      <c r="K381" s="8"/>
    </row>
    <row r="382" spans="1:11" x14ac:dyDescent="0.25">
      <c r="A382" s="44"/>
      <c r="B382" s="44"/>
      <c r="C382" s="44"/>
      <c r="D382" s="44"/>
      <c r="E382" s="44"/>
      <c r="F382" s="44"/>
      <c r="G382" s="44"/>
      <c r="H382" s="44"/>
      <c r="I382" s="44"/>
      <c r="J382" s="8"/>
      <c r="K382" s="8"/>
    </row>
    <row r="383" spans="1:11" x14ac:dyDescent="0.25">
      <c r="A383" s="44"/>
      <c r="B383" s="44"/>
      <c r="C383" s="44"/>
      <c r="D383" s="44"/>
      <c r="E383" s="44"/>
      <c r="F383" s="44"/>
      <c r="G383" s="44"/>
      <c r="H383" s="44"/>
      <c r="I383" s="44"/>
      <c r="J383" s="8"/>
      <c r="K383" s="8"/>
    </row>
    <row r="384" spans="1:11" x14ac:dyDescent="0.25">
      <c r="A384" s="44"/>
      <c r="B384" s="44"/>
      <c r="C384" s="44"/>
      <c r="D384" s="44"/>
      <c r="E384" s="44"/>
      <c r="F384" s="44"/>
      <c r="G384" s="44"/>
      <c r="H384" s="44"/>
      <c r="I384" s="44"/>
      <c r="J384" s="8"/>
      <c r="K384" s="8"/>
    </row>
    <row r="385" spans="1:11" x14ac:dyDescent="0.25">
      <c r="A385" s="44"/>
      <c r="B385" s="44"/>
      <c r="C385" s="44"/>
      <c r="D385" s="44"/>
      <c r="E385" s="44"/>
      <c r="F385" s="44"/>
      <c r="G385" s="44"/>
      <c r="H385" s="44"/>
      <c r="I385" s="44"/>
      <c r="J385" s="8"/>
      <c r="K385" s="8"/>
    </row>
    <row r="386" spans="1:11" x14ac:dyDescent="0.25">
      <c r="A386" s="44"/>
      <c r="B386" s="44"/>
      <c r="C386" s="44"/>
      <c r="D386" s="44"/>
      <c r="E386" s="44"/>
      <c r="F386" s="44"/>
      <c r="G386" s="44"/>
      <c r="H386" s="44"/>
      <c r="I386" s="44"/>
      <c r="J386" s="8"/>
      <c r="K386" s="8"/>
    </row>
    <row r="387" spans="1:11" x14ac:dyDescent="0.25">
      <c r="A387" s="44"/>
      <c r="B387" s="44"/>
      <c r="C387" s="44"/>
      <c r="D387" s="44"/>
      <c r="E387" s="44"/>
      <c r="F387" s="44"/>
      <c r="G387" s="44"/>
      <c r="H387" s="44"/>
      <c r="I387" s="44"/>
      <c r="J387" s="8"/>
      <c r="K387" s="8"/>
    </row>
    <row r="388" spans="1:11" x14ac:dyDescent="0.25">
      <c r="A388" s="44"/>
      <c r="B388" s="44"/>
      <c r="C388" s="44"/>
      <c r="D388" s="44"/>
      <c r="E388" s="44"/>
      <c r="F388" s="44"/>
      <c r="G388" s="44"/>
      <c r="H388" s="44"/>
      <c r="I388" s="44"/>
      <c r="J388" s="8"/>
      <c r="K388" s="8"/>
    </row>
    <row r="389" spans="1:11" x14ac:dyDescent="0.25">
      <c r="A389" s="44"/>
      <c r="B389" s="44"/>
      <c r="C389" s="44"/>
      <c r="D389" s="44"/>
      <c r="E389" s="44"/>
      <c r="F389" s="44"/>
      <c r="G389" s="44"/>
      <c r="H389" s="44"/>
      <c r="I389" s="44"/>
      <c r="J389" s="8"/>
      <c r="K389" s="8"/>
    </row>
    <row r="390" spans="1:11" x14ac:dyDescent="0.25">
      <c r="A390" s="44"/>
      <c r="B390" s="44"/>
      <c r="C390" s="44"/>
      <c r="D390" s="44"/>
      <c r="E390" s="44"/>
      <c r="F390" s="44"/>
      <c r="G390" s="44"/>
      <c r="H390" s="44"/>
      <c r="I390" s="44"/>
      <c r="J390" s="8"/>
      <c r="K390" s="8"/>
    </row>
    <row r="391" spans="1:11" x14ac:dyDescent="0.25">
      <c r="A391" s="44"/>
      <c r="B391" s="44"/>
      <c r="C391" s="44"/>
      <c r="D391" s="44"/>
      <c r="E391" s="44"/>
      <c r="F391" s="44"/>
      <c r="G391" s="44"/>
      <c r="H391" s="44"/>
      <c r="I391" s="44"/>
      <c r="J391" s="8"/>
      <c r="K391" s="8"/>
    </row>
    <row r="392" spans="1:11" x14ac:dyDescent="0.25">
      <c r="A392" s="44"/>
      <c r="B392" s="44"/>
      <c r="C392" s="44"/>
      <c r="D392" s="44"/>
      <c r="E392" s="44"/>
      <c r="F392" s="44"/>
      <c r="G392" s="44"/>
      <c r="H392" s="44"/>
      <c r="I392" s="44"/>
      <c r="J392" s="8"/>
      <c r="K392" s="8"/>
    </row>
    <row r="393" spans="1:11" x14ac:dyDescent="0.25">
      <c r="A393" s="44"/>
      <c r="B393" s="44"/>
      <c r="C393" s="44"/>
      <c r="D393" s="44"/>
      <c r="E393" s="44"/>
      <c r="F393" s="44"/>
      <c r="G393" s="44"/>
      <c r="H393" s="44"/>
      <c r="I393" s="44"/>
      <c r="J393" s="8"/>
      <c r="K393" s="8"/>
    </row>
    <row r="394" spans="1:11" x14ac:dyDescent="0.25">
      <c r="A394" s="44"/>
      <c r="B394" s="44"/>
      <c r="C394" s="44"/>
      <c r="D394" s="44"/>
      <c r="E394" s="44"/>
      <c r="F394" s="44"/>
      <c r="G394" s="44"/>
      <c r="H394" s="44"/>
      <c r="I394" s="44"/>
      <c r="J394" s="8"/>
      <c r="K394" s="8"/>
    </row>
    <row r="395" spans="1:11" x14ac:dyDescent="0.25">
      <c r="A395" s="44"/>
      <c r="B395" s="44"/>
      <c r="C395" s="44"/>
      <c r="D395" s="44"/>
      <c r="E395" s="44"/>
      <c r="F395" s="44"/>
      <c r="G395" s="44"/>
      <c r="H395" s="44"/>
      <c r="I395" s="44"/>
      <c r="J395" s="8"/>
      <c r="K395" s="8"/>
    </row>
    <row r="396" spans="1:11" x14ac:dyDescent="0.25">
      <c r="A396" s="44"/>
      <c r="B396" s="44"/>
      <c r="C396" s="44"/>
      <c r="D396" s="44"/>
      <c r="E396" s="44"/>
      <c r="F396" s="44"/>
      <c r="G396" s="44"/>
      <c r="H396" s="44"/>
      <c r="I396" s="44"/>
      <c r="J396" s="8"/>
      <c r="K396" s="8"/>
    </row>
    <row r="397" spans="1:11" x14ac:dyDescent="0.25">
      <c r="A397" s="44"/>
      <c r="B397" s="44"/>
      <c r="C397" s="44"/>
      <c r="D397" s="44"/>
      <c r="E397" s="44"/>
      <c r="F397" s="44"/>
      <c r="G397" s="44"/>
      <c r="H397" s="44"/>
      <c r="I397" s="44"/>
      <c r="J397" s="8"/>
      <c r="K397" s="8"/>
    </row>
    <row r="398" spans="1:11" x14ac:dyDescent="0.25">
      <c r="A398" s="44"/>
      <c r="B398" s="44"/>
      <c r="C398" s="44"/>
      <c r="D398" s="44"/>
      <c r="E398" s="44"/>
      <c r="F398" s="44"/>
      <c r="G398" s="44"/>
      <c r="H398" s="44"/>
      <c r="I398" s="44"/>
      <c r="J398" s="8"/>
      <c r="K398" s="8"/>
    </row>
    <row r="399" spans="1:11" x14ac:dyDescent="0.25">
      <c r="A399" s="44"/>
      <c r="B399" s="44"/>
      <c r="C399" s="44"/>
      <c r="D399" s="44"/>
      <c r="E399" s="44"/>
      <c r="F399" s="44"/>
      <c r="G399" s="44"/>
      <c r="H399" s="44"/>
      <c r="I399" s="44"/>
      <c r="J399" s="8"/>
      <c r="K399" s="8"/>
    </row>
    <row r="400" spans="1:11" x14ac:dyDescent="0.25">
      <c r="A400" s="44"/>
      <c r="B400" s="44"/>
      <c r="C400" s="44"/>
      <c r="D400" s="44"/>
      <c r="E400" s="44"/>
      <c r="F400" s="44"/>
      <c r="G400" s="44"/>
      <c r="H400" s="44"/>
      <c r="I400" s="44"/>
      <c r="J400" s="8"/>
      <c r="K400" s="8"/>
    </row>
    <row r="401" spans="1:11" x14ac:dyDescent="0.25">
      <c r="A401" s="44"/>
      <c r="B401" s="44"/>
      <c r="C401" s="44"/>
      <c r="D401" s="44"/>
      <c r="E401" s="44"/>
      <c r="F401" s="44"/>
      <c r="G401" s="44"/>
      <c r="H401" s="44"/>
      <c r="I401" s="44"/>
      <c r="J401" s="8"/>
      <c r="K401" s="8"/>
    </row>
    <row r="402" spans="1:11" x14ac:dyDescent="0.25">
      <c r="A402" s="44"/>
      <c r="B402" s="44"/>
      <c r="C402" s="44"/>
      <c r="D402" s="44"/>
      <c r="E402" s="44"/>
      <c r="F402" s="44"/>
      <c r="G402" s="44"/>
      <c r="H402" s="44"/>
      <c r="I402" s="44"/>
      <c r="J402" s="8"/>
      <c r="K402" s="8"/>
    </row>
    <row r="403" spans="1:11" x14ac:dyDescent="0.25">
      <c r="A403" s="44"/>
      <c r="B403" s="44"/>
      <c r="C403" s="44"/>
      <c r="D403" s="44"/>
      <c r="E403" s="44"/>
      <c r="F403" s="44"/>
      <c r="G403" s="44"/>
      <c r="H403" s="44"/>
      <c r="I403" s="44"/>
      <c r="J403" s="8"/>
      <c r="K403" s="8"/>
    </row>
    <row r="404" spans="1:11" x14ac:dyDescent="0.25">
      <c r="A404" s="44"/>
      <c r="B404" s="44"/>
      <c r="C404" s="44"/>
      <c r="D404" s="44"/>
      <c r="E404" s="44"/>
      <c r="F404" s="44"/>
      <c r="G404" s="44"/>
      <c r="H404" s="44"/>
      <c r="I404" s="44"/>
      <c r="J404" s="8"/>
      <c r="K404" s="8"/>
    </row>
    <row r="405" spans="1:11" x14ac:dyDescent="0.25">
      <c r="A405" s="44"/>
      <c r="B405" s="44"/>
      <c r="C405" s="44"/>
      <c r="D405" s="44"/>
      <c r="E405" s="44"/>
      <c r="F405" s="44"/>
      <c r="G405" s="44"/>
      <c r="H405" s="44"/>
      <c r="I405" s="44"/>
      <c r="J405" s="8"/>
      <c r="K405" s="8"/>
    </row>
    <row r="406" spans="1:11" x14ac:dyDescent="0.25">
      <c r="A406" s="44"/>
      <c r="B406" s="44"/>
      <c r="C406" s="44"/>
      <c r="D406" s="44"/>
      <c r="E406" s="44"/>
      <c r="F406" s="44"/>
      <c r="G406" s="44"/>
      <c r="H406" s="44"/>
      <c r="I406" s="44"/>
      <c r="J406" s="8"/>
      <c r="K406" s="8"/>
    </row>
    <row r="407" spans="1:11" x14ac:dyDescent="0.25">
      <c r="A407" s="44"/>
      <c r="B407" s="44"/>
      <c r="C407" s="44"/>
      <c r="D407" s="44"/>
      <c r="E407" s="44"/>
      <c r="F407" s="44"/>
      <c r="G407" s="44"/>
      <c r="H407" s="44"/>
      <c r="I407" s="44"/>
      <c r="J407" s="8"/>
      <c r="K407" s="8"/>
    </row>
    <row r="408" spans="1:11" x14ac:dyDescent="0.25">
      <c r="A408" s="44"/>
      <c r="B408" s="44"/>
      <c r="C408" s="44"/>
      <c r="D408" s="44"/>
      <c r="E408" s="44"/>
      <c r="F408" s="44"/>
      <c r="G408" s="44"/>
      <c r="H408" s="44"/>
      <c r="I408" s="44"/>
      <c r="J408" s="8"/>
      <c r="K408" s="8"/>
    </row>
    <row r="409" spans="1:11" x14ac:dyDescent="0.25">
      <c r="A409" s="44"/>
      <c r="B409" s="44"/>
      <c r="C409" s="44"/>
      <c r="D409" s="44"/>
      <c r="E409" s="44"/>
      <c r="F409" s="44"/>
      <c r="G409" s="44"/>
      <c r="H409" s="44"/>
      <c r="I409" s="44"/>
      <c r="J409" s="8"/>
      <c r="K409" s="8"/>
    </row>
    <row r="410" spans="1:11" x14ac:dyDescent="0.25">
      <c r="A410" s="44"/>
      <c r="B410" s="44"/>
      <c r="C410" s="44"/>
      <c r="D410" s="44"/>
      <c r="E410" s="44"/>
      <c r="F410" s="44"/>
      <c r="G410" s="44"/>
      <c r="H410" s="44"/>
      <c r="I410" s="44"/>
      <c r="J410" s="8"/>
      <c r="K410" s="8"/>
    </row>
    <row r="411" spans="1:11" x14ac:dyDescent="0.25">
      <c r="A411" s="44"/>
      <c r="B411" s="44"/>
      <c r="C411" s="44"/>
      <c r="D411" s="44"/>
      <c r="E411" s="44"/>
      <c r="F411" s="44"/>
      <c r="G411" s="44"/>
      <c r="H411" s="44"/>
      <c r="I411" s="44"/>
      <c r="J411" s="8"/>
      <c r="K411" s="8"/>
    </row>
    <row r="412" spans="1:11" x14ac:dyDescent="0.25">
      <c r="A412" s="44"/>
      <c r="B412" s="44"/>
      <c r="C412" s="44"/>
      <c r="D412" s="44"/>
      <c r="E412" s="44"/>
      <c r="F412" s="44"/>
      <c r="G412" s="44"/>
      <c r="H412" s="44"/>
      <c r="I412" s="44"/>
      <c r="J412" s="8"/>
      <c r="K412" s="8"/>
    </row>
    <row r="413" spans="1:11" x14ac:dyDescent="0.25">
      <c r="A413" s="44"/>
      <c r="B413" s="44"/>
      <c r="C413" s="44"/>
      <c r="D413" s="44"/>
      <c r="E413" s="44"/>
      <c r="F413" s="44"/>
      <c r="G413" s="44"/>
      <c r="H413" s="44"/>
      <c r="I413" s="44"/>
      <c r="J413" s="8"/>
      <c r="K413" s="8"/>
    </row>
    <row r="414" spans="1:11" x14ac:dyDescent="0.25">
      <c r="A414" s="44"/>
      <c r="B414" s="44"/>
      <c r="C414" s="44"/>
      <c r="D414" s="44"/>
      <c r="E414" s="44"/>
      <c r="F414" s="44"/>
      <c r="G414" s="44"/>
      <c r="H414" s="44"/>
      <c r="I414" s="44"/>
      <c r="J414" s="8"/>
      <c r="K414" s="8"/>
    </row>
    <row r="415" spans="1:11" x14ac:dyDescent="0.25">
      <c r="A415" s="44"/>
      <c r="B415" s="44"/>
      <c r="C415" s="44"/>
      <c r="D415" s="44"/>
      <c r="E415" s="44"/>
      <c r="F415" s="44"/>
      <c r="G415" s="44"/>
      <c r="H415" s="44"/>
      <c r="I415" s="44"/>
      <c r="J415" s="8"/>
      <c r="K415" s="8"/>
    </row>
    <row r="416" spans="1:11" x14ac:dyDescent="0.25">
      <c r="A416" s="44"/>
      <c r="B416" s="44"/>
      <c r="C416" s="44"/>
      <c r="D416" s="44"/>
      <c r="E416" s="44"/>
      <c r="F416" s="44"/>
      <c r="G416" s="44"/>
      <c r="H416" s="44"/>
      <c r="I416" s="44"/>
      <c r="J416" s="8"/>
      <c r="K416" s="8"/>
    </row>
    <row r="417" spans="1:11" x14ac:dyDescent="0.25">
      <c r="A417" s="44"/>
      <c r="B417" s="44"/>
      <c r="C417" s="44"/>
      <c r="D417" s="44"/>
      <c r="E417" s="44"/>
      <c r="F417" s="44"/>
      <c r="G417" s="44"/>
      <c r="H417" s="44"/>
      <c r="I417" s="44"/>
      <c r="J417" s="8"/>
      <c r="K417" s="8"/>
    </row>
    <row r="418" spans="1:11" x14ac:dyDescent="0.25">
      <c r="A418" s="44"/>
      <c r="B418" s="44"/>
      <c r="C418" s="44"/>
      <c r="D418" s="44"/>
      <c r="E418" s="44"/>
      <c r="F418" s="44"/>
      <c r="G418" s="44"/>
      <c r="H418" s="44"/>
      <c r="I418" s="44"/>
      <c r="J418" s="8"/>
      <c r="K418" s="8"/>
    </row>
    <row r="419" spans="1:11" x14ac:dyDescent="0.25">
      <c r="A419" s="44"/>
      <c r="B419" s="44"/>
      <c r="C419" s="44"/>
      <c r="D419" s="44"/>
      <c r="E419" s="44"/>
      <c r="F419" s="44"/>
      <c r="G419" s="44"/>
      <c r="H419" s="44"/>
      <c r="I419" s="44"/>
      <c r="J419" s="8"/>
      <c r="K419" s="8"/>
    </row>
    <row r="420" spans="1:11" x14ac:dyDescent="0.25">
      <c r="A420" s="44"/>
      <c r="B420" s="44"/>
      <c r="C420" s="44"/>
      <c r="D420" s="44"/>
      <c r="E420" s="44"/>
      <c r="F420" s="44"/>
      <c r="G420" s="44"/>
      <c r="H420" s="44"/>
      <c r="I420" s="44"/>
      <c r="J420" s="8"/>
      <c r="K420" s="8"/>
    </row>
    <row r="421" spans="1:11" x14ac:dyDescent="0.25">
      <c r="A421" s="44"/>
      <c r="B421" s="44"/>
      <c r="C421" s="44"/>
      <c r="D421" s="44"/>
      <c r="E421" s="44"/>
      <c r="F421" s="44"/>
      <c r="G421" s="44"/>
      <c r="H421" s="44"/>
      <c r="I421" s="44"/>
      <c r="J421" s="8"/>
      <c r="K421" s="8"/>
    </row>
    <row r="422" spans="1:11" x14ac:dyDescent="0.25">
      <c r="A422" s="44"/>
      <c r="B422" s="44"/>
      <c r="C422" s="44"/>
      <c r="D422" s="44"/>
      <c r="E422" s="44"/>
      <c r="F422" s="44"/>
      <c r="G422" s="44"/>
      <c r="H422" s="44"/>
      <c r="I422" s="44"/>
      <c r="J422" s="8"/>
      <c r="K422" s="8"/>
    </row>
    <row r="423" spans="1:11" x14ac:dyDescent="0.25">
      <c r="A423" s="44"/>
      <c r="B423" s="44"/>
      <c r="C423" s="44"/>
      <c r="D423" s="44"/>
      <c r="E423" s="44"/>
      <c r="F423" s="44"/>
      <c r="G423" s="44"/>
      <c r="H423" s="44"/>
      <c r="I423" s="44"/>
      <c r="J423" s="8"/>
      <c r="K423" s="8"/>
    </row>
    <row r="424" spans="1:11" x14ac:dyDescent="0.25">
      <c r="A424" s="44"/>
      <c r="B424" s="44"/>
      <c r="C424" s="44"/>
      <c r="D424" s="44"/>
      <c r="E424" s="44"/>
      <c r="F424" s="44"/>
      <c r="G424" s="44"/>
      <c r="H424" s="44"/>
      <c r="I424" s="44"/>
      <c r="J424" s="8"/>
      <c r="K424" s="8"/>
    </row>
    <row r="425" spans="1:11" x14ac:dyDescent="0.25">
      <c r="A425" s="44"/>
      <c r="B425" s="44"/>
      <c r="C425" s="44"/>
      <c r="D425" s="44"/>
      <c r="E425" s="44"/>
      <c r="F425" s="44"/>
      <c r="G425" s="44"/>
      <c r="H425" s="44"/>
      <c r="I425" s="44"/>
      <c r="J425" s="8"/>
      <c r="K425" s="8"/>
    </row>
    <row r="426" spans="1:11" x14ac:dyDescent="0.25">
      <c r="A426" s="44"/>
      <c r="B426" s="44"/>
      <c r="C426" s="44"/>
      <c r="D426" s="44"/>
      <c r="E426" s="44"/>
      <c r="F426" s="44"/>
      <c r="G426" s="44"/>
      <c r="H426" s="44"/>
      <c r="I426" s="44"/>
      <c r="J426" s="8"/>
      <c r="K426" s="8"/>
    </row>
    <row r="427" spans="1:11" x14ac:dyDescent="0.25">
      <c r="A427" s="44"/>
      <c r="B427" s="44"/>
      <c r="C427" s="44"/>
      <c r="D427" s="44"/>
      <c r="E427" s="44"/>
      <c r="F427" s="44"/>
      <c r="G427" s="44"/>
      <c r="H427" s="44"/>
      <c r="I427" s="44"/>
      <c r="J427" s="8"/>
      <c r="K427" s="8"/>
    </row>
    <row r="428" spans="1:11" x14ac:dyDescent="0.25">
      <c r="A428" s="44"/>
      <c r="B428" s="44"/>
      <c r="C428" s="44"/>
      <c r="D428" s="44"/>
      <c r="E428" s="44"/>
      <c r="F428" s="44"/>
      <c r="G428" s="44"/>
      <c r="H428" s="44"/>
      <c r="I428" s="44"/>
      <c r="J428" s="8"/>
      <c r="K428" s="8"/>
    </row>
    <row r="429" spans="1:11" x14ac:dyDescent="0.25">
      <c r="A429" s="44"/>
      <c r="B429" s="44"/>
      <c r="C429" s="44"/>
      <c r="D429" s="44"/>
      <c r="E429" s="44"/>
      <c r="F429" s="44"/>
      <c r="G429" s="44"/>
      <c r="H429" s="44"/>
      <c r="I429" s="44"/>
      <c r="J429" s="8"/>
      <c r="K429" s="8"/>
    </row>
    <row r="430" spans="1:11" x14ac:dyDescent="0.25">
      <c r="A430" s="44"/>
      <c r="B430" s="44"/>
      <c r="C430" s="44"/>
      <c r="D430" s="44"/>
      <c r="E430" s="44"/>
      <c r="F430" s="44"/>
      <c r="G430" s="44"/>
      <c r="H430" s="44"/>
      <c r="I430" s="44"/>
      <c r="J430" s="8"/>
      <c r="K430" s="8"/>
    </row>
    <row r="431" spans="1:11" x14ac:dyDescent="0.25">
      <c r="A431" s="44"/>
      <c r="B431" s="44"/>
      <c r="C431" s="44"/>
      <c r="D431" s="44"/>
      <c r="E431" s="44"/>
      <c r="F431" s="44"/>
      <c r="G431" s="44"/>
      <c r="H431" s="44"/>
      <c r="I431" s="44"/>
      <c r="J431" s="8"/>
      <c r="K431" s="8"/>
    </row>
    <row r="432" spans="1:11" x14ac:dyDescent="0.25">
      <c r="A432" s="44"/>
      <c r="B432" s="44"/>
      <c r="C432" s="44"/>
      <c r="D432" s="44"/>
      <c r="E432" s="44"/>
      <c r="F432" s="44"/>
      <c r="G432" s="44"/>
      <c r="H432" s="44"/>
      <c r="I432" s="44"/>
      <c r="J432" s="8"/>
      <c r="K432" s="8"/>
    </row>
    <row r="433" spans="1:11" x14ac:dyDescent="0.25">
      <c r="A433" s="44"/>
      <c r="B433" s="44"/>
      <c r="C433" s="44"/>
      <c r="D433" s="44"/>
      <c r="E433" s="44"/>
      <c r="F433" s="44"/>
      <c r="G433" s="44"/>
      <c r="H433" s="44"/>
      <c r="I433" s="44"/>
      <c r="J433" s="8"/>
      <c r="K433" s="8"/>
    </row>
    <row r="434" spans="1:11" x14ac:dyDescent="0.25">
      <c r="A434" s="44"/>
      <c r="B434" s="44"/>
      <c r="C434" s="44"/>
      <c r="D434" s="44"/>
      <c r="E434" s="44"/>
      <c r="F434" s="44"/>
      <c r="G434" s="44"/>
      <c r="H434" s="44"/>
      <c r="I434" s="44"/>
      <c r="J434" s="8"/>
      <c r="K434" s="8"/>
    </row>
    <row r="435" spans="1:11" x14ac:dyDescent="0.25">
      <c r="A435" s="44"/>
      <c r="B435" s="44"/>
      <c r="C435" s="44"/>
      <c r="D435" s="44"/>
      <c r="E435" s="44"/>
      <c r="F435" s="44"/>
      <c r="G435" s="44"/>
      <c r="H435" s="44"/>
      <c r="I435" s="44"/>
      <c r="J435" s="8"/>
      <c r="K435" s="8"/>
    </row>
    <row r="436" spans="1:11" x14ac:dyDescent="0.25">
      <c r="A436" s="44"/>
      <c r="B436" s="44"/>
      <c r="C436" s="44"/>
      <c r="D436" s="44"/>
      <c r="E436" s="44"/>
      <c r="F436" s="44"/>
      <c r="G436" s="44"/>
      <c r="H436" s="44"/>
      <c r="I436" s="44"/>
      <c r="J436" s="8"/>
      <c r="K436" s="8"/>
    </row>
    <row r="437" spans="1:11" x14ac:dyDescent="0.25">
      <c r="A437" s="44"/>
      <c r="B437" s="44"/>
      <c r="C437" s="44"/>
      <c r="D437" s="44"/>
      <c r="E437" s="44"/>
      <c r="F437" s="44"/>
      <c r="G437" s="44"/>
      <c r="H437" s="44"/>
      <c r="I437" s="44"/>
      <c r="J437" s="8"/>
      <c r="K437" s="8"/>
    </row>
    <row r="438" spans="1:11" x14ac:dyDescent="0.25">
      <c r="A438" s="44"/>
      <c r="B438" s="44"/>
      <c r="C438" s="44"/>
      <c r="D438" s="44"/>
      <c r="E438" s="44"/>
      <c r="F438" s="44"/>
      <c r="G438" s="44"/>
      <c r="H438" s="44"/>
      <c r="I438" s="44"/>
      <c r="J438" s="8"/>
      <c r="K438" s="8"/>
    </row>
    <row r="439" spans="1:11" x14ac:dyDescent="0.25">
      <c r="A439" s="44"/>
      <c r="B439" s="44"/>
      <c r="C439" s="44"/>
      <c r="D439" s="44"/>
      <c r="E439" s="44"/>
      <c r="F439" s="44"/>
      <c r="G439" s="44"/>
      <c r="H439" s="44"/>
      <c r="I439" s="44"/>
      <c r="J439" s="8"/>
      <c r="K439" s="8"/>
    </row>
    <row r="440" spans="1:11" x14ac:dyDescent="0.25">
      <c r="A440" s="44"/>
      <c r="B440" s="44"/>
      <c r="C440" s="44"/>
      <c r="D440" s="44"/>
      <c r="E440" s="44"/>
      <c r="F440" s="44"/>
      <c r="G440" s="44"/>
      <c r="H440" s="44"/>
      <c r="I440" s="44"/>
      <c r="J440" s="8"/>
      <c r="K440" s="8"/>
    </row>
    <row r="441" spans="1:11" x14ac:dyDescent="0.25">
      <c r="A441" s="44"/>
      <c r="B441" s="44"/>
      <c r="C441" s="44"/>
      <c r="D441" s="44"/>
      <c r="E441" s="44"/>
      <c r="F441" s="44"/>
      <c r="G441" s="44"/>
      <c r="H441" s="44"/>
      <c r="I441" s="44"/>
      <c r="J441" s="8"/>
      <c r="K441" s="8"/>
    </row>
    <row r="442" spans="1:11" x14ac:dyDescent="0.25">
      <c r="A442" s="44"/>
      <c r="B442" s="44"/>
      <c r="C442" s="44"/>
      <c r="D442" s="44"/>
      <c r="E442" s="44"/>
      <c r="F442" s="44"/>
      <c r="G442" s="44"/>
      <c r="H442" s="44"/>
      <c r="I442" s="44"/>
      <c r="J442" s="8"/>
      <c r="K442" s="8"/>
    </row>
    <row r="443" spans="1:11" x14ac:dyDescent="0.25">
      <c r="A443" s="44"/>
      <c r="B443" s="44"/>
      <c r="C443" s="44"/>
      <c r="D443" s="44"/>
      <c r="E443" s="44"/>
      <c r="F443" s="44"/>
      <c r="G443" s="44"/>
      <c r="H443" s="44"/>
      <c r="I443" s="44"/>
      <c r="J443" s="8"/>
      <c r="K443" s="8"/>
    </row>
    <row r="444" spans="1:11" x14ac:dyDescent="0.25">
      <c r="A444" s="44"/>
      <c r="B444" s="44"/>
      <c r="C444" s="44"/>
      <c r="D444" s="44"/>
      <c r="E444" s="44"/>
      <c r="F444" s="44"/>
      <c r="G444" s="44"/>
      <c r="H444" s="44"/>
      <c r="I444" s="44"/>
      <c r="J444" s="8"/>
      <c r="K444" s="8"/>
    </row>
    <row r="445" spans="1:11" x14ac:dyDescent="0.25">
      <c r="A445" s="44"/>
      <c r="B445" s="44"/>
      <c r="C445" s="44"/>
      <c r="D445" s="44"/>
      <c r="E445" s="44"/>
      <c r="F445" s="44"/>
      <c r="G445" s="44"/>
      <c r="H445" s="44"/>
      <c r="I445" s="44"/>
      <c r="J445" s="8"/>
      <c r="K445" s="8"/>
    </row>
    <row r="446" spans="1:11" x14ac:dyDescent="0.25">
      <c r="A446" s="44"/>
      <c r="B446" s="44"/>
      <c r="C446" s="44"/>
      <c r="D446" s="44"/>
      <c r="E446" s="44"/>
      <c r="F446" s="44"/>
      <c r="G446" s="44"/>
      <c r="H446" s="44"/>
      <c r="I446" s="44"/>
      <c r="J446" s="8"/>
      <c r="K446" s="8"/>
    </row>
    <row r="447" spans="1:11" x14ac:dyDescent="0.25">
      <c r="A447" s="44"/>
      <c r="B447" s="44"/>
      <c r="C447" s="44"/>
      <c r="D447" s="44"/>
      <c r="E447" s="44"/>
      <c r="F447" s="44"/>
      <c r="G447" s="44"/>
      <c r="H447" s="44"/>
      <c r="I447" s="44"/>
      <c r="J447" s="8"/>
      <c r="K447" s="8"/>
    </row>
    <row r="448" spans="1:11" x14ac:dyDescent="0.25">
      <c r="A448" s="44"/>
      <c r="B448" s="44"/>
      <c r="C448" s="44"/>
      <c r="D448" s="44"/>
      <c r="E448" s="44"/>
      <c r="F448" s="44"/>
      <c r="G448" s="44"/>
      <c r="H448" s="44"/>
      <c r="I448" s="44"/>
      <c r="J448" s="8"/>
      <c r="K448" s="8"/>
    </row>
    <row r="449" spans="1:11" x14ac:dyDescent="0.25">
      <c r="A449" s="44"/>
      <c r="B449" s="44"/>
      <c r="C449" s="44"/>
      <c r="D449" s="44"/>
      <c r="E449" s="44"/>
      <c r="F449" s="44"/>
      <c r="G449" s="44"/>
      <c r="H449" s="44"/>
      <c r="I449" s="44"/>
      <c r="J449" s="8"/>
      <c r="K449" s="8"/>
    </row>
    <row r="450" spans="1:11" x14ac:dyDescent="0.25">
      <c r="A450" s="44"/>
      <c r="B450" s="44"/>
      <c r="C450" s="44"/>
      <c r="D450" s="44"/>
      <c r="E450" s="44"/>
      <c r="F450" s="44"/>
      <c r="G450" s="44"/>
      <c r="H450" s="44"/>
      <c r="I450" s="44"/>
      <c r="J450" s="8"/>
      <c r="K450" s="8"/>
    </row>
    <row r="451" spans="1:11" x14ac:dyDescent="0.25">
      <c r="A451" s="44"/>
      <c r="B451" s="44"/>
      <c r="C451" s="44"/>
      <c r="D451" s="44"/>
      <c r="E451" s="44"/>
      <c r="F451" s="44"/>
      <c r="G451" s="44"/>
      <c r="H451" s="44"/>
      <c r="I451" s="44"/>
      <c r="J451" s="8"/>
      <c r="K451" s="8"/>
    </row>
    <row r="452" spans="1:11" x14ac:dyDescent="0.25">
      <c r="A452" s="44"/>
      <c r="B452" s="44"/>
      <c r="C452" s="44"/>
      <c r="D452" s="44"/>
      <c r="E452" s="44"/>
      <c r="F452" s="44"/>
      <c r="G452" s="44"/>
      <c r="H452" s="44"/>
      <c r="I452" s="44"/>
      <c r="J452" s="8"/>
      <c r="K452" s="8"/>
    </row>
    <row r="453" spans="1:11" x14ac:dyDescent="0.25">
      <c r="A453" s="44"/>
      <c r="B453" s="44"/>
      <c r="C453" s="44"/>
      <c r="D453" s="44"/>
      <c r="E453" s="44"/>
      <c r="F453" s="44"/>
      <c r="G453" s="44"/>
      <c r="H453" s="44"/>
      <c r="I453" s="44"/>
      <c r="J453" s="8"/>
      <c r="K453" s="8"/>
    </row>
    <row r="454" spans="1:11" x14ac:dyDescent="0.25">
      <c r="A454" s="44"/>
      <c r="B454" s="44"/>
      <c r="C454" s="44"/>
      <c r="D454" s="44"/>
      <c r="E454" s="44"/>
      <c r="F454" s="44"/>
      <c r="G454" s="44"/>
      <c r="H454" s="44"/>
      <c r="I454" s="44"/>
      <c r="J454" s="8"/>
      <c r="K454" s="8"/>
    </row>
    <row r="455" spans="1:11" x14ac:dyDescent="0.25">
      <c r="A455" s="44"/>
      <c r="B455" s="44"/>
      <c r="C455" s="44"/>
      <c r="D455" s="44"/>
      <c r="E455" s="44"/>
      <c r="F455" s="44"/>
      <c r="G455" s="44"/>
      <c r="H455" s="44"/>
      <c r="I455" s="44"/>
      <c r="J455" s="8"/>
      <c r="K455" s="8"/>
    </row>
    <row r="456" spans="1:11" x14ac:dyDescent="0.25">
      <c r="A456" s="44"/>
      <c r="B456" s="44"/>
      <c r="C456" s="44"/>
      <c r="D456" s="44"/>
      <c r="E456" s="44"/>
      <c r="F456" s="44"/>
      <c r="G456" s="44"/>
      <c r="H456" s="44"/>
      <c r="I456" s="44"/>
      <c r="J456" s="8"/>
      <c r="K456" s="8"/>
    </row>
    <row r="457" spans="1:11" x14ac:dyDescent="0.25">
      <c r="A457" s="44"/>
      <c r="B457" s="44"/>
      <c r="C457" s="44"/>
      <c r="D457" s="44"/>
      <c r="E457" s="44"/>
      <c r="F457" s="44"/>
      <c r="G457" s="44"/>
      <c r="H457" s="44"/>
      <c r="I457" s="44"/>
      <c r="J457" s="8"/>
      <c r="K457" s="8"/>
    </row>
    <row r="458" spans="1:11" x14ac:dyDescent="0.25">
      <c r="A458" s="44"/>
      <c r="B458" s="44"/>
      <c r="C458" s="44"/>
      <c r="D458" s="44"/>
      <c r="E458" s="44"/>
      <c r="F458" s="44"/>
      <c r="G458" s="44"/>
      <c r="H458" s="44"/>
      <c r="I458" s="44"/>
      <c r="J458" s="8"/>
      <c r="K458" s="8"/>
    </row>
    <row r="459" spans="1:11" x14ac:dyDescent="0.25">
      <c r="A459" s="44"/>
      <c r="B459" s="44"/>
      <c r="C459" s="44"/>
      <c r="D459" s="44"/>
      <c r="E459" s="44"/>
      <c r="F459" s="44"/>
      <c r="G459" s="44"/>
      <c r="H459" s="44"/>
      <c r="I459" s="44"/>
      <c r="J459" s="8"/>
      <c r="K459" s="8"/>
    </row>
    <row r="460" spans="1:11" x14ac:dyDescent="0.25">
      <c r="A460" s="44"/>
      <c r="B460" s="44"/>
      <c r="C460" s="44"/>
      <c r="D460" s="44"/>
      <c r="E460" s="44"/>
      <c r="F460" s="44"/>
      <c r="G460" s="44"/>
      <c r="H460" s="44"/>
      <c r="I460" s="44"/>
      <c r="J460" s="8"/>
      <c r="K460" s="8"/>
    </row>
    <row r="461" spans="1:11" x14ac:dyDescent="0.25">
      <c r="A461" s="44"/>
      <c r="B461" s="44"/>
      <c r="C461" s="44"/>
      <c r="D461" s="44"/>
      <c r="E461" s="44"/>
      <c r="F461" s="44"/>
      <c r="G461" s="44"/>
      <c r="H461" s="44"/>
      <c r="I461" s="44"/>
      <c r="J461" s="8"/>
      <c r="K461" s="8"/>
    </row>
    <row r="462" spans="1:11" x14ac:dyDescent="0.25">
      <c r="A462" s="44"/>
      <c r="B462" s="44"/>
      <c r="C462" s="44"/>
      <c r="D462" s="44"/>
      <c r="E462" s="44"/>
      <c r="F462" s="44"/>
      <c r="G462" s="44"/>
      <c r="H462" s="44"/>
      <c r="I462" s="44"/>
      <c r="J462" s="8"/>
      <c r="K462" s="8"/>
    </row>
    <row r="463" spans="1:11" x14ac:dyDescent="0.25">
      <c r="A463" s="44"/>
      <c r="B463" s="44"/>
      <c r="C463" s="44"/>
      <c r="D463" s="44"/>
      <c r="E463" s="44"/>
      <c r="F463" s="44"/>
      <c r="G463" s="44"/>
      <c r="H463" s="44"/>
      <c r="I463" s="44"/>
      <c r="J463" s="8"/>
      <c r="K463" s="8"/>
    </row>
    <row r="464" spans="1:11" x14ac:dyDescent="0.25">
      <c r="A464" s="44"/>
      <c r="B464" s="44"/>
      <c r="C464" s="44"/>
      <c r="D464" s="44"/>
      <c r="E464" s="44"/>
      <c r="F464" s="44"/>
      <c r="G464" s="44"/>
      <c r="H464" s="44"/>
      <c r="I464" s="44"/>
      <c r="J464" s="8"/>
      <c r="K464" s="8"/>
    </row>
    <row r="465" spans="1:11" x14ac:dyDescent="0.25">
      <c r="A465" s="44"/>
      <c r="B465" s="44"/>
      <c r="C465" s="44"/>
      <c r="D465" s="44"/>
      <c r="E465" s="44"/>
      <c r="F465" s="44"/>
      <c r="G465" s="44"/>
      <c r="H465" s="44"/>
      <c r="I465" s="44"/>
      <c r="J465" s="8"/>
      <c r="K465" s="8"/>
    </row>
    <row r="466" spans="1:11" x14ac:dyDescent="0.25">
      <c r="A466" s="44"/>
      <c r="B466" s="44"/>
      <c r="C466" s="44"/>
      <c r="D466" s="44"/>
      <c r="E466" s="44"/>
      <c r="F466" s="44"/>
      <c r="G466" s="44"/>
      <c r="H466" s="44"/>
      <c r="I466" s="44"/>
      <c r="J466" s="8"/>
      <c r="K466" s="8"/>
    </row>
    <row r="467" spans="1:11" x14ac:dyDescent="0.25">
      <c r="A467" s="44"/>
      <c r="B467" s="44"/>
      <c r="C467" s="44"/>
      <c r="D467" s="44"/>
      <c r="E467" s="44"/>
      <c r="F467" s="44"/>
      <c r="G467" s="44"/>
      <c r="H467" s="44"/>
      <c r="I467" s="44"/>
      <c r="J467" s="8"/>
      <c r="K467" s="8"/>
    </row>
    <row r="468" spans="1:11" x14ac:dyDescent="0.25">
      <c r="A468" s="44"/>
      <c r="B468" s="44"/>
      <c r="C468" s="44"/>
      <c r="D468" s="44"/>
      <c r="E468" s="44"/>
      <c r="F468" s="44"/>
      <c r="G468" s="44"/>
      <c r="H468" s="44"/>
      <c r="I468" s="44"/>
      <c r="J468" s="8"/>
      <c r="K468" s="8"/>
    </row>
    <row r="469" spans="1:11" x14ac:dyDescent="0.25">
      <c r="A469" s="44"/>
      <c r="B469" s="44"/>
      <c r="C469" s="44"/>
      <c r="D469" s="44"/>
      <c r="E469" s="44"/>
      <c r="F469" s="44"/>
      <c r="G469" s="44"/>
      <c r="H469" s="44"/>
      <c r="I469" s="44"/>
      <c r="J469" s="8"/>
      <c r="K469" s="8"/>
    </row>
    <row r="470" spans="1:11" x14ac:dyDescent="0.25">
      <c r="A470" s="44"/>
      <c r="B470" s="44"/>
      <c r="C470" s="44"/>
      <c r="D470" s="44"/>
      <c r="E470" s="44"/>
      <c r="F470" s="44"/>
      <c r="G470" s="44"/>
      <c r="H470" s="44"/>
      <c r="I470" s="44"/>
      <c r="J470" s="8"/>
      <c r="K470" s="8"/>
    </row>
    <row r="471" spans="1:11" x14ac:dyDescent="0.25">
      <c r="A471" s="44"/>
      <c r="B471" s="44"/>
      <c r="C471" s="44"/>
      <c r="D471" s="44"/>
      <c r="E471" s="44"/>
      <c r="F471" s="44"/>
      <c r="G471" s="44"/>
      <c r="H471" s="44"/>
      <c r="I471" s="44"/>
      <c r="J471" s="8"/>
      <c r="K471" s="8"/>
    </row>
    <row r="472" spans="1:11" x14ac:dyDescent="0.25">
      <c r="A472" s="44"/>
      <c r="B472" s="44"/>
      <c r="C472" s="44"/>
      <c r="D472" s="44"/>
      <c r="E472" s="44"/>
      <c r="F472" s="44"/>
      <c r="G472" s="44"/>
      <c r="H472" s="44"/>
      <c r="I472" s="44"/>
      <c r="J472" s="8"/>
      <c r="K472" s="8"/>
    </row>
    <row r="473" spans="1:11" x14ac:dyDescent="0.25">
      <c r="A473" s="44"/>
      <c r="B473" s="44"/>
      <c r="C473" s="44"/>
      <c r="D473" s="44"/>
      <c r="E473" s="44"/>
      <c r="F473" s="44"/>
      <c r="G473" s="44"/>
      <c r="H473" s="44"/>
      <c r="I473" s="44"/>
      <c r="J473" s="8"/>
      <c r="K473" s="8"/>
    </row>
    <row r="474" spans="1:11" x14ac:dyDescent="0.25">
      <c r="A474" s="44"/>
      <c r="B474" s="44"/>
      <c r="C474" s="44"/>
      <c r="D474" s="44"/>
      <c r="E474" s="44"/>
      <c r="F474" s="44"/>
      <c r="G474" s="44"/>
      <c r="H474" s="44"/>
      <c r="I474" s="44"/>
      <c r="J474" s="8"/>
      <c r="K474" s="8"/>
    </row>
    <row r="475" spans="1:11" x14ac:dyDescent="0.25">
      <c r="A475" s="44"/>
      <c r="B475" s="44"/>
      <c r="C475" s="44"/>
      <c r="D475" s="44"/>
      <c r="E475" s="44"/>
      <c r="F475" s="44"/>
      <c r="G475" s="44"/>
      <c r="H475" s="44"/>
      <c r="I475" s="44"/>
      <c r="J475" s="8"/>
      <c r="K475" s="8"/>
    </row>
    <row r="476" spans="1:11" x14ac:dyDescent="0.25">
      <c r="A476" s="44"/>
      <c r="B476" s="44"/>
      <c r="C476" s="44"/>
      <c r="D476" s="44"/>
      <c r="E476" s="44"/>
      <c r="F476" s="44"/>
      <c r="G476" s="44"/>
      <c r="H476" s="44"/>
      <c r="I476" s="44"/>
      <c r="J476" s="8"/>
      <c r="K476" s="8"/>
    </row>
    <row r="477" spans="1:11" x14ac:dyDescent="0.25">
      <c r="A477" s="44"/>
      <c r="B477" s="44"/>
      <c r="C477" s="44"/>
      <c r="D477" s="44"/>
      <c r="E477" s="44"/>
      <c r="F477" s="44"/>
      <c r="G477" s="44"/>
      <c r="H477" s="44"/>
      <c r="I477" s="44"/>
      <c r="J477" s="8"/>
      <c r="K477" s="8"/>
    </row>
    <row r="478" spans="1:11" x14ac:dyDescent="0.25">
      <c r="A478" s="44"/>
      <c r="B478" s="44"/>
      <c r="C478" s="44"/>
      <c r="D478" s="44"/>
      <c r="E478" s="44"/>
      <c r="F478" s="44"/>
      <c r="G478" s="44"/>
      <c r="H478" s="44"/>
      <c r="I478" s="44"/>
      <c r="J478" s="8"/>
      <c r="K478" s="8"/>
    </row>
    <row r="479" spans="1:11" x14ac:dyDescent="0.25">
      <c r="A479" s="44"/>
      <c r="B479" s="44"/>
      <c r="C479" s="44"/>
      <c r="D479" s="44"/>
      <c r="E479" s="44"/>
      <c r="F479" s="44"/>
      <c r="G479" s="44"/>
      <c r="H479" s="44"/>
      <c r="I479" s="44"/>
      <c r="J479" s="8"/>
      <c r="K479" s="8"/>
    </row>
    <row r="480" spans="1:11" x14ac:dyDescent="0.25">
      <c r="A480" s="44"/>
      <c r="B480" s="44"/>
      <c r="C480" s="44"/>
      <c r="D480" s="44"/>
      <c r="E480" s="44"/>
      <c r="F480" s="44"/>
      <c r="G480" s="44"/>
      <c r="H480" s="44"/>
      <c r="I480" s="44"/>
      <c r="J480" s="8"/>
      <c r="K480" s="8"/>
    </row>
    <row r="481" spans="1:11" x14ac:dyDescent="0.25">
      <c r="A481" s="44"/>
      <c r="B481" s="44"/>
      <c r="C481" s="44"/>
      <c r="D481" s="44"/>
      <c r="E481" s="44"/>
      <c r="F481" s="44"/>
      <c r="G481" s="44"/>
      <c r="H481" s="44"/>
      <c r="I481" s="44"/>
      <c r="J481" s="8"/>
      <c r="K481" s="8"/>
    </row>
    <row r="482" spans="1:11" x14ac:dyDescent="0.25">
      <c r="A482" s="44"/>
      <c r="B482" s="44"/>
      <c r="C482" s="44"/>
      <c r="D482" s="44"/>
      <c r="E482" s="44"/>
      <c r="F482" s="44"/>
      <c r="G482" s="44"/>
      <c r="H482" s="44"/>
      <c r="I482" s="44"/>
      <c r="J482" s="8"/>
      <c r="K482" s="8"/>
    </row>
    <row r="483" spans="1:11" x14ac:dyDescent="0.25">
      <c r="A483" s="44"/>
      <c r="B483" s="44"/>
      <c r="C483" s="44"/>
      <c r="D483" s="44"/>
      <c r="E483" s="44"/>
      <c r="F483" s="44"/>
      <c r="G483" s="44"/>
      <c r="H483" s="44"/>
      <c r="I483" s="44"/>
      <c r="J483" s="8"/>
      <c r="K483" s="8"/>
    </row>
    <row r="484" spans="1:11" x14ac:dyDescent="0.25">
      <c r="A484" s="44"/>
      <c r="B484" s="44"/>
      <c r="C484" s="44"/>
      <c r="D484" s="44"/>
      <c r="E484" s="44"/>
      <c r="F484" s="44"/>
      <c r="G484" s="44"/>
      <c r="H484" s="44"/>
      <c r="I484" s="44"/>
      <c r="J484" s="8"/>
      <c r="K484" s="8"/>
    </row>
    <row r="485" spans="1:11" x14ac:dyDescent="0.25">
      <c r="A485" s="44"/>
      <c r="B485" s="44"/>
      <c r="C485" s="44"/>
      <c r="D485" s="44"/>
      <c r="E485" s="44"/>
      <c r="F485" s="44"/>
      <c r="G485" s="44"/>
      <c r="H485" s="44"/>
      <c r="I485" s="44"/>
      <c r="J485" s="8"/>
      <c r="K485" s="8"/>
    </row>
    <row r="486" spans="1:11" x14ac:dyDescent="0.25">
      <c r="A486" s="44"/>
      <c r="B486" s="44"/>
      <c r="C486" s="44"/>
      <c r="D486" s="44"/>
      <c r="E486" s="44"/>
      <c r="F486" s="44"/>
      <c r="G486" s="44"/>
      <c r="H486" s="44"/>
      <c r="I486" s="44"/>
      <c r="J486" s="8"/>
      <c r="K486" s="8"/>
    </row>
    <row r="487" spans="1:11" x14ac:dyDescent="0.25">
      <c r="A487" s="44"/>
      <c r="B487" s="44"/>
      <c r="C487" s="44"/>
      <c r="D487" s="44"/>
      <c r="E487" s="44"/>
      <c r="F487" s="44"/>
      <c r="G487" s="44"/>
      <c r="H487" s="44"/>
      <c r="I487" s="44"/>
      <c r="J487" s="8"/>
      <c r="K487" s="8"/>
    </row>
    <row r="488" spans="1:11" x14ac:dyDescent="0.25">
      <c r="A488" s="44"/>
      <c r="B488" s="44"/>
      <c r="C488" s="44"/>
      <c r="D488" s="44"/>
      <c r="E488" s="44"/>
      <c r="F488" s="44"/>
      <c r="G488" s="44"/>
      <c r="H488" s="44"/>
      <c r="I488" s="44"/>
      <c r="J488" s="8"/>
      <c r="K488" s="8"/>
    </row>
    <row r="489" spans="1:11" x14ac:dyDescent="0.25">
      <c r="A489" s="44"/>
      <c r="B489" s="44"/>
      <c r="C489" s="44"/>
      <c r="D489" s="44"/>
      <c r="E489" s="44"/>
      <c r="F489" s="44"/>
      <c r="G489" s="44"/>
      <c r="H489" s="44"/>
      <c r="I489" s="44"/>
      <c r="J489" s="8"/>
      <c r="K489" s="8"/>
    </row>
    <row r="490" spans="1:11" x14ac:dyDescent="0.25">
      <c r="A490" s="44"/>
      <c r="B490" s="44"/>
      <c r="C490" s="44"/>
      <c r="D490" s="44"/>
      <c r="E490" s="44"/>
      <c r="F490" s="44"/>
      <c r="G490" s="44"/>
      <c r="H490" s="44"/>
      <c r="I490" s="44"/>
      <c r="J490" s="8"/>
      <c r="K490" s="8"/>
    </row>
    <row r="491" spans="1:11" x14ac:dyDescent="0.25">
      <c r="A491" s="44"/>
      <c r="B491" s="44"/>
      <c r="C491" s="44"/>
      <c r="D491" s="44"/>
      <c r="E491" s="44"/>
      <c r="F491" s="44"/>
      <c r="G491" s="44"/>
      <c r="H491" s="44"/>
      <c r="I491" s="44"/>
      <c r="J491" s="8"/>
      <c r="K491" s="8"/>
    </row>
    <row r="492" spans="1:11" x14ac:dyDescent="0.25">
      <c r="A492" s="44"/>
      <c r="B492" s="44"/>
      <c r="C492" s="44"/>
      <c r="D492" s="44"/>
      <c r="E492" s="44"/>
      <c r="F492" s="44"/>
      <c r="G492" s="44"/>
      <c r="H492" s="44"/>
      <c r="I492" s="44"/>
      <c r="J492" s="8"/>
      <c r="K492" s="8"/>
    </row>
    <row r="493" spans="1:11" x14ac:dyDescent="0.25">
      <c r="A493" s="44"/>
      <c r="B493" s="44"/>
      <c r="C493" s="44"/>
      <c r="D493" s="44"/>
      <c r="E493" s="44"/>
      <c r="F493" s="44"/>
      <c r="G493" s="44"/>
      <c r="H493" s="44"/>
      <c r="I493" s="44"/>
      <c r="J493" s="8"/>
      <c r="K493" s="8"/>
    </row>
    <row r="494" spans="1:11" x14ac:dyDescent="0.25">
      <c r="A494" s="44"/>
      <c r="B494" s="44"/>
      <c r="C494" s="44"/>
      <c r="D494" s="44"/>
      <c r="E494" s="44"/>
      <c r="F494" s="44"/>
      <c r="G494" s="44"/>
      <c r="H494" s="44"/>
      <c r="I494" s="44"/>
      <c r="J494" s="8"/>
      <c r="K494" s="8"/>
    </row>
    <row r="495" spans="1:11" x14ac:dyDescent="0.25">
      <c r="A495" s="44"/>
      <c r="B495" s="44"/>
      <c r="C495" s="44"/>
      <c r="D495" s="44"/>
      <c r="E495" s="44"/>
      <c r="F495" s="44"/>
      <c r="G495" s="44"/>
      <c r="H495" s="44"/>
      <c r="I495" s="44"/>
      <c r="J495" s="8"/>
      <c r="K495" s="8"/>
    </row>
    <row r="496" spans="1:11" x14ac:dyDescent="0.25">
      <c r="A496" s="44"/>
      <c r="B496" s="44"/>
      <c r="C496" s="44"/>
      <c r="D496" s="44"/>
      <c r="E496" s="44"/>
      <c r="F496" s="44"/>
      <c r="G496" s="44"/>
      <c r="H496" s="44"/>
      <c r="I496" s="44"/>
      <c r="J496" s="8"/>
      <c r="K496" s="8"/>
    </row>
    <row r="497" spans="1:11" x14ac:dyDescent="0.25">
      <c r="A497" s="44"/>
      <c r="B497" s="44"/>
      <c r="C497" s="44"/>
      <c r="D497" s="44"/>
      <c r="E497" s="44"/>
      <c r="F497" s="44"/>
      <c r="G497" s="44"/>
      <c r="H497" s="44"/>
      <c r="I497" s="44"/>
      <c r="J497" s="8"/>
      <c r="K497" s="8"/>
    </row>
    <row r="498" spans="1:11" x14ac:dyDescent="0.25">
      <c r="A498" s="44"/>
      <c r="B498" s="44"/>
      <c r="C498" s="44"/>
      <c r="D498" s="44"/>
      <c r="E498" s="44"/>
      <c r="F498" s="44"/>
      <c r="G498" s="44"/>
      <c r="H498" s="44"/>
      <c r="I498" s="44"/>
      <c r="J498" s="8"/>
      <c r="K498" s="8"/>
    </row>
    <row r="499" spans="1:11" x14ac:dyDescent="0.25">
      <c r="A499" s="44"/>
      <c r="B499" s="44"/>
      <c r="C499" s="44"/>
      <c r="D499" s="44"/>
      <c r="E499" s="44"/>
      <c r="F499" s="44"/>
      <c r="G499" s="44"/>
      <c r="H499" s="44"/>
      <c r="I499" s="44"/>
      <c r="J499" s="8"/>
      <c r="K499" s="8"/>
    </row>
    <row r="500" spans="1:11" x14ac:dyDescent="0.25">
      <c r="A500" s="44"/>
      <c r="B500" s="44"/>
      <c r="C500" s="44"/>
      <c r="D500" s="44"/>
      <c r="E500" s="44"/>
      <c r="F500" s="44"/>
      <c r="G500" s="44"/>
      <c r="H500" s="44"/>
      <c r="I500" s="44"/>
      <c r="J500" s="8"/>
      <c r="K500" s="8"/>
    </row>
    <row r="501" spans="1:11" x14ac:dyDescent="0.25">
      <c r="A501" s="44"/>
      <c r="B501" s="44"/>
      <c r="C501" s="44"/>
      <c r="D501" s="44"/>
      <c r="E501" s="44"/>
      <c r="F501" s="44"/>
      <c r="G501" s="44"/>
      <c r="H501" s="44"/>
      <c r="I501" s="44"/>
      <c r="J501" s="8"/>
      <c r="K501" s="8"/>
    </row>
    <row r="502" spans="1:11" x14ac:dyDescent="0.25">
      <c r="A502" s="44"/>
      <c r="B502" s="44"/>
      <c r="C502" s="44"/>
      <c r="D502" s="44"/>
      <c r="E502" s="44"/>
      <c r="F502" s="44"/>
      <c r="G502" s="44"/>
      <c r="H502" s="44"/>
      <c r="I502" s="44"/>
      <c r="J502" s="8"/>
      <c r="K502" s="8"/>
    </row>
    <row r="503" spans="1:11" x14ac:dyDescent="0.25">
      <c r="A503" s="44"/>
      <c r="B503" s="44"/>
      <c r="C503" s="44"/>
      <c r="D503" s="44"/>
      <c r="E503" s="44"/>
      <c r="F503" s="44"/>
      <c r="G503" s="44"/>
      <c r="H503" s="44"/>
      <c r="I503" s="44"/>
      <c r="J503" s="8"/>
      <c r="K503" s="8"/>
    </row>
    <row r="504" spans="1:11" x14ac:dyDescent="0.25">
      <c r="A504" s="44"/>
      <c r="B504" s="44"/>
      <c r="C504" s="44"/>
      <c r="D504" s="44"/>
      <c r="E504" s="44"/>
      <c r="F504" s="44"/>
      <c r="G504" s="44"/>
      <c r="H504" s="44"/>
      <c r="I504" s="44"/>
      <c r="J504" s="8"/>
      <c r="K504" s="8"/>
    </row>
    <row r="505" spans="1:11" x14ac:dyDescent="0.25">
      <c r="A505" s="44"/>
      <c r="B505" s="44"/>
      <c r="C505" s="44"/>
      <c r="D505" s="44"/>
      <c r="E505" s="44"/>
      <c r="F505" s="44"/>
      <c r="G505" s="44"/>
      <c r="H505" s="44"/>
      <c r="I505" s="44"/>
      <c r="J505" s="8"/>
      <c r="K505" s="8"/>
    </row>
    <row r="506" spans="1:11" x14ac:dyDescent="0.25">
      <c r="A506" s="44"/>
      <c r="B506" s="44"/>
      <c r="C506" s="44"/>
      <c r="D506" s="44"/>
      <c r="E506" s="44"/>
      <c r="F506" s="44"/>
      <c r="G506" s="44"/>
      <c r="H506" s="44"/>
      <c r="I506" s="44"/>
      <c r="J506" s="8"/>
      <c r="K506" s="8"/>
    </row>
    <row r="507" spans="1:11" x14ac:dyDescent="0.25">
      <c r="A507" s="44"/>
      <c r="B507" s="44"/>
      <c r="C507" s="44"/>
      <c r="D507" s="44"/>
      <c r="E507" s="44"/>
      <c r="F507" s="44"/>
      <c r="G507" s="44"/>
      <c r="H507" s="44"/>
      <c r="I507" s="44"/>
      <c r="J507" s="8"/>
      <c r="K507" s="8"/>
    </row>
    <row r="508" spans="1:11" x14ac:dyDescent="0.25">
      <c r="A508" s="44"/>
      <c r="B508" s="44"/>
      <c r="C508" s="44"/>
      <c r="D508" s="44"/>
      <c r="E508" s="44"/>
      <c r="F508" s="44"/>
      <c r="G508" s="44"/>
      <c r="H508" s="44"/>
      <c r="I508" s="44"/>
      <c r="J508" s="8"/>
      <c r="K508" s="8"/>
    </row>
    <row r="509" spans="1:11" x14ac:dyDescent="0.25">
      <c r="A509" s="44"/>
      <c r="B509" s="44"/>
      <c r="C509" s="44"/>
      <c r="D509" s="44"/>
      <c r="E509" s="44"/>
      <c r="F509" s="44"/>
      <c r="G509" s="44"/>
      <c r="H509" s="44"/>
      <c r="I509" s="44"/>
      <c r="J509" s="8"/>
      <c r="K509" s="8"/>
    </row>
    <row r="510" spans="1:11" x14ac:dyDescent="0.25">
      <c r="A510" s="44"/>
      <c r="B510" s="44"/>
      <c r="C510" s="44"/>
      <c r="D510" s="44"/>
      <c r="E510" s="44"/>
      <c r="F510" s="44"/>
      <c r="G510" s="44"/>
      <c r="H510" s="44"/>
      <c r="I510" s="44"/>
      <c r="J510" s="8"/>
      <c r="K510" s="8"/>
    </row>
    <row r="511" spans="1:11" x14ac:dyDescent="0.25">
      <c r="A511" s="44"/>
      <c r="B511" s="44"/>
      <c r="C511" s="44"/>
      <c r="D511" s="44"/>
      <c r="E511" s="44"/>
      <c r="F511" s="44"/>
      <c r="G511" s="44"/>
      <c r="H511" s="44"/>
      <c r="I511" s="44"/>
      <c r="J511" s="8"/>
      <c r="K511" s="8"/>
    </row>
    <row r="512" spans="1:11" x14ac:dyDescent="0.25">
      <c r="A512" s="44"/>
      <c r="B512" s="44"/>
      <c r="C512" s="44"/>
      <c r="D512" s="44"/>
      <c r="E512" s="44"/>
      <c r="F512" s="44"/>
      <c r="G512" s="44"/>
      <c r="H512" s="44"/>
      <c r="I512" s="44"/>
      <c r="J512" s="8"/>
      <c r="K512" s="8"/>
    </row>
    <row r="513" spans="1:11" x14ac:dyDescent="0.25">
      <c r="A513" s="44"/>
      <c r="B513" s="44"/>
      <c r="C513" s="44"/>
      <c r="D513" s="44"/>
      <c r="E513" s="44"/>
      <c r="F513" s="44"/>
      <c r="G513" s="44"/>
      <c r="H513" s="44"/>
      <c r="I513" s="44"/>
      <c r="J513" s="8"/>
      <c r="K513" s="8"/>
    </row>
    <row r="514" spans="1:11" x14ac:dyDescent="0.25">
      <c r="A514" s="44"/>
      <c r="B514" s="44"/>
      <c r="C514" s="44"/>
      <c r="D514" s="44"/>
      <c r="E514" s="44"/>
      <c r="F514" s="44"/>
      <c r="G514" s="44"/>
      <c r="H514" s="44"/>
      <c r="I514" s="44"/>
      <c r="J514" s="8"/>
      <c r="K514" s="8"/>
    </row>
    <row r="515" spans="1:11" x14ac:dyDescent="0.25">
      <c r="A515" s="44"/>
      <c r="B515" s="44"/>
      <c r="C515" s="44"/>
      <c r="D515" s="44"/>
      <c r="E515" s="44"/>
      <c r="F515" s="44"/>
      <c r="G515" s="44"/>
      <c r="H515" s="44"/>
      <c r="I515" s="44"/>
      <c r="J515" s="8"/>
      <c r="K515" s="8"/>
    </row>
    <row r="516" spans="1:11" x14ac:dyDescent="0.25">
      <c r="A516" s="44"/>
      <c r="B516" s="44"/>
      <c r="C516" s="44"/>
      <c r="D516" s="44"/>
      <c r="E516" s="44"/>
      <c r="F516" s="44"/>
      <c r="G516" s="44"/>
      <c r="H516" s="44"/>
      <c r="I516" s="44"/>
      <c r="J516" s="8"/>
      <c r="K516" s="8"/>
    </row>
    <row r="517" spans="1:11" x14ac:dyDescent="0.25">
      <c r="A517" s="44"/>
      <c r="B517" s="44"/>
      <c r="C517" s="44"/>
      <c r="D517" s="44"/>
      <c r="E517" s="44"/>
      <c r="F517" s="44"/>
      <c r="G517" s="44"/>
      <c r="H517" s="44"/>
      <c r="I517" s="44"/>
      <c r="J517" s="8"/>
      <c r="K517" s="8"/>
    </row>
    <row r="518" spans="1:11" x14ac:dyDescent="0.25">
      <c r="A518" s="44"/>
      <c r="B518" s="44"/>
      <c r="C518" s="44"/>
      <c r="D518" s="44"/>
      <c r="E518" s="44"/>
      <c r="F518" s="44"/>
      <c r="G518" s="44"/>
      <c r="H518" s="44"/>
      <c r="I518" s="44"/>
      <c r="J518" s="8"/>
      <c r="K518" s="8"/>
    </row>
    <row r="519" spans="1:11" x14ac:dyDescent="0.25">
      <c r="A519" s="44"/>
      <c r="B519" s="44"/>
      <c r="C519" s="44"/>
      <c r="D519" s="44"/>
      <c r="E519" s="44"/>
      <c r="F519" s="44"/>
      <c r="G519" s="44"/>
      <c r="H519" s="44"/>
      <c r="I519" s="44"/>
      <c r="J519" s="8"/>
      <c r="K519" s="8"/>
    </row>
    <row r="520" spans="1:11" x14ac:dyDescent="0.25">
      <c r="A520" s="44"/>
      <c r="B520" s="44"/>
      <c r="C520" s="44"/>
      <c r="D520" s="44"/>
      <c r="E520" s="44"/>
      <c r="F520" s="44"/>
      <c r="G520" s="44"/>
      <c r="H520" s="44"/>
      <c r="I520" s="44"/>
      <c r="J520" s="8"/>
      <c r="K520" s="8"/>
    </row>
    <row r="521" spans="1:11" x14ac:dyDescent="0.25">
      <c r="A521" s="44"/>
      <c r="B521" s="44"/>
      <c r="C521" s="44"/>
      <c r="D521" s="44"/>
      <c r="E521" s="44"/>
      <c r="F521" s="44"/>
      <c r="G521" s="44"/>
      <c r="H521" s="44"/>
      <c r="I521" s="44"/>
      <c r="J521" s="8"/>
      <c r="K521" s="8"/>
    </row>
    <row r="522" spans="1:11" x14ac:dyDescent="0.25">
      <c r="A522" s="44"/>
      <c r="B522" s="44"/>
      <c r="C522" s="44"/>
      <c r="D522" s="44"/>
      <c r="E522" s="44"/>
      <c r="F522" s="44"/>
      <c r="G522" s="44"/>
      <c r="H522" s="44"/>
      <c r="I522" s="44"/>
      <c r="J522" s="8"/>
      <c r="K522" s="8"/>
    </row>
    <row r="523" spans="1:11" x14ac:dyDescent="0.25">
      <c r="A523" s="44"/>
      <c r="B523" s="44"/>
      <c r="C523" s="44"/>
      <c r="D523" s="44"/>
      <c r="E523" s="44"/>
      <c r="F523" s="44"/>
      <c r="G523" s="44"/>
      <c r="H523" s="44"/>
      <c r="I523" s="44"/>
      <c r="J523" s="8"/>
      <c r="K523" s="8"/>
    </row>
    <row r="524" spans="1:11" x14ac:dyDescent="0.25">
      <c r="A524" s="44"/>
      <c r="B524" s="44"/>
      <c r="C524" s="44"/>
      <c r="D524" s="44"/>
      <c r="E524" s="44"/>
      <c r="F524" s="44"/>
      <c r="G524" s="44"/>
      <c r="H524" s="44"/>
      <c r="I524" s="44"/>
      <c r="J524" s="8"/>
      <c r="K524" s="8"/>
    </row>
    <row r="525" spans="1:11" x14ac:dyDescent="0.25">
      <c r="A525" s="44"/>
      <c r="B525" s="44"/>
      <c r="C525" s="44"/>
      <c r="D525" s="44"/>
      <c r="E525" s="44"/>
      <c r="F525" s="44"/>
      <c r="G525" s="44"/>
      <c r="H525" s="44"/>
      <c r="I525" s="44"/>
      <c r="J525" s="8"/>
      <c r="K525" s="8"/>
    </row>
    <row r="526" spans="1:11" x14ac:dyDescent="0.25">
      <c r="A526" s="44"/>
      <c r="B526" s="44"/>
      <c r="C526" s="44"/>
      <c r="D526" s="44"/>
      <c r="E526" s="44"/>
      <c r="F526" s="44"/>
      <c r="G526" s="44"/>
      <c r="H526" s="44"/>
      <c r="I526" s="44"/>
      <c r="J526" s="8"/>
      <c r="K526" s="8"/>
    </row>
    <row r="527" spans="1:11" x14ac:dyDescent="0.25">
      <c r="A527" s="44"/>
      <c r="B527" s="44"/>
      <c r="C527" s="44"/>
      <c r="D527" s="44"/>
      <c r="E527" s="44"/>
      <c r="F527" s="44"/>
      <c r="G527" s="44"/>
      <c r="H527" s="44"/>
      <c r="I527" s="44"/>
      <c r="J527" s="8"/>
      <c r="K527" s="8"/>
    </row>
    <row r="528" spans="1:11" x14ac:dyDescent="0.25">
      <c r="A528" s="44"/>
      <c r="B528" s="44"/>
      <c r="C528" s="44"/>
      <c r="D528" s="44"/>
      <c r="E528" s="44"/>
      <c r="F528" s="44"/>
      <c r="G528" s="44"/>
      <c r="H528" s="44"/>
      <c r="I528" s="44"/>
      <c r="J528" s="8"/>
      <c r="K528" s="8"/>
    </row>
    <row r="529" spans="1:11" x14ac:dyDescent="0.25">
      <c r="A529" s="44"/>
      <c r="B529" s="44"/>
      <c r="C529" s="44"/>
      <c r="D529" s="44"/>
      <c r="E529" s="44"/>
      <c r="F529" s="44"/>
      <c r="G529" s="44"/>
      <c r="H529" s="44"/>
      <c r="I529" s="44"/>
      <c r="J529" s="8"/>
      <c r="K529" s="8"/>
    </row>
    <row r="530" spans="1:11" x14ac:dyDescent="0.25">
      <c r="A530" s="44"/>
      <c r="B530" s="44"/>
      <c r="C530" s="44"/>
      <c r="D530" s="44"/>
      <c r="E530" s="44"/>
      <c r="F530" s="44"/>
      <c r="G530" s="44"/>
      <c r="H530" s="44"/>
      <c r="I530" s="44"/>
      <c r="J530" s="8"/>
      <c r="K530" s="8"/>
    </row>
    <row r="531" spans="1:11" x14ac:dyDescent="0.25">
      <c r="A531" s="44"/>
      <c r="B531" s="44"/>
      <c r="C531" s="44"/>
      <c r="D531" s="44"/>
      <c r="E531" s="44"/>
      <c r="F531" s="44"/>
      <c r="G531" s="44"/>
      <c r="H531" s="44"/>
      <c r="I531" s="44"/>
      <c r="J531" s="8"/>
      <c r="K531" s="8"/>
    </row>
    <row r="532" spans="1:11" x14ac:dyDescent="0.25">
      <c r="A532" s="44"/>
      <c r="B532" s="44"/>
      <c r="C532" s="44"/>
      <c r="D532" s="44"/>
      <c r="E532" s="44"/>
      <c r="F532" s="44"/>
      <c r="G532" s="44"/>
      <c r="H532" s="44"/>
      <c r="I532" s="44"/>
      <c r="J532" s="8"/>
      <c r="K532" s="8"/>
    </row>
    <row r="533" spans="1:11" x14ac:dyDescent="0.25">
      <c r="A533" s="44"/>
      <c r="B533" s="44"/>
      <c r="C533" s="44"/>
      <c r="D533" s="44"/>
      <c r="E533" s="44"/>
      <c r="F533" s="44"/>
      <c r="G533" s="44"/>
      <c r="H533" s="44"/>
      <c r="I533" s="44"/>
      <c r="J533" s="8"/>
      <c r="K533" s="8"/>
    </row>
    <row r="534" spans="1:11" x14ac:dyDescent="0.25">
      <c r="A534" s="44"/>
      <c r="B534" s="44"/>
      <c r="C534" s="44"/>
      <c r="D534" s="44"/>
      <c r="E534" s="44"/>
      <c r="F534" s="44"/>
      <c r="G534" s="44"/>
      <c r="H534" s="44"/>
      <c r="I534" s="44"/>
      <c r="J534" s="8"/>
      <c r="K534" s="8"/>
    </row>
    <row r="535" spans="1:11" x14ac:dyDescent="0.25">
      <c r="A535" s="44"/>
      <c r="B535" s="44"/>
      <c r="C535" s="44"/>
      <c r="D535" s="44"/>
      <c r="E535" s="44"/>
      <c r="F535" s="44"/>
      <c r="G535" s="44"/>
      <c r="H535" s="44"/>
      <c r="I535" s="44"/>
      <c r="J535" s="8"/>
      <c r="K535" s="8"/>
    </row>
    <row r="536" spans="1:11" x14ac:dyDescent="0.25">
      <c r="A536" s="44"/>
      <c r="B536" s="44"/>
      <c r="C536" s="44"/>
      <c r="D536" s="44"/>
      <c r="E536" s="44"/>
      <c r="F536" s="44"/>
      <c r="G536" s="44"/>
      <c r="H536" s="44"/>
      <c r="I536" s="44"/>
      <c r="J536" s="8"/>
      <c r="K536" s="8"/>
    </row>
    <row r="537" spans="1:11" x14ac:dyDescent="0.25">
      <c r="A537" s="44"/>
      <c r="B537" s="44"/>
      <c r="C537" s="44"/>
      <c r="D537" s="44"/>
      <c r="E537" s="44"/>
      <c r="F537" s="44"/>
      <c r="G537" s="44"/>
      <c r="H537" s="44"/>
      <c r="I537" s="44"/>
      <c r="J537" s="8"/>
      <c r="K537" s="8"/>
    </row>
    <row r="538" spans="1:11" x14ac:dyDescent="0.25">
      <c r="A538" s="44"/>
      <c r="B538" s="44"/>
      <c r="C538" s="44"/>
      <c r="D538" s="44"/>
      <c r="E538" s="44"/>
      <c r="F538" s="44"/>
      <c r="G538" s="44"/>
      <c r="H538" s="44"/>
      <c r="I538" s="44"/>
      <c r="J538" s="8"/>
      <c r="K538" s="8"/>
    </row>
    <row r="539" spans="1:11" x14ac:dyDescent="0.25">
      <c r="A539" s="44"/>
      <c r="B539" s="44"/>
      <c r="C539" s="44"/>
      <c r="D539" s="44"/>
      <c r="E539" s="44"/>
      <c r="F539" s="44"/>
      <c r="G539" s="44"/>
      <c r="H539" s="44"/>
      <c r="I539" s="44"/>
      <c r="J539" s="8"/>
      <c r="K539" s="8"/>
    </row>
    <row r="540" spans="1:11" x14ac:dyDescent="0.25">
      <c r="A540" s="44"/>
      <c r="B540" s="44"/>
      <c r="C540" s="44"/>
      <c r="D540" s="44"/>
      <c r="E540" s="44"/>
      <c r="F540" s="44"/>
      <c r="G540" s="44"/>
      <c r="H540" s="44"/>
      <c r="I540" s="44"/>
      <c r="J540" s="8"/>
      <c r="K540" s="8"/>
    </row>
    <row r="541" spans="1:11" x14ac:dyDescent="0.25">
      <c r="A541" s="44"/>
      <c r="B541" s="44"/>
      <c r="C541" s="44"/>
      <c r="D541" s="44"/>
      <c r="E541" s="44"/>
      <c r="F541" s="44"/>
      <c r="G541" s="44"/>
      <c r="H541" s="44"/>
      <c r="I541" s="44"/>
      <c r="J541" s="8"/>
      <c r="K541" s="8"/>
    </row>
    <row r="542" spans="1:11" x14ac:dyDescent="0.25">
      <c r="A542" s="44"/>
      <c r="B542" s="44"/>
      <c r="C542" s="44"/>
      <c r="D542" s="44"/>
      <c r="E542" s="44"/>
      <c r="F542" s="44"/>
      <c r="G542" s="44"/>
      <c r="H542" s="44"/>
      <c r="I542" s="44"/>
      <c r="J542" s="8"/>
      <c r="K542" s="8"/>
    </row>
    <row r="543" spans="1:11" x14ac:dyDescent="0.25">
      <c r="A543" s="44"/>
      <c r="B543" s="44"/>
      <c r="C543" s="44"/>
      <c r="D543" s="44"/>
      <c r="E543" s="44"/>
      <c r="F543" s="44"/>
      <c r="G543" s="44"/>
      <c r="H543" s="44"/>
      <c r="I543" s="44"/>
      <c r="J543" s="8"/>
      <c r="K543" s="8"/>
    </row>
    <row r="544" spans="1:11" x14ac:dyDescent="0.25">
      <c r="A544" s="44"/>
      <c r="B544" s="44"/>
      <c r="C544" s="44"/>
      <c r="D544" s="44"/>
      <c r="E544" s="44"/>
      <c r="F544" s="44"/>
      <c r="G544" s="44"/>
      <c r="H544" s="44"/>
      <c r="I544" s="44"/>
      <c r="J544" s="8"/>
      <c r="K544" s="8"/>
    </row>
    <row r="545" spans="1:11" x14ac:dyDescent="0.25">
      <c r="A545" s="44"/>
      <c r="B545" s="44"/>
      <c r="C545" s="44"/>
      <c r="D545" s="44"/>
      <c r="E545" s="44"/>
      <c r="F545" s="44"/>
      <c r="G545" s="44"/>
      <c r="H545" s="44"/>
      <c r="I545" s="44"/>
      <c r="J545" s="8"/>
      <c r="K545" s="8"/>
    </row>
    <row r="546" spans="1:11" x14ac:dyDescent="0.25">
      <c r="A546" s="44"/>
      <c r="B546" s="44"/>
      <c r="C546" s="44"/>
      <c r="D546" s="44"/>
      <c r="E546" s="44"/>
      <c r="F546" s="44"/>
      <c r="G546" s="44"/>
      <c r="H546" s="44"/>
      <c r="I546" s="44"/>
      <c r="J546" s="8"/>
      <c r="K546" s="8"/>
    </row>
    <row r="547" spans="1:11" x14ac:dyDescent="0.25">
      <c r="A547" s="44"/>
      <c r="B547" s="44"/>
      <c r="C547" s="44"/>
      <c r="D547" s="44"/>
      <c r="E547" s="44"/>
      <c r="F547" s="44"/>
      <c r="G547" s="44"/>
      <c r="H547" s="44"/>
      <c r="I547" s="44"/>
      <c r="J547" s="8"/>
      <c r="K547" s="8"/>
    </row>
    <row r="548" spans="1:11" x14ac:dyDescent="0.25">
      <c r="A548" s="44"/>
      <c r="B548" s="44"/>
      <c r="C548" s="44"/>
      <c r="D548" s="44"/>
      <c r="E548" s="44"/>
      <c r="F548" s="44"/>
      <c r="G548" s="44"/>
      <c r="H548" s="44"/>
      <c r="I548" s="44"/>
      <c r="J548" s="8"/>
      <c r="K548" s="8"/>
    </row>
    <row r="549" spans="1:11" x14ac:dyDescent="0.25">
      <c r="A549" s="44"/>
      <c r="B549" s="44"/>
      <c r="C549" s="44"/>
      <c r="D549" s="44"/>
      <c r="E549" s="44"/>
      <c r="F549" s="44"/>
      <c r="G549" s="44"/>
      <c r="H549" s="44"/>
      <c r="I549" s="44"/>
      <c r="J549" s="8"/>
      <c r="K549" s="8"/>
    </row>
    <row r="550" spans="1:11" x14ac:dyDescent="0.25">
      <c r="A550" s="44"/>
      <c r="B550" s="44"/>
      <c r="C550" s="44"/>
      <c r="D550" s="44"/>
      <c r="E550" s="44"/>
      <c r="F550" s="44"/>
      <c r="G550" s="44"/>
      <c r="H550" s="44"/>
      <c r="I550" s="44"/>
      <c r="J550" s="8"/>
      <c r="K550" s="8"/>
    </row>
    <row r="551" spans="1:11" x14ac:dyDescent="0.25">
      <c r="A551" s="44"/>
      <c r="B551" s="44"/>
      <c r="C551" s="44"/>
      <c r="D551" s="44"/>
      <c r="E551" s="44"/>
      <c r="F551" s="44"/>
      <c r="G551" s="44"/>
      <c r="H551" s="44"/>
      <c r="I551" s="44"/>
      <c r="J551" s="8"/>
      <c r="K551" s="8"/>
    </row>
    <row r="552" spans="1:11" x14ac:dyDescent="0.25">
      <c r="A552" s="44"/>
      <c r="B552" s="44"/>
      <c r="C552" s="44"/>
      <c r="D552" s="44"/>
      <c r="E552" s="44"/>
      <c r="F552" s="44"/>
      <c r="G552" s="44"/>
      <c r="H552" s="44"/>
      <c r="I552" s="44"/>
      <c r="J552" s="8"/>
      <c r="K552" s="8"/>
    </row>
    <row r="553" spans="1:11" x14ac:dyDescent="0.25">
      <c r="A553" s="44"/>
      <c r="B553" s="44"/>
      <c r="C553" s="44"/>
      <c r="D553" s="44"/>
      <c r="E553" s="44"/>
      <c r="F553" s="44"/>
      <c r="G553" s="44"/>
      <c r="H553" s="44"/>
      <c r="I553" s="44"/>
      <c r="J553" s="8"/>
      <c r="K553" s="8"/>
    </row>
    <row r="554" spans="1:11" x14ac:dyDescent="0.25">
      <c r="A554" s="44"/>
      <c r="B554" s="44"/>
      <c r="C554" s="44"/>
      <c r="D554" s="44"/>
      <c r="E554" s="44"/>
      <c r="F554" s="44"/>
      <c r="G554" s="44"/>
      <c r="H554" s="44"/>
      <c r="I554" s="44"/>
      <c r="J554" s="8"/>
      <c r="K554" s="8"/>
    </row>
    <row r="555" spans="1:11" x14ac:dyDescent="0.25">
      <c r="A555" s="44"/>
      <c r="B555" s="44"/>
      <c r="C555" s="44"/>
      <c r="D555" s="44"/>
      <c r="E555" s="44"/>
      <c r="F555" s="44"/>
      <c r="G555" s="44"/>
      <c r="H555" s="44"/>
      <c r="I555" s="44"/>
      <c r="J555" s="8"/>
      <c r="K555" s="8"/>
    </row>
    <row r="556" spans="1:11" x14ac:dyDescent="0.25">
      <c r="A556" s="44"/>
      <c r="B556" s="44"/>
      <c r="C556" s="44"/>
      <c r="D556" s="44"/>
      <c r="E556" s="44"/>
      <c r="F556" s="44"/>
      <c r="G556" s="44"/>
      <c r="H556" s="44"/>
      <c r="I556" s="44"/>
      <c r="J556" s="8"/>
      <c r="K556" s="8"/>
    </row>
    <row r="557" spans="1:11" x14ac:dyDescent="0.25">
      <c r="A557" s="44"/>
      <c r="B557" s="44"/>
      <c r="C557" s="44"/>
      <c r="D557" s="44"/>
      <c r="E557" s="44"/>
      <c r="F557" s="44"/>
      <c r="G557" s="44"/>
      <c r="H557" s="44"/>
      <c r="I557" s="44"/>
      <c r="J557" s="8"/>
      <c r="K557" s="8"/>
    </row>
    <row r="558" spans="1:11" x14ac:dyDescent="0.25">
      <c r="A558" s="44"/>
      <c r="B558" s="44"/>
      <c r="C558" s="44"/>
      <c r="D558" s="44"/>
      <c r="E558" s="44"/>
      <c r="F558" s="44"/>
      <c r="G558" s="44"/>
      <c r="H558" s="44"/>
      <c r="I558" s="44"/>
      <c r="J558" s="8"/>
      <c r="K558" s="8"/>
    </row>
    <row r="559" spans="1:11" x14ac:dyDescent="0.25">
      <c r="A559" s="44"/>
      <c r="B559" s="44"/>
      <c r="C559" s="44"/>
      <c r="D559" s="44"/>
      <c r="E559" s="44"/>
      <c r="F559" s="44"/>
      <c r="G559" s="44"/>
      <c r="H559" s="44"/>
      <c r="I559" s="44"/>
      <c r="J559" s="8"/>
      <c r="K559" s="8"/>
    </row>
    <row r="560" spans="1:11" x14ac:dyDescent="0.25">
      <c r="A560" s="44"/>
      <c r="B560" s="44"/>
      <c r="C560" s="44"/>
      <c r="D560" s="44"/>
      <c r="E560" s="44"/>
      <c r="F560" s="44"/>
      <c r="G560" s="44"/>
      <c r="H560" s="44"/>
      <c r="I560" s="44"/>
      <c r="J560" s="8"/>
      <c r="K560" s="8"/>
    </row>
    <row r="561" spans="1:11" x14ac:dyDescent="0.25">
      <c r="A561" s="44"/>
      <c r="B561" s="44"/>
      <c r="C561" s="44"/>
      <c r="D561" s="44"/>
      <c r="E561" s="44"/>
      <c r="F561" s="44"/>
      <c r="G561" s="44"/>
      <c r="H561" s="44"/>
      <c r="I561" s="44"/>
      <c r="J561" s="8"/>
      <c r="K561" s="8"/>
    </row>
    <row r="562" spans="1:11" x14ac:dyDescent="0.25">
      <c r="A562" s="44"/>
      <c r="B562" s="44"/>
      <c r="C562" s="44"/>
      <c r="D562" s="44"/>
      <c r="E562" s="44"/>
      <c r="F562" s="44"/>
      <c r="G562" s="44"/>
      <c r="H562" s="44"/>
      <c r="I562" s="44"/>
      <c r="J562" s="8"/>
      <c r="K562" s="8"/>
    </row>
    <row r="563" spans="1:11" x14ac:dyDescent="0.25">
      <c r="A563" s="44"/>
      <c r="B563" s="44"/>
      <c r="C563" s="44"/>
      <c r="D563" s="44"/>
      <c r="E563" s="44"/>
      <c r="F563" s="44"/>
      <c r="G563" s="44"/>
      <c r="H563" s="44"/>
      <c r="I563" s="44"/>
      <c r="J563" s="8"/>
      <c r="K563" s="8"/>
    </row>
    <row r="564" spans="1:11" x14ac:dyDescent="0.25">
      <c r="A564" s="44"/>
      <c r="B564" s="44"/>
      <c r="C564" s="44"/>
      <c r="D564" s="44"/>
      <c r="E564" s="44"/>
      <c r="F564" s="44"/>
      <c r="G564" s="44"/>
      <c r="H564" s="44"/>
      <c r="I564" s="44"/>
      <c r="J564" s="8"/>
      <c r="K564" s="8"/>
    </row>
    <row r="565" spans="1:11" x14ac:dyDescent="0.25">
      <c r="A565" s="44"/>
      <c r="B565" s="44"/>
      <c r="C565" s="44"/>
      <c r="D565" s="44"/>
      <c r="E565" s="44"/>
      <c r="F565" s="44"/>
      <c r="G565" s="44"/>
      <c r="H565" s="44"/>
      <c r="I565" s="44"/>
      <c r="J565" s="8"/>
      <c r="K565" s="8"/>
    </row>
    <row r="566" spans="1:11" x14ac:dyDescent="0.25">
      <c r="A566" s="44"/>
      <c r="B566" s="44"/>
      <c r="C566" s="44"/>
      <c r="D566" s="44"/>
      <c r="E566" s="44"/>
      <c r="F566" s="44"/>
      <c r="G566" s="44"/>
      <c r="H566" s="44"/>
      <c r="I566" s="44"/>
      <c r="J566" s="8"/>
      <c r="K566" s="8"/>
    </row>
    <row r="567" spans="1:11" x14ac:dyDescent="0.25">
      <c r="A567" s="44"/>
      <c r="B567" s="44"/>
      <c r="C567" s="44"/>
      <c r="D567" s="44"/>
      <c r="E567" s="44"/>
      <c r="F567" s="44"/>
      <c r="G567" s="44"/>
      <c r="H567" s="44"/>
      <c r="I567" s="44"/>
      <c r="J567" s="8"/>
      <c r="K567" s="8"/>
    </row>
    <row r="568" spans="1:11" x14ac:dyDescent="0.25">
      <c r="A568" s="44"/>
      <c r="B568" s="44"/>
      <c r="C568" s="44"/>
      <c r="D568" s="44"/>
      <c r="E568" s="44"/>
      <c r="F568" s="44"/>
      <c r="G568" s="44"/>
      <c r="H568" s="44"/>
      <c r="I568" s="44"/>
      <c r="J568" s="8"/>
      <c r="K568" s="8"/>
    </row>
    <row r="569" spans="1:11" x14ac:dyDescent="0.25">
      <c r="A569" s="44"/>
      <c r="B569" s="44"/>
      <c r="C569" s="44"/>
      <c r="D569" s="44"/>
      <c r="E569" s="44"/>
      <c r="F569" s="44"/>
      <c r="G569" s="44"/>
      <c r="H569" s="44"/>
      <c r="I569" s="44"/>
      <c r="J569" s="8"/>
      <c r="K569" s="8"/>
    </row>
    <row r="570" spans="1:11" x14ac:dyDescent="0.25">
      <c r="A570" s="44"/>
      <c r="B570" s="44"/>
      <c r="C570" s="44"/>
      <c r="D570" s="44"/>
      <c r="E570" s="44"/>
      <c r="F570" s="44"/>
      <c r="G570" s="44"/>
      <c r="H570" s="44"/>
      <c r="I570" s="44"/>
      <c r="J570" s="8"/>
      <c r="K570" s="8"/>
    </row>
    <row r="571" spans="1:11" x14ac:dyDescent="0.25">
      <c r="A571" s="44"/>
      <c r="B571" s="44"/>
      <c r="C571" s="44"/>
      <c r="D571" s="44"/>
      <c r="E571" s="44"/>
      <c r="F571" s="44"/>
      <c r="G571" s="44"/>
      <c r="H571" s="44"/>
      <c r="I571" s="44"/>
      <c r="J571" s="8"/>
      <c r="K571" s="8"/>
    </row>
    <row r="572" spans="1:11" x14ac:dyDescent="0.25">
      <c r="A572" s="44"/>
      <c r="B572" s="44"/>
      <c r="C572" s="44"/>
      <c r="D572" s="44"/>
      <c r="E572" s="44"/>
      <c r="F572" s="44"/>
      <c r="G572" s="44"/>
      <c r="H572" s="44"/>
      <c r="I572" s="44"/>
      <c r="J572" s="8"/>
      <c r="K572" s="8"/>
    </row>
    <row r="573" spans="1:11" x14ac:dyDescent="0.25">
      <c r="A573" s="44"/>
      <c r="B573" s="44"/>
      <c r="C573" s="44"/>
      <c r="D573" s="44"/>
      <c r="E573" s="44"/>
      <c r="F573" s="44"/>
      <c r="G573" s="44"/>
      <c r="H573" s="44"/>
      <c r="I573" s="44"/>
      <c r="J573" s="8"/>
      <c r="K573" s="8"/>
    </row>
    <row r="574" spans="1:11" x14ac:dyDescent="0.25">
      <c r="A574" s="44"/>
      <c r="B574" s="44"/>
      <c r="C574" s="44"/>
      <c r="D574" s="44"/>
      <c r="E574" s="44"/>
      <c r="F574" s="44"/>
      <c r="G574" s="44"/>
      <c r="H574" s="44"/>
      <c r="I574" s="44"/>
      <c r="J574" s="8"/>
      <c r="K574" s="8"/>
    </row>
    <row r="575" spans="1:11" x14ac:dyDescent="0.25">
      <c r="A575" s="44"/>
      <c r="B575" s="44"/>
      <c r="C575" s="44"/>
      <c r="D575" s="44"/>
      <c r="E575" s="44"/>
      <c r="F575" s="44"/>
      <c r="G575" s="44"/>
      <c r="H575" s="44"/>
      <c r="I575" s="44"/>
      <c r="J575" s="8"/>
      <c r="K575" s="8"/>
    </row>
    <row r="576" spans="1:11" x14ac:dyDescent="0.25">
      <c r="A576" s="44"/>
      <c r="B576" s="44"/>
      <c r="C576" s="44"/>
      <c r="D576" s="44"/>
      <c r="E576" s="44"/>
      <c r="F576" s="44"/>
      <c r="G576" s="44"/>
      <c r="H576" s="44"/>
      <c r="I576" s="44"/>
      <c r="J576" s="8"/>
      <c r="K576" s="8"/>
    </row>
    <row r="577" spans="1:11" x14ac:dyDescent="0.25">
      <c r="A577" s="44"/>
      <c r="B577" s="44"/>
      <c r="C577" s="44"/>
      <c r="D577" s="44"/>
      <c r="E577" s="44"/>
      <c r="F577" s="44"/>
      <c r="G577" s="44"/>
      <c r="H577" s="44"/>
      <c r="I577" s="44"/>
      <c r="J577" s="8"/>
      <c r="K577" s="8"/>
    </row>
    <row r="578" spans="1:11" x14ac:dyDescent="0.25">
      <c r="A578" s="44"/>
      <c r="B578" s="44"/>
      <c r="C578" s="44"/>
      <c r="D578" s="44"/>
      <c r="E578" s="44"/>
      <c r="F578" s="44"/>
      <c r="G578" s="44"/>
      <c r="H578" s="44"/>
      <c r="I578" s="44"/>
      <c r="J578" s="8"/>
      <c r="K578" s="8"/>
    </row>
    <row r="579" spans="1:11" x14ac:dyDescent="0.25">
      <c r="A579" s="44"/>
      <c r="B579" s="44"/>
      <c r="C579" s="44"/>
      <c r="D579" s="44"/>
      <c r="E579" s="44"/>
      <c r="F579" s="44"/>
      <c r="G579" s="44"/>
      <c r="H579" s="44"/>
      <c r="I579" s="44"/>
      <c r="J579" s="8"/>
      <c r="K579" s="8"/>
    </row>
    <row r="580" spans="1:11" x14ac:dyDescent="0.25">
      <c r="A580" s="44"/>
      <c r="B580" s="44"/>
      <c r="C580" s="44"/>
      <c r="D580" s="44"/>
      <c r="E580" s="44"/>
      <c r="F580" s="44"/>
      <c r="G580" s="44"/>
      <c r="H580" s="44"/>
      <c r="I580" s="44"/>
      <c r="J580" s="8"/>
      <c r="K580" s="8"/>
    </row>
    <row r="581" spans="1:11" x14ac:dyDescent="0.25">
      <c r="A581" s="44"/>
      <c r="B581" s="44"/>
      <c r="C581" s="44"/>
      <c r="D581" s="44"/>
      <c r="E581" s="44"/>
      <c r="F581" s="44"/>
      <c r="G581" s="44"/>
      <c r="H581" s="44"/>
      <c r="I581" s="44"/>
      <c r="J581" s="8"/>
      <c r="K581" s="8"/>
    </row>
    <row r="582" spans="1:11" x14ac:dyDescent="0.25">
      <c r="A582" s="44"/>
      <c r="B582" s="44"/>
      <c r="C582" s="44"/>
      <c r="D582" s="44"/>
      <c r="E582" s="44"/>
      <c r="F582" s="44"/>
      <c r="G582" s="44"/>
      <c r="H582" s="44"/>
      <c r="I582" s="44"/>
      <c r="J582" s="8"/>
      <c r="K582" s="8"/>
    </row>
    <row r="583" spans="1:11" x14ac:dyDescent="0.25">
      <c r="A583" s="44"/>
      <c r="B583" s="44"/>
      <c r="C583" s="44"/>
      <c r="D583" s="44"/>
      <c r="E583" s="44"/>
      <c r="F583" s="44"/>
      <c r="G583" s="44"/>
      <c r="H583" s="44"/>
      <c r="I583" s="44"/>
      <c r="J583" s="8"/>
      <c r="K583" s="8"/>
    </row>
    <row r="584" spans="1:11" x14ac:dyDescent="0.25">
      <c r="A584" s="44"/>
      <c r="B584" s="44"/>
      <c r="C584" s="44"/>
      <c r="D584" s="44"/>
      <c r="E584" s="44"/>
      <c r="F584" s="44"/>
      <c r="G584" s="44"/>
      <c r="H584" s="44"/>
      <c r="I584" s="44"/>
      <c r="J584" s="8"/>
      <c r="K584" s="8"/>
    </row>
    <row r="585" spans="1:11" x14ac:dyDescent="0.25">
      <c r="A585" s="44"/>
      <c r="B585" s="44"/>
      <c r="C585" s="44"/>
      <c r="D585" s="44"/>
      <c r="E585" s="44"/>
      <c r="F585" s="44"/>
      <c r="G585" s="44"/>
      <c r="H585" s="44"/>
      <c r="I585" s="44"/>
      <c r="J585" s="8"/>
      <c r="K585" s="8"/>
    </row>
    <row r="586" spans="1:11" x14ac:dyDescent="0.25">
      <c r="A586" s="44"/>
      <c r="B586" s="44"/>
      <c r="C586" s="44"/>
      <c r="D586" s="44"/>
      <c r="E586" s="44"/>
      <c r="F586" s="44"/>
      <c r="G586" s="44"/>
      <c r="H586" s="44"/>
      <c r="I586" s="44"/>
      <c r="J586" s="8"/>
      <c r="K586" s="8"/>
    </row>
    <row r="587" spans="1:11" x14ac:dyDescent="0.25">
      <c r="A587" s="44"/>
      <c r="B587" s="44"/>
      <c r="C587" s="44"/>
      <c r="D587" s="44"/>
      <c r="E587" s="44"/>
      <c r="F587" s="44"/>
      <c r="G587" s="44"/>
      <c r="H587" s="44"/>
      <c r="I587" s="44"/>
      <c r="J587" s="8"/>
      <c r="K587" s="8"/>
    </row>
    <row r="588" spans="1:11" x14ac:dyDescent="0.25">
      <c r="A588" s="44"/>
      <c r="B588" s="44"/>
      <c r="C588" s="44"/>
      <c r="D588" s="44"/>
      <c r="E588" s="44"/>
      <c r="F588" s="44"/>
      <c r="G588" s="44"/>
      <c r="H588" s="44"/>
      <c r="I588" s="44"/>
      <c r="J588" s="8"/>
      <c r="K588" s="8"/>
    </row>
    <row r="589" spans="1:11" x14ac:dyDescent="0.25">
      <c r="A589" s="44"/>
      <c r="B589" s="44"/>
      <c r="C589" s="44"/>
      <c r="D589" s="44"/>
      <c r="E589" s="44"/>
      <c r="F589" s="44"/>
      <c r="G589" s="44"/>
      <c r="H589" s="44"/>
      <c r="I589" s="44"/>
      <c r="J589" s="8"/>
      <c r="K589" s="8"/>
    </row>
    <row r="590" spans="1:11" x14ac:dyDescent="0.25">
      <c r="A590" s="44"/>
      <c r="B590" s="44"/>
      <c r="C590" s="44"/>
      <c r="D590" s="44"/>
      <c r="E590" s="44"/>
      <c r="F590" s="44"/>
      <c r="G590" s="44"/>
      <c r="H590" s="44"/>
      <c r="I590" s="44"/>
      <c r="J590" s="8"/>
      <c r="K590" s="8"/>
    </row>
    <row r="591" spans="1:11" x14ac:dyDescent="0.25">
      <c r="A591" s="44"/>
      <c r="B591" s="44"/>
      <c r="C591" s="44"/>
      <c r="D591" s="44"/>
      <c r="E591" s="44"/>
      <c r="F591" s="44"/>
      <c r="G591" s="44"/>
      <c r="H591" s="44"/>
      <c r="I591" s="44"/>
      <c r="J591" s="8"/>
      <c r="K591" s="8"/>
    </row>
    <row r="592" spans="1:11" x14ac:dyDescent="0.25">
      <c r="A592" s="44"/>
      <c r="B592" s="44"/>
      <c r="C592" s="44"/>
      <c r="D592" s="44"/>
      <c r="E592" s="44"/>
      <c r="F592" s="44"/>
      <c r="G592" s="44"/>
      <c r="H592" s="44"/>
      <c r="I592" s="44"/>
      <c r="J592" s="8"/>
      <c r="K592" s="8"/>
    </row>
    <row r="593" spans="1:11" x14ac:dyDescent="0.25">
      <c r="A593" s="44"/>
      <c r="B593" s="44"/>
      <c r="C593" s="44"/>
      <c r="D593" s="44"/>
      <c r="E593" s="44"/>
      <c r="F593" s="44"/>
      <c r="G593" s="44"/>
      <c r="H593" s="44"/>
      <c r="I593" s="44"/>
      <c r="J593" s="8"/>
      <c r="K593" s="8"/>
    </row>
    <row r="594" spans="1:11" x14ac:dyDescent="0.25">
      <c r="A594" s="44"/>
      <c r="B594" s="44"/>
      <c r="C594" s="44"/>
      <c r="D594" s="44"/>
      <c r="E594" s="44"/>
      <c r="F594" s="44"/>
      <c r="G594" s="44"/>
      <c r="H594" s="44"/>
      <c r="I594" s="44"/>
      <c r="J594" s="8"/>
      <c r="K594" s="8"/>
    </row>
    <row r="595" spans="1:11" x14ac:dyDescent="0.25">
      <c r="A595" s="44"/>
      <c r="B595" s="44"/>
      <c r="C595" s="44"/>
      <c r="D595" s="44"/>
      <c r="E595" s="44"/>
      <c r="F595" s="44"/>
      <c r="G595" s="44"/>
      <c r="H595" s="44"/>
      <c r="I595" s="44"/>
      <c r="J595" s="8"/>
      <c r="K595" s="8"/>
    </row>
    <row r="596" spans="1:11" x14ac:dyDescent="0.25">
      <c r="A596" s="44"/>
      <c r="B596" s="44"/>
      <c r="C596" s="44"/>
      <c r="D596" s="44"/>
      <c r="E596" s="44"/>
      <c r="F596" s="44"/>
      <c r="G596" s="44"/>
      <c r="H596" s="44"/>
      <c r="I596" s="44"/>
      <c r="J596" s="8"/>
      <c r="K596" s="8"/>
    </row>
    <row r="597" spans="1:11" x14ac:dyDescent="0.25">
      <c r="A597" s="44"/>
      <c r="B597" s="44"/>
      <c r="C597" s="44"/>
      <c r="D597" s="44"/>
      <c r="E597" s="44"/>
      <c r="F597" s="44"/>
      <c r="G597" s="44"/>
      <c r="H597" s="44"/>
      <c r="I597" s="44"/>
      <c r="J597" s="8"/>
      <c r="K597" s="8"/>
    </row>
    <row r="598" spans="1:11" x14ac:dyDescent="0.25">
      <c r="A598" s="44"/>
      <c r="B598" s="44"/>
      <c r="C598" s="44"/>
      <c r="D598" s="44"/>
      <c r="E598" s="44"/>
      <c r="F598" s="44"/>
      <c r="G598" s="44"/>
      <c r="H598" s="44"/>
      <c r="I598" s="44"/>
      <c r="J598" s="8"/>
      <c r="K598" s="8"/>
    </row>
    <row r="599" spans="1:11" x14ac:dyDescent="0.25">
      <c r="A599" s="44"/>
      <c r="B599" s="44"/>
      <c r="C599" s="44"/>
      <c r="D599" s="44"/>
      <c r="E599" s="44"/>
      <c r="F599" s="44"/>
      <c r="G599" s="44"/>
      <c r="H599" s="44"/>
      <c r="I599" s="44"/>
      <c r="J599" s="8"/>
      <c r="K599" s="8"/>
    </row>
    <row r="600" spans="1:11" x14ac:dyDescent="0.25">
      <c r="A600" s="44"/>
      <c r="B600" s="44"/>
      <c r="C600" s="44"/>
      <c r="D600" s="44"/>
      <c r="E600" s="44"/>
      <c r="F600" s="44"/>
      <c r="G600" s="44"/>
      <c r="H600" s="44"/>
      <c r="I600" s="44"/>
      <c r="J600" s="8"/>
      <c r="K600" s="8"/>
    </row>
    <row r="601" spans="1:11" x14ac:dyDescent="0.25">
      <c r="A601" s="44"/>
      <c r="B601" s="44"/>
      <c r="C601" s="44"/>
      <c r="D601" s="44"/>
      <c r="E601" s="44"/>
      <c r="F601" s="44"/>
      <c r="G601" s="44"/>
      <c r="H601" s="44"/>
      <c r="I601" s="44"/>
      <c r="J601" s="8"/>
      <c r="K601" s="8"/>
    </row>
    <row r="602" spans="1:11" x14ac:dyDescent="0.25">
      <c r="A602" s="44"/>
      <c r="B602" s="44"/>
      <c r="C602" s="44"/>
      <c r="D602" s="44"/>
      <c r="E602" s="44"/>
      <c r="F602" s="44"/>
      <c r="G602" s="44"/>
      <c r="H602" s="44"/>
      <c r="I602" s="44"/>
      <c r="J602" s="8"/>
      <c r="K602" s="8"/>
    </row>
    <row r="603" spans="1:11" x14ac:dyDescent="0.25">
      <c r="A603" s="44"/>
      <c r="B603" s="44"/>
      <c r="C603" s="44"/>
      <c r="D603" s="44"/>
      <c r="E603" s="44"/>
      <c r="F603" s="44"/>
      <c r="G603" s="44"/>
      <c r="H603" s="44"/>
      <c r="I603" s="44"/>
      <c r="J603" s="8"/>
      <c r="K603" s="8"/>
    </row>
    <row r="604" spans="1:11" x14ac:dyDescent="0.25">
      <c r="A604" s="44"/>
      <c r="B604" s="44"/>
      <c r="C604" s="44"/>
      <c r="D604" s="44"/>
      <c r="E604" s="44"/>
      <c r="F604" s="44"/>
      <c r="G604" s="44"/>
      <c r="H604" s="44"/>
      <c r="I604" s="44"/>
      <c r="J604" s="8"/>
      <c r="K604" s="8"/>
    </row>
    <row r="605" spans="1:11" x14ac:dyDescent="0.25">
      <c r="A605" s="44"/>
      <c r="B605" s="44"/>
      <c r="C605" s="44"/>
      <c r="D605" s="44"/>
      <c r="E605" s="44"/>
      <c r="F605" s="44"/>
      <c r="G605" s="44"/>
      <c r="H605" s="44"/>
      <c r="I605" s="44"/>
      <c r="J605" s="8"/>
      <c r="K605" s="8"/>
    </row>
    <row r="606" spans="1:11" x14ac:dyDescent="0.25">
      <c r="A606" s="44"/>
      <c r="B606" s="44"/>
      <c r="C606" s="44"/>
      <c r="D606" s="44"/>
      <c r="E606" s="44"/>
      <c r="F606" s="44"/>
      <c r="G606" s="44"/>
      <c r="H606" s="44"/>
      <c r="I606" s="44"/>
      <c r="J606" s="8"/>
      <c r="K606" s="8"/>
    </row>
    <row r="607" spans="1:11" x14ac:dyDescent="0.25">
      <c r="A607" s="44"/>
      <c r="B607" s="44"/>
      <c r="C607" s="44"/>
      <c r="D607" s="44"/>
      <c r="E607" s="44"/>
      <c r="F607" s="44"/>
      <c r="G607" s="44"/>
      <c r="H607" s="44"/>
      <c r="I607" s="44"/>
      <c r="J607" s="8"/>
      <c r="K607" s="8"/>
    </row>
    <row r="608" spans="1:11" x14ac:dyDescent="0.25">
      <c r="A608" s="44"/>
      <c r="B608" s="44"/>
      <c r="C608" s="44"/>
      <c r="D608" s="44"/>
      <c r="E608" s="44"/>
      <c r="F608" s="44"/>
      <c r="G608" s="44"/>
      <c r="H608" s="44"/>
      <c r="I608" s="44"/>
      <c r="J608" s="8"/>
      <c r="K608" s="8"/>
    </row>
    <row r="609" spans="1:11" x14ac:dyDescent="0.25">
      <c r="A609" s="44"/>
      <c r="B609" s="44"/>
      <c r="C609" s="44"/>
      <c r="D609" s="44"/>
      <c r="E609" s="44"/>
      <c r="F609" s="44"/>
      <c r="G609" s="44"/>
      <c r="H609" s="44"/>
      <c r="I609" s="44"/>
      <c r="J609" s="8"/>
      <c r="K609" s="8"/>
    </row>
    <row r="610" spans="1:11" x14ac:dyDescent="0.25">
      <c r="A610" s="44"/>
      <c r="B610" s="44"/>
      <c r="C610" s="44"/>
      <c r="D610" s="44"/>
      <c r="E610" s="44"/>
      <c r="F610" s="44"/>
      <c r="G610" s="44"/>
      <c r="H610" s="44"/>
      <c r="I610" s="44"/>
      <c r="J610" s="8"/>
      <c r="K610" s="8"/>
    </row>
    <row r="611" spans="1:11" x14ac:dyDescent="0.25">
      <c r="A611" s="44"/>
      <c r="B611" s="44"/>
      <c r="C611" s="44"/>
      <c r="D611" s="44"/>
      <c r="E611" s="44"/>
      <c r="F611" s="44"/>
      <c r="G611" s="44"/>
      <c r="H611" s="44"/>
      <c r="I611" s="44"/>
      <c r="J611" s="8"/>
      <c r="K611" s="8"/>
    </row>
    <row r="612" spans="1:11" x14ac:dyDescent="0.25">
      <c r="A612" s="44"/>
      <c r="B612" s="44"/>
      <c r="C612" s="44"/>
      <c r="D612" s="44"/>
      <c r="E612" s="44"/>
      <c r="F612" s="44"/>
      <c r="G612" s="44"/>
      <c r="H612" s="44"/>
      <c r="I612" s="44"/>
      <c r="J612" s="8"/>
      <c r="K612" s="8"/>
    </row>
    <row r="613" spans="1:11" x14ac:dyDescent="0.25">
      <c r="A613" s="44"/>
      <c r="B613" s="44"/>
      <c r="C613" s="44"/>
      <c r="D613" s="44"/>
      <c r="E613" s="44"/>
      <c r="F613" s="44"/>
      <c r="G613" s="44"/>
      <c r="H613" s="44"/>
      <c r="I613" s="44"/>
      <c r="J613" s="8"/>
      <c r="K613" s="8"/>
    </row>
    <row r="614" spans="1:11" x14ac:dyDescent="0.25">
      <c r="A614" s="44"/>
      <c r="B614" s="44"/>
      <c r="C614" s="44"/>
      <c r="D614" s="44"/>
      <c r="E614" s="44"/>
      <c r="F614" s="44"/>
      <c r="G614" s="44"/>
      <c r="H614" s="44"/>
      <c r="I614" s="44"/>
      <c r="J614" s="8"/>
      <c r="K614" s="8"/>
    </row>
    <row r="615" spans="1:11" x14ac:dyDescent="0.25">
      <c r="A615" s="44"/>
      <c r="B615" s="44"/>
      <c r="C615" s="44"/>
      <c r="D615" s="44"/>
      <c r="E615" s="44"/>
      <c r="F615" s="44"/>
      <c r="G615" s="44"/>
      <c r="H615" s="44"/>
      <c r="I615" s="44"/>
      <c r="J615" s="8"/>
      <c r="K615" s="8"/>
    </row>
    <row r="616" spans="1:11" x14ac:dyDescent="0.25">
      <c r="A616" s="44"/>
      <c r="B616" s="44"/>
      <c r="C616" s="44"/>
      <c r="D616" s="44"/>
      <c r="E616" s="44"/>
      <c r="F616" s="44"/>
      <c r="G616" s="44"/>
      <c r="H616" s="44"/>
      <c r="I616" s="44"/>
      <c r="J616" s="8"/>
      <c r="K616" s="8"/>
    </row>
    <row r="617" spans="1:11" x14ac:dyDescent="0.25">
      <c r="A617" s="44"/>
      <c r="B617" s="44"/>
      <c r="C617" s="44"/>
      <c r="D617" s="44"/>
      <c r="E617" s="44"/>
      <c r="F617" s="44"/>
      <c r="G617" s="44"/>
      <c r="H617" s="44"/>
      <c r="I617" s="44"/>
      <c r="J617" s="8"/>
      <c r="K617" s="8"/>
    </row>
    <row r="618" spans="1:11" x14ac:dyDescent="0.25">
      <c r="A618" s="44"/>
      <c r="B618" s="44"/>
      <c r="C618" s="44"/>
      <c r="D618" s="44"/>
      <c r="E618" s="44"/>
      <c r="F618" s="44"/>
      <c r="G618" s="44"/>
      <c r="H618" s="44"/>
      <c r="I618" s="44"/>
      <c r="J618" s="8"/>
      <c r="K618" s="8"/>
    </row>
    <row r="619" spans="1:11" x14ac:dyDescent="0.25">
      <c r="A619" s="44"/>
      <c r="B619" s="44"/>
      <c r="C619" s="44"/>
      <c r="D619" s="44"/>
      <c r="E619" s="44"/>
      <c r="F619" s="44"/>
      <c r="G619" s="44"/>
      <c r="H619" s="44"/>
      <c r="I619" s="44"/>
      <c r="J619" s="8"/>
      <c r="K619" s="8"/>
    </row>
    <row r="620" spans="1:11" x14ac:dyDescent="0.25">
      <c r="A620" s="44"/>
      <c r="B620" s="44"/>
      <c r="C620" s="44"/>
      <c r="D620" s="44"/>
      <c r="E620" s="44"/>
      <c r="F620" s="44"/>
      <c r="G620" s="44"/>
      <c r="H620" s="44"/>
      <c r="I620" s="44"/>
      <c r="J620" s="8"/>
      <c r="K620" s="8"/>
    </row>
    <row r="621" spans="1:11" x14ac:dyDescent="0.25">
      <c r="A621" s="44"/>
      <c r="B621" s="44"/>
      <c r="C621" s="44"/>
      <c r="D621" s="44"/>
      <c r="E621" s="44"/>
      <c r="F621" s="44"/>
      <c r="G621" s="44"/>
      <c r="H621" s="44"/>
      <c r="I621" s="44"/>
      <c r="J621" s="8"/>
      <c r="K621" s="8"/>
    </row>
    <row r="622" spans="1:11" x14ac:dyDescent="0.25">
      <c r="A622" s="44"/>
      <c r="B622" s="44"/>
      <c r="C622" s="44"/>
      <c r="D622" s="44"/>
      <c r="E622" s="44"/>
      <c r="F622" s="44"/>
      <c r="G622" s="44"/>
      <c r="H622" s="44"/>
      <c r="I622" s="44"/>
      <c r="J622" s="8"/>
      <c r="K622" s="8"/>
    </row>
    <row r="623" spans="1:11" x14ac:dyDescent="0.25">
      <c r="A623" s="44"/>
      <c r="B623" s="44"/>
      <c r="C623" s="44"/>
      <c r="D623" s="44"/>
      <c r="E623" s="44"/>
      <c r="F623" s="44"/>
      <c r="G623" s="44"/>
      <c r="H623" s="44"/>
      <c r="I623" s="44"/>
      <c r="J623" s="8"/>
      <c r="K623" s="8"/>
    </row>
    <row r="624" spans="1:11" x14ac:dyDescent="0.25">
      <c r="A624" s="44"/>
      <c r="B624" s="44"/>
      <c r="C624" s="44"/>
      <c r="D624" s="44"/>
      <c r="E624" s="44"/>
      <c r="F624" s="44"/>
      <c r="G624" s="44"/>
      <c r="H624" s="44"/>
      <c r="I624" s="44"/>
      <c r="J624" s="8"/>
      <c r="K624" s="8"/>
    </row>
    <row r="625" spans="1:11" x14ac:dyDescent="0.25">
      <c r="A625" s="44"/>
      <c r="B625" s="44"/>
      <c r="C625" s="44"/>
      <c r="D625" s="44"/>
      <c r="E625" s="44"/>
      <c r="F625" s="44"/>
      <c r="G625" s="44"/>
      <c r="H625" s="44"/>
      <c r="I625" s="44"/>
      <c r="J625" s="8"/>
      <c r="K625" s="8"/>
    </row>
    <row r="626" spans="1:11" x14ac:dyDescent="0.25">
      <c r="A626" s="44"/>
      <c r="B626" s="44"/>
      <c r="C626" s="44"/>
      <c r="D626" s="44"/>
      <c r="E626" s="44"/>
      <c r="F626" s="44"/>
      <c r="G626" s="44"/>
      <c r="H626" s="44"/>
      <c r="I626" s="44"/>
      <c r="J626" s="8"/>
      <c r="K626" s="8"/>
    </row>
    <row r="627" spans="1:11" x14ac:dyDescent="0.25">
      <c r="A627" s="44"/>
      <c r="B627" s="44"/>
      <c r="C627" s="44"/>
      <c r="D627" s="44"/>
      <c r="E627" s="44"/>
      <c r="F627" s="44"/>
      <c r="G627" s="44"/>
      <c r="H627" s="44"/>
      <c r="I627" s="44"/>
      <c r="J627" s="8"/>
      <c r="K627" s="8"/>
    </row>
    <row r="628" spans="1:11" x14ac:dyDescent="0.25">
      <c r="A628" s="44"/>
      <c r="B628" s="44"/>
      <c r="C628" s="44"/>
      <c r="D628" s="44"/>
      <c r="E628" s="44"/>
      <c r="F628" s="44"/>
      <c r="G628" s="44"/>
      <c r="H628" s="44"/>
      <c r="I628" s="44"/>
      <c r="J628" s="8"/>
      <c r="K628" s="8"/>
    </row>
    <row r="629" spans="1:11" x14ac:dyDescent="0.25">
      <c r="A629" s="44"/>
      <c r="B629" s="44"/>
      <c r="C629" s="44"/>
      <c r="D629" s="44"/>
      <c r="E629" s="44"/>
      <c r="F629" s="44"/>
      <c r="G629" s="44"/>
      <c r="H629" s="44"/>
      <c r="I629" s="44"/>
      <c r="J629" s="8"/>
      <c r="K629" s="8"/>
    </row>
    <row r="630" spans="1:11" x14ac:dyDescent="0.25">
      <c r="A630" s="44"/>
      <c r="B630" s="44"/>
      <c r="C630" s="44"/>
      <c r="D630" s="44"/>
      <c r="E630" s="44"/>
      <c r="F630" s="44"/>
      <c r="G630" s="44"/>
      <c r="H630" s="44"/>
      <c r="I630" s="44"/>
      <c r="J630" s="8"/>
      <c r="K630" s="8"/>
    </row>
    <row r="631" spans="1:11" x14ac:dyDescent="0.25">
      <c r="A631" s="44"/>
      <c r="B631" s="44"/>
      <c r="C631" s="44"/>
      <c r="D631" s="44"/>
      <c r="E631" s="44"/>
      <c r="F631" s="44"/>
      <c r="G631" s="44"/>
      <c r="H631" s="44"/>
      <c r="I631" s="44"/>
      <c r="J631" s="8"/>
      <c r="K631" s="8"/>
    </row>
    <row r="632" spans="1:11" x14ac:dyDescent="0.25">
      <c r="A632" s="44"/>
      <c r="B632" s="44"/>
      <c r="C632" s="44"/>
      <c r="D632" s="44"/>
      <c r="E632" s="44"/>
      <c r="F632" s="44"/>
      <c r="G632" s="44"/>
      <c r="H632" s="44"/>
      <c r="I632" s="44"/>
      <c r="J632" s="8"/>
      <c r="K632" s="8"/>
    </row>
    <row r="633" spans="1:11" x14ac:dyDescent="0.25">
      <c r="A633" s="44"/>
      <c r="B633" s="44"/>
      <c r="C633" s="44"/>
      <c r="D633" s="44"/>
      <c r="E633" s="44"/>
      <c r="F633" s="44"/>
      <c r="G633" s="44"/>
      <c r="H633" s="44"/>
      <c r="I633" s="44"/>
      <c r="J633" s="8"/>
      <c r="K633" s="8"/>
    </row>
    <row r="634" spans="1:11" x14ac:dyDescent="0.25">
      <c r="A634" s="44"/>
      <c r="B634" s="44"/>
      <c r="C634" s="44"/>
      <c r="D634" s="44"/>
      <c r="E634" s="44"/>
      <c r="F634" s="44"/>
      <c r="G634" s="44"/>
      <c r="H634" s="44"/>
      <c r="I634" s="44"/>
      <c r="J634" s="8"/>
      <c r="K634" s="8"/>
    </row>
    <row r="635" spans="1:11" x14ac:dyDescent="0.25">
      <c r="A635" s="44"/>
      <c r="B635" s="44"/>
      <c r="C635" s="44"/>
      <c r="D635" s="44"/>
      <c r="E635" s="44"/>
      <c r="F635" s="44"/>
      <c r="G635" s="44"/>
      <c r="H635" s="44"/>
      <c r="I635" s="44"/>
      <c r="J635" s="8"/>
      <c r="K635" s="8"/>
    </row>
    <row r="636" spans="1:11" x14ac:dyDescent="0.25">
      <c r="A636" s="44"/>
      <c r="B636" s="44"/>
      <c r="C636" s="44"/>
      <c r="D636" s="44"/>
      <c r="E636" s="44"/>
      <c r="F636" s="44"/>
      <c r="G636" s="44"/>
      <c r="H636" s="44"/>
      <c r="I636" s="44"/>
      <c r="J636" s="8"/>
      <c r="K636" s="8"/>
    </row>
    <row r="637" spans="1:11" x14ac:dyDescent="0.25">
      <c r="A637" s="44"/>
      <c r="B637" s="44"/>
      <c r="C637" s="44"/>
      <c r="D637" s="44"/>
      <c r="E637" s="44"/>
      <c r="F637" s="44"/>
      <c r="G637" s="44"/>
      <c r="H637" s="44"/>
      <c r="I637" s="44"/>
      <c r="J637" s="8"/>
      <c r="K637" s="8"/>
    </row>
    <row r="638" spans="1:11" x14ac:dyDescent="0.25">
      <c r="A638" s="44"/>
      <c r="B638" s="44"/>
      <c r="C638" s="44"/>
      <c r="D638" s="44"/>
      <c r="E638" s="44"/>
      <c r="F638" s="44"/>
      <c r="G638" s="44"/>
      <c r="H638" s="44"/>
      <c r="I638" s="44"/>
      <c r="J638" s="8"/>
      <c r="K638" s="8"/>
    </row>
    <row r="639" spans="1:11" x14ac:dyDescent="0.25">
      <c r="A639" s="44"/>
      <c r="B639" s="44"/>
      <c r="C639" s="44"/>
      <c r="D639" s="44"/>
      <c r="E639" s="44"/>
      <c r="F639" s="44"/>
      <c r="G639" s="44"/>
      <c r="H639" s="44"/>
      <c r="I639" s="44"/>
      <c r="J639" s="8"/>
      <c r="K639" s="8"/>
    </row>
    <row r="640" spans="1:11" x14ac:dyDescent="0.25">
      <c r="A640" s="44"/>
      <c r="B640" s="44"/>
      <c r="C640" s="44"/>
      <c r="D640" s="44"/>
      <c r="E640" s="44"/>
      <c r="F640" s="44"/>
      <c r="G640" s="44"/>
      <c r="H640" s="44"/>
      <c r="I640" s="44"/>
      <c r="J640" s="8"/>
      <c r="K640" s="8"/>
    </row>
    <row r="641" spans="1:11" x14ac:dyDescent="0.25">
      <c r="A641" s="44"/>
      <c r="B641" s="44"/>
      <c r="C641" s="44"/>
      <c r="D641" s="44"/>
      <c r="E641" s="44"/>
      <c r="F641" s="44"/>
      <c r="G641" s="44"/>
      <c r="H641" s="44"/>
      <c r="I641" s="44"/>
      <c r="J641" s="8"/>
      <c r="K641" s="8"/>
    </row>
    <row r="642" spans="1:11" x14ac:dyDescent="0.25">
      <c r="A642" s="44"/>
      <c r="B642" s="44"/>
      <c r="C642" s="44"/>
      <c r="D642" s="44"/>
      <c r="E642" s="44"/>
      <c r="F642" s="44"/>
      <c r="G642" s="44"/>
      <c r="H642" s="44"/>
      <c r="I642" s="44"/>
      <c r="J642" s="8"/>
      <c r="K642" s="8"/>
    </row>
    <row r="643" spans="1:11" x14ac:dyDescent="0.25">
      <c r="A643" s="44"/>
      <c r="B643" s="44"/>
      <c r="C643" s="44"/>
      <c r="D643" s="44"/>
      <c r="E643" s="44"/>
      <c r="F643" s="44"/>
      <c r="G643" s="44"/>
      <c r="H643" s="44"/>
      <c r="I643" s="44"/>
      <c r="J643" s="8"/>
      <c r="K643" s="8"/>
    </row>
    <row r="644" spans="1:11" x14ac:dyDescent="0.25">
      <c r="A644" s="44"/>
      <c r="B644" s="44"/>
      <c r="C644" s="44"/>
      <c r="D644" s="44"/>
      <c r="E644" s="44"/>
      <c r="F644" s="44"/>
      <c r="G644" s="44"/>
      <c r="H644" s="44"/>
      <c r="I644" s="44"/>
      <c r="J644" s="8"/>
      <c r="K644" s="8"/>
    </row>
    <row r="645" spans="1:11" x14ac:dyDescent="0.25">
      <c r="A645" s="44"/>
      <c r="B645" s="44"/>
      <c r="C645" s="44"/>
      <c r="D645" s="44"/>
      <c r="E645" s="44"/>
      <c r="F645" s="44"/>
      <c r="G645" s="44"/>
      <c r="H645" s="44"/>
      <c r="I645" s="44"/>
      <c r="J645" s="8"/>
      <c r="K645" s="8"/>
    </row>
    <row r="646" spans="1:11" x14ac:dyDescent="0.25">
      <c r="A646" s="44"/>
      <c r="B646" s="44"/>
      <c r="C646" s="44"/>
      <c r="D646" s="44"/>
      <c r="E646" s="44"/>
      <c r="F646" s="44"/>
      <c r="G646" s="44"/>
      <c r="H646" s="44"/>
      <c r="I646" s="44"/>
      <c r="J646" s="8"/>
      <c r="K646" s="8"/>
    </row>
    <row r="647" spans="1:11" x14ac:dyDescent="0.25">
      <c r="A647" s="44"/>
      <c r="B647" s="44"/>
      <c r="C647" s="44"/>
      <c r="D647" s="44"/>
      <c r="E647" s="44"/>
      <c r="F647" s="44"/>
      <c r="G647" s="44"/>
      <c r="H647" s="44"/>
      <c r="I647" s="44"/>
      <c r="J647" s="8"/>
      <c r="K647" s="8"/>
    </row>
    <row r="648" spans="1:11" x14ac:dyDescent="0.25">
      <c r="A648" s="44"/>
      <c r="B648" s="44"/>
      <c r="C648" s="44"/>
      <c r="D648" s="44"/>
      <c r="E648" s="44"/>
      <c r="F648" s="44"/>
      <c r="G648" s="44"/>
      <c r="H648" s="44"/>
      <c r="I648" s="44"/>
      <c r="J648" s="8"/>
      <c r="K648" s="8"/>
    </row>
    <row r="649" spans="1:11" x14ac:dyDescent="0.25">
      <c r="A649" s="44"/>
      <c r="B649" s="44"/>
      <c r="C649" s="44"/>
      <c r="D649" s="44"/>
      <c r="E649" s="44"/>
      <c r="F649" s="44"/>
      <c r="G649" s="44"/>
      <c r="H649" s="44"/>
      <c r="I649" s="44"/>
      <c r="J649" s="8"/>
      <c r="K649" s="8"/>
    </row>
    <row r="650" spans="1:11" x14ac:dyDescent="0.25">
      <c r="A650" s="44"/>
      <c r="B650" s="44"/>
      <c r="C650" s="44"/>
      <c r="D650" s="44"/>
      <c r="E650" s="44"/>
      <c r="F650" s="44"/>
      <c r="G650" s="44"/>
      <c r="H650" s="44"/>
      <c r="I650" s="44"/>
      <c r="J650" s="8"/>
      <c r="K650" s="8"/>
    </row>
    <row r="651" spans="1:11" x14ac:dyDescent="0.25">
      <c r="A651" s="44"/>
      <c r="B651" s="44"/>
      <c r="C651" s="44"/>
      <c r="D651" s="44"/>
      <c r="E651" s="44"/>
      <c r="F651" s="44"/>
      <c r="G651" s="44"/>
      <c r="H651" s="44"/>
      <c r="I651" s="44"/>
      <c r="J651" s="8"/>
      <c r="K651" s="8"/>
    </row>
    <row r="652" spans="1:11" x14ac:dyDescent="0.25">
      <c r="A652" s="44"/>
      <c r="B652" s="44"/>
      <c r="C652" s="44"/>
      <c r="D652" s="44"/>
      <c r="E652" s="44"/>
      <c r="F652" s="44"/>
      <c r="G652" s="44"/>
      <c r="H652" s="44"/>
      <c r="I652" s="44"/>
      <c r="J652" s="8"/>
      <c r="K652" s="8"/>
    </row>
    <row r="653" spans="1:11" x14ac:dyDescent="0.25">
      <c r="A653" s="44"/>
      <c r="B653" s="44"/>
      <c r="C653" s="44"/>
      <c r="D653" s="44"/>
      <c r="E653" s="44"/>
      <c r="F653" s="44"/>
      <c r="G653" s="44"/>
      <c r="H653" s="44"/>
      <c r="I653" s="44"/>
      <c r="J653" s="8"/>
      <c r="K653" s="8"/>
    </row>
    <row r="654" spans="1:11" x14ac:dyDescent="0.25">
      <c r="A654" s="44"/>
      <c r="B654" s="44"/>
      <c r="C654" s="44"/>
      <c r="D654" s="44"/>
      <c r="E654" s="44"/>
      <c r="F654" s="44"/>
      <c r="G654" s="44"/>
      <c r="H654" s="44"/>
      <c r="I654" s="44"/>
      <c r="J654" s="8"/>
      <c r="K654" s="8"/>
    </row>
    <row r="655" spans="1:11" x14ac:dyDescent="0.25">
      <c r="A655" s="44"/>
      <c r="B655" s="44"/>
      <c r="C655" s="44"/>
      <c r="D655" s="44"/>
      <c r="E655" s="44"/>
      <c r="F655" s="44"/>
      <c r="G655" s="44"/>
      <c r="H655" s="44"/>
      <c r="I655" s="44"/>
      <c r="J655" s="8"/>
      <c r="K655" s="8"/>
    </row>
    <row r="656" spans="1:11" x14ac:dyDescent="0.25">
      <c r="A656" s="44"/>
      <c r="B656" s="44"/>
      <c r="C656" s="44"/>
      <c r="D656" s="44"/>
      <c r="E656" s="44"/>
      <c r="F656" s="44"/>
      <c r="G656" s="44"/>
      <c r="H656" s="44"/>
      <c r="I656" s="44"/>
      <c r="J656" s="8"/>
      <c r="K656" s="8"/>
    </row>
    <row r="657" spans="1:11" x14ac:dyDescent="0.25">
      <c r="A657" s="44"/>
      <c r="B657" s="44"/>
      <c r="C657" s="44"/>
      <c r="D657" s="44"/>
      <c r="E657" s="44"/>
      <c r="F657" s="44"/>
      <c r="G657" s="44"/>
      <c r="H657" s="44"/>
      <c r="I657" s="44"/>
      <c r="J657" s="8"/>
      <c r="K657" s="8"/>
    </row>
    <row r="658" spans="1:11" x14ac:dyDescent="0.25">
      <c r="A658" s="44"/>
      <c r="B658" s="44"/>
      <c r="C658" s="44"/>
      <c r="D658" s="44"/>
      <c r="E658" s="44"/>
      <c r="F658" s="44"/>
      <c r="G658" s="44"/>
      <c r="H658" s="44"/>
      <c r="I658" s="44"/>
      <c r="J658" s="8"/>
      <c r="K658" s="8"/>
    </row>
    <row r="659" spans="1:11" x14ac:dyDescent="0.25">
      <c r="A659" s="44"/>
      <c r="B659" s="44"/>
      <c r="C659" s="44"/>
      <c r="D659" s="44"/>
      <c r="E659" s="44"/>
      <c r="F659" s="44"/>
      <c r="G659" s="44"/>
      <c r="H659" s="44"/>
      <c r="I659" s="44"/>
      <c r="J659" s="8"/>
      <c r="K659" s="8"/>
    </row>
    <row r="660" spans="1:11" x14ac:dyDescent="0.25">
      <c r="A660" s="44"/>
      <c r="B660" s="44"/>
      <c r="C660" s="44"/>
      <c r="D660" s="44"/>
      <c r="E660" s="44"/>
      <c r="F660" s="44"/>
      <c r="G660" s="44"/>
      <c r="H660" s="44"/>
      <c r="I660" s="44"/>
      <c r="J660" s="8"/>
      <c r="K660" s="8"/>
    </row>
    <row r="661" spans="1:11" x14ac:dyDescent="0.25">
      <c r="A661" s="44"/>
      <c r="B661" s="44"/>
      <c r="C661" s="44"/>
      <c r="D661" s="44"/>
      <c r="E661" s="44"/>
      <c r="F661" s="44"/>
      <c r="G661" s="44"/>
      <c r="H661" s="44"/>
      <c r="I661" s="44"/>
      <c r="J661" s="8"/>
      <c r="K661" s="8"/>
    </row>
    <row r="662" spans="1:11" x14ac:dyDescent="0.25">
      <c r="A662" s="44"/>
      <c r="B662" s="44"/>
      <c r="C662" s="44"/>
      <c r="D662" s="44"/>
      <c r="E662" s="44"/>
      <c r="F662" s="44"/>
      <c r="G662" s="44"/>
      <c r="H662" s="44"/>
      <c r="I662" s="44"/>
      <c r="J662" s="8"/>
      <c r="K662" s="8"/>
    </row>
    <row r="663" spans="1:11" x14ac:dyDescent="0.25">
      <c r="A663" s="44"/>
      <c r="B663" s="44"/>
      <c r="C663" s="44"/>
      <c r="D663" s="44"/>
      <c r="E663" s="44"/>
      <c r="F663" s="44"/>
      <c r="G663" s="44"/>
      <c r="H663" s="44"/>
      <c r="I663" s="44"/>
      <c r="J663" s="8"/>
      <c r="K663" s="8"/>
    </row>
    <row r="664" spans="1:11" x14ac:dyDescent="0.25">
      <c r="A664" s="44"/>
      <c r="B664" s="44"/>
      <c r="C664" s="44"/>
      <c r="D664" s="44"/>
      <c r="E664" s="44"/>
      <c r="F664" s="44"/>
      <c r="G664" s="44"/>
      <c r="H664" s="44"/>
      <c r="I664" s="44"/>
      <c r="J664" s="8"/>
      <c r="K664" s="8"/>
    </row>
    <row r="665" spans="1:11" x14ac:dyDescent="0.25">
      <c r="A665" s="44"/>
      <c r="B665" s="44"/>
      <c r="C665" s="44"/>
      <c r="D665" s="44"/>
      <c r="E665" s="44"/>
      <c r="F665" s="44"/>
      <c r="G665" s="44"/>
      <c r="H665" s="44"/>
      <c r="I665" s="44"/>
      <c r="J665" s="8"/>
      <c r="K665" s="8"/>
    </row>
    <row r="666" spans="1:11" x14ac:dyDescent="0.25">
      <c r="A666" s="44"/>
      <c r="B666" s="44"/>
      <c r="C666" s="44"/>
      <c r="D666" s="44"/>
      <c r="E666" s="44"/>
      <c r="F666" s="44"/>
      <c r="G666" s="44"/>
      <c r="H666" s="44"/>
      <c r="I666" s="44"/>
      <c r="J666" s="8"/>
      <c r="K666" s="8"/>
    </row>
    <row r="667" spans="1:11" x14ac:dyDescent="0.25">
      <c r="A667" s="44"/>
      <c r="B667" s="44"/>
      <c r="C667" s="44"/>
      <c r="D667" s="44"/>
      <c r="E667" s="44"/>
      <c r="F667" s="44"/>
      <c r="G667" s="44"/>
      <c r="H667" s="44"/>
      <c r="I667" s="44"/>
      <c r="J667" s="8"/>
      <c r="K667" s="8"/>
    </row>
    <row r="668" spans="1:11" x14ac:dyDescent="0.25">
      <c r="A668" s="44"/>
      <c r="B668" s="44"/>
      <c r="C668" s="44"/>
      <c r="D668" s="44"/>
      <c r="E668" s="44"/>
      <c r="F668" s="44"/>
      <c r="G668" s="44"/>
      <c r="H668" s="44"/>
      <c r="I668" s="44"/>
      <c r="J668" s="8"/>
      <c r="K668" s="8"/>
    </row>
    <row r="669" spans="1:11" x14ac:dyDescent="0.25">
      <c r="A669" s="44"/>
      <c r="B669" s="44"/>
      <c r="C669" s="44"/>
      <c r="D669" s="44"/>
      <c r="E669" s="44"/>
      <c r="F669" s="44"/>
      <c r="G669" s="44"/>
      <c r="H669" s="44"/>
      <c r="I669" s="44"/>
      <c r="J669" s="8"/>
      <c r="K669" s="8"/>
    </row>
    <row r="670" spans="1:11" x14ac:dyDescent="0.25">
      <c r="A670" s="44"/>
      <c r="B670" s="44"/>
      <c r="C670" s="44"/>
      <c r="D670" s="44"/>
      <c r="E670" s="44"/>
      <c r="F670" s="44"/>
      <c r="G670" s="44"/>
      <c r="H670" s="44"/>
      <c r="I670" s="44"/>
      <c r="J670" s="8"/>
      <c r="K670" s="8"/>
    </row>
    <row r="671" spans="1:11" x14ac:dyDescent="0.25">
      <c r="A671" s="44"/>
      <c r="B671" s="44"/>
      <c r="C671" s="44"/>
      <c r="D671" s="44"/>
      <c r="E671" s="44"/>
      <c r="F671" s="44"/>
      <c r="G671" s="44"/>
      <c r="H671" s="44"/>
      <c r="I671" s="44"/>
      <c r="J671" s="8"/>
      <c r="K671" s="8"/>
    </row>
    <row r="672" spans="1:11" x14ac:dyDescent="0.25">
      <c r="A672" s="44"/>
      <c r="B672" s="44"/>
      <c r="C672" s="44"/>
      <c r="D672" s="44"/>
      <c r="E672" s="44"/>
      <c r="F672" s="44"/>
      <c r="G672" s="44"/>
      <c r="H672" s="44"/>
      <c r="I672" s="44"/>
      <c r="J672" s="8"/>
      <c r="K672" s="8"/>
    </row>
    <row r="673" spans="1:11" x14ac:dyDescent="0.25">
      <c r="A673" s="44"/>
      <c r="B673" s="44"/>
      <c r="C673" s="44"/>
      <c r="D673" s="44"/>
      <c r="E673" s="44"/>
      <c r="F673" s="44"/>
      <c r="G673" s="44"/>
      <c r="H673" s="44"/>
      <c r="I673" s="44"/>
      <c r="J673" s="8"/>
      <c r="K673" s="8"/>
    </row>
    <row r="674" spans="1:11" x14ac:dyDescent="0.25">
      <c r="A674" s="44"/>
      <c r="B674" s="44"/>
      <c r="C674" s="44"/>
      <c r="D674" s="44"/>
      <c r="E674" s="44"/>
      <c r="F674" s="44"/>
      <c r="G674" s="44"/>
      <c r="H674" s="44"/>
      <c r="I674" s="44"/>
      <c r="J674" s="8"/>
      <c r="K674" s="8"/>
    </row>
    <row r="675" spans="1:11" x14ac:dyDescent="0.25">
      <c r="A675" s="44"/>
      <c r="B675" s="44"/>
      <c r="C675" s="44"/>
      <c r="D675" s="44"/>
      <c r="E675" s="44"/>
      <c r="F675" s="44"/>
      <c r="G675" s="44"/>
      <c r="H675" s="44"/>
      <c r="I675" s="44"/>
      <c r="J675" s="8"/>
      <c r="K675" s="8"/>
    </row>
    <row r="676" spans="1:11" x14ac:dyDescent="0.25">
      <c r="A676" s="44"/>
      <c r="B676" s="44"/>
      <c r="C676" s="44"/>
      <c r="D676" s="44"/>
      <c r="E676" s="44"/>
      <c r="F676" s="44"/>
      <c r="G676" s="44"/>
      <c r="H676" s="44"/>
      <c r="I676" s="44"/>
      <c r="J676" s="8"/>
      <c r="K676" s="8"/>
    </row>
    <row r="677" spans="1:11" x14ac:dyDescent="0.25">
      <c r="A677" s="44"/>
      <c r="B677" s="44"/>
      <c r="C677" s="44"/>
      <c r="D677" s="44"/>
      <c r="E677" s="44"/>
      <c r="F677" s="44"/>
      <c r="G677" s="44"/>
      <c r="H677" s="44"/>
      <c r="I677" s="44"/>
      <c r="J677" s="8"/>
      <c r="K677" s="8"/>
    </row>
    <row r="678" spans="1:11" x14ac:dyDescent="0.25">
      <c r="A678" s="44"/>
      <c r="B678" s="44"/>
      <c r="C678" s="44"/>
      <c r="D678" s="44"/>
      <c r="E678" s="44"/>
      <c r="F678" s="44"/>
      <c r="G678" s="44"/>
      <c r="H678" s="44"/>
      <c r="I678" s="44"/>
      <c r="J678" s="8"/>
      <c r="K678" s="8"/>
    </row>
    <row r="679" spans="1:11" x14ac:dyDescent="0.25">
      <c r="A679" s="44"/>
      <c r="B679" s="44"/>
      <c r="C679" s="44"/>
      <c r="D679" s="44"/>
      <c r="E679" s="44"/>
      <c r="F679" s="44"/>
      <c r="G679" s="44"/>
      <c r="H679" s="44"/>
      <c r="I679" s="44"/>
      <c r="J679" s="8"/>
      <c r="K679" s="8"/>
    </row>
    <row r="680" spans="1:11" x14ac:dyDescent="0.25">
      <c r="A680" s="44"/>
      <c r="B680" s="44"/>
      <c r="C680" s="44"/>
      <c r="D680" s="44"/>
      <c r="E680" s="44"/>
      <c r="F680" s="44"/>
      <c r="G680" s="44"/>
      <c r="H680" s="44"/>
      <c r="I680" s="44"/>
      <c r="J680" s="8"/>
      <c r="K680" s="8"/>
    </row>
    <row r="681" spans="1:11" x14ac:dyDescent="0.25">
      <c r="A681" s="44"/>
      <c r="B681" s="44"/>
      <c r="C681" s="44"/>
      <c r="D681" s="44"/>
      <c r="E681" s="44"/>
      <c r="F681" s="44"/>
      <c r="G681" s="44"/>
      <c r="H681" s="44"/>
      <c r="I681" s="44"/>
      <c r="J681" s="8"/>
      <c r="K681" s="8"/>
    </row>
    <row r="682" spans="1:11" x14ac:dyDescent="0.25">
      <c r="A682" s="44"/>
      <c r="B682" s="44"/>
      <c r="C682" s="44"/>
      <c r="D682" s="44"/>
      <c r="E682" s="44"/>
      <c r="F682" s="44"/>
      <c r="G682" s="44"/>
      <c r="H682" s="44"/>
      <c r="I682" s="44"/>
      <c r="J682" s="8"/>
      <c r="K682" s="8"/>
    </row>
    <row r="683" spans="1:11" x14ac:dyDescent="0.25">
      <c r="A683" s="44"/>
      <c r="B683" s="44"/>
      <c r="C683" s="44"/>
      <c r="D683" s="44"/>
      <c r="E683" s="44"/>
      <c r="F683" s="44"/>
      <c r="G683" s="44"/>
      <c r="H683" s="44"/>
      <c r="I683" s="44"/>
      <c r="J683" s="8"/>
      <c r="K683" s="8"/>
    </row>
    <row r="684" spans="1:11" x14ac:dyDescent="0.25">
      <c r="A684" s="44"/>
      <c r="B684" s="44"/>
      <c r="C684" s="44"/>
      <c r="D684" s="44"/>
      <c r="E684" s="44"/>
      <c r="F684" s="44"/>
      <c r="G684" s="44"/>
      <c r="H684" s="44"/>
      <c r="I684" s="44"/>
      <c r="J684" s="8"/>
      <c r="K684" s="8"/>
    </row>
    <row r="685" spans="1:11" x14ac:dyDescent="0.25">
      <c r="A685" s="44"/>
      <c r="B685" s="44"/>
      <c r="C685" s="44"/>
      <c r="D685" s="44"/>
      <c r="E685" s="44"/>
      <c r="F685" s="44"/>
      <c r="G685" s="44"/>
      <c r="H685" s="44"/>
      <c r="I685" s="44"/>
      <c r="J685" s="8"/>
      <c r="K685" s="8"/>
    </row>
    <row r="686" spans="1:11" x14ac:dyDescent="0.25">
      <c r="A686" s="44"/>
      <c r="B686" s="44"/>
      <c r="C686" s="44"/>
      <c r="D686" s="44"/>
      <c r="E686" s="44"/>
      <c r="F686" s="44"/>
      <c r="G686" s="44"/>
      <c r="H686" s="44"/>
      <c r="I686" s="44"/>
      <c r="J686" s="8"/>
      <c r="K686" s="8"/>
    </row>
    <row r="687" spans="1:11" x14ac:dyDescent="0.25">
      <c r="A687" s="44"/>
      <c r="B687" s="44"/>
      <c r="C687" s="44"/>
      <c r="D687" s="44"/>
      <c r="E687" s="44"/>
      <c r="F687" s="44"/>
      <c r="G687" s="44"/>
      <c r="H687" s="44"/>
      <c r="I687" s="44"/>
      <c r="J687" s="8"/>
      <c r="K687" s="8"/>
    </row>
    <row r="688" spans="1:11" x14ac:dyDescent="0.25">
      <c r="A688" s="44"/>
      <c r="B688" s="44"/>
      <c r="C688" s="44"/>
      <c r="D688" s="44"/>
      <c r="E688" s="44"/>
      <c r="F688" s="44"/>
      <c r="G688" s="44"/>
      <c r="H688" s="44"/>
      <c r="I688" s="44"/>
      <c r="J688" s="8"/>
      <c r="K688" s="8"/>
    </row>
    <row r="689" spans="1:11" x14ac:dyDescent="0.25">
      <c r="A689" s="44"/>
      <c r="B689" s="44"/>
      <c r="C689" s="44"/>
      <c r="D689" s="44"/>
      <c r="E689" s="44"/>
      <c r="F689" s="44"/>
      <c r="G689" s="44"/>
      <c r="H689" s="44"/>
      <c r="I689" s="44"/>
      <c r="J689" s="8"/>
      <c r="K689" s="8"/>
    </row>
    <row r="690" spans="1:11" x14ac:dyDescent="0.25">
      <c r="A690" s="44"/>
      <c r="B690" s="44"/>
      <c r="C690" s="44"/>
      <c r="D690" s="44"/>
      <c r="E690" s="44"/>
      <c r="F690" s="44"/>
      <c r="G690" s="44"/>
      <c r="H690" s="44"/>
      <c r="I690" s="44"/>
      <c r="J690" s="8"/>
      <c r="K690" s="8"/>
    </row>
    <row r="691" spans="1:11" x14ac:dyDescent="0.25">
      <c r="A691" s="44"/>
      <c r="B691" s="44"/>
      <c r="C691" s="44"/>
      <c r="D691" s="44"/>
      <c r="E691" s="44"/>
      <c r="F691" s="44"/>
      <c r="G691" s="44"/>
      <c r="H691" s="44"/>
      <c r="I691" s="44"/>
      <c r="J691" s="8"/>
      <c r="K691" s="8"/>
    </row>
    <row r="692" spans="1:11" x14ac:dyDescent="0.25">
      <c r="A692" s="44"/>
      <c r="B692" s="44"/>
      <c r="C692" s="44"/>
      <c r="D692" s="44"/>
      <c r="E692" s="44"/>
      <c r="F692" s="44"/>
      <c r="G692" s="44"/>
      <c r="H692" s="44"/>
      <c r="I692" s="44"/>
      <c r="J692" s="8"/>
      <c r="K692" s="8"/>
    </row>
    <row r="693" spans="1:11" x14ac:dyDescent="0.25">
      <c r="A693" s="44"/>
      <c r="B693" s="44"/>
      <c r="C693" s="44"/>
      <c r="D693" s="44"/>
      <c r="E693" s="44"/>
      <c r="F693" s="44"/>
      <c r="G693" s="44"/>
      <c r="H693" s="44"/>
      <c r="I693" s="44"/>
      <c r="J693" s="8"/>
      <c r="K693" s="8"/>
    </row>
    <row r="694" spans="1:11" x14ac:dyDescent="0.25">
      <c r="A694" s="44"/>
      <c r="B694" s="44"/>
      <c r="C694" s="44"/>
      <c r="D694" s="44"/>
      <c r="E694" s="44"/>
      <c r="F694" s="44"/>
      <c r="G694" s="44"/>
      <c r="H694" s="44"/>
      <c r="I694" s="44"/>
      <c r="J694" s="8"/>
      <c r="K694" s="8"/>
    </row>
    <row r="695" spans="1:11" x14ac:dyDescent="0.25">
      <c r="A695" s="44"/>
      <c r="B695" s="44"/>
      <c r="C695" s="44"/>
      <c r="D695" s="44"/>
      <c r="E695" s="44"/>
      <c r="F695" s="44"/>
      <c r="G695" s="44"/>
      <c r="H695" s="44"/>
      <c r="I695" s="44"/>
      <c r="J695" s="8"/>
      <c r="K695" s="8"/>
    </row>
    <row r="696" spans="1:11" x14ac:dyDescent="0.25">
      <c r="A696" s="44"/>
      <c r="B696" s="44"/>
      <c r="C696" s="44"/>
      <c r="D696" s="44"/>
      <c r="E696" s="44"/>
      <c r="F696" s="44"/>
      <c r="G696" s="44"/>
      <c r="H696" s="44"/>
      <c r="I696" s="44"/>
      <c r="J696" s="8"/>
      <c r="K696" s="8"/>
    </row>
    <row r="697" spans="1:11" x14ac:dyDescent="0.25">
      <c r="A697" s="44"/>
      <c r="B697" s="44"/>
      <c r="C697" s="44"/>
      <c r="D697" s="44"/>
      <c r="E697" s="44"/>
      <c r="F697" s="44"/>
      <c r="G697" s="44"/>
      <c r="H697" s="44"/>
      <c r="I697" s="44"/>
      <c r="J697" s="8"/>
      <c r="K697" s="8"/>
    </row>
    <row r="698" spans="1:11" x14ac:dyDescent="0.25">
      <c r="A698" s="44"/>
      <c r="B698" s="44"/>
      <c r="C698" s="44"/>
      <c r="D698" s="44"/>
      <c r="E698" s="44"/>
      <c r="F698" s="44"/>
      <c r="G698" s="44"/>
      <c r="H698" s="44"/>
      <c r="I698" s="44"/>
      <c r="J698" s="8"/>
      <c r="K698" s="8"/>
    </row>
    <row r="699" spans="1:11" x14ac:dyDescent="0.25">
      <c r="A699" s="44"/>
      <c r="B699" s="44"/>
      <c r="C699" s="44"/>
      <c r="D699" s="44"/>
      <c r="E699" s="44"/>
      <c r="F699" s="44"/>
      <c r="G699" s="44"/>
      <c r="H699" s="44"/>
      <c r="I699" s="44"/>
      <c r="J699" s="8"/>
      <c r="K699" s="8"/>
    </row>
    <row r="700" spans="1:11" x14ac:dyDescent="0.25">
      <c r="A700" s="44"/>
      <c r="B700" s="44"/>
      <c r="C700" s="44"/>
      <c r="D700" s="44"/>
      <c r="E700" s="44"/>
      <c r="F700" s="44"/>
      <c r="G700" s="44"/>
      <c r="H700" s="44"/>
      <c r="I700" s="44"/>
      <c r="J700" s="8"/>
      <c r="K700" s="8"/>
    </row>
    <row r="701" spans="1:11" x14ac:dyDescent="0.25">
      <c r="A701" s="44"/>
      <c r="B701" s="44"/>
      <c r="C701" s="44"/>
      <c r="D701" s="44"/>
      <c r="E701" s="44"/>
      <c r="F701" s="44"/>
      <c r="G701" s="44"/>
      <c r="H701" s="44"/>
      <c r="I701" s="44"/>
      <c r="J701" s="8"/>
      <c r="K701" s="8"/>
    </row>
    <row r="702" spans="1:11" x14ac:dyDescent="0.25">
      <c r="A702" s="44"/>
      <c r="B702" s="44"/>
      <c r="C702" s="44"/>
      <c r="D702" s="44"/>
      <c r="E702" s="44"/>
      <c r="F702" s="44"/>
      <c r="G702" s="44"/>
      <c r="H702" s="44"/>
      <c r="I702" s="44"/>
      <c r="J702" s="8"/>
      <c r="K702" s="8"/>
    </row>
    <row r="703" spans="1:11" x14ac:dyDescent="0.25">
      <c r="A703" s="44"/>
      <c r="B703" s="44"/>
      <c r="C703" s="44"/>
      <c r="D703" s="44"/>
      <c r="E703" s="44"/>
      <c r="F703" s="44"/>
      <c r="G703" s="44"/>
      <c r="H703" s="44"/>
      <c r="I703" s="44"/>
      <c r="J703" s="8"/>
      <c r="K703" s="8"/>
    </row>
    <row r="704" spans="1:11" x14ac:dyDescent="0.25">
      <c r="A704" s="44"/>
      <c r="B704" s="44"/>
      <c r="C704" s="44"/>
      <c r="D704" s="44"/>
      <c r="E704" s="44"/>
      <c r="F704" s="44"/>
      <c r="G704" s="44"/>
      <c r="H704" s="44"/>
      <c r="I704" s="44"/>
      <c r="J704" s="8"/>
      <c r="K704" s="8"/>
    </row>
    <row r="705" spans="1:11" x14ac:dyDescent="0.25">
      <c r="A705" s="44"/>
      <c r="B705" s="44"/>
      <c r="C705" s="44"/>
      <c r="D705" s="44"/>
      <c r="E705" s="44"/>
      <c r="F705" s="44"/>
      <c r="G705" s="44"/>
      <c r="H705" s="44"/>
      <c r="I705" s="44"/>
      <c r="J705" s="8"/>
      <c r="K705" s="8"/>
    </row>
    <row r="706" spans="1:11" x14ac:dyDescent="0.25">
      <c r="A706" s="44"/>
      <c r="B706" s="44"/>
      <c r="C706" s="44"/>
      <c r="D706" s="44"/>
      <c r="E706" s="44"/>
      <c r="F706" s="44"/>
      <c r="G706" s="44"/>
      <c r="H706" s="44"/>
      <c r="I706" s="44"/>
      <c r="J706" s="8"/>
      <c r="K706" s="8"/>
    </row>
    <row r="707" spans="1:11" x14ac:dyDescent="0.25">
      <c r="A707" s="44"/>
      <c r="B707" s="44"/>
      <c r="C707" s="44"/>
      <c r="D707" s="44"/>
      <c r="E707" s="44"/>
      <c r="F707" s="44"/>
      <c r="G707" s="44"/>
      <c r="H707" s="44"/>
      <c r="I707" s="44"/>
      <c r="J707" s="8"/>
      <c r="K707" s="8"/>
    </row>
    <row r="708" spans="1:11" x14ac:dyDescent="0.25">
      <c r="A708" s="44"/>
      <c r="B708" s="44"/>
      <c r="C708" s="44"/>
      <c r="D708" s="44"/>
      <c r="E708" s="44"/>
      <c r="F708" s="44"/>
      <c r="G708" s="44"/>
      <c r="H708" s="44"/>
      <c r="I708" s="44"/>
      <c r="J708" s="8"/>
      <c r="K708" s="8"/>
    </row>
    <row r="709" spans="1:11" x14ac:dyDescent="0.25">
      <c r="A709" s="44"/>
      <c r="B709" s="44"/>
      <c r="C709" s="44"/>
      <c r="D709" s="44"/>
      <c r="E709" s="44"/>
      <c r="F709" s="44"/>
      <c r="G709" s="44"/>
      <c r="H709" s="44"/>
      <c r="I709" s="44"/>
      <c r="J709" s="8"/>
      <c r="K709" s="8"/>
    </row>
    <row r="710" spans="1:11" x14ac:dyDescent="0.25">
      <c r="A710" s="44"/>
      <c r="B710" s="44"/>
      <c r="C710" s="44"/>
      <c r="D710" s="44"/>
      <c r="E710" s="44"/>
      <c r="F710" s="44"/>
      <c r="G710" s="44"/>
      <c r="H710" s="44"/>
      <c r="I710" s="44"/>
      <c r="J710" s="8"/>
      <c r="K710" s="8"/>
    </row>
    <row r="711" spans="1:11" x14ac:dyDescent="0.25">
      <c r="A711" s="44"/>
      <c r="B711" s="44"/>
      <c r="C711" s="44"/>
      <c r="D711" s="44"/>
      <c r="E711" s="44"/>
      <c r="F711" s="44"/>
      <c r="G711" s="44"/>
      <c r="H711" s="44"/>
      <c r="I711" s="44"/>
      <c r="J711" s="8"/>
      <c r="K711" s="8"/>
    </row>
    <row r="712" spans="1:11" x14ac:dyDescent="0.25">
      <c r="A712" s="44"/>
      <c r="B712" s="44"/>
      <c r="C712" s="44"/>
      <c r="D712" s="44"/>
      <c r="E712" s="44"/>
      <c r="F712" s="44"/>
      <c r="G712" s="44"/>
      <c r="H712" s="44"/>
      <c r="I712" s="44"/>
      <c r="J712" s="8"/>
      <c r="K712" s="8"/>
    </row>
    <row r="713" spans="1:11" x14ac:dyDescent="0.25">
      <c r="A713" s="44"/>
      <c r="B713" s="44"/>
      <c r="C713" s="44"/>
      <c r="D713" s="44"/>
      <c r="E713" s="44"/>
      <c r="F713" s="44"/>
      <c r="G713" s="44"/>
      <c r="H713" s="44"/>
      <c r="I713" s="44"/>
      <c r="J713" s="8"/>
      <c r="K713" s="8"/>
    </row>
    <row r="714" spans="1:11" x14ac:dyDescent="0.25">
      <c r="A714" s="44"/>
      <c r="B714" s="44"/>
      <c r="C714" s="44"/>
      <c r="D714" s="44"/>
      <c r="E714" s="44"/>
      <c r="F714" s="44"/>
      <c r="G714" s="44"/>
      <c r="H714" s="44"/>
      <c r="I714" s="44"/>
      <c r="J714" s="8"/>
      <c r="K714" s="8"/>
    </row>
    <row r="715" spans="1:11" x14ac:dyDescent="0.25">
      <c r="A715" s="44"/>
      <c r="B715" s="44"/>
      <c r="C715" s="44"/>
      <c r="D715" s="44"/>
      <c r="E715" s="44"/>
      <c r="F715" s="44"/>
      <c r="G715" s="44"/>
      <c r="H715" s="44"/>
      <c r="I715" s="44"/>
      <c r="J715" s="8"/>
      <c r="K715" s="8"/>
    </row>
    <row r="716" spans="1:11" x14ac:dyDescent="0.25">
      <c r="A716" s="44"/>
      <c r="B716" s="44"/>
      <c r="C716" s="44"/>
      <c r="D716" s="44"/>
      <c r="E716" s="44"/>
      <c r="F716" s="44"/>
      <c r="G716" s="44"/>
      <c r="H716" s="44"/>
      <c r="I716" s="44"/>
      <c r="J716" s="8"/>
      <c r="K716" s="8"/>
    </row>
    <row r="717" spans="1:11" x14ac:dyDescent="0.25">
      <c r="A717" s="44"/>
      <c r="B717" s="44"/>
      <c r="C717" s="44"/>
      <c r="D717" s="44"/>
      <c r="E717" s="44"/>
      <c r="F717" s="44"/>
      <c r="G717" s="44"/>
      <c r="H717" s="44"/>
      <c r="I717" s="44"/>
      <c r="J717" s="8"/>
      <c r="K717" s="8"/>
    </row>
    <row r="718" spans="1:11" x14ac:dyDescent="0.25">
      <c r="A718" s="44"/>
      <c r="B718" s="44"/>
      <c r="C718" s="44"/>
      <c r="D718" s="44"/>
      <c r="E718" s="44"/>
      <c r="F718" s="44"/>
      <c r="G718" s="44"/>
      <c r="H718" s="44"/>
      <c r="I718" s="44"/>
      <c r="J718" s="8"/>
      <c r="K718" s="8"/>
    </row>
    <row r="719" spans="1:11" x14ac:dyDescent="0.25">
      <c r="A719" s="44"/>
      <c r="B719" s="44"/>
      <c r="C719" s="44"/>
      <c r="D719" s="44"/>
      <c r="E719" s="44"/>
      <c r="F719" s="44"/>
      <c r="G719" s="44"/>
      <c r="H719" s="44"/>
      <c r="I719" s="44"/>
      <c r="J719" s="8"/>
      <c r="K719" s="8"/>
    </row>
    <row r="720" spans="1:11" x14ac:dyDescent="0.25">
      <c r="A720" s="44"/>
      <c r="B720" s="44"/>
      <c r="C720" s="44"/>
      <c r="D720" s="44"/>
      <c r="E720" s="44"/>
      <c r="F720" s="44"/>
      <c r="G720" s="44"/>
      <c r="H720" s="44"/>
      <c r="I720" s="44"/>
      <c r="J720" s="8"/>
      <c r="K720" s="8"/>
    </row>
    <row r="721" spans="1:11" x14ac:dyDescent="0.25">
      <c r="A721" s="44"/>
      <c r="B721" s="44"/>
      <c r="C721" s="44"/>
      <c r="D721" s="44"/>
      <c r="E721" s="44"/>
      <c r="F721" s="44"/>
      <c r="G721" s="44"/>
      <c r="H721" s="44"/>
      <c r="I721" s="44"/>
      <c r="J721" s="8"/>
      <c r="K721" s="8"/>
    </row>
    <row r="722" spans="1:11" x14ac:dyDescent="0.25">
      <c r="A722" s="44"/>
      <c r="B722" s="44"/>
      <c r="C722" s="44"/>
      <c r="D722" s="44"/>
      <c r="E722" s="44"/>
      <c r="F722" s="44"/>
      <c r="G722" s="44"/>
      <c r="H722" s="44"/>
      <c r="I722" s="44"/>
      <c r="J722" s="8"/>
      <c r="K722" s="8"/>
    </row>
    <row r="723" spans="1:11" x14ac:dyDescent="0.25">
      <c r="A723" s="44"/>
      <c r="B723" s="44"/>
      <c r="C723" s="44"/>
      <c r="D723" s="44"/>
      <c r="E723" s="44"/>
      <c r="F723" s="44"/>
      <c r="G723" s="44"/>
      <c r="H723" s="44"/>
      <c r="I723" s="44"/>
      <c r="J723" s="8"/>
      <c r="K723" s="8"/>
    </row>
    <row r="724" spans="1:11" x14ac:dyDescent="0.25">
      <c r="A724" s="44"/>
      <c r="B724" s="44"/>
      <c r="C724" s="44"/>
      <c r="D724" s="44"/>
      <c r="E724" s="44"/>
      <c r="F724" s="44"/>
      <c r="G724" s="44"/>
      <c r="H724" s="44"/>
      <c r="I724" s="44"/>
      <c r="J724" s="8"/>
      <c r="K724" s="8"/>
    </row>
    <row r="725" spans="1:11" x14ac:dyDescent="0.25">
      <c r="A725" s="44"/>
      <c r="B725" s="44"/>
      <c r="C725" s="44"/>
      <c r="D725" s="44"/>
      <c r="E725" s="44"/>
      <c r="F725" s="44"/>
      <c r="G725" s="44"/>
      <c r="H725" s="44"/>
      <c r="I725" s="44"/>
      <c r="J725" s="8"/>
      <c r="K725" s="8"/>
    </row>
    <row r="726" spans="1:11" x14ac:dyDescent="0.25">
      <c r="A726" s="44"/>
      <c r="B726" s="44"/>
      <c r="C726" s="44"/>
      <c r="D726" s="44"/>
      <c r="E726" s="44"/>
      <c r="F726" s="44"/>
      <c r="G726" s="44"/>
      <c r="H726" s="44"/>
      <c r="I726" s="44"/>
      <c r="J726" s="8"/>
      <c r="K726" s="8"/>
    </row>
    <row r="727" spans="1:11" x14ac:dyDescent="0.25">
      <c r="A727" s="44"/>
      <c r="B727" s="44"/>
      <c r="C727" s="44"/>
      <c r="D727" s="44"/>
      <c r="E727" s="44"/>
      <c r="F727" s="44"/>
      <c r="G727" s="44"/>
      <c r="H727" s="44"/>
      <c r="I727" s="44"/>
      <c r="J727" s="8"/>
      <c r="K727" s="8"/>
    </row>
    <row r="728" spans="1:11" x14ac:dyDescent="0.25">
      <c r="A728" s="44"/>
      <c r="B728" s="44"/>
      <c r="C728" s="44"/>
      <c r="D728" s="44"/>
      <c r="E728" s="44"/>
      <c r="F728" s="44"/>
      <c r="G728" s="44"/>
      <c r="H728" s="44"/>
      <c r="I728" s="44"/>
      <c r="J728" s="8"/>
      <c r="K728" s="8"/>
    </row>
    <row r="729" spans="1:11" x14ac:dyDescent="0.25">
      <c r="A729" s="44"/>
      <c r="B729" s="44"/>
      <c r="C729" s="44"/>
      <c r="D729" s="44"/>
      <c r="E729" s="44"/>
      <c r="F729" s="44"/>
      <c r="G729" s="44"/>
      <c r="H729" s="44"/>
      <c r="I729" s="44"/>
      <c r="J729" s="8"/>
      <c r="K729" s="8"/>
    </row>
    <row r="730" spans="1:11" x14ac:dyDescent="0.25">
      <c r="A730" s="44"/>
      <c r="B730" s="44"/>
      <c r="C730" s="44"/>
      <c r="D730" s="44"/>
      <c r="E730" s="44"/>
      <c r="F730" s="44"/>
      <c r="G730" s="44"/>
      <c r="H730" s="44"/>
      <c r="I730" s="44"/>
      <c r="J730" s="8"/>
      <c r="K730" s="8"/>
    </row>
    <row r="731" spans="1:11" x14ac:dyDescent="0.25">
      <c r="A731" s="44"/>
      <c r="B731" s="44"/>
      <c r="C731" s="44"/>
      <c r="D731" s="44"/>
      <c r="E731" s="44"/>
      <c r="F731" s="44"/>
      <c r="G731" s="44"/>
      <c r="H731" s="44"/>
      <c r="I731" s="44"/>
      <c r="J731" s="8"/>
      <c r="K731" s="8"/>
    </row>
    <row r="732" spans="1:11" x14ac:dyDescent="0.25">
      <c r="A732" s="44"/>
      <c r="B732" s="44"/>
      <c r="C732" s="44"/>
      <c r="D732" s="44"/>
      <c r="E732" s="44"/>
      <c r="F732" s="44"/>
      <c r="G732" s="44"/>
      <c r="H732" s="44"/>
      <c r="I732" s="44"/>
      <c r="J732" s="8"/>
      <c r="K732" s="8"/>
    </row>
    <row r="733" spans="1:11" x14ac:dyDescent="0.25">
      <c r="A733" s="44"/>
      <c r="B733" s="44"/>
      <c r="C733" s="44"/>
      <c r="D733" s="44"/>
      <c r="E733" s="44"/>
      <c r="F733" s="44"/>
      <c r="G733" s="44"/>
      <c r="H733" s="44"/>
      <c r="I733" s="44"/>
      <c r="J733" s="8"/>
      <c r="K733" s="8"/>
    </row>
    <row r="734" spans="1:11" x14ac:dyDescent="0.25">
      <c r="A734" s="44"/>
      <c r="B734" s="44"/>
      <c r="C734" s="44"/>
      <c r="D734" s="44"/>
      <c r="E734" s="44"/>
      <c r="F734" s="44"/>
      <c r="G734" s="44"/>
      <c r="H734" s="44"/>
      <c r="I734" s="44"/>
      <c r="J734" s="8"/>
      <c r="K734" s="8"/>
    </row>
    <row r="735" spans="1:11" x14ac:dyDescent="0.25">
      <c r="A735" s="44"/>
      <c r="B735" s="44"/>
      <c r="C735" s="44"/>
      <c r="D735" s="44"/>
      <c r="E735" s="44"/>
      <c r="F735" s="44"/>
      <c r="G735" s="44"/>
      <c r="H735" s="44"/>
      <c r="I735" s="44"/>
      <c r="J735" s="8"/>
      <c r="K735" s="8"/>
    </row>
    <row r="736" spans="1:11" x14ac:dyDescent="0.25">
      <c r="A736" s="44"/>
      <c r="B736" s="44"/>
      <c r="C736" s="44"/>
      <c r="D736" s="44"/>
      <c r="E736" s="44"/>
      <c r="F736" s="44"/>
      <c r="G736" s="44"/>
      <c r="H736" s="44"/>
      <c r="I736" s="44"/>
      <c r="J736" s="8"/>
      <c r="K736" s="8"/>
    </row>
    <row r="737" spans="1:11" x14ac:dyDescent="0.25">
      <c r="A737" s="44"/>
      <c r="B737" s="44"/>
      <c r="C737" s="44"/>
      <c r="D737" s="44"/>
      <c r="E737" s="44"/>
      <c r="F737" s="44"/>
      <c r="G737" s="44"/>
      <c r="H737" s="44"/>
      <c r="I737" s="44"/>
      <c r="J737" s="8"/>
      <c r="K737" s="8"/>
    </row>
    <row r="738" spans="1:11" x14ac:dyDescent="0.25">
      <c r="A738" s="44"/>
      <c r="B738" s="44"/>
      <c r="C738" s="44"/>
      <c r="D738" s="44"/>
      <c r="E738" s="44"/>
      <c r="F738" s="44"/>
      <c r="G738" s="44"/>
      <c r="H738" s="44"/>
      <c r="I738" s="44"/>
      <c r="J738" s="8"/>
      <c r="K738" s="8"/>
    </row>
    <row r="739" spans="1:11" x14ac:dyDescent="0.25">
      <c r="A739" s="44"/>
      <c r="B739" s="44"/>
      <c r="C739" s="44"/>
      <c r="D739" s="44"/>
      <c r="E739" s="44"/>
      <c r="F739" s="44"/>
      <c r="G739" s="44"/>
      <c r="H739" s="44"/>
      <c r="I739" s="44"/>
      <c r="J739" s="8"/>
      <c r="K739" s="8"/>
    </row>
    <row r="740" spans="1:11" x14ac:dyDescent="0.25">
      <c r="A740" s="44"/>
      <c r="B740" s="44"/>
      <c r="C740" s="44"/>
      <c r="D740" s="44"/>
      <c r="E740" s="44"/>
      <c r="F740" s="44"/>
      <c r="G740" s="44"/>
      <c r="H740" s="44"/>
      <c r="I740" s="44"/>
      <c r="J740" s="8"/>
      <c r="K740" s="8"/>
    </row>
    <row r="741" spans="1:11" x14ac:dyDescent="0.25">
      <c r="A741" s="44"/>
      <c r="B741" s="44"/>
      <c r="C741" s="44"/>
      <c r="D741" s="44"/>
      <c r="E741" s="44"/>
      <c r="F741" s="44"/>
      <c r="G741" s="44"/>
      <c r="H741" s="44"/>
      <c r="I741" s="44"/>
      <c r="J741" s="8"/>
      <c r="K741" s="8"/>
    </row>
    <row r="742" spans="1:11" x14ac:dyDescent="0.25">
      <c r="A742" s="44"/>
      <c r="B742" s="44"/>
      <c r="C742" s="44"/>
      <c r="D742" s="44"/>
      <c r="E742" s="44"/>
      <c r="F742" s="44"/>
      <c r="G742" s="44"/>
      <c r="H742" s="44"/>
      <c r="I742" s="44"/>
      <c r="J742" s="8"/>
      <c r="K742" s="8"/>
    </row>
    <row r="743" spans="1:11" x14ac:dyDescent="0.25">
      <c r="A743" s="44"/>
      <c r="B743" s="44"/>
      <c r="C743" s="44"/>
      <c r="D743" s="44"/>
      <c r="E743" s="44"/>
      <c r="F743" s="44"/>
      <c r="G743" s="44"/>
      <c r="H743" s="44"/>
      <c r="I743" s="44"/>
      <c r="J743" s="8"/>
      <c r="K743" s="8"/>
    </row>
    <row r="744" spans="1:11" x14ac:dyDescent="0.25">
      <c r="A744" s="44"/>
      <c r="B744" s="44"/>
      <c r="C744" s="44"/>
      <c r="D744" s="44"/>
      <c r="E744" s="44"/>
      <c r="F744" s="44"/>
      <c r="G744" s="44"/>
      <c r="H744" s="44"/>
      <c r="I744" s="44"/>
      <c r="J744" s="8"/>
      <c r="K744" s="8"/>
    </row>
    <row r="745" spans="1:11" x14ac:dyDescent="0.25">
      <c r="A745" s="44"/>
      <c r="B745" s="44"/>
      <c r="C745" s="44"/>
      <c r="D745" s="44"/>
      <c r="E745" s="44"/>
      <c r="F745" s="44"/>
      <c r="G745" s="44"/>
      <c r="H745" s="44"/>
      <c r="I745" s="44"/>
      <c r="J745" s="8"/>
      <c r="K745" s="8"/>
    </row>
    <row r="746" spans="1:11" x14ac:dyDescent="0.25">
      <c r="A746" s="44"/>
      <c r="B746" s="44"/>
      <c r="C746" s="44"/>
      <c r="D746" s="44"/>
      <c r="E746" s="44"/>
      <c r="F746" s="44"/>
      <c r="G746" s="44"/>
      <c r="H746" s="44"/>
      <c r="I746" s="44"/>
      <c r="J746" s="8"/>
      <c r="K746" s="8"/>
    </row>
    <row r="747" spans="1:11" x14ac:dyDescent="0.25">
      <c r="A747" s="44"/>
      <c r="B747" s="44"/>
      <c r="C747" s="44"/>
      <c r="D747" s="44"/>
      <c r="E747" s="44"/>
      <c r="F747" s="44"/>
      <c r="G747" s="44"/>
      <c r="H747" s="44"/>
      <c r="I747" s="44"/>
      <c r="J747" s="8"/>
      <c r="K747" s="8"/>
    </row>
    <row r="748" spans="1:11" x14ac:dyDescent="0.25">
      <c r="A748" s="44"/>
      <c r="B748" s="44"/>
      <c r="C748" s="44"/>
      <c r="D748" s="44"/>
      <c r="E748" s="44"/>
      <c r="F748" s="44"/>
      <c r="G748" s="44"/>
      <c r="H748" s="44"/>
      <c r="I748" s="44"/>
      <c r="J748" s="8"/>
      <c r="K748" s="8"/>
    </row>
    <row r="749" spans="1:11" x14ac:dyDescent="0.25">
      <c r="A749" s="44"/>
      <c r="B749" s="44"/>
      <c r="C749" s="44"/>
      <c r="D749" s="44"/>
      <c r="E749" s="44"/>
      <c r="F749" s="44"/>
      <c r="G749" s="44"/>
      <c r="H749" s="44"/>
      <c r="I749" s="44"/>
      <c r="J749" s="8"/>
      <c r="K749" s="8"/>
    </row>
    <row r="750" spans="1:11" x14ac:dyDescent="0.25">
      <c r="A750" s="44"/>
      <c r="B750" s="44"/>
      <c r="C750" s="44"/>
      <c r="D750" s="44"/>
      <c r="E750" s="44"/>
      <c r="F750" s="44"/>
      <c r="G750" s="44"/>
      <c r="H750" s="44"/>
      <c r="I750" s="44"/>
      <c r="J750" s="8"/>
      <c r="K750" s="8"/>
    </row>
    <row r="751" spans="1:11" x14ac:dyDescent="0.25">
      <c r="A751" s="44"/>
      <c r="B751" s="44"/>
      <c r="C751" s="44"/>
      <c r="D751" s="44"/>
      <c r="E751" s="44"/>
      <c r="F751" s="44"/>
      <c r="G751" s="44"/>
      <c r="H751" s="44"/>
      <c r="I751" s="44"/>
      <c r="J751" s="8"/>
      <c r="K751" s="8"/>
    </row>
    <row r="752" spans="1:11" x14ac:dyDescent="0.25">
      <c r="A752" s="44"/>
      <c r="B752" s="44"/>
      <c r="C752" s="44"/>
      <c r="D752" s="44"/>
      <c r="E752" s="44"/>
      <c r="F752" s="44"/>
      <c r="G752" s="44"/>
      <c r="H752" s="44"/>
      <c r="I752" s="44"/>
      <c r="J752" s="8"/>
      <c r="K752" s="8"/>
    </row>
    <row r="753" spans="1:11" x14ac:dyDescent="0.25">
      <c r="A753" s="44"/>
      <c r="B753" s="44"/>
      <c r="C753" s="44"/>
      <c r="D753" s="44"/>
      <c r="E753" s="44"/>
      <c r="F753" s="44"/>
      <c r="G753" s="44"/>
      <c r="H753" s="44"/>
      <c r="I753" s="44"/>
      <c r="J753" s="8"/>
      <c r="K753" s="8"/>
    </row>
    <row r="754" spans="1:11" x14ac:dyDescent="0.25">
      <c r="A754" s="44"/>
      <c r="B754" s="44"/>
      <c r="C754" s="44"/>
      <c r="D754" s="44"/>
      <c r="E754" s="44"/>
      <c r="F754" s="44"/>
      <c r="G754" s="44"/>
      <c r="H754" s="44"/>
      <c r="I754" s="44"/>
      <c r="J754" s="8"/>
      <c r="K754" s="8"/>
    </row>
    <row r="755" spans="1:11" x14ac:dyDescent="0.25">
      <c r="A755" s="44"/>
      <c r="B755" s="44"/>
      <c r="C755" s="44"/>
      <c r="D755" s="44"/>
      <c r="E755" s="44"/>
      <c r="F755" s="44"/>
      <c r="G755" s="44"/>
      <c r="H755" s="44"/>
      <c r="I755" s="44"/>
      <c r="J755" s="8"/>
      <c r="K755" s="8"/>
    </row>
    <row r="756" spans="1:11" x14ac:dyDescent="0.25">
      <c r="A756" s="44"/>
      <c r="B756" s="44"/>
      <c r="C756" s="44"/>
      <c r="D756" s="44"/>
      <c r="E756" s="44"/>
      <c r="F756" s="44"/>
      <c r="G756" s="44"/>
      <c r="H756" s="44"/>
      <c r="I756" s="44"/>
      <c r="J756" s="8"/>
      <c r="K756" s="8"/>
    </row>
    <row r="757" spans="1:11" x14ac:dyDescent="0.25">
      <c r="A757" s="44"/>
      <c r="B757" s="44"/>
      <c r="C757" s="44"/>
      <c r="D757" s="44"/>
      <c r="E757" s="44"/>
      <c r="F757" s="44"/>
      <c r="G757" s="44"/>
      <c r="H757" s="44"/>
      <c r="I757" s="44"/>
      <c r="J757" s="8"/>
      <c r="K757" s="8"/>
    </row>
    <row r="758" spans="1:11" x14ac:dyDescent="0.25">
      <c r="A758" s="44"/>
      <c r="B758" s="44"/>
      <c r="C758" s="44"/>
      <c r="D758" s="44"/>
      <c r="E758" s="44"/>
      <c r="F758" s="44"/>
      <c r="G758" s="44"/>
      <c r="H758" s="44"/>
      <c r="I758" s="44"/>
      <c r="J758" s="8"/>
      <c r="K758" s="8"/>
    </row>
    <row r="759" spans="1:11" x14ac:dyDescent="0.25">
      <c r="A759" s="44"/>
      <c r="B759" s="44"/>
      <c r="C759" s="44"/>
      <c r="D759" s="44"/>
      <c r="E759" s="44"/>
      <c r="F759" s="44"/>
      <c r="G759" s="44"/>
      <c r="H759" s="44"/>
      <c r="I759" s="44"/>
      <c r="J759" s="8"/>
      <c r="K759" s="8"/>
    </row>
    <row r="760" spans="1:11" x14ac:dyDescent="0.25">
      <c r="A760" s="44"/>
      <c r="B760" s="44"/>
      <c r="C760" s="44"/>
      <c r="D760" s="44"/>
      <c r="E760" s="44"/>
      <c r="F760" s="44"/>
      <c r="G760" s="44"/>
      <c r="H760" s="44"/>
      <c r="I760" s="44"/>
      <c r="J760" s="8"/>
      <c r="K760" s="8"/>
    </row>
    <row r="761" spans="1:11" x14ac:dyDescent="0.25">
      <c r="A761" s="44"/>
      <c r="B761" s="44"/>
      <c r="C761" s="44"/>
      <c r="D761" s="44"/>
      <c r="E761" s="44"/>
      <c r="F761" s="44"/>
      <c r="G761" s="44"/>
      <c r="H761" s="44"/>
      <c r="I761" s="44"/>
      <c r="J761" s="8"/>
      <c r="K761" s="8"/>
    </row>
    <row r="762" spans="1:11" x14ac:dyDescent="0.25">
      <c r="A762" s="44"/>
      <c r="B762" s="44"/>
      <c r="C762" s="44"/>
      <c r="D762" s="44"/>
      <c r="E762" s="44"/>
      <c r="F762" s="44"/>
      <c r="G762" s="44"/>
      <c r="H762" s="44"/>
      <c r="I762" s="44"/>
      <c r="J762" s="8"/>
      <c r="K762" s="8"/>
    </row>
    <row r="763" spans="1:11" x14ac:dyDescent="0.25">
      <c r="A763" s="44"/>
      <c r="B763" s="44"/>
      <c r="C763" s="44"/>
      <c r="D763" s="44"/>
      <c r="E763" s="44"/>
      <c r="F763" s="44"/>
      <c r="G763" s="44"/>
      <c r="H763" s="44"/>
      <c r="I763" s="44"/>
      <c r="J763" s="8"/>
      <c r="K763" s="8"/>
    </row>
    <row r="764" spans="1:11" x14ac:dyDescent="0.25">
      <c r="A764" s="44"/>
      <c r="B764" s="44"/>
      <c r="C764" s="44"/>
      <c r="D764" s="44"/>
      <c r="E764" s="44"/>
      <c r="F764" s="44"/>
      <c r="G764" s="44"/>
      <c r="H764" s="44"/>
      <c r="I764" s="44"/>
      <c r="J764" s="8"/>
      <c r="K764" s="8"/>
    </row>
    <row r="765" spans="1:11" x14ac:dyDescent="0.25">
      <c r="A765" s="44"/>
      <c r="B765" s="44"/>
      <c r="C765" s="44"/>
      <c r="D765" s="44"/>
      <c r="E765" s="44"/>
      <c r="F765" s="44"/>
      <c r="G765" s="44"/>
      <c r="H765" s="44"/>
      <c r="I765" s="44"/>
      <c r="J765" s="8"/>
      <c r="K765" s="8"/>
    </row>
    <row r="766" spans="1:11" x14ac:dyDescent="0.25">
      <c r="A766" s="44"/>
      <c r="B766" s="44"/>
      <c r="C766" s="44"/>
      <c r="D766" s="44"/>
      <c r="E766" s="44"/>
      <c r="F766" s="44"/>
      <c r="G766" s="44"/>
      <c r="H766" s="44"/>
      <c r="I766" s="44"/>
      <c r="J766" s="8"/>
      <c r="K766" s="8"/>
    </row>
    <row r="767" spans="1:11" x14ac:dyDescent="0.25">
      <c r="A767" s="44"/>
      <c r="B767" s="44"/>
      <c r="C767" s="44"/>
      <c r="D767" s="44"/>
      <c r="E767" s="44"/>
      <c r="F767" s="44"/>
      <c r="G767" s="44"/>
      <c r="H767" s="44"/>
      <c r="I767" s="44"/>
      <c r="J767" s="8"/>
      <c r="K767" s="8"/>
    </row>
    <row r="768" spans="1:11" x14ac:dyDescent="0.25">
      <c r="A768" s="44"/>
      <c r="B768" s="44"/>
      <c r="C768" s="44"/>
      <c r="D768" s="44"/>
      <c r="E768" s="44"/>
      <c r="F768" s="44"/>
      <c r="G768" s="44"/>
      <c r="H768" s="44"/>
      <c r="I768" s="44"/>
      <c r="J768" s="8"/>
      <c r="K768" s="8"/>
    </row>
    <row r="769" spans="1:11" x14ac:dyDescent="0.25">
      <c r="A769" s="44"/>
      <c r="B769" s="44"/>
      <c r="C769" s="44"/>
      <c r="D769" s="44"/>
      <c r="E769" s="44"/>
      <c r="F769" s="44"/>
      <c r="G769" s="44"/>
      <c r="H769" s="44"/>
      <c r="I769" s="44"/>
      <c r="J769" s="8"/>
      <c r="K769" s="8"/>
    </row>
    <row r="770" spans="1:11" x14ac:dyDescent="0.25">
      <c r="A770" s="44"/>
      <c r="B770" s="44"/>
      <c r="C770" s="44"/>
      <c r="D770" s="44"/>
      <c r="E770" s="44"/>
      <c r="F770" s="44"/>
      <c r="G770" s="44"/>
      <c r="H770" s="44"/>
      <c r="I770" s="44"/>
      <c r="J770" s="8"/>
      <c r="K770" s="8"/>
    </row>
    <row r="771" spans="1:11" x14ac:dyDescent="0.25">
      <c r="A771" s="44"/>
      <c r="B771" s="44"/>
      <c r="C771" s="44"/>
      <c r="D771" s="44"/>
      <c r="E771" s="44"/>
      <c r="F771" s="44"/>
      <c r="G771" s="44"/>
      <c r="H771" s="44"/>
      <c r="I771" s="44"/>
      <c r="J771" s="8"/>
      <c r="K771" s="8"/>
    </row>
    <row r="772" spans="1:11" x14ac:dyDescent="0.25">
      <c r="A772" s="44"/>
      <c r="B772" s="44"/>
      <c r="C772" s="44"/>
      <c r="D772" s="44"/>
      <c r="E772" s="44"/>
      <c r="F772" s="44"/>
      <c r="G772" s="44"/>
      <c r="H772" s="44"/>
      <c r="I772" s="44"/>
      <c r="J772" s="8"/>
      <c r="K772" s="8"/>
    </row>
    <row r="773" spans="1:11" x14ac:dyDescent="0.25">
      <c r="A773" s="44"/>
      <c r="B773" s="44"/>
      <c r="C773" s="44"/>
      <c r="D773" s="44"/>
      <c r="E773" s="44"/>
      <c r="F773" s="44"/>
      <c r="G773" s="44"/>
      <c r="H773" s="44"/>
      <c r="I773" s="44"/>
      <c r="J773" s="8"/>
      <c r="K773" s="8"/>
    </row>
    <row r="774" spans="1:11" x14ac:dyDescent="0.25">
      <c r="A774" s="44"/>
      <c r="B774" s="44"/>
      <c r="C774" s="44"/>
      <c r="D774" s="44"/>
      <c r="E774" s="44"/>
      <c r="F774" s="44"/>
      <c r="G774" s="44"/>
      <c r="H774" s="44"/>
      <c r="I774" s="44"/>
      <c r="J774" s="8"/>
      <c r="K774" s="8"/>
    </row>
    <row r="775" spans="1:11" x14ac:dyDescent="0.25">
      <c r="A775" s="44"/>
      <c r="B775" s="44"/>
      <c r="C775" s="44"/>
      <c r="D775" s="44"/>
      <c r="E775" s="44"/>
      <c r="F775" s="44"/>
      <c r="G775" s="44"/>
      <c r="H775" s="44"/>
      <c r="I775" s="44"/>
      <c r="J775" s="8"/>
      <c r="K775" s="8"/>
    </row>
    <row r="776" spans="1:11" x14ac:dyDescent="0.25">
      <c r="A776" s="44"/>
      <c r="B776" s="44"/>
      <c r="C776" s="44"/>
      <c r="D776" s="44"/>
      <c r="E776" s="44"/>
      <c r="F776" s="44"/>
      <c r="G776" s="44"/>
      <c r="H776" s="44"/>
      <c r="I776" s="44"/>
      <c r="J776" s="8"/>
      <c r="K776" s="8"/>
    </row>
    <row r="777" spans="1:11" x14ac:dyDescent="0.25">
      <c r="A777" s="44"/>
      <c r="B777" s="44"/>
      <c r="C777" s="44"/>
      <c r="D777" s="44"/>
      <c r="E777" s="44"/>
      <c r="F777" s="44"/>
      <c r="G777" s="44"/>
      <c r="H777" s="44"/>
      <c r="I777" s="44"/>
      <c r="J777" s="8"/>
      <c r="K777" s="8"/>
    </row>
    <row r="778" spans="1:11" x14ac:dyDescent="0.25">
      <c r="A778" s="44"/>
      <c r="B778" s="44"/>
      <c r="C778" s="44"/>
      <c r="D778" s="44"/>
      <c r="E778" s="44"/>
      <c r="F778" s="44"/>
      <c r="G778" s="44"/>
      <c r="H778" s="44"/>
      <c r="I778" s="44"/>
      <c r="J778" s="8"/>
      <c r="K778" s="8"/>
    </row>
    <row r="779" spans="1:11" x14ac:dyDescent="0.25">
      <c r="A779" s="44"/>
      <c r="B779" s="44"/>
      <c r="C779" s="44"/>
      <c r="D779" s="44"/>
      <c r="E779" s="44"/>
      <c r="F779" s="44"/>
      <c r="G779" s="44"/>
      <c r="H779" s="44"/>
      <c r="I779" s="44"/>
      <c r="J779" s="8"/>
      <c r="K779" s="8"/>
    </row>
    <row r="780" spans="1:11" x14ac:dyDescent="0.25">
      <c r="A780" s="44"/>
      <c r="B780" s="44"/>
      <c r="C780" s="44"/>
      <c r="D780" s="44"/>
      <c r="E780" s="44"/>
      <c r="F780" s="44"/>
      <c r="G780" s="44"/>
      <c r="H780" s="44"/>
      <c r="I780" s="44"/>
      <c r="J780" s="8"/>
      <c r="K780" s="8"/>
    </row>
    <row r="781" spans="1:11" x14ac:dyDescent="0.25">
      <c r="A781" s="44"/>
      <c r="B781" s="44"/>
      <c r="C781" s="44"/>
      <c r="D781" s="44"/>
      <c r="E781" s="44"/>
      <c r="F781" s="44"/>
      <c r="G781" s="44"/>
      <c r="H781" s="44"/>
      <c r="I781" s="44"/>
      <c r="J781" s="8"/>
      <c r="K781" s="8"/>
    </row>
    <row r="782" spans="1:11" x14ac:dyDescent="0.25">
      <c r="A782" s="44"/>
      <c r="B782" s="44"/>
      <c r="C782" s="44"/>
      <c r="D782" s="44"/>
      <c r="E782" s="44"/>
      <c r="F782" s="44"/>
      <c r="G782" s="44"/>
      <c r="H782" s="44"/>
      <c r="I782" s="44"/>
      <c r="J782" s="8"/>
      <c r="K782" s="8"/>
    </row>
    <row r="783" spans="1:11" x14ac:dyDescent="0.25">
      <c r="A783" s="44"/>
      <c r="B783" s="44"/>
      <c r="C783" s="44"/>
      <c r="D783" s="44"/>
      <c r="E783" s="44"/>
      <c r="F783" s="44"/>
      <c r="G783" s="44"/>
      <c r="H783" s="44"/>
      <c r="I783" s="44"/>
      <c r="J783" s="8"/>
      <c r="K783" s="8"/>
    </row>
    <row r="784" spans="1:11" x14ac:dyDescent="0.25">
      <c r="A784" s="44"/>
      <c r="B784" s="44"/>
      <c r="C784" s="44"/>
      <c r="D784" s="44"/>
      <c r="E784" s="44"/>
      <c r="F784" s="44"/>
      <c r="G784" s="44"/>
      <c r="H784" s="44"/>
      <c r="I784" s="44"/>
      <c r="J784" s="8"/>
      <c r="K784" s="8"/>
    </row>
    <row r="785" spans="1:11" x14ac:dyDescent="0.25">
      <c r="A785" s="44"/>
      <c r="B785" s="44"/>
      <c r="C785" s="44"/>
      <c r="D785" s="44"/>
      <c r="E785" s="44"/>
      <c r="F785" s="44"/>
      <c r="G785" s="44"/>
      <c r="H785" s="44"/>
      <c r="I785" s="44"/>
      <c r="J785" s="8"/>
      <c r="K785" s="8"/>
    </row>
    <row r="786" spans="1:11" x14ac:dyDescent="0.25">
      <c r="A786" s="44"/>
      <c r="B786" s="44"/>
      <c r="C786" s="44"/>
      <c r="D786" s="44"/>
      <c r="E786" s="44"/>
      <c r="F786" s="44"/>
      <c r="G786" s="44"/>
      <c r="H786" s="44"/>
      <c r="I786" s="44"/>
      <c r="J786" s="8"/>
      <c r="K786" s="8"/>
    </row>
    <row r="787" spans="1:11" x14ac:dyDescent="0.25">
      <c r="A787" s="44"/>
      <c r="B787" s="44"/>
      <c r="C787" s="44"/>
      <c r="D787" s="44"/>
      <c r="E787" s="44"/>
      <c r="F787" s="44"/>
      <c r="G787" s="44"/>
      <c r="H787" s="44"/>
      <c r="I787" s="44"/>
      <c r="J787" s="8"/>
      <c r="K787" s="8"/>
    </row>
    <row r="788" spans="1:11" x14ac:dyDescent="0.25">
      <c r="A788" s="44"/>
      <c r="B788" s="44"/>
      <c r="C788" s="44"/>
      <c r="D788" s="44"/>
      <c r="E788" s="44"/>
      <c r="F788" s="44"/>
      <c r="G788" s="44"/>
      <c r="H788" s="44"/>
      <c r="I788" s="44"/>
      <c r="J788" s="8"/>
      <c r="K788" s="8"/>
    </row>
    <row r="789" spans="1:11" x14ac:dyDescent="0.25">
      <c r="A789" s="44"/>
      <c r="B789" s="44"/>
      <c r="C789" s="44"/>
      <c r="D789" s="44"/>
      <c r="E789" s="44"/>
      <c r="F789" s="44"/>
      <c r="G789" s="44"/>
      <c r="H789" s="44"/>
      <c r="I789" s="44"/>
      <c r="J789" s="8"/>
      <c r="K789" s="8"/>
    </row>
    <row r="790" spans="1:11" x14ac:dyDescent="0.25">
      <c r="A790" s="44"/>
      <c r="B790" s="44"/>
      <c r="C790" s="44"/>
      <c r="D790" s="44"/>
      <c r="E790" s="44"/>
      <c r="F790" s="44"/>
      <c r="G790" s="44"/>
      <c r="H790" s="44"/>
      <c r="I790" s="44"/>
      <c r="J790" s="8"/>
      <c r="K790" s="8"/>
    </row>
    <row r="791" spans="1:11" x14ac:dyDescent="0.25">
      <c r="A791" s="44"/>
      <c r="B791" s="44"/>
      <c r="C791" s="44"/>
      <c r="D791" s="44"/>
      <c r="E791" s="44"/>
      <c r="F791" s="44"/>
      <c r="G791" s="44"/>
      <c r="H791" s="44"/>
      <c r="I791" s="44"/>
      <c r="J791" s="8"/>
      <c r="K791" s="8"/>
    </row>
    <row r="792" spans="1:11" x14ac:dyDescent="0.25">
      <c r="A792" s="44"/>
      <c r="B792" s="44"/>
      <c r="C792" s="44"/>
      <c r="D792" s="44"/>
      <c r="E792" s="44"/>
      <c r="F792" s="44"/>
      <c r="G792" s="44"/>
      <c r="H792" s="44"/>
      <c r="I792" s="44"/>
      <c r="J792" s="8"/>
      <c r="K792" s="8"/>
    </row>
    <row r="793" spans="1:11" x14ac:dyDescent="0.25">
      <c r="A793" s="44"/>
      <c r="B793" s="44"/>
      <c r="C793" s="44"/>
      <c r="D793" s="44"/>
      <c r="E793" s="44"/>
      <c r="F793" s="44"/>
      <c r="G793" s="44"/>
      <c r="H793" s="44"/>
      <c r="I793" s="44"/>
      <c r="J793" s="8"/>
      <c r="K793" s="8"/>
    </row>
    <row r="794" spans="1:11" x14ac:dyDescent="0.25">
      <c r="A794" s="44"/>
      <c r="B794" s="44"/>
      <c r="C794" s="44"/>
      <c r="D794" s="44"/>
      <c r="E794" s="44"/>
      <c r="F794" s="44"/>
      <c r="G794" s="44"/>
      <c r="H794" s="44"/>
      <c r="I794" s="44"/>
      <c r="J794" s="8"/>
      <c r="K794" s="8"/>
    </row>
    <row r="795" spans="1:11" x14ac:dyDescent="0.25">
      <c r="A795" s="44"/>
      <c r="B795" s="44"/>
      <c r="C795" s="44"/>
      <c r="D795" s="44"/>
      <c r="E795" s="44"/>
      <c r="F795" s="44"/>
      <c r="G795" s="44"/>
      <c r="H795" s="44"/>
      <c r="I795" s="44"/>
      <c r="J795" s="8"/>
      <c r="K795" s="8"/>
    </row>
    <row r="796" spans="1:11" x14ac:dyDescent="0.25">
      <c r="A796" s="44"/>
      <c r="B796" s="44"/>
      <c r="C796" s="44"/>
      <c r="D796" s="44"/>
      <c r="E796" s="44"/>
      <c r="F796" s="44"/>
      <c r="G796" s="44"/>
      <c r="H796" s="44"/>
      <c r="I796" s="44"/>
      <c r="J796" s="8"/>
      <c r="K796" s="8"/>
    </row>
    <row r="797" spans="1:11" x14ac:dyDescent="0.25">
      <c r="A797" s="44"/>
      <c r="B797" s="44"/>
      <c r="C797" s="44"/>
      <c r="D797" s="44"/>
      <c r="E797" s="44"/>
      <c r="F797" s="44"/>
      <c r="G797" s="44"/>
      <c r="H797" s="44"/>
      <c r="I797" s="44"/>
      <c r="J797" s="8"/>
      <c r="K797" s="8"/>
    </row>
    <row r="798" spans="1:11" x14ac:dyDescent="0.25">
      <c r="A798" s="44"/>
      <c r="B798" s="44"/>
      <c r="C798" s="44"/>
      <c r="D798" s="44"/>
      <c r="E798" s="44"/>
      <c r="F798" s="44"/>
      <c r="G798" s="44"/>
      <c r="H798" s="44"/>
      <c r="I798" s="44"/>
      <c r="J798" s="8"/>
      <c r="K798" s="8"/>
    </row>
    <row r="799" spans="1:11" x14ac:dyDescent="0.25">
      <c r="A799" s="44"/>
      <c r="B799" s="44"/>
      <c r="C799" s="44"/>
      <c r="D799" s="44"/>
      <c r="E799" s="44"/>
      <c r="F799" s="44"/>
      <c r="G799" s="44"/>
      <c r="H799" s="44"/>
      <c r="I799" s="44"/>
      <c r="J799" s="8"/>
      <c r="K799" s="8"/>
    </row>
    <row r="800" spans="1:11" x14ac:dyDescent="0.25">
      <c r="A800" s="44"/>
      <c r="B800" s="44"/>
      <c r="C800" s="44"/>
      <c r="D800" s="44"/>
      <c r="E800" s="44"/>
      <c r="F800" s="44"/>
      <c r="G800" s="44"/>
      <c r="H800" s="44"/>
      <c r="I800" s="44"/>
      <c r="J800" s="8"/>
      <c r="K800" s="8"/>
    </row>
    <row r="801" spans="1:11" x14ac:dyDescent="0.25">
      <c r="A801" s="44"/>
      <c r="B801" s="44"/>
      <c r="C801" s="44"/>
      <c r="D801" s="44"/>
      <c r="E801" s="44"/>
      <c r="F801" s="44"/>
      <c r="G801" s="44"/>
      <c r="H801" s="44"/>
      <c r="I801" s="44"/>
      <c r="J801" s="8"/>
      <c r="K801" s="8"/>
    </row>
    <row r="802" spans="1:11" x14ac:dyDescent="0.25">
      <c r="A802" s="44"/>
      <c r="B802" s="44"/>
      <c r="C802" s="44"/>
      <c r="D802" s="44"/>
      <c r="E802" s="44"/>
      <c r="F802" s="44"/>
      <c r="G802" s="44"/>
      <c r="H802" s="44"/>
      <c r="I802" s="44"/>
      <c r="J802" s="8"/>
      <c r="K802" s="8"/>
    </row>
    <row r="803" spans="1:11" x14ac:dyDescent="0.25">
      <c r="A803" s="44"/>
      <c r="B803" s="44"/>
      <c r="C803" s="44"/>
      <c r="D803" s="44"/>
      <c r="E803" s="44"/>
      <c r="F803" s="44"/>
      <c r="G803" s="44"/>
      <c r="H803" s="44"/>
      <c r="I803" s="44"/>
      <c r="J803" s="8"/>
      <c r="K803" s="8"/>
    </row>
    <row r="804" spans="1:11" x14ac:dyDescent="0.25">
      <c r="A804" s="44"/>
      <c r="B804" s="44"/>
      <c r="C804" s="44"/>
      <c r="D804" s="44"/>
      <c r="E804" s="44"/>
      <c r="F804" s="44"/>
      <c r="G804" s="44"/>
      <c r="H804" s="44"/>
      <c r="I804" s="44"/>
      <c r="J804" s="8"/>
      <c r="K804" s="8"/>
    </row>
    <row r="805" spans="1:11" x14ac:dyDescent="0.25">
      <c r="A805" s="44"/>
      <c r="B805" s="44"/>
      <c r="C805" s="44"/>
      <c r="D805" s="44"/>
      <c r="E805" s="44"/>
      <c r="F805" s="44"/>
      <c r="G805" s="44"/>
      <c r="H805" s="44"/>
      <c r="I805" s="44"/>
      <c r="J805" s="8"/>
      <c r="K805" s="8"/>
    </row>
    <row r="806" spans="1:11" x14ac:dyDescent="0.25">
      <c r="A806" s="44"/>
      <c r="B806" s="44"/>
      <c r="C806" s="44"/>
      <c r="D806" s="44"/>
      <c r="E806" s="44"/>
      <c r="F806" s="44"/>
      <c r="G806" s="44"/>
      <c r="H806" s="44"/>
      <c r="I806" s="44"/>
      <c r="J806" s="8"/>
      <c r="K806" s="8"/>
    </row>
    <row r="807" spans="1:11" x14ac:dyDescent="0.25">
      <c r="A807" s="44"/>
      <c r="B807" s="44"/>
      <c r="C807" s="44"/>
      <c r="D807" s="44"/>
      <c r="E807" s="44"/>
      <c r="F807" s="44"/>
      <c r="G807" s="44"/>
      <c r="H807" s="44"/>
      <c r="I807" s="44"/>
      <c r="J807" s="8"/>
      <c r="K807" s="8"/>
    </row>
    <row r="808" spans="1:11" x14ac:dyDescent="0.25">
      <c r="A808" s="44"/>
      <c r="B808" s="44"/>
      <c r="C808" s="44"/>
      <c r="D808" s="44"/>
      <c r="E808" s="44"/>
      <c r="F808" s="44"/>
      <c r="G808" s="44"/>
      <c r="H808" s="44"/>
      <c r="I808" s="44"/>
      <c r="J808" s="8"/>
      <c r="K808" s="8"/>
    </row>
    <row r="809" spans="1:11" x14ac:dyDescent="0.25">
      <c r="A809" s="44"/>
      <c r="B809" s="44"/>
      <c r="C809" s="44"/>
      <c r="D809" s="44"/>
      <c r="E809" s="44"/>
      <c r="F809" s="44"/>
      <c r="G809" s="44"/>
      <c r="H809" s="44"/>
      <c r="I809" s="44"/>
      <c r="J809" s="8"/>
      <c r="K809" s="8"/>
    </row>
    <row r="810" spans="1:11" x14ac:dyDescent="0.25">
      <c r="A810" s="44"/>
      <c r="B810" s="44"/>
      <c r="C810" s="44"/>
      <c r="D810" s="44"/>
      <c r="E810" s="44"/>
      <c r="F810" s="44"/>
      <c r="G810" s="44"/>
      <c r="H810" s="44"/>
      <c r="I810" s="44"/>
      <c r="J810" s="8"/>
      <c r="K810" s="8"/>
    </row>
    <row r="811" spans="1:11" x14ac:dyDescent="0.25">
      <c r="A811" s="44"/>
      <c r="B811" s="44"/>
      <c r="C811" s="44"/>
      <c r="D811" s="44"/>
      <c r="E811" s="44"/>
      <c r="F811" s="44"/>
      <c r="G811" s="44"/>
      <c r="H811" s="44"/>
      <c r="I811" s="44"/>
      <c r="J811" s="8"/>
      <c r="K811" s="8"/>
    </row>
    <row r="812" spans="1:11" x14ac:dyDescent="0.25">
      <c r="A812" s="44"/>
      <c r="B812" s="44"/>
      <c r="C812" s="44"/>
      <c r="D812" s="44"/>
      <c r="E812" s="44"/>
      <c r="F812" s="44"/>
      <c r="G812" s="44"/>
      <c r="H812" s="44"/>
      <c r="I812" s="44"/>
      <c r="J812" s="8"/>
      <c r="K812" s="8"/>
    </row>
    <row r="813" spans="1:11" x14ac:dyDescent="0.25">
      <c r="A813" s="44"/>
      <c r="B813" s="44"/>
      <c r="C813" s="44"/>
      <c r="D813" s="44"/>
      <c r="E813" s="44"/>
      <c r="F813" s="44"/>
      <c r="G813" s="44"/>
      <c r="H813" s="44"/>
      <c r="I813" s="44"/>
      <c r="J813" s="8"/>
      <c r="K813" s="8"/>
    </row>
    <row r="814" spans="1:11" x14ac:dyDescent="0.25">
      <c r="A814" s="44"/>
      <c r="B814" s="44"/>
      <c r="C814" s="44"/>
      <c r="D814" s="44"/>
      <c r="E814" s="44"/>
      <c r="F814" s="44"/>
      <c r="G814" s="44"/>
      <c r="H814" s="44"/>
      <c r="I814" s="44"/>
      <c r="J814" s="8"/>
      <c r="K814" s="8"/>
    </row>
    <row r="815" spans="1:11" x14ac:dyDescent="0.25">
      <c r="A815" s="44"/>
      <c r="B815" s="44"/>
      <c r="C815" s="44"/>
      <c r="D815" s="44"/>
      <c r="E815" s="44"/>
      <c r="F815" s="44"/>
      <c r="G815" s="44"/>
      <c r="H815" s="44"/>
      <c r="I815" s="44"/>
      <c r="J815" s="8"/>
      <c r="K815" s="8"/>
    </row>
    <row r="816" spans="1:11" x14ac:dyDescent="0.25">
      <c r="A816" s="44"/>
      <c r="B816" s="44"/>
      <c r="C816" s="44"/>
      <c r="D816" s="44"/>
      <c r="E816" s="44"/>
      <c r="F816" s="44"/>
      <c r="G816" s="44"/>
      <c r="H816" s="44"/>
      <c r="I816" s="44"/>
      <c r="J816" s="8"/>
      <c r="K816" s="8"/>
    </row>
    <row r="817" spans="1:11" x14ac:dyDescent="0.25">
      <c r="A817" s="44"/>
      <c r="B817" s="44"/>
      <c r="C817" s="44"/>
      <c r="D817" s="44"/>
      <c r="E817" s="44"/>
      <c r="F817" s="44"/>
      <c r="G817" s="44"/>
      <c r="H817" s="44"/>
      <c r="I817" s="44"/>
      <c r="J817" s="8"/>
      <c r="K817" s="8"/>
    </row>
    <row r="818" spans="1:11" x14ac:dyDescent="0.25">
      <c r="A818" s="44"/>
      <c r="B818" s="44"/>
      <c r="C818" s="44"/>
      <c r="D818" s="44"/>
      <c r="E818" s="44"/>
      <c r="F818" s="44"/>
      <c r="G818" s="44"/>
      <c r="H818" s="44"/>
      <c r="I818" s="44"/>
      <c r="J818" s="8"/>
      <c r="K818" s="8"/>
    </row>
    <row r="819" spans="1:11" x14ac:dyDescent="0.25">
      <c r="A819" s="44"/>
      <c r="B819" s="44"/>
      <c r="C819" s="44"/>
      <c r="D819" s="44"/>
      <c r="E819" s="44"/>
      <c r="F819" s="44"/>
      <c r="G819" s="44"/>
      <c r="H819" s="44"/>
      <c r="I819" s="44"/>
      <c r="J819" s="8"/>
      <c r="K819" s="8"/>
    </row>
    <row r="820" spans="1:11" x14ac:dyDescent="0.25">
      <c r="A820" s="44"/>
      <c r="B820" s="44"/>
      <c r="C820" s="44"/>
      <c r="D820" s="44"/>
      <c r="E820" s="44"/>
      <c r="F820" s="44"/>
      <c r="G820" s="44"/>
      <c r="H820" s="44"/>
      <c r="I820" s="44"/>
      <c r="J820" s="8"/>
      <c r="K820" s="8"/>
    </row>
    <row r="821" spans="1:11" x14ac:dyDescent="0.25">
      <c r="A821" s="44"/>
      <c r="B821" s="44"/>
      <c r="C821" s="44"/>
      <c r="D821" s="44"/>
      <c r="E821" s="44"/>
      <c r="F821" s="44"/>
      <c r="G821" s="44"/>
      <c r="H821" s="44"/>
      <c r="I821" s="44"/>
      <c r="J821" s="8"/>
      <c r="K821" s="8"/>
    </row>
    <row r="822" spans="1:11" x14ac:dyDescent="0.25">
      <c r="A822" s="44"/>
      <c r="B822" s="44"/>
      <c r="C822" s="44"/>
      <c r="D822" s="44"/>
      <c r="E822" s="44"/>
      <c r="F822" s="44"/>
      <c r="G822" s="44"/>
      <c r="H822" s="44"/>
      <c r="I822" s="44"/>
      <c r="J822" s="8"/>
      <c r="K822" s="8"/>
    </row>
    <row r="823" spans="1:11" x14ac:dyDescent="0.25">
      <c r="A823" s="44"/>
      <c r="B823" s="44"/>
      <c r="C823" s="44"/>
      <c r="D823" s="44"/>
      <c r="E823" s="44"/>
      <c r="F823" s="44"/>
      <c r="G823" s="44"/>
      <c r="H823" s="44"/>
      <c r="I823" s="44"/>
      <c r="J823" s="8"/>
      <c r="K823" s="8"/>
    </row>
    <row r="824" spans="1:11" x14ac:dyDescent="0.25">
      <c r="A824" s="44"/>
      <c r="B824" s="44"/>
      <c r="C824" s="44"/>
      <c r="D824" s="44"/>
      <c r="E824" s="44"/>
      <c r="F824" s="44"/>
      <c r="G824" s="44"/>
      <c r="H824" s="44"/>
      <c r="I824" s="44"/>
      <c r="J824" s="8"/>
      <c r="K824" s="8"/>
    </row>
    <row r="825" spans="1:11" x14ac:dyDescent="0.25">
      <c r="A825" s="44"/>
      <c r="B825" s="44"/>
      <c r="C825" s="44"/>
      <c r="D825" s="44"/>
      <c r="E825" s="44"/>
      <c r="F825" s="44"/>
      <c r="G825" s="44"/>
      <c r="H825" s="44"/>
      <c r="I825" s="44"/>
      <c r="J825" s="8"/>
      <c r="K825" s="8"/>
    </row>
    <row r="826" spans="1:11" x14ac:dyDescent="0.25">
      <c r="A826" s="44"/>
      <c r="B826" s="44"/>
      <c r="C826" s="44"/>
      <c r="D826" s="44"/>
      <c r="E826" s="44"/>
      <c r="F826" s="44"/>
      <c r="G826" s="44"/>
      <c r="H826" s="44"/>
      <c r="I826" s="44"/>
      <c r="J826" s="8"/>
      <c r="K826" s="8"/>
    </row>
    <row r="827" spans="1:11" x14ac:dyDescent="0.25">
      <c r="A827" s="44"/>
      <c r="B827" s="44"/>
      <c r="C827" s="44"/>
      <c r="D827" s="44"/>
      <c r="E827" s="44"/>
      <c r="F827" s="44"/>
      <c r="G827" s="44"/>
      <c r="H827" s="44"/>
      <c r="I827" s="44"/>
      <c r="J827" s="8"/>
      <c r="K827" s="8"/>
    </row>
    <row r="828" spans="1:11" x14ac:dyDescent="0.25">
      <c r="A828" s="44"/>
      <c r="B828" s="44"/>
      <c r="C828" s="44"/>
      <c r="D828" s="44"/>
      <c r="E828" s="44"/>
      <c r="F828" s="44"/>
      <c r="G828" s="44"/>
      <c r="H828" s="44"/>
      <c r="I828" s="44"/>
      <c r="J828" s="8"/>
      <c r="K828" s="8"/>
    </row>
    <row r="829" spans="1:11" x14ac:dyDescent="0.25">
      <c r="A829" s="44"/>
      <c r="B829" s="44"/>
      <c r="C829" s="44"/>
      <c r="D829" s="44"/>
      <c r="E829" s="44"/>
      <c r="F829" s="44"/>
      <c r="G829" s="44"/>
      <c r="H829" s="44"/>
      <c r="I829" s="44"/>
      <c r="J829" s="8"/>
      <c r="K829" s="8"/>
    </row>
    <row r="830" spans="1:11" x14ac:dyDescent="0.25">
      <c r="A830" s="44"/>
      <c r="B830" s="44"/>
      <c r="C830" s="44"/>
      <c r="D830" s="44"/>
      <c r="E830" s="44"/>
      <c r="F830" s="44"/>
      <c r="G830" s="44"/>
      <c r="H830" s="44"/>
      <c r="I830" s="44"/>
      <c r="J830" s="8"/>
      <c r="K830" s="8"/>
    </row>
    <row r="831" spans="1:11" x14ac:dyDescent="0.25">
      <c r="A831" s="44"/>
      <c r="B831" s="44"/>
      <c r="C831" s="44"/>
      <c r="D831" s="44"/>
      <c r="E831" s="44"/>
      <c r="F831" s="44"/>
      <c r="G831" s="44"/>
      <c r="H831" s="44"/>
      <c r="I831" s="44"/>
      <c r="J831" s="8"/>
      <c r="K831" s="8"/>
    </row>
    <row r="832" spans="1:11" x14ac:dyDescent="0.25">
      <c r="A832" s="44"/>
      <c r="B832" s="44"/>
      <c r="C832" s="44"/>
      <c r="D832" s="44"/>
      <c r="E832" s="44"/>
      <c r="F832" s="44"/>
      <c r="G832" s="44"/>
      <c r="H832" s="44"/>
      <c r="I832" s="44"/>
      <c r="J832" s="8"/>
      <c r="K832" s="8"/>
    </row>
    <row r="833" spans="1:11" x14ac:dyDescent="0.25">
      <c r="A833" s="44"/>
      <c r="B833" s="44"/>
      <c r="C833" s="44"/>
      <c r="D833" s="44"/>
      <c r="E833" s="44"/>
      <c r="F833" s="44"/>
      <c r="G833" s="44"/>
      <c r="H833" s="44"/>
      <c r="I833" s="44"/>
      <c r="J833" s="8"/>
      <c r="K833" s="8"/>
    </row>
    <row r="834" spans="1:11" x14ac:dyDescent="0.25">
      <c r="A834" s="44"/>
      <c r="B834" s="44"/>
      <c r="C834" s="44"/>
      <c r="D834" s="44"/>
      <c r="E834" s="44"/>
      <c r="F834" s="44"/>
      <c r="G834" s="44"/>
      <c r="H834" s="44"/>
      <c r="I834" s="44"/>
      <c r="J834" s="8"/>
      <c r="K834" s="8"/>
    </row>
    <row r="835" spans="1:11" x14ac:dyDescent="0.25">
      <c r="A835" s="44"/>
      <c r="B835" s="44"/>
      <c r="C835" s="44"/>
      <c r="D835" s="44"/>
      <c r="E835" s="44"/>
      <c r="F835" s="44"/>
      <c r="G835" s="44"/>
      <c r="H835" s="44"/>
      <c r="I835" s="44"/>
      <c r="J835" s="8"/>
      <c r="K835" s="8"/>
    </row>
    <row r="836" spans="1:11" x14ac:dyDescent="0.25">
      <c r="A836" s="44"/>
      <c r="B836" s="44"/>
      <c r="C836" s="44"/>
      <c r="D836" s="44"/>
      <c r="E836" s="44"/>
      <c r="F836" s="44"/>
      <c r="G836" s="44"/>
      <c r="H836" s="44"/>
      <c r="I836" s="44"/>
      <c r="J836" s="8"/>
      <c r="K836" s="8"/>
    </row>
    <row r="837" spans="1:11" x14ac:dyDescent="0.25">
      <c r="A837" s="44"/>
      <c r="B837" s="44"/>
      <c r="C837" s="44"/>
      <c r="D837" s="44"/>
      <c r="E837" s="44"/>
      <c r="F837" s="44"/>
      <c r="G837" s="44"/>
      <c r="H837" s="44"/>
      <c r="I837" s="44"/>
      <c r="J837" s="8"/>
      <c r="K837" s="8"/>
    </row>
    <row r="838" spans="1:11" x14ac:dyDescent="0.25">
      <c r="A838" s="44"/>
      <c r="B838" s="44"/>
      <c r="C838" s="44"/>
      <c r="D838" s="44"/>
      <c r="E838" s="44"/>
      <c r="F838" s="44"/>
      <c r="G838" s="44"/>
      <c r="H838" s="44"/>
      <c r="I838" s="44"/>
      <c r="J838" s="8"/>
      <c r="K838" s="8"/>
    </row>
    <row r="839" spans="1:11" x14ac:dyDescent="0.25">
      <c r="A839" s="44"/>
      <c r="B839" s="44"/>
      <c r="C839" s="44"/>
      <c r="D839" s="44"/>
      <c r="E839" s="44"/>
      <c r="F839" s="44"/>
      <c r="G839" s="44"/>
      <c r="H839" s="44"/>
      <c r="I839" s="44"/>
      <c r="J839" s="8"/>
      <c r="K839" s="8"/>
    </row>
    <row r="840" spans="1:11" x14ac:dyDescent="0.25">
      <c r="A840" s="44"/>
      <c r="B840" s="44"/>
      <c r="C840" s="44"/>
      <c r="D840" s="44"/>
      <c r="E840" s="44"/>
      <c r="F840" s="44"/>
      <c r="G840" s="44"/>
      <c r="H840" s="44"/>
      <c r="I840" s="44"/>
      <c r="J840" s="8"/>
      <c r="K840" s="8"/>
    </row>
    <row r="841" spans="1:11" x14ac:dyDescent="0.25">
      <c r="A841" s="44"/>
      <c r="B841" s="44"/>
      <c r="C841" s="44"/>
      <c r="D841" s="44"/>
      <c r="E841" s="44"/>
      <c r="F841" s="44"/>
      <c r="G841" s="44"/>
      <c r="H841" s="44"/>
      <c r="I841" s="44"/>
      <c r="J841" s="8"/>
      <c r="K841" s="8"/>
    </row>
    <row r="842" spans="1:11" x14ac:dyDescent="0.25">
      <c r="A842" s="44"/>
      <c r="B842" s="44"/>
      <c r="C842" s="44"/>
      <c r="D842" s="44"/>
      <c r="E842" s="44"/>
      <c r="F842" s="44"/>
      <c r="G842" s="44"/>
      <c r="H842" s="44"/>
      <c r="I842" s="44"/>
      <c r="J842" s="8"/>
      <c r="K842" s="8"/>
    </row>
    <row r="843" spans="1:11" x14ac:dyDescent="0.25">
      <c r="A843" s="44"/>
      <c r="B843" s="44"/>
      <c r="C843" s="44"/>
      <c r="D843" s="44"/>
      <c r="E843" s="44"/>
      <c r="F843" s="44"/>
      <c r="G843" s="44"/>
      <c r="H843" s="44"/>
      <c r="I843" s="44"/>
      <c r="J843" s="8"/>
      <c r="K843" s="8"/>
    </row>
    <row r="844" spans="1:11" x14ac:dyDescent="0.25">
      <c r="A844" s="44"/>
      <c r="B844" s="44"/>
      <c r="C844" s="44"/>
      <c r="D844" s="44"/>
      <c r="E844" s="44"/>
      <c r="F844" s="44"/>
      <c r="G844" s="44"/>
      <c r="H844" s="44"/>
      <c r="I844" s="44"/>
      <c r="J844" s="8"/>
      <c r="K844" s="8"/>
    </row>
    <row r="845" spans="1:11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8"/>
      <c r="K845" s="8"/>
    </row>
    <row r="846" spans="1:11" x14ac:dyDescent="0.25">
      <c r="A846" s="44"/>
      <c r="B846" s="44"/>
      <c r="C846" s="44"/>
      <c r="D846" s="44"/>
      <c r="E846" s="44"/>
      <c r="F846" s="44"/>
      <c r="G846" s="44"/>
      <c r="H846" s="44"/>
      <c r="I846" s="44"/>
      <c r="J846" s="8"/>
      <c r="K846" s="8"/>
    </row>
    <row r="847" spans="1:11" x14ac:dyDescent="0.25">
      <c r="A847" s="44"/>
      <c r="B847" s="44"/>
      <c r="C847" s="44"/>
      <c r="D847" s="44"/>
      <c r="E847" s="44"/>
      <c r="F847" s="44"/>
      <c r="G847" s="44"/>
      <c r="H847" s="44"/>
      <c r="I847" s="44"/>
      <c r="J847" s="8"/>
      <c r="K847" s="8"/>
    </row>
    <row r="848" spans="1:11" x14ac:dyDescent="0.25">
      <c r="A848" s="44"/>
      <c r="B848" s="44"/>
      <c r="C848" s="44"/>
      <c r="D848" s="44"/>
      <c r="E848" s="44"/>
      <c r="F848" s="44"/>
      <c r="G848" s="44"/>
      <c r="H848" s="44"/>
      <c r="I848" s="44"/>
      <c r="J848" s="8"/>
      <c r="K848" s="8"/>
    </row>
    <row r="849" spans="1:11" x14ac:dyDescent="0.25">
      <c r="A849" s="44"/>
      <c r="B849" s="44"/>
      <c r="C849" s="44"/>
      <c r="D849" s="44"/>
      <c r="E849" s="44"/>
      <c r="F849" s="44"/>
      <c r="G849" s="44"/>
      <c r="H849" s="44"/>
      <c r="I849" s="44"/>
      <c r="J849" s="8"/>
      <c r="K849" s="8"/>
    </row>
    <row r="850" spans="1:11" x14ac:dyDescent="0.25">
      <c r="A850" s="44"/>
      <c r="B850" s="44"/>
      <c r="C850" s="44"/>
      <c r="D850" s="44"/>
      <c r="E850" s="44"/>
      <c r="F850" s="44"/>
      <c r="G850" s="44"/>
      <c r="H850" s="44"/>
      <c r="I850" s="44"/>
      <c r="J850" s="8"/>
      <c r="K850" s="8"/>
    </row>
    <row r="851" spans="1:11" x14ac:dyDescent="0.25">
      <c r="A851" s="44"/>
      <c r="B851" s="44"/>
      <c r="C851" s="44"/>
      <c r="D851" s="44"/>
      <c r="E851" s="44"/>
      <c r="F851" s="44"/>
      <c r="G851" s="44"/>
      <c r="H851" s="44"/>
      <c r="I851" s="44"/>
      <c r="J851" s="8"/>
      <c r="K851" s="8"/>
    </row>
    <row r="852" spans="1:11" x14ac:dyDescent="0.25">
      <c r="A852" s="44"/>
      <c r="B852" s="44"/>
      <c r="C852" s="44"/>
      <c r="D852" s="44"/>
      <c r="E852" s="44"/>
      <c r="F852" s="44"/>
      <c r="G852" s="44"/>
      <c r="H852" s="44"/>
      <c r="I852" s="44"/>
      <c r="J852" s="8"/>
      <c r="K852" s="8"/>
    </row>
    <row r="853" spans="1:11" x14ac:dyDescent="0.25">
      <c r="A853" s="44"/>
      <c r="B853" s="44"/>
      <c r="C853" s="44"/>
      <c r="D853" s="44"/>
      <c r="E853" s="44"/>
      <c r="F853" s="44"/>
      <c r="G853" s="44"/>
      <c r="H853" s="44"/>
      <c r="I853" s="44"/>
      <c r="J853" s="8"/>
      <c r="K853" s="8"/>
    </row>
    <row r="854" spans="1:11" x14ac:dyDescent="0.25">
      <c r="A854" s="44"/>
      <c r="B854" s="44"/>
      <c r="C854" s="44"/>
      <c r="D854" s="44"/>
      <c r="E854" s="44"/>
      <c r="F854" s="44"/>
      <c r="G854" s="44"/>
      <c r="H854" s="44"/>
      <c r="I854" s="44"/>
      <c r="J854" s="8"/>
      <c r="K854" s="8"/>
    </row>
    <row r="855" spans="1:11" x14ac:dyDescent="0.25">
      <c r="A855" s="44"/>
      <c r="B855" s="44"/>
      <c r="C855" s="44"/>
      <c r="D855" s="44"/>
      <c r="E855" s="44"/>
      <c r="F855" s="44"/>
      <c r="G855" s="44"/>
      <c r="H855" s="44"/>
      <c r="I855" s="44"/>
      <c r="J855" s="8"/>
      <c r="K855" s="8"/>
    </row>
    <row r="856" spans="1:11" x14ac:dyDescent="0.25">
      <c r="A856" s="44"/>
      <c r="B856" s="44"/>
      <c r="C856" s="44"/>
      <c r="D856" s="44"/>
      <c r="E856" s="44"/>
      <c r="F856" s="44"/>
      <c r="G856" s="44"/>
      <c r="H856" s="44"/>
      <c r="I856" s="44"/>
      <c r="J856" s="8"/>
      <c r="K856" s="8"/>
    </row>
    <row r="857" spans="1:11" x14ac:dyDescent="0.25">
      <c r="A857" s="44"/>
      <c r="B857" s="44"/>
      <c r="C857" s="44"/>
      <c r="D857" s="44"/>
      <c r="E857" s="44"/>
      <c r="F857" s="44"/>
      <c r="G857" s="44"/>
      <c r="H857" s="44"/>
      <c r="I857" s="44"/>
      <c r="J857" s="8"/>
      <c r="K857" s="8"/>
    </row>
    <row r="858" spans="1:11" x14ac:dyDescent="0.25">
      <c r="A858" s="44"/>
      <c r="B858" s="44"/>
      <c r="C858" s="44"/>
      <c r="D858" s="44"/>
      <c r="E858" s="44"/>
      <c r="F858" s="44"/>
      <c r="G858" s="44"/>
      <c r="H858" s="44"/>
      <c r="I858" s="44"/>
      <c r="J858" s="8"/>
      <c r="K858" s="8"/>
    </row>
    <row r="859" spans="1:11" x14ac:dyDescent="0.25">
      <c r="A859" s="44"/>
      <c r="B859" s="44"/>
      <c r="C859" s="44"/>
      <c r="D859" s="44"/>
      <c r="E859" s="44"/>
      <c r="F859" s="44"/>
      <c r="G859" s="44"/>
      <c r="H859" s="44"/>
      <c r="I859" s="44"/>
      <c r="J859" s="8"/>
      <c r="K859" s="8"/>
    </row>
    <row r="860" spans="1:11" x14ac:dyDescent="0.25">
      <c r="A860" s="44"/>
      <c r="B860" s="44"/>
      <c r="C860" s="44"/>
      <c r="D860" s="44"/>
      <c r="E860" s="44"/>
      <c r="F860" s="44"/>
      <c r="G860" s="44"/>
      <c r="H860" s="44"/>
      <c r="I860" s="44"/>
      <c r="J860" s="8"/>
      <c r="K860" s="8"/>
    </row>
    <row r="861" spans="1:11" x14ac:dyDescent="0.25">
      <c r="A861" s="44"/>
      <c r="B861" s="44"/>
      <c r="C861" s="44"/>
      <c r="D861" s="44"/>
      <c r="E861" s="44"/>
      <c r="F861" s="44"/>
      <c r="G861" s="44"/>
      <c r="H861" s="44"/>
      <c r="I861" s="44"/>
      <c r="J861" s="8"/>
      <c r="K861" s="8"/>
    </row>
    <row r="862" spans="1:11" x14ac:dyDescent="0.25">
      <c r="A862" s="44"/>
      <c r="B862" s="44"/>
      <c r="C862" s="44"/>
      <c r="D862" s="44"/>
      <c r="E862" s="44"/>
      <c r="F862" s="44"/>
      <c r="G862" s="44"/>
      <c r="H862" s="44"/>
      <c r="I862" s="44"/>
      <c r="J862" s="8"/>
      <c r="K862" s="8"/>
    </row>
    <row r="863" spans="1:11" x14ac:dyDescent="0.25">
      <c r="A863" s="44"/>
      <c r="B863" s="44"/>
      <c r="C863" s="44"/>
      <c r="D863" s="44"/>
      <c r="E863" s="44"/>
      <c r="F863" s="44"/>
      <c r="G863" s="44"/>
      <c r="H863" s="44"/>
      <c r="I863" s="44"/>
      <c r="J863" s="8"/>
      <c r="K863" s="8"/>
    </row>
    <row r="864" spans="1:11" x14ac:dyDescent="0.25">
      <c r="A864" s="44"/>
      <c r="B864" s="44"/>
      <c r="C864" s="44"/>
      <c r="D864" s="44"/>
      <c r="E864" s="44"/>
      <c r="F864" s="44"/>
      <c r="G864" s="44"/>
      <c r="H864" s="44"/>
      <c r="I864" s="44"/>
      <c r="J864" s="8"/>
      <c r="K864" s="8"/>
    </row>
    <row r="865" spans="1:11" x14ac:dyDescent="0.25">
      <c r="A865" s="44"/>
      <c r="B865" s="44"/>
      <c r="C865" s="44"/>
      <c r="D865" s="44"/>
      <c r="E865" s="44"/>
      <c r="F865" s="44"/>
      <c r="G865" s="44"/>
      <c r="H865" s="44"/>
      <c r="I865" s="44"/>
      <c r="J865" s="8"/>
      <c r="K865" s="8"/>
    </row>
    <row r="866" spans="1:11" x14ac:dyDescent="0.25">
      <c r="A866" s="44"/>
      <c r="B866" s="44"/>
      <c r="C866" s="44"/>
      <c r="D866" s="44"/>
      <c r="E866" s="44"/>
      <c r="F866" s="44"/>
      <c r="G866" s="44"/>
      <c r="H866" s="44"/>
      <c r="I866" s="44"/>
      <c r="J866" s="8"/>
      <c r="K866" s="8"/>
    </row>
    <row r="867" spans="1:11" x14ac:dyDescent="0.25">
      <c r="A867" s="44"/>
      <c r="B867" s="44"/>
      <c r="C867" s="44"/>
      <c r="D867" s="44"/>
      <c r="E867" s="44"/>
      <c r="F867" s="44"/>
      <c r="G867" s="44"/>
      <c r="H867" s="44"/>
      <c r="I867" s="44"/>
      <c r="J867" s="8"/>
      <c r="K867" s="8"/>
    </row>
    <row r="868" spans="1:11" x14ac:dyDescent="0.25">
      <c r="A868" s="44"/>
      <c r="B868" s="44"/>
      <c r="C868" s="44"/>
      <c r="D868" s="44"/>
      <c r="E868" s="44"/>
      <c r="F868" s="44"/>
      <c r="G868" s="44"/>
      <c r="H868" s="44"/>
      <c r="I868" s="44"/>
      <c r="J868" s="8"/>
      <c r="K868" s="8"/>
    </row>
    <row r="869" spans="1:11" x14ac:dyDescent="0.25">
      <c r="A869" s="44"/>
      <c r="B869" s="44"/>
      <c r="C869" s="44"/>
      <c r="D869" s="44"/>
      <c r="E869" s="44"/>
      <c r="F869" s="44"/>
      <c r="G869" s="44"/>
      <c r="H869" s="44"/>
      <c r="I869" s="44"/>
      <c r="J869" s="8"/>
      <c r="K869" s="8"/>
    </row>
    <row r="870" spans="1:11" x14ac:dyDescent="0.25">
      <c r="A870" s="44"/>
      <c r="B870" s="44"/>
      <c r="C870" s="44"/>
      <c r="D870" s="44"/>
      <c r="E870" s="44"/>
      <c r="F870" s="44"/>
      <c r="G870" s="44"/>
      <c r="H870" s="44"/>
      <c r="I870" s="44"/>
      <c r="J870" s="8"/>
      <c r="K870" s="8"/>
    </row>
    <row r="871" spans="1:11" x14ac:dyDescent="0.25">
      <c r="A871" s="44"/>
      <c r="B871" s="44"/>
      <c r="C871" s="44"/>
      <c r="D871" s="44"/>
      <c r="E871" s="44"/>
      <c r="F871" s="44"/>
      <c r="G871" s="44"/>
      <c r="H871" s="44"/>
      <c r="I871" s="44"/>
      <c r="J871" s="8"/>
      <c r="K871" s="8"/>
    </row>
    <row r="872" spans="1:11" x14ac:dyDescent="0.25">
      <c r="A872" s="44"/>
      <c r="B872" s="44"/>
      <c r="C872" s="44"/>
      <c r="D872" s="44"/>
      <c r="E872" s="44"/>
      <c r="F872" s="44"/>
      <c r="G872" s="44"/>
      <c r="H872" s="44"/>
      <c r="I872" s="44"/>
      <c r="J872" s="8"/>
      <c r="K872" s="8"/>
    </row>
    <row r="873" spans="1:11" x14ac:dyDescent="0.25">
      <c r="A873" s="44"/>
      <c r="B873" s="44"/>
      <c r="C873" s="44"/>
      <c r="D873" s="44"/>
      <c r="E873" s="44"/>
      <c r="F873" s="44"/>
      <c r="G873" s="44"/>
      <c r="H873" s="44"/>
      <c r="I873" s="44"/>
      <c r="J873" s="8"/>
      <c r="K873" s="8"/>
    </row>
    <row r="874" spans="1:11" x14ac:dyDescent="0.25">
      <c r="A874" s="44"/>
      <c r="B874" s="44"/>
      <c r="C874" s="44"/>
      <c r="D874" s="44"/>
      <c r="E874" s="44"/>
      <c r="F874" s="44"/>
      <c r="G874" s="44"/>
      <c r="H874" s="44"/>
      <c r="I874" s="44"/>
      <c r="J874" s="8"/>
      <c r="K874" s="8"/>
    </row>
    <row r="875" spans="1:11" x14ac:dyDescent="0.25">
      <c r="A875" s="44"/>
      <c r="B875" s="44"/>
      <c r="C875" s="44"/>
      <c r="D875" s="44"/>
      <c r="E875" s="44"/>
      <c r="F875" s="44"/>
      <c r="G875" s="44"/>
      <c r="H875" s="44"/>
      <c r="I875" s="44"/>
      <c r="J875" s="8"/>
      <c r="K875" s="8"/>
    </row>
    <row r="876" spans="1:11" x14ac:dyDescent="0.25">
      <c r="A876" s="44"/>
      <c r="B876" s="44"/>
      <c r="C876" s="44"/>
      <c r="D876" s="44"/>
      <c r="E876" s="44"/>
      <c r="F876" s="44"/>
      <c r="G876" s="44"/>
      <c r="H876" s="44"/>
      <c r="I876" s="44"/>
      <c r="J876" s="8"/>
      <c r="K876" s="8"/>
    </row>
    <row r="877" spans="1:11" x14ac:dyDescent="0.25">
      <c r="A877" s="44"/>
      <c r="B877" s="44"/>
      <c r="C877" s="44"/>
      <c r="D877" s="44"/>
      <c r="E877" s="44"/>
      <c r="F877" s="44"/>
      <c r="G877" s="44"/>
      <c r="H877" s="44"/>
      <c r="I877" s="44"/>
      <c r="J877" s="8"/>
      <c r="K877" s="8"/>
    </row>
    <row r="878" spans="1:11" x14ac:dyDescent="0.25">
      <c r="A878" s="44"/>
      <c r="B878" s="44"/>
      <c r="C878" s="44"/>
      <c r="D878" s="44"/>
      <c r="E878" s="44"/>
      <c r="F878" s="44"/>
      <c r="G878" s="44"/>
      <c r="H878" s="44"/>
      <c r="I878" s="44"/>
      <c r="J878" s="8"/>
      <c r="K878" s="8"/>
    </row>
    <row r="879" spans="1:11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8"/>
      <c r="K879" s="8"/>
    </row>
    <row r="880" spans="1:11" x14ac:dyDescent="0.25">
      <c r="A880" s="44"/>
      <c r="B880" s="44"/>
      <c r="C880" s="44"/>
      <c r="D880" s="44"/>
      <c r="E880" s="44"/>
      <c r="F880" s="44"/>
      <c r="G880" s="44"/>
      <c r="H880" s="44"/>
      <c r="I880" s="44"/>
      <c r="J880" s="8"/>
      <c r="K880" s="8"/>
    </row>
    <row r="881" spans="1:11" x14ac:dyDescent="0.25">
      <c r="A881" s="44"/>
      <c r="B881" s="44"/>
      <c r="C881" s="44"/>
      <c r="D881" s="44"/>
      <c r="E881" s="44"/>
      <c r="F881" s="44"/>
      <c r="G881" s="44"/>
      <c r="H881" s="44"/>
      <c r="I881" s="44"/>
      <c r="J881" s="8"/>
      <c r="K881" s="8"/>
    </row>
    <row r="882" spans="1:11" x14ac:dyDescent="0.25">
      <c r="A882" s="44"/>
      <c r="B882" s="44"/>
      <c r="C882" s="44"/>
      <c r="D882" s="44"/>
      <c r="E882" s="44"/>
      <c r="F882" s="44"/>
      <c r="G882" s="44"/>
      <c r="H882" s="44"/>
      <c r="I882" s="44"/>
      <c r="J882" s="8"/>
      <c r="K882" s="8"/>
    </row>
    <row r="883" spans="1:11" x14ac:dyDescent="0.25">
      <c r="A883" s="44"/>
      <c r="B883" s="44"/>
      <c r="C883" s="44"/>
      <c r="D883" s="44"/>
      <c r="E883" s="44"/>
      <c r="F883" s="44"/>
      <c r="G883" s="44"/>
      <c r="H883" s="44"/>
      <c r="I883" s="44"/>
      <c r="J883" s="8"/>
      <c r="K883" s="8"/>
    </row>
    <row r="884" spans="1:11" x14ac:dyDescent="0.25">
      <c r="A884" s="44"/>
      <c r="B884" s="44"/>
      <c r="C884" s="44"/>
      <c r="D884" s="44"/>
      <c r="E884" s="44"/>
      <c r="F884" s="44"/>
      <c r="G884" s="44"/>
      <c r="H884" s="44"/>
      <c r="I884" s="44"/>
      <c r="J884" s="8"/>
      <c r="K884" s="8"/>
    </row>
    <row r="885" spans="1:11" x14ac:dyDescent="0.25">
      <c r="A885" s="44"/>
      <c r="B885" s="44"/>
      <c r="C885" s="44"/>
      <c r="D885" s="44"/>
      <c r="E885" s="44"/>
      <c r="F885" s="44"/>
      <c r="G885" s="44"/>
      <c r="H885" s="44"/>
      <c r="I885" s="44"/>
      <c r="J885" s="8"/>
      <c r="K885" s="8"/>
    </row>
    <row r="886" spans="1:11" x14ac:dyDescent="0.25">
      <c r="A886" s="44"/>
      <c r="B886" s="44"/>
      <c r="C886" s="44"/>
      <c r="D886" s="44"/>
      <c r="E886" s="44"/>
      <c r="F886" s="44"/>
      <c r="G886" s="44"/>
      <c r="H886" s="44"/>
      <c r="I886" s="44"/>
      <c r="J886" s="8"/>
      <c r="K886" s="8"/>
    </row>
    <row r="887" spans="1:11" x14ac:dyDescent="0.25">
      <c r="A887" s="44"/>
      <c r="B887" s="44"/>
      <c r="C887" s="44"/>
      <c r="D887" s="44"/>
      <c r="E887" s="44"/>
      <c r="F887" s="44"/>
      <c r="G887" s="44"/>
      <c r="H887" s="44"/>
      <c r="I887" s="44"/>
      <c r="J887" s="8"/>
      <c r="K887" s="8"/>
    </row>
    <row r="888" spans="1:11" x14ac:dyDescent="0.25">
      <c r="A888" s="44"/>
      <c r="B888" s="44"/>
      <c r="C888" s="44"/>
      <c r="D888" s="44"/>
      <c r="E888" s="44"/>
      <c r="F888" s="44"/>
      <c r="G888" s="44"/>
      <c r="H888" s="44"/>
      <c r="I888" s="44"/>
      <c r="J888" s="8"/>
      <c r="K888" s="8"/>
    </row>
    <row r="889" spans="1:11" x14ac:dyDescent="0.25">
      <c r="A889" s="44"/>
      <c r="B889" s="44"/>
      <c r="C889" s="44"/>
      <c r="D889" s="44"/>
      <c r="E889" s="44"/>
      <c r="F889" s="44"/>
      <c r="G889" s="44"/>
      <c r="H889" s="44"/>
      <c r="I889" s="44"/>
      <c r="J889" s="8"/>
      <c r="K889" s="8"/>
    </row>
    <row r="890" spans="1:11" x14ac:dyDescent="0.25">
      <c r="A890" s="44"/>
      <c r="B890" s="44"/>
      <c r="C890" s="44"/>
      <c r="D890" s="44"/>
      <c r="E890" s="44"/>
      <c r="F890" s="44"/>
      <c r="G890" s="44"/>
      <c r="H890" s="44"/>
      <c r="I890" s="44"/>
      <c r="J890" s="8"/>
      <c r="K890" s="8"/>
    </row>
    <row r="891" spans="1:11" x14ac:dyDescent="0.25">
      <c r="A891" s="44"/>
      <c r="B891" s="44"/>
      <c r="C891" s="44"/>
      <c r="D891" s="44"/>
      <c r="E891" s="44"/>
      <c r="F891" s="44"/>
      <c r="G891" s="44"/>
      <c r="H891" s="44"/>
      <c r="I891" s="44"/>
      <c r="J891" s="8"/>
      <c r="K891" s="8"/>
    </row>
    <row r="892" spans="1:11" x14ac:dyDescent="0.25">
      <c r="A892" s="44"/>
      <c r="B892" s="44"/>
      <c r="C892" s="44"/>
      <c r="D892" s="44"/>
      <c r="E892" s="44"/>
      <c r="F892" s="44"/>
      <c r="G892" s="44"/>
      <c r="H892" s="44"/>
      <c r="I892" s="44"/>
      <c r="J892" s="8"/>
      <c r="K892" s="8"/>
    </row>
    <row r="893" spans="1:11" x14ac:dyDescent="0.25">
      <c r="A893" s="44"/>
      <c r="B893" s="44"/>
      <c r="C893" s="44"/>
      <c r="D893" s="44"/>
      <c r="E893" s="44"/>
      <c r="F893" s="44"/>
      <c r="G893" s="44"/>
      <c r="H893" s="44"/>
      <c r="I893" s="44"/>
      <c r="J893" s="8"/>
      <c r="K893" s="8"/>
    </row>
    <row r="894" spans="1:11" x14ac:dyDescent="0.25">
      <c r="A894" s="44"/>
      <c r="B894" s="44"/>
      <c r="C894" s="44"/>
      <c r="D894" s="44"/>
      <c r="E894" s="44"/>
      <c r="F894" s="44"/>
      <c r="G894" s="44"/>
      <c r="H894" s="44"/>
      <c r="I894" s="44"/>
      <c r="J894" s="8"/>
      <c r="K894" s="8"/>
    </row>
    <row r="895" spans="1:11" x14ac:dyDescent="0.25">
      <c r="A895" s="44"/>
      <c r="B895" s="44"/>
      <c r="C895" s="44"/>
      <c r="D895" s="44"/>
      <c r="E895" s="44"/>
      <c r="F895" s="44"/>
      <c r="G895" s="44"/>
      <c r="H895" s="44"/>
      <c r="I895" s="44"/>
      <c r="J895" s="8"/>
      <c r="K895" s="8"/>
    </row>
    <row r="896" spans="1:11" x14ac:dyDescent="0.25">
      <c r="A896" s="44"/>
      <c r="B896" s="44"/>
      <c r="C896" s="44"/>
      <c r="D896" s="44"/>
      <c r="E896" s="44"/>
      <c r="F896" s="44"/>
      <c r="G896" s="44"/>
      <c r="H896" s="44"/>
      <c r="I896" s="44"/>
      <c r="J896" s="8"/>
      <c r="K896" s="8"/>
    </row>
    <row r="897" spans="1:11" x14ac:dyDescent="0.25">
      <c r="A897" s="44"/>
      <c r="B897" s="44"/>
      <c r="C897" s="44"/>
      <c r="D897" s="44"/>
      <c r="E897" s="44"/>
      <c r="F897" s="44"/>
      <c r="G897" s="44"/>
      <c r="H897" s="44"/>
      <c r="I897" s="44"/>
      <c r="J897" s="8"/>
      <c r="K897" s="8"/>
    </row>
    <row r="898" spans="1:11" x14ac:dyDescent="0.25">
      <c r="A898" s="44"/>
      <c r="B898" s="44"/>
      <c r="C898" s="44"/>
      <c r="D898" s="44"/>
      <c r="E898" s="44"/>
      <c r="F898" s="44"/>
      <c r="G898" s="44"/>
      <c r="H898" s="44"/>
      <c r="I898" s="44"/>
      <c r="J898" s="8"/>
      <c r="K898" s="8"/>
    </row>
    <row r="899" spans="1:11" x14ac:dyDescent="0.25">
      <c r="A899" s="44"/>
      <c r="B899" s="44"/>
      <c r="C899" s="44"/>
      <c r="D899" s="44"/>
      <c r="E899" s="44"/>
      <c r="F899" s="44"/>
      <c r="G899" s="44"/>
      <c r="H899" s="44"/>
      <c r="I899" s="44"/>
      <c r="J899" s="8"/>
      <c r="K899" s="8"/>
    </row>
    <row r="900" spans="1:11" x14ac:dyDescent="0.25">
      <c r="A900" s="44"/>
      <c r="B900" s="44"/>
      <c r="C900" s="44"/>
      <c r="D900" s="44"/>
      <c r="E900" s="44"/>
      <c r="F900" s="44"/>
      <c r="G900" s="44"/>
      <c r="H900" s="44"/>
      <c r="I900" s="44"/>
      <c r="J900" s="8"/>
      <c r="K900" s="8"/>
    </row>
    <row r="901" spans="1:11" x14ac:dyDescent="0.25">
      <c r="A901" s="44"/>
      <c r="B901" s="44"/>
      <c r="C901" s="44"/>
      <c r="D901" s="44"/>
      <c r="E901" s="44"/>
      <c r="F901" s="44"/>
      <c r="G901" s="44"/>
      <c r="H901" s="44"/>
      <c r="I901" s="44"/>
      <c r="J901" s="8"/>
      <c r="K901" s="8"/>
    </row>
    <row r="902" spans="1:11" x14ac:dyDescent="0.25">
      <c r="A902" s="44"/>
      <c r="B902" s="44"/>
      <c r="C902" s="44"/>
      <c r="D902" s="44"/>
      <c r="E902" s="44"/>
      <c r="F902" s="44"/>
      <c r="G902" s="44"/>
      <c r="H902" s="44"/>
      <c r="I902" s="44"/>
      <c r="J902" s="8"/>
      <c r="K902" s="8"/>
    </row>
    <row r="903" spans="1:11" x14ac:dyDescent="0.25">
      <c r="A903" s="44"/>
      <c r="B903" s="44"/>
      <c r="C903" s="44"/>
      <c r="D903" s="44"/>
      <c r="E903" s="44"/>
      <c r="F903" s="44"/>
      <c r="G903" s="44"/>
      <c r="H903" s="44"/>
      <c r="I903" s="44"/>
      <c r="J903" s="8"/>
      <c r="K903" s="8"/>
    </row>
    <row r="904" spans="1:11" x14ac:dyDescent="0.25">
      <c r="A904" s="44"/>
      <c r="B904" s="44"/>
      <c r="C904" s="44"/>
      <c r="D904" s="44"/>
      <c r="E904" s="44"/>
      <c r="F904" s="44"/>
      <c r="G904" s="44"/>
      <c r="H904" s="44"/>
      <c r="I904" s="44"/>
      <c r="J904" s="8"/>
      <c r="K904" s="8"/>
    </row>
    <row r="905" spans="1:11" x14ac:dyDescent="0.25">
      <c r="A905" s="44"/>
      <c r="B905" s="44"/>
      <c r="C905" s="44"/>
      <c r="D905" s="44"/>
      <c r="E905" s="44"/>
      <c r="F905" s="44"/>
      <c r="G905" s="44"/>
      <c r="H905" s="44"/>
      <c r="I905" s="44"/>
      <c r="J905" s="8"/>
      <c r="K905" s="8"/>
    </row>
    <row r="906" spans="1:11" x14ac:dyDescent="0.25">
      <c r="A906" s="44"/>
      <c r="B906" s="44"/>
      <c r="C906" s="44"/>
      <c r="D906" s="44"/>
      <c r="E906" s="44"/>
      <c r="F906" s="44"/>
      <c r="G906" s="44"/>
      <c r="H906" s="44"/>
      <c r="I906" s="44"/>
      <c r="J906" s="8"/>
      <c r="K906" s="8"/>
    </row>
    <row r="907" spans="1:11" x14ac:dyDescent="0.25">
      <c r="A907" s="44"/>
      <c r="B907" s="44"/>
      <c r="C907" s="44"/>
      <c r="D907" s="44"/>
      <c r="E907" s="44"/>
      <c r="F907" s="44"/>
      <c r="G907" s="44"/>
      <c r="H907" s="44"/>
      <c r="I907" s="44"/>
      <c r="J907" s="8"/>
      <c r="K907" s="8"/>
    </row>
    <row r="908" spans="1:11" x14ac:dyDescent="0.25">
      <c r="A908" s="44"/>
      <c r="B908" s="44"/>
      <c r="C908" s="44"/>
      <c r="D908" s="44"/>
      <c r="E908" s="44"/>
      <c r="F908" s="44"/>
      <c r="G908" s="44"/>
      <c r="H908" s="44"/>
      <c r="I908" s="44"/>
      <c r="J908" s="8"/>
      <c r="K908" s="8"/>
    </row>
    <row r="909" spans="1:11" x14ac:dyDescent="0.25">
      <c r="A909" s="44"/>
      <c r="B909" s="44"/>
      <c r="C909" s="44"/>
      <c r="D909" s="44"/>
      <c r="E909" s="44"/>
      <c r="F909" s="44"/>
      <c r="G909" s="44"/>
      <c r="H909" s="44"/>
      <c r="I909" s="44"/>
      <c r="J909" s="8"/>
      <c r="K909" s="8"/>
    </row>
    <row r="910" spans="1:11" x14ac:dyDescent="0.25">
      <c r="A910" s="44"/>
      <c r="B910" s="44"/>
      <c r="C910" s="44"/>
      <c r="D910" s="44"/>
      <c r="E910" s="44"/>
      <c r="F910" s="44"/>
      <c r="G910" s="44"/>
      <c r="H910" s="44"/>
      <c r="I910" s="44"/>
      <c r="J910" s="8"/>
      <c r="K910" s="8"/>
    </row>
    <row r="911" spans="1:11" x14ac:dyDescent="0.25">
      <c r="A911" s="44"/>
      <c r="B911" s="44"/>
      <c r="C911" s="44"/>
      <c r="D911" s="44"/>
      <c r="E911" s="44"/>
      <c r="F911" s="44"/>
      <c r="G911" s="44"/>
      <c r="H911" s="44"/>
      <c r="I911" s="44"/>
      <c r="J911" s="8"/>
      <c r="K911" s="8"/>
    </row>
    <row r="912" spans="1:11" x14ac:dyDescent="0.25">
      <c r="A912" s="44"/>
      <c r="B912" s="44"/>
      <c r="C912" s="44"/>
      <c r="D912" s="44"/>
      <c r="E912" s="44"/>
      <c r="F912" s="44"/>
      <c r="G912" s="44"/>
      <c r="H912" s="44"/>
      <c r="I912" s="44"/>
      <c r="J912" s="8"/>
      <c r="K912" s="8"/>
    </row>
    <row r="913" spans="1:11" x14ac:dyDescent="0.25">
      <c r="A913" s="44"/>
      <c r="B913" s="44"/>
      <c r="C913" s="44"/>
      <c r="D913" s="44"/>
      <c r="E913" s="44"/>
      <c r="F913" s="44"/>
      <c r="G913" s="44"/>
      <c r="H913" s="44"/>
      <c r="I913" s="44"/>
      <c r="J913" s="8"/>
      <c r="K913" s="8"/>
    </row>
    <row r="914" spans="1:11" x14ac:dyDescent="0.25">
      <c r="A914" s="44"/>
      <c r="B914" s="44"/>
      <c r="C914" s="44"/>
      <c r="D914" s="44"/>
      <c r="E914" s="44"/>
      <c r="F914" s="44"/>
      <c r="G914" s="44"/>
      <c r="H914" s="44"/>
      <c r="I914" s="44"/>
      <c r="J914" s="8"/>
      <c r="K914" s="8"/>
    </row>
    <row r="915" spans="1:11" x14ac:dyDescent="0.25">
      <c r="A915" s="44"/>
      <c r="B915" s="44"/>
      <c r="C915" s="44"/>
      <c r="D915" s="44"/>
      <c r="E915" s="44"/>
      <c r="F915" s="44"/>
      <c r="G915" s="44"/>
      <c r="H915" s="44"/>
      <c r="I915" s="44"/>
      <c r="J915" s="8"/>
      <c r="K915" s="8"/>
    </row>
    <row r="916" spans="1:11" x14ac:dyDescent="0.25">
      <c r="A916" s="44"/>
      <c r="B916" s="44"/>
      <c r="C916" s="44"/>
      <c r="D916" s="44"/>
      <c r="E916" s="44"/>
      <c r="F916" s="44"/>
      <c r="G916" s="44"/>
      <c r="H916" s="44"/>
      <c r="I916" s="44"/>
      <c r="J916" s="8"/>
      <c r="K916" s="8"/>
    </row>
    <row r="917" spans="1:11" x14ac:dyDescent="0.25">
      <c r="A917" s="44"/>
      <c r="B917" s="44"/>
      <c r="C917" s="44"/>
      <c r="D917" s="44"/>
      <c r="E917" s="44"/>
      <c r="F917" s="44"/>
      <c r="G917" s="44"/>
      <c r="H917" s="44"/>
      <c r="I917" s="44"/>
      <c r="J917" s="8"/>
      <c r="K917" s="8"/>
    </row>
    <row r="918" spans="1:11" x14ac:dyDescent="0.25">
      <c r="A918" s="44"/>
      <c r="B918" s="44"/>
      <c r="C918" s="44"/>
      <c r="D918" s="44"/>
      <c r="E918" s="44"/>
      <c r="F918" s="44"/>
      <c r="G918" s="44"/>
      <c r="H918" s="44"/>
      <c r="I918" s="44"/>
      <c r="J918" s="8"/>
      <c r="K918" s="8"/>
    </row>
    <row r="919" spans="1:11" x14ac:dyDescent="0.25">
      <c r="A919" s="44"/>
      <c r="B919" s="44"/>
      <c r="C919" s="44"/>
      <c r="D919" s="44"/>
      <c r="E919" s="44"/>
      <c r="F919" s="44"/>
      <c r="G919" s="44"/>
      <c r="H919" s="44"/>
      <c r="I919" s="44"/>
      <c r="J919" s="8"/>
      <c r="K919" s="8"/>
    </row>
    <row r="920" spans="1:11" x14ac:dyDescent="0.25">
      <c r="A920" s="44"/>
      <c r="B920" s="44"/>
      <c r="C920" s="44"/>
      <c r="D920" s="44"/>
      <c r="E920" s="44"/>
      <c r="F920" s="44"/>
      <c r="G920" s="44"/>
      <c r="H920" s="44"/>
      <c r="I920" s="44"/>
      <c r="J920" s="8"/>
      <c r="K920" s="8"/>
    </row>
    <row r="921" spans="1:11" x14ac:dyDescent="0.25">
      <c r="A921" s="44"/>
      <c r="B921" s="44"/>
      <c r="C921" s="44"/>
      <c r="D921" s="44"/>
      <c r="E921" s="44"/>
      <c r="F921" s="44"/>
      <c r="G921" s="44"/>
      <c r="H921" s="44"/>
      <c r="I921" s="44"/>
      <c r="J921" s="8"/>
      <c r="K921" s="8"/>
    </row>
    <row r="922" spans="1:11" x14ac:dyDescent="0.25">
      <c r="A922" s="44"/>
      <c r="B922" s="44"/>
      <c r="C922" s="44"/>
      <c r="D922" s="44"/>
      <c r="E922" s="44"/>
      <c r="F922" s="44"/>
      <c r="G922" s="44"/>
      <c r="H922" s="44"/>
      <c r="I922" s="44"/>
      <c r="J922" s="8"/>
      <c r="K922" s="8"/>
    </row>
    <row r="923" spans="1:11" x14ac:dyDescent="0.25">
      <c r="A923" s="44"/>
      <c r="B923" s="44"/>
      <c r="C923" s="44"/>
      <c r="D923" s="44"/>
      <c r="E923" s="44"/>
      <c r="F923" s="44"/>
      <c r="G923" s="44"/>
      <c r="H923" s="44"/>
      <c r="I923" s="44"/>
      <c r="J923" s="8"/>
      <c r="K923" s="8"/>
    </row>
    <row r="924" spans="1:11" x14ac:dyDescent="0.25">
      <c r="A924" s="44"/>
      <c r="B924" s="44"/>
      <c r="C924" s="44"/>
      <c r="D924" s="44"/>
      <c r="E924" s="44"/>
      <c r="F924" s="44"/>
      <c r="G924" s="44"/>
      <c r="H924" s="44"/>
      <c r="I924" s="44"/>
      <c r="J924" s="8"/>
      <c r="K924" s="8"/>
    </row>
    <row r="925" spans="1:11" x14ac:dyDescent="0.25">
      <c r="A925" s="44"/>
      <c r="B925" s="44"/>
      <c r="C925" s="44"/>
      <c r="D925" s="44"/>
      <c r="E925" s="44"/>
      <c r="F925" s="44"/>
      <c r="G925" s="44"/>
      <c r="H925" s="44"/>
      <c r="I925" s="44"/>
      <c r="J925" s="8"/>
      <c r="K925" s="8"/>
    </row>
    <row r="926" spans="1:11" x14ac:dyDescent="0.25">
      <c r="A926" s="44"/>
      <c r="B926" s="44"/>
      <c r="C926" s="44"/>
      <c r="D926" s="44"/>
      <c r="E926" s="44"/>
      <c r="F926" s="44"/>
      <c r="G926" s="44"/>
      <c r="H926" s="44"/>
      <c r="I926" s="44"/>
      <c r="J926" s="8"/>
      <c r="K926" s="8"/>
    </row>
    <row r="927" spans="1:11" x14ac:dyDescent="0.25">
      <c r="A927" s="44"/>
      <c r="B927" s="44"/>
      <c r="C927" s="44"/>
      <c r="D927" s="44"/>
      <c r="E927" s="44"/>
      <c r="F927" s="44"/>
      <c r="G927" s="44"/>
      <c r="H927" s="44"/>
      <c r="I927" s="44"/>
      <c r="J927" s="8"/>
      <c r="K927" s="8"/>
    </row>
    <row r="928" spans="1:11" x14ac:dyDescent="0.25">
      <c r="A928" s="44"/>
      <c r="B928" s="44"/>
      <c r="C928" s="44"/>
      <c r="D928" s="44"/>
      <c r="E928" s="44"/>
      <c r="F928" s="44"/>
      <c r="G928" s="44"/>
      <c r="H928" s="44"/>
      <c r="I928" s="44"/>
      <c r="J928" s="8"/>
      <c r="K928" s="8"/>
    </row>
    <row r="929" spans="1:11" x14ac:dyDescent="0.25">
      <c r="A929" s="44"/>
      <c r="B929" s="44"/>
      <c r="C929" s="44"/>
      <c r="D929" s="44"/>
      <c r="E929" s="44"/>
      <c r="F929" s="44"/>
      <c r="G929" s="44"/>
      <c r="H929" s="44"/>
      <c r="I929" s="44"/>
      <c r="J929" s="8"/>
      <c r="K929" s="8"/>
    </row>
    <row r="930" spans="1:11" x14ac:dyDescent="0.25">
      <c r="A930" s="44"/>
      <c r="B930" s="44"/>
      <c r="C930" s="44"/>
      <c r="D930" s="44"/>
      <c r="E930" s="44"/>
      <c r="F930" s="44"/>
      <c r="G930" s="44"/>
      <c r="H930" s="44"/>
      <c r="I930" s="44"/>
      <c r="J930" s="8"/>
      <c r="K930" s="8"/>
    </row>
    <row r="931" spans="1:11" x14ac:dyDescent="0.25">
      <c r="A931" s="44"/>
      <c r="B931" s="44"/>
      <c r="C931" s="44"/>
      <c r="D931" s="44"/>
      <c r="E931" s="44"/>
      <c r="F931" s="44"/>
      <c r="G931" s="44"/>
      <c r="H931" s="44"/>
      <c r="I931" s="44"/>
      <c r="J931" s="8"/>
      <c r="K931" s="8"/>
    </row>
    <row r="932" spans="1:11" x14ac:dyDescent="0.25">
      <c r="A932" s="44"/>
      <c r="B932" s="44"/>
      <c r="C932" s="44"/>
      <c r="D932" s="44"/>
      <c r="E932" s="44"/>
      <c r="F932" s="44"/>
      <c r="G932" s="44"/>
      <c r="H932" s="44"/>
      <c r="I932" s="44"/>
      <c r="J932" s="8"/>
      <c r="K932" s="8"/>
    </row>
    <row r="933" spans="1:11" x14ac:dyDescent="0.25">
      <c r="A933" s="44"/>
      <c r="B933" s="44"/>
      <c r="C933" s="44"/>
      <c r="D933" s="44"/>
      <c r="E933" s="44"/>
      <c r="F933" s="44"/>
      <c r="G933" s="44"/>
      <c r="H933" s="44"/>
      <c r="I933" s="44"/>
      <c r="J933" s="8"/>
      <c r="K933" s="8"/>
    </row>
    <row r="934" spans="1:11" x14ac:dyDescent="0.25">
      <c r="A934" s="44"/>
      <c r="B934" s="44"/>
      <c r="C934" s="44"/>
      <c r="D934" s="44"/>
      <c r="E934" s="44"/>
      <c r="F934" s="44"/>
      <c r="G934" s="44"/>
      <c r="H934" s="44"/>
      <c r="I934" s="44"/>
      <c r="J934" s="8"/>
      <c r="K934" s="8"/>
    </row>
    <row r="935" spans="1:11" x14ac:dyDescent="0.25">
      <c r="A935" s="44"/>
      <c r="B935" s="44"/>
      <c r="C935" s="44"/>
      <c r="D935" s="44"/>
      <c r="E935" s="44"/>
      <c r="F935" s="44"/>
      <c r="G935" s="44"/>
      <c r="H935" s="44"/>
      <c r="I935" s="44"/>
      <c r="J935" s="8"/>
      <c r="K935" s="8"/>
    </row>
    <row r="936" spans="1:11" x14ac:dyDescent="0.25">
      <c r="A936" s="44"/>
      <c r="B936" s="44"/>
      <c r="C936" s="44"/>
      <c r="D936" s="44"/>
      <c r="E936" s="44"/>
      <c r="F936" s="44"/>
      <c r="G936" s="44"/>
      <c r="H936" s="44"/>
      <c r="I936" s="44"/>
      <c r="J936" s="8"/>
      <c r="K936" s="8"/>
    </row>
    <row r="937" spans="1:11" x14ac:dyDescent="0.25">
      <c r="A937" s="44"/>
      <c r="B937" s="44"/>
      <c r="C937" s="44"/>
      <c r="D937" s="44"/>
      <c r="E937" s="44"/>
      <c r="F937" s="44"/>
      <c r="G937" s="44"/>
      <c r="H937" s="44"/>
      <c r="I937" s="44"/>
      <c r="J937" s="8"/>
      <c r="K937" s="8"/>
    </row>
    <row r="938" spans="1:11" x14ac:dyDescent="0.25">
      <c r="A938" s="44"/>
      <c r="B938" s="44"/>
      <c r="C938" s="44"/>
      <c r="D938" s="44"/>
      <c r="E938" s="44"/>
      <c r="F938" s="44"/>
      <c r="G938" s="44"/>
      <c r="H938" s="44"/>
      <c r="I938" s="44"/>
      <c r="J938" s="8"/>
      <c r="K938" s="8"/>
    </row>
    <row r="939" spans="1:11" x14ac:dyDescent="0.25">
      <c r="A939" s="44"/>
      <c r="B939" s="44"/>
      <c r="C939" s="44"/>
      <c r="D939" s="44"/>
      <c r="E939" s="44"/>
      <c r="F939" s="44"/>
      <c r="G939" s="44"/>
      <c r="H939" s="44"/>
      <c r="I939" s="44"/>
      <c r="J939" s="8"/>
      <c r="K939" s="8"/>
    </row>
    <row r="940" spans="1:11" x14ac:dyDescent="0.25">
      <c r="A940" s="44"/>
      <c r="B940" s="44"/>
      <c r="C940" s="44"/>
      <c r="D940" s="44"/>
      <c r="E940" s="44"/>
      <c r="F940" s="44"/>
      <c r="G940" s="44"/>
      <c r="H940" s="44"/>
      <c r="I940" s="44"/>
      <c r="J940" s="8"/>
      <c r="K940" s="8"/>
    </row>
    <row r="941" spans="1:11" x14ac:dyDescent="0.25">
      <c r="A941" s="44"/>
      <c r="B941" s="44"/>
      <c r="C941" s="44"/>
      <c r="D941" s="44"/>
      <c r="E941" s="44"/>
      <c r="F941" s="44"/>
      <c r="G941" s="44"/>
      <c r="H941" s="44"/>
      <c r="I941" s="44"/>
      <c r="J941" s="8"/>
      <c r="K941" s="8"/>
    </row>
    <row r="942" spans="1:11" x14ac:dyDescent="0.25">
      <c r="A942" s="44"/>
      <c r="B942" s="44"/>
      <c r="C942" s="44"/>
      <c r="D942" s="44"/>
      <c r="E942" s="44"/>
      <c r="F942" s="44"/>
      <c r="G942" s="44"/>
      <c r="H942" s="44"/>
      <c r="I942" s="44"/>
      <c r="J942" s="8"/>
      <c r="K942" s="8"/>
    </row>
    <row r="943" spans="1:11" x14ac:dyDescent="0.25">
      <c r="A943" s="44"/>
      <c r="B943" s="44"/>
      <c r="C943" s="44"/>
      <c r="D943" s="44"/>
      <c r="E943" s="44"/>
      <c r="F943" s="44"/>
      <c r="G943" s="44"/>
      <c r="H943" s="44"/>
      <c r="I943" s="44"/>
      <c r="J943" s="8"/>
      <c r="K943" s="8"/>
    </row>
    <row r="944" spans="1:11" x14ac:dyDescent="0.25">
      <c r="A944" s="44"/>
      <c r="B944" s="44"/>
      <c r="C944" s="44"/>
      <c r="D944" s="44"/>
      <c r="E944" s="44"/>
      <c r="F944" s="44"/>
      <c r="G944" s="44"/>
      <c r="H944" s="44"/>
      <c r="I944" s="44"/>
      <c r="J944" s="8"/>
      <c r="K944" s="8"/>
    </row>
    <row r="945" spans="1:11" x14ac:dyDescent="0.25">
      <c r="A945" s="44"/>
      <c r="B945" s="44"/>
      <c r="C945" s="44"/>
      <c r="D945" s="44"/>
      <c r="E945" s="44"/>
      <c r="F945" s="44"/>
      <c r="G945" s="44"/>
      <c r="H945" s="44"/>
      <c r="I945" s="44"/>
      <c r="J945" s="8"/>
      <c r="K945" s="8"/>
    </row>
    <row r="946" spans="1:11" x14ac:dyDescent="0.25">
      <c r="A946" s="44"/>
      <c r="B946" s="44"/>
      <c r="C946" s="44"/>
      <c r="D946" s="44"/>
      <c r="E946" s="44"/>
      <c r="F946" s="44"/>
      <c r="G946" s="44"/>
      <c r="H946" s="44"/>
      <c r="I946" s="44"/>
      <c r="J946" s="8"/>
      <c r="K946" s="8"/>
    </row>
    <row r="947" spans="1:11" x14ac:dyDescent="0.25">
      <c r="A947" s="44"/>
      <c r="B947" s="44"/>
      <c r="C947" s="44"/>
      <c r="D947" s="44"/>
      <c r="E947" s="44"/>
      <c r="F947" s="44"/>
      <c r="G947" s="44"/>
      <c r="H947" s="44"/>
      <c r="I947" s="44"/>
      <c r="J947" s="8"/>
      <c r="K947" s="8"/>
    </row>
    <row r="948" spans="1:11" x14ac:dyDescent="0.25">
      <c r="A948" s="44"/>
      <c r="B948" s="44"/>
      <c r="C948" s="44"/>
      <c r="D948" s="44"/>
      <c r="E948" s="44"/>
      <c r="F948" s="44"/>
      <c r="G948" s="44"/>
      <c r="H948" s="44"/>
      <c r="I948" s="44"/>
      <c r="J948" s="8"/>
      <c r="K948" s="8"/>
    </row>
    <row r="949" spans="1:11" x14ac:dyDescent="0.25">
      <c r="A949" s="44"/>
      <c r="B949" s="44"/>
      <c r="C949" s="44"/>
      <c r="D949" s="44"/>
      <c r="E949" s="44"/>
      <c r="F949" s="44"/>
      <c r="G949" s="44"/>
      <c r="H949" s="44"/>
      <c r="I949" s="44"/>
      <c r="J949" s="8"/>
      <c r="K949" s="8"/>
    </row>
    <row r="950" spans="1:11" x14ac:dyDescent="0.25">
      <c r="A950" s="44"/>
      <c r="B950" s="44"/>
      <c r="C950" s="44"/>
      <c r="D950" s="44"/>
      <c r="E950" s="44"/>
      <c r="F950" s="44"/>
      <c r="G950" s="44"/>
      <c r="H950" s="44"/>
      <c r="I950" s="44"/>
      <c r="J950" s="8"/>
      <c r="K950" s="8"/>
    </row>
    <row r="951" spans="1:11" x14ac:dyDescent="0.25">
      <c r="A951" s="44"/>
      <c r="B951" s="44"/>
      <c r="C951" s="44"/>
      <c r="D951" s="44"/>
      <c r="E951" s="44"/>
      <c r="F951" s="44"/>
      <c r="G951" s="44"/>
      <c r="H951" s="44"/>
      <c r="I951" s="44"/>
      <c r="J951" s="8"/>
      <c r="K951" s="8"/>
    </row>
    <row r="952" spans="1:11" x14ac:dyDescent="0.25">
      <c r="A952" s="44"/>
      <c r="B952" s="44"/>
      <c r="C952" s="44"/>
      <c r="D952" s="44"/>
      <c r="E952" s="44"/>
      <c r="F952" s="44"/>
      <c r="G952" s="44"/>
      <c r="H952" s="44"/>
      <c r="I952" s="44"/>
      <c r="J952" s="8"/>
      <c r="K952" s="8"/>
    </row>
    <row r="953" spans="1:11" x14ac:dyDescent="0.25">
      <c r="A953" s="44"/>
      <c r="B953" s="44"/>
      <c r="C953" s="44"/>
      <c r="D953" s="44"/>
      <c r="E953" s="44"/>
      <c r="F953" s="44"/>
      <c r="G953" s="44"/>
      <c r="H953" s="44"/>
      <c r="I953" s="44"/>
      <c r="J953" s="8"/>
      <c r="K953" s="8"/>
    </row>
    <row r="954" spans="1:11" x14ac:dyDescent="0.25">
      <c r="A954" s="44"/>
      <c r="B954" s="44"/>
      <c r="C954" s="44"/>
      <c r="D954" s="44"/>
      <c r="E954" s="44"/>
      <c r="F954" s="44"/>
      <c r="G954" s="44"/>
      <c r="H954" s="44"/>
      <c r="I954" s="44"/>
      <c r="J954" s="8"/>
      <c r="K954" s="8"/>
    </row>
    <row r="955" spans="1:11" x14ac:dyDescent="0.25">
      <c r="A955" s="44"/>
      <c r="B955" s="44"/>
      <c r="C955" s="44"/>
      <c r="D955" s="44"/>
      <c r="E955" s="44"/>
      <c r="F955" s="44"/>
      <c r="G955" s="44"/>
      <c r="H955" s="44"/>
      <c r="I955" s="44"/>
      <c r="J955" s="8"/>
      <c r="K955" s="8"/>
    </row>
    <row r="956" spans="1:11" x14ac:dyDescent="0.25">
      <c r="A956" s="44"/>
      <c r="B956" s="44"/>
      <c r="C956" s="44"/>
      <c r="D956" s="44"/>
      <c r="E956" s="44"/>
      <c r="F956" s="44"/>
      <c r="G956" s="44"/>
      <c r="H956" s="44"/>
      <c r="I956" s="44"/>
      <c r="J956" s="8"/>
      <c r="K956" s="8"/>
    </row>
    <row r="957" spans="1:11" x14ac:dyDescent="0.25">
      <c r="A957" s="44"/>
      <c r="B957" s="44"/>
      <c r="C957" s="44"/>
      <c r="D957" s="44"/>
      <c r="E957" s="44"/>
      <c r="F957" s="44"/>
      <c r="G957" s="44"/>
      <c r="H957" s="44"/>
      <c r="I957" s="44"/>
      <c r="J957" s="8"/>
      <c r="K957" s="8"/>
    </row>
    <row r="958" spans="1:11" x14ac:dyDescent="0.25">
      <c r="A958" s="44"/>
      <c r="B958" s="44"/>
      <c r="C958" s="44"/>
      <c r="D958" s="44"/>
      <c r="E958" s="44"/>
      <c r="F958" s="44"/>
      <c r="G958" s="44"/>
      <c r="H958" s="44"/>
      <c r="I958" s="44"/>
      <c r="J958" s="8"/>
      <c r="K958" s="8"/>
    </row>
    <row r="959" spans="1:11" x14ac:dyDescent="0.25">
      <c r="A959" s="44"/>
      <c r="B959" s="44"/>
      <c r="C959" s="44"/>
      <c r="D959" s="44"/>
      <c r="E959" s="44"/>
      <c r="F959" s="44"/>
      <c r="G959" s="44"/>
      <c r="H959" s="44"/>
      <c r="I959" s="44"/>
      <c r="J959" s="8"/>
      <c r="K959" s="8"/>
    </row>
    <row r="960" spans="1:11" x14ac:dyDescent="0.25">
      <c r="A960" s="44"/>
      <c r="B960" s="44"/>
      <c r="C960" s="44"/>
      <c r="D960" s="44"/>
      <c r="E960" s="44"/>
      <c r="F960" s="44"/>
      <c r="G960" s="44"/>
      <c r="H960" s="44"/>
      <c r="I960" s="44"/>
      <c r="J960" s="8"/>
      <c r="K960" s="8"/>
    </row>
    <row r="961" spans="1:11" x14ac:dyDescent="0.25">
      <c r="A961" s="44"/>
      <c r="B961" s="44"/>
      <c r="C961" s="44"/>
      <c r="D961" s="44"/>
      <c r="E961" s="44"/>
      <c r="F961" s="44"/>
      <c r="G961" s="44"/>
      <c r="H961" s="44"/>
      <c r="I961" s="44"/>
      <c r="J961" s="8"/>
      <c r="K961" s="8"/>
    </row>
    <row r="962" spans="1:11" x14ac:dyDescent="0.25">
      <c r="A962" s="44"/>
      <c r="B962" s="44"/>
      <c r="C962" s="44"/>
      <c r="D962" s="44"/>
      <c r="E962" s="44"/>
      <c r="F962" s="44"/>
      <c r="G962" s="44"/>
      <c r="H962" s="44"/>
      <c r="I962" s="44"/>
      <c r="J962" s="8"/>
      <c r="K962" s="8"/>
    </row>
    <row r="963" spans="1:11" x14ac:dyDescent="0.25">
      <c r="A963" s="44"/>
      <c r="B963" s="44"/>
      <c r="C963" s="44"/>
      <c r="D963" s="44"/>
      <c r="E963" s="44"/>
      <c r="F963" s="44"/>
      <c r="G963" s="44"/>
      <c r="H963" s="44"/>
      <c r="I963" s="44"/>
      <c r="J963" s="8"/>
      <c r="K963" s="8"/>
    </row>
    <row r="964" spans="1:11" x14ac:dyDescent="0.25">
      <c r="A964" s="44"/>
      <c r="B964" s="44"/>
      <c r="C964" s="44"/>
      <c r="D964" s="44"/>
      <c r="E964" s="44"/>
      <c r="F964" s="44"/>
      <c r="G964" s="44"/>
      <c r="H964" s="44"/>
      <c r="I964" s="44"/>
      <c r="J964" s="8"/>
      <c r="K964" s="8"/>
    </row>
    <row r="965" spans="1:11" x14ac:dyDescent="0.25">
      <c r="A965" s="44"/>
      <c r="B965" s="44"/>
      <c r="C965" s="44"/>
      <c r="D965" s="44"/>
      <c r="E965" s="44"/>
      <c r="F965" s="44"/>
      <c r="G965" s="44"/>
      <c r="H965" s="44"/>
      <c r="I965" s="44"/>
      <c r="J965" s="8"/>
      <c r="K965" s="8"/>
    </row>
    <row r="966" spans="1:11" x14ac:dyDescent="0.25">
      <c r="A966" s="44"/>
      <c r="B966" s="44"/>
      <c r="C966" s="44"/>
      <c r="D966" s="44"/>
      <c r="E966" s="44"/>
      <c r="F966" s="44"/>
      <c r="G966" s="44"/>
      <c r="H966" s="44"/>
      <c r="I966" s="44"/>
      <c r="J966" s="8"/>
      <c r="K966" s="8"/>
    </row>
    <row r="967" spans="1:11" x14ac:dyDescent="0.25">
      <c r="A967" s="44"/>
      <c r="B967" s="44"/>
      <c r="C967" s="44"/>
      <c r="D967" s="44"/>
      <c r="E967" s="44"/>
      <c r="F967" s="44"/>
      <c r="G967" s="44"/>
      <c r="H967" s="44"/>
      <c r="I967" s="44"/>
      <c r="J967" s="8"/>
      <c r="K967" s="8"/>
    </row>
    <row r="968" spans="1:11" x14ac:dyDescent="0.25">
      <c r="A968" s="44"/>
      <c r="B968" s="44"/>
      <c r="C968" s="44"/>
      <c r="D968" s="44"/>
      <c r="E968" s="44"/>
      <c r="F968" s="44"/>
      <c r="G968" s="44"/>
      <c r="H968" s="44"/>
      <c r="I968" s="44"/>
      <c r="J968" s="8"/>
      <c r="K968" s="8"/>
    </row>
    <row r="969" spans="1:11" x14ac:dyDescent="0.25">
      <c r="A969" s="44"/>
      <c r="B969" s="44"/>
      <c r="C969" s="44"/>
      <c r="D969" s="44"/>
      <c r="E969" s="44"/>
      <c r="F969" s="44"/>
      <c r="G969" s="44"/>
      <c r="H969" s="44"/>
      <c r="I969" s="44"/>
      <c r="J969" s="8"/>
      <c r="K969" s="8"/>
    </row>
    <row r="970" spans="1:11" x14ac:dyDescent="0.25">
      <c r="A970" s="44"/>
      <c r="B970" s="44"/>
      <c r="C970" s="44"/>
      <c r="D970" s="44"/>
      <c r="E970" s="44"/>
      <c r="F970" s="44"/>
      <c r="G970" s="44"/>
      <c r="H970" s="44"/>
      <c r="I970" s="44"/>
      <c r="J970" s="8"/>
      <c r="K970" s="8"/>
    </row>
    <row r="971" spans="1:11" x14ac:dyDescent="0.25">
      <c r="A971" s="44"/>
      <c r="B971" s="44"/>
      <c r="C971" s="44"/>
      <c r="D971" s="44"/>
      <c r="E971" s="44"/>
      <c r="F971" s="44"/>
      <c r="G971" s="44"/>
      <c r="H971" s="44"/>
      <c r="I971" s="44"/>
      <c r="J971" s="8"/>
      <c r="K971" s="8"/>
    </row>
    <row r="972" spans="1:11" x14ac:dyDescent="0.25">
      <c r="A972" s="44"/>
      <c r="B972" s="44"/>
      <c r="C972" s="44"/>
      <c r="D972" s="44"/>
      <c r="E972" s="44"/>
      <c r="F972" s="44"/>
      <c r="G972" s="44"/>
      <c r="H972" s="44"/>
      <c r="I972" s="44"/>
      <c r="J972" s="8"/>
      <c r="K972" s="8"/>
    </row>
    <row r="973" spans="1:11" x14ac:dyDescent="0.25">
      <c r="A973" s="44"/>
      <c r="B973" s="44"/>
      <c r="C973" s="44"/>
      <c r="D973" s="44"/>
      <c r="E973" s="44"/>
      <c r="F973" s="44"/>
      <c r="G973" s="44"/>
      <c r="H973" s="44"/>
      <c r="I973" s="44"/>
      <c r="J973" s="8"/>
      <c r="K973" s="8"/>
    </row>
    <row r="974" spans="1:11" x14ac:dyDescent="0.25">
      <c r="A974" s="44"/>
      <c r="B974" s="44"/>
      <c r="C974" s="44"/>
      <c r="D974" s="44"/>
      <c r="E974" s="44"/>
      <c r="F974" s="44"/>
      <c r="G974" s="44"/>
      <c r="H974" s="44"/>
      <c r="I974" s="44"/>
      <c r="J974" s="8"/>
      <c r="K974" s="8"/>
    </row>
    <row r="975" spans="1:11" x14ac:dyDescent="0.25">
      <c r="A975" s="44"/>
      <c r="B975" s="44"/>
      <c r="C975" s="44"/>
      <c r="D975" s="44"/>
      <c r="E975" s="44"/>
      <c r="F975" s="44"/>
      <c r="G975" s="44"/>
      <c r="H975" s="44"/>
      <c r="I975" s="44"/>
      <c r="J975" s="8"/>
      <c r="K975" s="8"/>
    </row>
    <row r="976" spans="1:11" x14ac:dyDescent="0.25">
      <c r="A976" s="44"/>
      <c r="B976" s="44"/>
      <c r="C976" s="44"/>
      <c r="D976" s="44"/>
      <c r="E976" s="44"/>
      <c r="F976" s="44"/>
      <c r="G976" s="44"/>
      <c r="H976" s="44"/>
      <c r="I976" s="44"/>
      <c r="J976" s="8"/>
      <c r="K976" s="8"/>
    </row>
    <row r="977" spans="1:11" x14ac:dyDescent="0.25">
      <c r="A977" s="44"/>
      <c r="B977" s="44"/>
      <c r="C977" s="44"/>
      <c r="D977" s="44"/>
      <c r="E977" s="44"/>
      <c r="F977" s="44"/>
      <c r="G977" s="44"/>
      <c r="H977" s="44"/>
      <c r="I977" s="44"/>
      <c r="J977" s="8"/>
      <c r="K977" s="8"/>
    </row>
    <row r="978" spans="1:11" x14ac:dyDescent="0.25">
      <c r="A978" s="44"/>
      <c r="B978" s="44"/>
      <c r="C978" s="44"/>
      <c r="D978" s="44"/>
      <c r="E978" s="44"/>
      <c r="F978" s="44"/>
      <c r="G978" s="44"/>
      <c r="H978" s="44"/>
      <c r="I978" s="44"/>
      <c r="J978" s="8"/>
      <c r="K978" s="8"/>
    </row>
    <row r="979" spans="1:11" x14ac:dyDescent="0.25">
      <c r="A979" s="44"/>
      <c r="B979" s="44"/>
      <c r="C979" s="44"/>
      <c r="D979" s="44"/>
      <c r="E979" s="44"/>
      <c r="F979" s="44"/>
      <c r="G979" s="44"/>
      <c r="H979" s="44"/>
      <c r="I979" s="44"/>
      <c r="J979" s="8"/>
      <c r="K979" s="8"/>
    </row>
    <row r="980" spans="1:11" x14ac:dyDescent="0.25">
      <c r="A980" s="44"/>
      <c r="B980" s="44"/>
      <c r="C980" s="44"/>
      <c r="D980" s="44"/>
      <c r="E980" s="44"/>
      <c r="F980" s="44"/>
      <c r="G980" s="44"/>
      <c r="H980" s="44"/>
      <c r="I980" s="44"/>
      <c r="J980" s="8"/>
      <c r="K980" s="8"/>
    </row>
    <row r="981" spans="1:11" x14ac:dyDescent="0.25">
      <c r="A981" s="44"/>
      <c r="B981" s="44"/>
      <c r="C981" s="44"/>
      <c r="D981" s="44"/>
      <c r="E981" s="44"/>
      <c r="F981" s="44"/>
      <c r="G981" s="44"/>
      <c r="H981" s="44"/>
      <c r="I981" s="44"/>
      <c r="J981" s="8"/>
      <c r="K981" s="8"/>
    </row>
    <row r="982" spans="1:11" x14ac:dyDescent="0.25">
      <c r="A982" s="44"/>
      <c r="B982" s="44"/>
      <c r="C982" s="44"/>
      <c r="D982" s="44"/>
      <c r="E982" s="44"/>
      <c r="F982" s="44"/>
      <c r="G982" s="44"/>
      <c r="H982" s="44"/>
      <c r="I982" s="44"/>
      <c r="J982" s="8"/>
      <c r="K982" s="8"/>
    </row>
    <row r="983" spans="1:11" x14ac:dyDescent="0.25">
      <c r="A983" s="44"/>
      <c r="B983" s="44"/>
      <c r="C983" s="44"/>
      <c r="D983" s="44"/>
      <c r="E983" s="44"/>
      <c r="F983" s="44"/>
      <c r="G983" s="44"/>
      <c r="H983" s="44"/>
      <c r="I983" s="44"/>
      <c r="J983" s="8"/>
      <c r="K983" s="8"/>
    </row>
    <row r="984" spans="1:11" x14ac:dyDescent="0.25">
      <c r="A984" s="44"/>
      <c r="B984" s="44"/>
      <c r="C984" s="44"/>
      <c r="D984" s="44"/>
      <c r="E984" s="44"/>
      <c r="F984" s="44"/>
      <c r="G984" s="44"/>
      <c r="H984" s="44"/>
      <c r="I984" s="44"/>
      <c r="J984" s="8"/>
      <c r="K984" s="8"/>
    </row>
    <row r="985" spans="1:11" x14ac:dyDescent="0.25">
      <c r="A985" s="44"/>
      <c r="B985" s="44"/>
      <c r="C985" s="44"/>
      <c r="D985" s="44"/>
      <c r="E985" s="44"/>
      <c r="F985" s="44"/>
      <c r="G985" s="44"/>
      <c r="H985" s="44"/>
      <c r="I985" s="44"/>
      <c r="J985" s="8"/>
      <c r="K985" s="8"/>
    </row>
    <row r="986" spans="1:11" x14ac:dyDescent="0.25">
      <c r="A986" s="44"/>
      <c r="B986" s="44"/>
      <c r="C986" s="44"/>
      <c r="D986" s="44"/>
      <c r="E986" s="44"/>
      <c r="F986" s="44"/>
      <c r="G986" s="44"/>
      <c r="H986" s="44"/>
      <c r="I986" s="44"/>
      <c r="J986" s="8"/>
      <c r="K986" s="8"/>
    </row>
    <row r="987" spans="1:11" x14ac:dyDescent="0.25">
      <c r="A987" s="44"/>
      <c r="B987" s="44"/>
      <c r="C987" s="44"/>
      <c r="D987" s="44"/>
      <c r="E987" s="44"/>
      <c r="F987" s="44"/>
      <c r="G987" s="44"/>
      <c r="H987" s="44"/>
      <c r="I987" s="44"/>
      <c r="J987" s="8"/>
      <c r="K987" s="8"/>
    </row>
    <row r="988" spans="1:11" x14ac:dyDescent="0.25">
      <c r="A988" s="44"/>
      <c r="B988" s="44"/>
      <c r="C988" s="44"/>
      <c r="D988" s="44"/>
      <c r="E988" s="44"/>
      <c r="F988" s="44"/>
      <c r="G988" s="44"/>
      <c r="H988" s="44"/>
      <c r="I988" s="44"/>
      <c r="J988" s="8"/>
      <c r="K988" s="8"/>
    </row>
    <row r="989" spans="1:11" x14ac:dyDescent="0.25">
      <c r="A989" s="44"/>
      <c r="B989" s="44"/>
      <c r="C989" s="44"/>
      <c r="D989" s="44"/>
      <c r="E989" s="44"/>
      <c r="F989" s="44"/>
      <c r="G989" s="44"/>
      <c r="H989" s="44"/>
      <c r="I989" s="44"/>
      <c r="J989" s="8"/>
      <c r="K989" s="8"/>
    </row>
    <row r="990" spans="1:11" x14ac:dyDescent="0.25">
      <c r="A990" s="44"/>
      <c r="B990" s="44"/>
      <c r="C990" s="44"/>
      <c r="D990" s="44"/>
      <c r="E990" s="44"/>
      <c r="F990" s="44"/>
      <c r="G990" s="44"/>
      <c r="H990" s="44"/>
      <c r="I990" s="44"/>
      <c r="J990" s="8"/>
      <c r="K990" s="8"/>
    </row>
    <row r="991" spans="1:11" x14ac:dyDescent="0.25">
      <c r="A991" s="44"/>
      <c r="B991" s="44"/>
      <c r="C991" s="44"/>
      <c r="D991" s="44"/>
      <c r="E991" s="44"/>
      <c r="F991" s="44"/>
      <c r="G991" s="44"/>
      <c r="H991" s="44"/>
      <c r="I991" s="44"/>
      <c r="J991" s="8"/>
      <c r="K991" s="8"/>
    </row>
    <row r="992" spans="1:11" x14ac:dyDescent="0.25">
      <c r="A992" s="44"/>
      <c r="B992" s="44"/>
      <c r="C992" s="44"/>
      <c r="D992" s="44"/>
      <c r="E992" s="44"/>
      <c r="F992" s="44"/>
      <c r="G992" s="44"/>
      <c r="H992" s="44"/>
      <c r="I992" s="44"/>
      <c r="J992" s="8"/>
      <c r="K992" s="8"/>
    </row>
    <row r="993" spans="1:11" x14ac:dyDescent="0.25">
      <c r="A993" s="44"/>
      <c r="B993" s="44"/>
      <c r="C993" s="44"/>
      <c r="D993" s="44"/>
      <c r="E993" s="44"/>
      <c r="F993" s="44"/>
      <c r="G993" s="44"/>
      <c r="H993" s="44"/>
      <c r="I993" s="44"/>
      <c r="J993" s="8"/>
      <c r="K993" s="8"/>
    </row>
    <row r="994" spans="1:11" x14ac:dyDescent="0.25">
      <c r="A994" s="44"/>
      <c r="B994" s="44"/>
      <c r="C994" s="44"/>
      <c r="D994" s="44"/>
      <c r="E994" s="44"/>
      <c r="F994" s="44"/>
      <c r="G994" s="44"/>
      <c r="H994" s="44"/>
      <c r="I994" s="44"/>
      <c r="J994" s="8"/>
      <c r="K994" s="8"/>
    </row>
    <row r="995" spans="1:11" x14ac:dyDescent="0.25">
      <c r="A995" s="44"/>
      <c r="B995" s="44"/>
      <c r="C995" s="44"/>
      <c r="D995" s="44"/>
      <c r="E995" s="44"/>
      <c r="F995" s="44"/>
      <c r="G995" s="44"/>
      <c r="H995" s="44"/>
      <c r="I995" s="44"/>
      <c r="J995" s="8"/>
      <c r="K995" s="8"/>
    </row>
    <row r="996" spans="1:11" x14ac:dyDescent="0.25">
      <c r="A996" s="44"/>
      <c r="B996" s="44"/>
      <c r="C996" s="44"/>
      <c r="D996" s="44"/>
      <c r="E996" s="44"/>
      <c r="F996" s="44"/>
      <c r="G996" s="44"/>
      <c r="H996" s="44"/>
      <c r="I996" s="44"/>
      <c r="J996" s="8"/>
      <c r="K996" s="8"/>
    </row>
    <row r="997" spans="1:11" x14ac:dyDescent="0.25">
      <c r="A997" s="44"/>
      <c r="B997" s="44"/>
      <c r="C997" s="44"/>
      <c r="D997" s="44"/>
      <c r="E997" s="44"/>
      <c r="F997" s="44"/>
      <c r="G997" s="44"/>
      <c r="H997" s="44"/>
      <c r="I997" s="44"/>
      <c r="J997" s="8"/>
      <c r="K997" s="8"/>
    </row>
    <row r="998" spans="1:11" x14ac:dyDescent="0.25">
      <c r="A998" s="44"/>
      <c r="B998" s="44"/>
      <c r="C998" s="44"/>
      <c r="D998" s="44"/>
      <c r="E998" s="44"/>
      <c r="F998" s="44"/>
      <c r="G998" s="44"/>
      <c r="H998" s="44"/>
      <c r="I998" s="44"/>
      <c r="J998" s="8"/>
      <c r="K998" s="8"/>
    </row>
    <row r="999" spans="1:11" x14ac:dyDescent="0.25">
      <c r="A999" s="44"/>
      <c r="B999" s="44"/>
      <c r="C999" s="44"/>
      <c r="D999" s="44"/>
      <c r="E999" s="44"/>
      <c r="F999" s="44"/>
      <c r="G999" s="44"/>
      <c r="H999" s="44"/>
      <c r="I999" s="44"/>
      <c r="J999" s="8"/>
      <c r="K999" s="8"/>
    </row>
    <row r="1000" spans="1:11" x14ac:dyDescent="0.25">
      <c r="A1000" s="44"/>
      <c r="B1000" s="44"/>
      <c r="C1000" s="44"/>
      <c r="D1000" s="44"/>
      <c r="E1000" s="44"/>
      <c r="F1000" s="44"/>
      <c r="G1000" s="44"/>
      <c r="H1000" s="44"/>
      <c r="I1000" s="44"/>
      <c r="J1000" s="8"/>
      <c r="K1000" s="8"/>
    </row>
    <row r="1001" spans="1:11" x14ac:dyDescent="0.25">
      <c r="A1001" s="44"/>
      <c r="B1001" s="44"/>
      <c r="C1001" s="44"/>
      <c r="D1001" s="44"/>
      <c r="E1001" s="44"/>
      <c r="F1001" s="44"/>
      <c r="G1001" s="44"/>
      <c r="H1001" s="44"/>
      <c r="I1001" s="44"/>
      <c r="J1001" s="8"/>
      <c r="K1001" s="8"/>
    </row>
    <row r="1002" spans="1:11" x14ac:dyDescent="0.25">
      <c r="A1002" s="44"/>
      <c r="B1002" s="44"/>
      <c r="C1002" s="44"/>
      <c r="D1002" s="44"/>
      <c r="E1002" s="44"/>
      <c r="F1002" s="44"/>
      <c r="G1002" s="44"/>
      <c r="H1002" s="44"/>
      <c r="I1002" s="44"/>
      <c r="J1002" s="8"/>
      <c r="K1002" s="8"/>
    </row>
  </sheetData>
  <mergeCells count="11">
    <mergeCell ref="J88:K88"/>
    <mergeCell ref="J113:K113"/>
    <mergeCell ref="J116:K116"/>
    <mergeCell ref="J160:K160"/>
    <mergeCell ref="J6:L6"/>
    <mergeCell ref="J26:K26"/>
    <mergeCell ref="J29:K29"/>
    <mergeCell ref="J32:K32"/>
    <mergeCell ref="J59:K59"/>
    <mergeCell ref="J73:K73"/>
    <mergeCell ref="J78:K7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W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3" x14ac:dyDescent="0.25">
      <c r="A1" s="50" t="s">
        <v>0</v>
      </c>
      <c r="B1" s="50" t="s">
        <v>4354</v>
      </c>
      <c r="C1" s="50" t="s">
        <v>4355</v>
      </c>
      <c r="D1" s="50" t="s">
        <v>6</v>
      </c>
      <c r="E1" s="50" t="s">
        <v>4356</v>
      </c>
      <c r="F1" s="50" t="s">
        <v>4357</v>
      </c>
      <c r="G1" s="50" t="s">
        <v>4358</v>
      </c>
      <c r="H1" s="50" t="s">
        <v>4359</v>
      </c>
      <c r="I1" s="50" t="s">
        <v>4360</v>
      </c>
      <c r="J1" s="50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</row>
    <row r="2" spans="1:23" x14ac:dyDescent="0.25">
      <c r="A2" s="44" t="s">
        <v>4245</v>
      </c>
      <c r="B2" s="44">
        <v>747120000</v>
      </c>
      <c r="C2" s="44">
        <v>973994999.99999988</v>
      </c>
      <c r="D2" s="44">
        <f t="shared" ref="D2:D186" si="0">((C2-B2)/B2)*100</f>
        <v>30.366607773851573</v>
      </c>
      <c r="E2" s="44">
        <v>1</v>
      </c>
      <c r="F2" s="44">
        <v>0</v>
      </c>
      <c r="G2" s="44">
        <v>0</v>
      </c>
      <c r="H2" s="44">
        <f t="shared" ref="H2:H186" si="1">(E2/(E2+F2+G2))*100</f>
        <v>100</v>
      </c>
      <c r="I2" s="44">
        <f t="shared" ref="I2:I186" si="2">(F2/(E2+F2+G2))*100</f>
        <v>0</v>
      </c>
      <c r="J2" s="44"/>
      <c r="K2" s="8"/>
    </row>
    <row r="3" spans="1:23" x14ac:dyDescent="0.25">
      <c r="A3" s="44" t="s">
        <v>2749</v>
      </c>
      <c r="B3" s="44">
        <v>17195244825.260002</v>
      </c>
      <c r="C3" s="44">
        <v>21647232871.959999</v>
      </c>
      <c r="D3" s="44">
        <f t="shared" si="0"/>
        <v>25.890809301883145</v>
      </c>
      <c r="E3" s="39">
        <v>2</v>
      </c>
      <c r="F3" s="39">
        <v>0</v>
      </c>
      <c r="G3" s="39">
        <v>0</v>
      </c>
      <c r="H3" s="44">
        <f t="shared" si="1"/>
        <v>100</v>
      </c>
      <c r="I3" s="44">
        <f t="shared" si="2"/>
        <v>0</v>
      </c>
      <c r="J3" s="44"/>
      <c r="K3" s="8"/>
    </row>
    <row r="4" spans="1:23" x14ac:dyDescent="0.25">
      <c r="A4" s="44" t="s">
        <v>4128</v>
      </c>
      <c r="B4" s="44">
        <v>33447837500</v>
      </c>
      <c r="C4" s="44">
        <v>40932650000</v>
      </c>
      <c r="D4" s="44">
        <f t="shared" si="0"/>
        <v>22.377567757556825</v>
      </c>
      <c r="E4" s="39">
        <v>1</v>
      </c>
      <c r="F4" s="39">
        <v>0</v>
      </c>
      <c r="G4" s="39">
        <v>0</v>
      </c>
      <c r="H4" s="44">
        <f t="shared" si="1"/>
        <v>100</v>
      </c>
      <c r="I4" s="44">
        <f t="shared" si="2"/>
        <v>0</v>
      </c>
      <c r="J4" s="44"/>
      <c r="K4" s="8"/>
    </row>
    <row r="5" spans="1:23" x14ac:dyDescent="0.25">
      <c r="A5" s="44" t="s">
        <v>3663</v>
      </c>
      <c r="B5" s="44">
        <v>93787560377.700012</v>
      </c>
      <c r="C5" s="44">
        <v>113686663166.89999</v>
      </c>
      <c r="D5" s="44">
        <f t="shared" si="0"/>
        <v>21.217209093682126</v>
      </c>
      <c r="E5" s="39">
        <v>2</v>
      </c>
      <c r="F5" s="39">
        <v>0</v>
      </c>
      <c r="G5" s="39">
        <v>0</v>
      </c>
      <c r="H5" s="44">
        <f t="shared" si="1"/>
        <v>100</v>
      </c>
      <c r="I5" s="44">
        <f t="shared" si="2"/>
        <v>0</v>
      </c>
      <c r="J5" s="44"/>
      <c r="K5" s="8"/>
    </row>
    <row r="6" spans="1:23" x14ac:dyDescent="0.25">
      <c r="A6" s="44" t="s">
        <v>3501</v>
      </c>
      <c r="B6" s="44">
        <v>25596089197.899998</v>
      </c>
      <c r="C6" s="44">
        <v>30561614024.5</v>
      </c>
      <c r="D6" s="44">
        <f t="shared" si="0"/>
        <v>19.399544939104967</v>
      </c>
      <c r="E6" s="39">
        <v>4</v>
      </c>
      <c r="F6" s="39">
        <v>0</v>
      </c>
      <c r="G6" s="39">
        <v>0</v>
      </c>
      <c r="H6" s="44">
        <f t="shared" si="1"/>
        <v>100</v>
      </c>
      <c r="I6" s="44">
        <f t="shared" si="2"/>
        <v>0</v>
      </c>
      <c r="J6" s="44"/>
      <c r="K6" s="8"/>
    </row>
    <row r="7" spans="1:23" x14ac:dyDescent="0.25">
      <c r="A7" s="44" t="s">
        <v>4177</v>
      </c>
      <c r="B7" s="44">
        <v>56001004027.5</v>
      </c>
      <c r="C7" s="44">
        <v>66396158952.999992</v>
      </c>
      <c r="D7" s="44">
        <f t="shared" si="0"/>
        <v>18.562443845462699</v>
      </c>
      <c r="E7" s="39">
        <v>1</v>
      </c>
      <c r="F7" s="39">
        <v>0</v>
      </c>
      <c r="G7" s="39">
        <v>0</v>
      </c>
      <c r="H7" s="44">
        <f t="shared" si="1"/>
        <v>100</v>
      </c>
      <c r="I7" s="44">
        <f t="shared" si="2"/>
        <v>0</v>
      </c>
      <c r="J7" s="44"/>
      <c r="K7" s="8"/>
    </row>
    <row r="8" spans="1:23" x14ac:dyDescent="0.25">
      <c r="A8" s="44" t="s">
        <v>4200</v>
      </c>
      <c r="B8" s="44">
        <v>112415596272</v>
      </c>
      <c r="C8" s="44">
        <v>132476630004</v>
      </c>
      <c r="D8" s="44">
        <f t="shared" si="0"/>
        <v>17.845418604959814</v>
      </c>
      <c r="E8" s="39">
        <v>2</v>
      </c>
      <c r="F8" s="39">
        <v>0</v>
      </c>
      <c r="G8" s="39">
        <v>0</v>
      </c>
      <c r="H8" s="44">
        <f t="shared" si="1"/>
        <v>100</v>
      </c>
      <c r="I8" s="44">
        <f t="shared" si="2"/>
        <v>0</v>
      </c>
      <c r="J8" s="44"/>
      <c r="K8" s="8"/>
    </row>
    <row r="9" spans="1:23" x14ac:dyDescent="0.25">
      <c r="A9" s="44" t="s">
        <v>1672</v>
      </c>
      <c r="B9" s="44">
        <v>378762751954.96002</v>
      </c>
      <c r="C9" s="44">
        <v>440968090040.45001</v>
      </c>
      <c r="D9" s="44">
        <f t="shared" si="0"/>
        <v>16.423298691442351</v>
      </c>
      <c r="E9" s="39">
        <v>3</v>
      </c>
      <c r="F9" s="39">
        <v>0</v>
      </c>
      <c r="G9" s="39">
        <v>0</v>
      </c>
      <c r="H9" s="44">
        <f t="shared" si="1"/>
        <v>100</v>
      </c>
      <c r="I9" s="44">
        <f t="shared" si="2"/>
        <v>0</v>
      </c>
      <c r="J9" s="44"/>
      <c r="K9" s="8"/>
    </row>
    <row r="10" spans="1:23" x14ac:dyDescent="0.25">
      <c r="A10" s="44" t="s">
        <v>2816</v>
      </c>
      <c r="B10" s="44">
        <v>318160821972.04999</v>
      </c>
      <c r="C10" s="44">
        <v>359893388716.45001</v>
      </c>
      <c r="D10" s="44">
        <f t="shared" si="0"/>
        <v>13.116815101787163</v>
      </c>
      <c r="E10" s="39">
        <v>2</v>
      </c>
      <c r="F10" s="39">
        <v>0</v>
      </c>
      <c r="G10" s="39">
        <v>0</v>
      </c>
      <c r="H10" s="44">
        <f t="shared" si="1"/>
        <v>100</v>
      </c>
      <c r="I10" s="44">
        <f t="shared" si="2"/>
        <v>0</v>
      </c>
      <c r="J10" s="44"/>
      <c r="K10" s="8"/>
    </row>
    <row r="11" spans="1:23" x14ac:dyDescent="0.25">
      <c r="A11" s="44" t="s">
        <v>4133</v>
      </c>
      <c r="B11" s="44">
        <v>3798628369.1999998</v>
      </c>
      <c r="C11" s="44">
        <v>4220362679.4000001</v>
      </c>
      <c r="D11" s="44">
        <f t="shared" si="0"/>
        <v>11.102278749337581</v>
      </c>
      <c r="E11" s="39">
        <v>1</v>
      </c>
      <c r="F11" s="39">
        <v>0</v>
      </c>
      <c r="G11" s="39">
        <v>0</v>
      </c>
      <c r="H11" s="44">
        <f t="shared" si="1"/>
        <v>100</v>
      </c>
      <c r="I11" s="44">
        <f t="shared" si="2"/>
        <v>0</v>
      </c>
      <c r="J11" s="44"/>
      <c r="K11" s="8"/>
    </row>
    <row r="12" spans="1:23" x14ac:dyDescent="0.25">
      <c r="A12" s="44" t="s">
        <v>659</v>
      </c>
      <c r="B12" s="44">
        <v>94942145490.299988</v>
      </c>
      <c r="C12" s="44">
        <v>104494299528.35001</v>
      </c>
      <c r="D12" s="44">
        <f t="shared" si="0"/>
        <v>10.061026100390725</v>
      </c>
      <c r="E12" s="39">
        <v>2</v>
      </c>
      <c r="F12" s="39">
        <v>0</v>
      </c>
      <c r="G12" s="39">
        <v>0</v>
      </c>
      <c r="H12" s="44">
        <f t="shared" si="1"/>
        <v>100</v>
      </c>
      <c r="I12" s="44">
        <f t="shared" si="2"/>
        <v>0</v>
      </c>
      <c r="J12" s="44"/>
      <c r="K12" s="8"/>
    </row>
    <row r="13" spans="1:23" x14ac:dyDescent="0.25">
      <c r="A13" s="44" t="s">
        <v>350</v>
      </c>
      <c r="B13" s="44">
        <v>876966503983.25</v>
      </c>
      <c r="C13" s="44">
        <v>960895421919.25</v>
      </c>
      <c r="D13" s="44">
        <f t="shared" si="0"/>
        <v>9.5703675744499179</v>
      </c>
      <c r="E13" s="39">
        <v>6</v>
      </c>
      <c r="F13" s="39">
        <v>0</v>
      </c>
      <c r="G13" s="39">
        <v>0</v>
      </c>
      <c r="H13" s="44">
        <f t="shared" si="1"/>
        <v>100</v>
      </c>
      <c r="I13" s="44">
        <f t="shared" si="2"/>
        <v>0</v>
      </c>
      <c r="J13" s="44"/>
      <c r="K13" s="8"/>
    </row>
    <row r="14" spans="1:23" x14ac:dyDescent="0.25">
      <c r="A14" s="44" t="s">
        <v>2247</v>
      </c>
      <c r="B14" s="44">
        <v>133533102245.97</v>
      </c>
      <c r="C14" s="44">
        <v>145685922698.27002</v>
      </c>
      <c r="D14" s="44">
        <f t="shared" si="0"/>
        <v>9.1009796431706782</v>
      </c>
      <c r="E14" s="39">
        <v>4</v>
      </c>
      <c r="F14" s="39">
        <v>0</v>
      </c>
      <c r="G14" s="39">
        <v>0</v>
      </c>
      <c r="H14" s="44">
        <f t="shared" si="1"/>
        <v>100</v>
      </c>
      <c r="I14" s="44">
        <f t="shared" si="2"/>
        <v>0</v>
      </c>
      <c r="J14" s="44"/>
      <c r="K14" s="8"/>
    </row>
    <row r="15" spans="1:23" x14ac:dyDescent="0.25">
      <c r="A15" s="44" t="s">
        <v>2825</v>
      </c>
      <c r="B15" s="44">
        <v>1931866223.7</v>
      </c>
      <c r="C15" s="44">
        <v>2100156222</v>
      </c>
      <c r="D15" s="44">
        <f t="shared" si="0"/>
        <v>8.7112656267514801</v>
      </c>
      <c r="E15" s="39">
        <v>2</v>
      </c>
      <c r="F15" s="39">
        <v>0</v>
      </c>
      <c r="G15" s="39">
        <v>0</v>
      </c>
      <c r="H15" s="44">
        <f t="shared" si="1"/>
        <v>100</v>
      </c>
      <c r="I15" s="44">
        <f t="shared" si="2"/>
        <v>0</v>
      </c>
      <c r="J15" s="44"/>
      <c r="K15" s="8"/>
    </row>
    <row r="16" spans="1:23" x14ac:dyDescent="0.25">
      <c r="A16" s="44" t="s">
        <v>4077</v>
      </c>
      <c r="B16" s="44">
        <v>4315743315</v>
      </c>
      <c r="C16" s="44">
        <v>4689748293.75</v>
      </c>
      <c r="D16" s="44">
        <f t="shared" si="0"/>
        <v>8.6660617059891099</v>
      </c>
      <c r="E16" s="39">
        <v>1</v>
      </c>
      <c r="F16" s="39">
        <v>0</v>
      </c>
      <c r="G16" s="39">
        <v>0</v>
      </c>
      <c r="H16" s="44">
        <f t="shared" si="1"/>
        <v>100</v>
      </c>
      <c r="I16" s="44">
        <f t="shared" si="2"/>
        <v>0</v>
      </c>
      <c r="J16" s="44"/>
      <c r="K16" s="8"/>
    </row>
    <row r="17" spans="1:11" x14ac:dyDescent="0.25">
      <c r="A17" s="44" t="s">
        <v>4145</v>
      </c>
      <c r="B17" s="44">
        <v>10061208494179.689</v>
      </c>
      <c r="C17" s="44">
        <v>10767179097933.561</v>
      </c>
      <c r="D17" s="44">
        <f t="shared" si="0"/>
        <v>7.0167575213481381</v>
      </c>
      <c r="E17" s="39">
        <v>12</v>
      </c>
      <c r="F17" s="39">
        <v>0</v>
      </c>
      <c r="G17" s="39">
        <v>0</v>
      </c>
      <c r="H17" s="44">
        <f t="shared" si="1"/>
        <v>100</v>
      </c>
      <c r="I17" s="44">
        <f t="shared" si="2"/>
        <v>0</v>
      </c>
      <c r="J17" s="44"/>
      <c r="K17" s="8"/>
    </row>
    <row r="18" spans="1:11" x14ac:dyDescent="0.25">
      <c r="A18" s="44" t="s">
        <v>815</v>
      </c>
      <c r="B18" s="44">
        <v>33938950048.400002</v>
      </c>
      <c r="C18" s="44">
        <v>36219489357.699997</v>
      </c>
      <c r="D18" s="44">
        <f t="shared" si="0"/>
        <v>6.7195340635103351</v>
      </c>
      <c r="E18" s="39">
        <v>4</v>
      </c>
      <c r="F18" s="39">
        <v>0</v>
      </c>
      <c r="G18" s="39">
        <v>0</v>
      </c>
      <c r="H18" s="44">
        <f t="shared" si="1"/>
        <v>100</v>
      </c>
      <c r="I18" s="44">
        <f t="shared" si="2"/>
        <v>0</v>
      </c>
      <c r="J18" s="44"/>
      <c r="K18" s="8"/>
    </row>
    <row r="19" spans="1:11" x14ac:dyDescent="0.25">
      <c r="A19" s="44" t="s">
        <v>642</v>
      </c>
      <c r="B19" s="44">
        <v>1518365910677</v>
      </c>
      <c r="C19" s="44">
        <v>1609332453726.2498</v>
      </c>
      <c r="D19" s="44">
        <f t="shared" si="0"/>
        <v>5.9910817550355917</v>
      </c>
      <c r="E19" s="39">
        <v>4</v>
      </c>
      <c r="F19" s="39">
        <v>0</v>
      </c>
      <c r="G19" s="39">
        <v>0</v>
      </c>
      <c r="H19" s="44">
        <f t="shared" si="1"/>
        <v>100</v>
      </c>
      <c r="I19" s="44">
        <f t="shared" si="2"/>
        <v>0</v>
      </c>
      <c r="J19" s="44"/>
      <c r="K19" s="8"/>
    </row>
    <row r="20" spans="1:11" x14ac:dyDescent="0.25">
      <c r="A20" s="44" t="s">
        <v>4033</v>
      </c>
      <c r="B20" s="44">
        <v>2809171734947.2998</v>
      </c>
      <c r="C20" s="44">
        <v>2976766593750.5</v>
      </c>
      <c r="D20" s="44">
        <f t="shared" si="0"/>
        <v>5.9659883629843042</v>
      </c>
      <c r="E20" s="39">
        <v>4</v>
      </c>
      <c r="F20" s="39">
        <v>0</v>
      </c>
      <c r="G20" s="39">
        <v>0</v>
      </c>
      <c r="H20" s="44">
        <f t="shared" si="1"/>
        <v>100</v>
      </c>
      <c r="I20" s="44">
        <f t="shared" si="2"/>
        <v>0</v>
      </c>
      <c r="J20" s="44"/>
      <c r="K20" s="8"/>
    </row>
    <row r="21" spans="1:11" x14ac:dyDescent="0.25">
      <c r="A21" s="44" t="s">
        <v>4016</v>
      </c>
      <c r="B21" s="44">
        <v>1615935771479.2698</v>
      </c>
      <c r="C21" s="44">
        <v>1704538116681.4001</v>
      </c>
      <c r="D21" s="44">
        <f t="shared" si="0"/>
        <v>5.4830363165375982</v>
      </c>
      <c r="E21" s="39">
        <v>4</v>
      </c>
      <c r="F21" s="39">
        <v>0</v>
      </c>
      <c r="G21" s="39">
        <v>0</v>
      </c>
      <c r="H21" s="44">
        <f t="shared" si="1"/>
        <v>100</v>
      </c>
      <c r="I21" s="44">
        <f t="shared" si="2"/>
        <v>0</v>
      </c>
      <c r="J21" s="44"/>
      <c r="K21" s="8"/>
    </row>
    <row r="22" spans="1:11" x14ac:dyDescent="0.25">
      <c r="A22" s="44" t="s">
        <v>3883</v>
      </c>
      <c r="B22" s="44">
        <v>358110606571</v>
      </c>
      <c r="C22" s="44">
        <v>375766679429.09998</v>
      </c>
      <c r="D22" s="44">
        <f t="shared" si="0"/>
        <v>4.9303406640650378</v>
      </c>
      <c r="E22" s="39">
        <v>4</v>
      </c>
      <c r="F22" s="39">
        <v>0</v>
      </c>
      <c r="G22" s="39">
        <v>0</v>
      </c>
      <c r="H22" s="44">
        <f t="shared" si="1"/>
        <v>100</v>
      </c>
      <c r="I22" s="44">
        <f t="shared" si="2"/>
        <v>0</v>
      </c>
      <c r="J22" s="44"/>
      <c r="K22" s="8"/>
    </row>
    <row r="23" spans="1:11" x14ac:dyDescent="0.25">
      <c r="A23" s="44" t="s">
        <v>1970</v>
      </c>
      <c r="B23" s="44">
        <v>825463000557.59998</v>
      </c>
      <c r="C23" s="44">
        <v>862596305238.80005</v>
      </c>
      <c r="D23" s="44">
        <f t="shared" si="0"/>
        <v>4.4984820223458275</v>
      </c>
      <c r="E23" s="39">
        <v>7</v>
      </c>
      <c r="F23" s="39">
        <v>0</v>
      </c>
      <c r="G23" s="39">
        <v>0</v>
      </c>
      <c r="H23" s="44">
        <f t="shared" si="1"/>
        <v>100</v>
      </c>
      <c r="I23" s="44">
        <f t="shared" si="2"/>
        <v>0</v>
      </c>
      <c r="J23" s="44"/>
      <c r="K23" s="8"/>
    </row>
    <row r="24" spans="1:11" x14ac:dyDescent="0.25">
      <c r="A24" s="51" t="s">
        <v>2567</v>
      </c>
      <c r="B24" s="44">
        <v>176082909163.25</v>
      </c>
      <c r="C24" s="44">
        <v>183782286496</v>
      </c>
      <c r="D24" s="44">
        <f t="shared" si="0"/>
        <v>4.3725863965660361</v>
      </c>
      <c r="E24" s="39">
        <v>3</v>
      </c>
      <c r="F24" s="39">
        <v>0</v>
      </c>
      <c r="G24" s="39">
        <v>0</v>
      </c>
      <c r="H24" s="44">
        <f t="shared" si="1"/>
        <v>100</v>
      </c>
      <c r="I24" s="44">
        <f t="shared" si="2"/>
        <v>0</v>
      </c>
      <c r="J24" s="44"/>
      <c r="K24" s="8"/>
    </row>
    <row r="25" spans="1:11" x14ac:dyDescent="0.25">
      <c r="A25" s="44" t="s">
        <v>41</v>
      </c>
      <c r="B25" s="44">
        <v>493378068469.80005</v>
      </c>
      <c r="C25" s="44">
        <v>510053942393.59998</v>
      </c>
      <c r="D25" s="44">
        <f t="shared" si="0"/>
        <v>3.3799382237479145</v>
      </c>
      <c r="E25" s="39">
        <v>3</v>
      </c>
      <c r="F25" s="39">
        <v>0</v>
      </c>
      <c r="G25" s="39">
        <v>0</v>
      </c>
      <c r="H25" s="44">
        <f t="shared" si="1"/>
        <v>100</v>
      </c>
      <c r="I25" s="44">
        <f t="shared" si="2"/>
        <v>0</v>
      </c>
      <c r="J25" s="44"/>
      <c r="K25" s="8"/>
    </row>
    <row r="26" spans="1:11" x14ac:dyDescent="0.25">
      <c r="A26" s="44" t="s">
        <v>758</v>
      </c>
      <c r="B26" s="44">
        <v>73865610090.799988</v>
      </c>
      <c r="C26" s="44">
        <v>75797924339.5</v>
      </c>
      <c r="D26" s="44">
        <f t="shared" si="0"/>
        <v>2.6159863112545838</v>
      </c>
      <c r="E26" s="39">
        <v>2</v>
      </c>
      <c r="F26" s="39">
        <v>0</v>
      </c>
      <c r="G26" s="39">
        <v>0</v>
      </c>
      <c r="H26" s="44">
        <f t="shared" si="1"/>
        <v>100</v>
      </c>
      <c r="I26" s="44">
        <f t="shared" si="2"/>
        <v>0</v>
      </c>
      <c r="J26" s="44"/>
      <c r="K26" s="8"/>
    </row>
    <row r="27" spans="1:11" x14ac:dyDescent="0.25">
      <c r="A27" s="44" t="s">
        <v>4051</v>
      </c>
      <c r="B27" s="44">
        <v>32947684531.200001</v>
      </c>
      <c r="C27" s="44">
        <v>33662695046.200001</v>
      </c>
      <c r="D27" s="44">
        <f t="shared" si="0"/>
        <v>2.1701388888888888</v>
      </c>
      <c r="E27" s="39">
        <v>1</v>
      </c>
      <c r="F27" s="39">
        <v>0</v>
      </c>
      <c r="G27" s="39">
        <v>0</v>
      </c>
      <c r="H27" s="44">
        <f t="shared" si="1"/>
        <v>100</v>
      </c>
      <c r="I27" s="44">
        <f t="shared" si="2"/>
        <v>0</v>
      </c>
      <c r="J27" s="44"/>
      <c r="K27" s="8"/>
    </row>
    <row r="28" spans="1:11" x14ac:dyDescent="0.25">
      <c r="A28" s="44" t="s">
        <v>3183</v>
      </c>
      <c r="B28" s="44">
        <v>4289486197463.9004</v>
      </c>
      <c r="C28" s="44">
        <v>4358665977815.2998</v>
      </c>
      <c r="D28" s="44">
        <f t="shared" si="0"/>
        <v>1.6127754506425735</v>
      </c>
      <c r="E28" s="39">
        <v>7</v>
      </c>
      <c r="F28" s="39">
        <v>0</v>
      </c>
      <c r="G28" s="39">
        <v>0</v>
      </c>
      <c r="H28" s="44">
        <f t="shared" si="1"/>
        <v>100</v>
      </c>
      <c r="I28" s="44">
        <f t="shared" si="2"/>
        <v>0</v>
      </c>
      <c r="J28" s="44"/>
      <c r="K28" s="8"/>
    </row>
    <row r="29" spans="1:11" x14ac:dyDescent="0.25">
      <c r="A29" s="44" t="s">
        <v>4210</v>
      </c>
      <c r="B29" s="44">
        <v>28708244761.799999</v>
      </c>
      <c r="C29" s="44">
        <v>28745857273.899998</v>
      </c>
      <c r="D29" s="44">
        <f t="shared" si="0"/>
        <v>0.13101641152943891</v>
      </c>
      <c r="E29" s="39">
        <v>1</v>
      </c>
      <c r="F29" s="39">
        <v>0</v>
      </c>
      <c r="G29" s="39">
        <v>0</v>
      </c>
      <c r="H29" s="44">
        <f t="shared" si="1"/>
        <v>100</v>
      </c>
      <c r="I29" s="44">
        <f t="shared" si="2"/>
        <v>0</v>
      </c>
      <c r="J29" s="44"/>
      <c r="K29" s="8"/>
    </row>
    <row r="30" spans="1:11" x14ac:dyDescent="0.25">
      <c r="A30" s="44" t="s">
        <v>2228</v>
      </c>
      <c r="B30" s="44">
        <v>4816590715190.8604</v>
      </c>
      <c r="C30" s="44">
        <v>5266589377203.5293</v>
      </c>
      <c r="D30" s="44">
        <f t="shared" si="0"/>
        <v>9.3426800951435514</v>
      </c>
      <c r="E30" s="39">
        <v>15</v>
      </c>
      <c r="F30" s="39">
        <v>1</v>
      </c>
      <c r="G30" s="39">
        <v>0</v>
      </c>
      <c r="H30" s="44">
        <f t="shared" si="1"/>
        <v>93.75</v>
      </c>
      <c r="I30" s="44">
        <f t="shared" si="2"/>
        <v>6.25</v>
      </c>
      <c r="J30" s="44"/>
      <c r="K30" s="8"/>
    </row>
    <row r="31" spans="1:11" x14ac:dyDescent="0.25">
      <c r="A31" s="44" t="s">
        <v>108</v>
      </c>
      <c r="B31" s="39">
        <v>2797999132454</v>
      </c>
      <c r="C31" s="39">
        <v>2988844982036.3506</v>
      </c>
      <c r="D31" s="44">
        <f t="shared" si="0"/>
        <v>6.8207973107900219</v>
      </c>
      <c r="E31" s="39">
        <v>14</v>
      </c>
      <c r="F31" s="39">
        <v>1</v>
      </c>
      <c r="G31" s="39">
        <v>0</v>
      </c>
      <c r="H31" s="44">
        <f t="shared" si="1"/>
        <v>93.333333333333329</v>
      </c>
      <c r="I31" s="44">
        <f t="shared" si="2"/>
        <v>6.666666666666667</v>
      </c>
      <c r="J31" s="70" t="s">
        <v>4436</v>
      </c>
      <c r="K31" s="67"/>
    </row>
    <row r="32" spans="1:11" x14ac:dyDescent="0.25">
      <c r="A32" s="44" t="s">
        <v>985</v>
      </c>
      <c r="B32" s="44">
        <v>2429605286023.3203</v>
      </c>
      <c r="C32" s="44">
        <v>2534678476156.4399</v>
      </c>
      <c r="D32" s="44">
        <f t="shared" si="0"/>
        <v>4.3247020714668922</v>
      </c>
      <c r="E32" s="39">
        <v>18</v>
      </c>
      <c r="F32" s="39">
        <v>2</v>
      </c>
      <c r="G32" s="39">
        <v>0</v>
      </c>
      <c r="H32" s="44">
        <f t="shared" si="1"/>
        <v>90</v>
      </c>
      <c r="I32" s="44">
        <f t="shared" si="2"/>
        <v>10</v>
      </c>
      <c r="J32" s="44"/>
      <c r="K32" s="8"/>
    </row>
    <row r="33" spans="1:13" x14ac:dyDescent="0.25">
      <c r="A33" s="44" t="s">
        <v>677</v>
      </c>
      <c r="B33" s="44">
        <v>328062245099.78003</v>
      </c>
      <c r="C33" s="44">
        <v>344774512821.54999</v>
      </c>
      <c r="D33" s="44">
        <f t="shared" si="0"/>
        <v>5.0942368320033076</v>
      </c>
      <c r="E33" s="39">
        <v>7</v>
      </c>
      <c r="F33" s="39">
        <v>1</v>
      </c>
      <c r="G33" s="39">
        <v>0</v>
      </c>
      <c r="H33" s="44">
        <f t="shared" si="1"/>
        <v>87.5</v>
      </c>
      <c r="I33" s="44">
        <f t="shared" si="2"/>
        <v>12.5</v>
      </c>
      <c r="J33" s="44"/>
      <c r="K33" s="8"/>
    </row>
    <row r="34" spans="1:13" x14ac:dyDescent="0.25">
      <c r="A34" s="44" t="s">
        <v>2721</v>
      </c>
      <c r="B34" s="44">
        <v>5999713917740.9297</v>
      </c>
      <c r="C34" s="44">
        <v>6192117390145.6504</v>
      </c>
      <c r="D34" s="44">
        <f t="shared" si="0"/>
        <v>3.2068774452026925</v>
      </c>
      <c r="E34" s="39">
        <v>7</v>
      </c>
      <c r="F34" s="39">
        <v>1</v>
      </c>
      <c r="G34" s="39">
        <v>0</v>
      </c>
      <c r="H34" s="44">
        <f t="shared" si="1"/>
        <v>87.5</v>
      </c>
      <c r="I34" s="44">
        <f t="shared" si="2"/>
        <v>12.5</v>
      </c>
      <c r="J34" s="44"/>
      <c r="K34" s="8"/>
      <c r="L34" s="8"/>
      <c r="M34" s="8"/>
    </row>
    <row r="35" spans="1:13" x14ac:dyDescent="0.25">
      <c r="A35" s="44" t="s">
        <v>3402</v>
      </c>
      <c r="B35" s="44">
        <v>6969952801206.2002</v>
      </c>
      <c r="C35" s="44">
        <v>7258311714066.6602</v>
      </c>
      <c r="D35" s="44">
        <f t="shared" si="0"/>
        <v>4.1371716722465814</v>
      </c>
      <c r="E35" s="39">
        <v>6</v>
      </c>
      <c r="F35" s="39">
        <v>1</v>
      </c>
      <c r="G35" s="39">
        <v>0</v>
      </c>
      <c r="H35" s="44">
        <f t="shared" si="1"/>
        <v>85.714285714285708</v>
      </c>
      <c r="I35" s="44">
        <f t="shared" si="2"/>
        <v>14.285714285714285</v>
      </c>
      <c r="J35" s="44"/>
      <c r="K35" s="8"/>
    </row>
    <row r="36" spans="1:13" x14ac:dyDescent="0.25">
      <c r="A36" s="44" t="s">
        <v>3951</v>
      </c>
      <c r="B36" s="44">
        <v>972238605406.46985</v>
      </c>
      <c r="C36" s="44">
        <v>1001254645114.6798</v>
      </c>
      <c r="D36" s="44">
        <f t="shared" si="0"/>
        <v>2.9844566495154803</v>
      </c>
      <c r="E36" s="39">
        <v>17</v>
      </c>
      <c r="F36" s="39">
        <v>3</v>
      </c>
      <c r="G36" s="39">
        <v>0</v>
      </c>
      <c r="H36" s="44">
        <f t="shared" si="1"/>
        <v>85</v>
      </c>
      <c r="I36" s="44">
        <f t="shared" si="2"/>
        <v>15</v>
      </c>
      <c r="J36" s="44"/>
      <c r="K36" s="8"/>
    </row>
    <row r="37" spans="1:13" x14ac:dyDescent="0.25">
      <c r="A37" s="44" t="s">
        <v>2321</v>
      </c>
      <c r="B37" s="44">
        <v>141076105257</v>
      </c>
      <c r="C37" s="44">
        <v>192148104662.34998</v>
      </c>
      <c r="D37" s="44">
        <f t="shared" si="0"/>
        <v>36.201736156744275</v>
      </c>
      <c r="E37" s="39">
        <v>5</v>
      </c>
      <c r="F37" s="39">
        <v>1</v>
      </c>
      <c r="G37" s="39">
        <v>0</v>
      </c>
      <c r="H37" s="44">
        <f t="shared" si="1"/>
        <v>83.333333333333343</v>
      </c>
      <c r="I37" s="44">
        <f t="shared" si="2"/>
        <v>16.666666666666664</v>
      </c>
      <c r="J37" s="44"/>
      <c r="K37" s="8"/>
      <c r="L37" s="8"/>
    </row>
    <row r="38" spans="1:13" x14ac:dyDescent="0.25">
      <c r="A38" s="44" t="s">
        <v>831</v>
      </c>
      <c r="B38" s="44">
        <v>173651240703.90002</v>
      </c>
      <c r="C38" s="44">
        <v>202131452736</v>
      </c>
      <c r="D38" s="44">
        <f t="shared" si="0"/>
        <v>16.400811141143976</v>
      </c>
      <c r="E38" s="39">
        <v>5</v>
      </c>
      <c r="F38" s="39">
        <v>1</v>
      </c>
      <c r="G38" s="39">
        <v>0</v>
      </c>
      <c r="H38" s="44">
        <f t="shared" si="1"/>
        <v>83.333333333333343</v>
      </c>
      <c r="I38" s="44">
        <f t="shared" si="2"/>
        <v>16.666666666666664</v>
      </c>
      <c r="J38" s="44"/>
      <c r="K38" s="8"/>
    </row>
    <row r="39" spans="1:13" x14ac:dyDescent="0.25">
      <c r="A39" s="44" t="s">
        <v>3287</v>
      </c>
      <c r="B39" s="44">
        <v>200685995085.74002</v>
      </c>
      <c r="C39" s="44">
        <v>227942474034.29999</v>
      </c>
      <c r="D39" s="44">
        <f t="shared" si="0"/>
        <v>13.581654732267218</v>
      </c>
      <c r="E39" s="39">
        <v>5</v>
      </c>
      <c r="F39" s="39">
        <v>1</v>
      </c>
      <c r="G39" s="39">
        <v>0</v>
      </c>
      <c r="H39" s="44">
        <f t="shared" si="1"/>
        <v>83.333333333333343</v>
      </c>
      <c r="I39" s="44">
        <f t="shared" si="2"/>
        <v>16.666666666666664</v>
      </c>
      <c r="J39" s="44"/>
      <c r="K39" s="8"/>
    </row>
    <row r="40" spans="1:13" x14ac:dyDescent="0.25">
      <c r="A40" s="44" t="s">
        <v>2522</v>
      </c>
      <c r="B40" s="44">
        <v>289537286778.34998</v>
      </c>
      <c r="C40" s="44">
        <v>327809197984.40002</v>
      </c>
      <c r="D40" s="44">
        <f t="shared" si="0"/>
        <v>13.218301391125634</v>
      </c>
      <c r="E40" s="39">
        <v>10</v>
      </c>
      <c r="F40" s="39">
        <v>2</v>
      </c>
      <c r="G40" s="39">
        <v>0</v>
      </c>
      <c r="H40" s="44">
        <f t="shared" si="1"/>
        <v>83.333333333333343</v>
      </c>
      <c r="I40" s="44">
        <f t="shared" si="2"/>
        <v>16.666666666666664</v>
      </c>
      <c r="J40" s="44"/>
      <c r="K40" s="8"/>
    </row>
    <row r="41" spans="1:13" x14ac:dyDescent="0.25">
      <c r="A41" s="44" t="s">
        <v>3536</v>
      </c>
      <c r="B41" s="44">
        <v>2348428738396.9102</v>
      </c>
      <c r="C41" s="44">
        <v>2563990254571.8599</v>
      </c>
      <c r="D41" s="44">
        <f t="shared" si="0"/>
        <v>9.178967734916105</v>
      </c>
      <c r="E41" s="39">
        <v>5</v>
      </c>
      <c r="F41" s="39">
        <v>1</v>
      </c>
      <c r="G41" s="39">
        <v>0</v>
      </c>
      <c r="H41" s="44">
        <f t="shared" si="1"/>
        <v>83.333333333333343</v>
      </c>
      <c r="I41" s="44">
        <f t="shared" si="2"/>
        <v>16.666666666666664</v>
      </c>
      <c r="J41" s="44"/>
      <c r="K41" s="8"/>
    </row>
    <row r="42" spans="1:13" x14ac:dyDescent="0.25">
      <c r="A42" s="44" t="s">
        <v>850</v>
      </c>
      <c r="B42" s="44">
        <v>517176641087.89001</v>
      </c>
      <c r="C42" s="44">
        <v>554222989209.04004</v>
      </c>
      <c r="D42" s="44">
        <f t="shared" si="0"/>
        <v>7.1631905190502012</v>
      </c>
      <c r="E42" s="39">
        <v>5</v>
      </c>
      <c r="F42" s="39">
        <v>1</v>
      </c>
      <c r="G42" s="39">
        <v>0</v>
      </c>
      <c r="H42" s="44">
        <f t="shared" si="1"/>
        <v>83.333333333333343</v>
      </c>
      <c r="I42" s="44">
        <f t="shared" si="2"/>
        <v>16.666666666666664</v>
      </c>
      <c r="J42" s="44"/>
      <c r="K42" s="8"/>
    </row>
    <row r="43" spans="1:13" x14ac:dyDescent="0.25">
      <c r="A43" s="44" t="s">
        <v>3618</v>
      </c>
      <c r="B43" s="44">
        <v>167183379671.29999</v>
      </c>
      <c r="C43" s="44">
        <v>180786989659</v>
      </c>
      <c r="D43" s="44">
        <f t="shared" si="0"/>
        <v>8.1369392187465834</v>
      </c>
      <c r="E43" s="39">
        <v>4</v>
      </c>
      <c r="F43" s="39">
        <v>1</v>
      </c>
      <c r="G43" s="39">
        <v>0</v>
      </c>
      <c r="H43" s="44">
        <f t="shared" si="1"/>
        <v>80</v>
      </c>
      <c r="I43" s="44">
        <f t="shared" si="2"/>
        <v>20</v>
      </c>
      <c r="J43" s="44"/>
      <c r="K43" s="8"/>
    </row>
    <row r="44" spans="1:13" x14ac:dyDescent="0.25">
      <c r="A44" s="44" t="s">
        <v>807</v>
      </c>
      <c r="B44" s="44">
        <v>4302596295441.811</v>
      </c>
      <c r="C44" s="44">
        <v>4634693755487.2119</v>
      </c>
      <c r="D44" s="44">
        <f t="shared" si="0"/>
        <v>7.7185363729622116</v>
      </c>
      <c r="E44" s="39">
        <v>24</v>
      </c>
      <c r="F44" s="39">
        <v>6</v>
      </c>
      <c r="G44" s="39">
        <v>0</v>
      </c>
      <c r="H44" s="44">
        <f t="shared" si="1"/>
        <v>80</v>
      </c>
      <c r="I44" s="44">
        <f t="shared" si="2"/>
        <v>20</v>
      </c>
      <c r="J44" s="44"/>
      <c r="K44" s="8"/>
    </row>
    <row r="45" spans="1:13" x14ac:dyDescent="0.25">
      <c r="A45" s="44" t="s">
        <v>3772</v>
      </c>
      <c r="B45" s="44">
        <v>699710972512.30005</v>
      </c>
      <c r="C45" s="44">
        <v>710694424723.80005</v>
      </c>
      <c r="D45" s="44">
        <f t="shared" si="0"/>
        <v>1.5697127303955383</v>
      </c>
      <c r="E45" s="39">
        <v>4</v>
      </c>
      <c r="F45" s="39">
        <v>1</v>
      </c>
      <c r="G45" s="39">
        <v>0</v>
      </c>
      <c r="H45" s="44">
        <f t="shared" si="1"/>
        <v>80</v>
      </c>
      <c r="I45" s="44">
        <f t="shared" si="2"/>
        <v>20</v>
      </c>
      <c r="J45" s="44"/>
      <c r="K45" s="8"/>
    </row>
    <row r="46" spans="1:13" x14ac:dyDescent="0.25">
      <c r="A46" s="44" t="s">
        <v>3454</v>
      </c>
      <c r="B46" s="44">
        <v>29636742525.949997</v>
      </c>
      <c r="C46" s="44">
        <v>29252395588.239998</v>
      </c>
      <c r="D46" s="44">
        <f t="shared" si="0"/>
        <v>-1.2968595903327231</v>
      </c>
      <c r="E46" s="39">
        <v>4</v>
      </c>
      <c r="F46" s="39">
        <v>1</v>
      </c>
      <c r="G46" s="39">
        <v>0</v>
      </c>
      <c r="H46" s="44">
        <f t="shared" si="1"/>
        <v>80</v>
      </c>
      <c r="I46" s="44">
        <f t="shared" si="2"/>
        <v>20</v>
      </c>
      <c r="J46" s="44"/>
      <c r="K46" s="8"/>
    </row>
    <row r="47" spans="1:13" x14ac:dyDescent="0.25">
      <c r="A47" s="44" t="s">
        <v>204</v>
      </c>
      <c r="B47" s="44">
        <v>1101221235143.6003</v>
      </c>
      <c r="C47" s="44">
        <v>1204840611134.5798</v>
      </c>
      <c r="D47" s="44">
        <f t="shared" si="0"/>
        <v>9.4094967191099812</v>
      </c>
      <c r="E47" s="39">
        <v>11</v>
      </c>
      <c r="F47" s="39">
        <v>3</v>
      </c>
      <c r="G47" s="39">
        <v>0</v>
      </c>
      <c r="H47" s="44">
        <f t="shared" si="1"/>
        <v>78.571428571428569</v>
      </c>
      <c r="I47" s="44">
        <f t="shared" si="2"/>
        <v>21.428571428571427</v>
      </c>
      <c r="J47" s="44"/>
      <c r="K47" s="8"/>
    </row>
    <row r="48" spans="1:13" x14ac:dyDescent="0.25">
      <c r="A48" s="44" t="s">
        <v>11</v>
      </c>
      <c r="B48" s="44">
        <v>1596718532466.9502</v>
      </c>
      <c r="C48" s="44">
        <v>1889225877656.4802</v>
      </c>
      <c r="D48" s="44">
        <f t="shared" si="0"/>
        <v>18.31928040176264</v>
      </c>
      <c r="E48" s="39">
        <v>7</v>
      </c>
      <c r="F48" s="39">
        <v>1</v>
      </c>
      <c r="G48" s="39">
        <v>1</v>
      </c>
      <c r="H48" s="44">
        <f t="shared" si="1"/>
        <v>77.777777777777786</v>
      </c>
      <c r="I48" s="44">
        <f t="shared" si="2"/>
        <v>11.111111111111111</v>
      </c>
      <c r="J48" s="44"/>
      <c r="K48" s="8"/>
    </row>
    <row r="49" spans="1:12" x14ac:dyDescent="0.25">
      <c r="A49" s="44" t="s">
        <v>3976</v>
      </c>
      <c r="B49" s="44">
        <v>1281700942882.04</v>
      </c>
      <c r="C49" s="20">
        <v>1382422094423.1301</v>
      </c>
      <c r="D49" s="44">
        <f t="shared" si="0"/>
        <v>7.8583972416067613</v>
      </c>
      <c r="E49" s="39">
        <v>14</v>
      </c>
      <c r="F49" s="39">
        <v>4</v>
      </c>
      <c r="G49" s="39">
        <v>0</v>
      </c>
      <c r="H49" s="44">
        <f t="shared" si="1"/>
        <v>77.777777777777786</v>
      </c>
      <c r="I49" s="44">
        <f t="shared" si="2"/>
        <v>22.222222222222221</v>
      </c>
      <c r="J49" s="44"/>
      <c r="K49" s="8"/>
    </row>
    <row r="50" spans="1:12" x14ac:dyDescent="0.25">
      <c r="A50" s="44" t="s">
        <v>1453</v>
      </c>
      <c r="B50" s="44">
        <v>461201300430.5</v>
      </c>
      <c r="C50" s="44">
        <v>478629253253.76001</v>
      </c>
      <c r="D50" s="44">
        <f t="shared" si="0"/>
        <v>3.7788169302628161</v>
      </c>
      <c r="E50" s="39">
        <v>7</v>
      </c>
      <c r="F50" s="39">
        <v>2</v>
      </c>
      <c r="G50" s="39">
        <v>0</v>
      </c>
      <c r="H50" s="44">
        <f t="shared" si="1"/>
        <v>77.777777777777786</v>
      </c>
      <c r="I50" s="44">
        <f t="shared" si="2"/>
        <v>22.222222222222221</v>
      </c>
      <c r="J50" s="44"/>
      <c r="K50" s="8"/>
    </row>
    <row r="51" spans="1:12" x14ac:dyDescent="0.25">
      <c r="A51" s="44" t="s">
        <v>1046</v>
      </c>
      <c r="B51" s="44">
        <v>874168590503.25</v>
      </c>
      <c r="C51" s="44">
        <v>966494483920.4801</v>
      </c>
      <c r="D51" s="44">
        <f t="shared" si="0"/>
        <v>10.561566089223021</v>
      </c>
      <c r="E51" s="39">
        <v>17</v>
      </c>
      <c r="F51" s="39">
        <v>5</v>
      </c>
      <c r="G51" s="39">
        <v>0</v>
      </c>
      <c r="H51" s="44">
        <f t="shared" si="1"/>
        <v>77.272727272727266</v>
      </c>
      <c r="I51" s="44">
        <f t="shared" si="2"/>
        <v>22.727272727272727</v>
      </c>
      <c r="J51" s="44"/>
      <c r="K51" s="8"/>
    </row>
    <row r="52" spans="1:12" x14ac:dyDescent="0.25">
      <c r="A52" s="44" t="s">
        <v>1584</v>
      </c>
      <c r="B52" s="44">
        <v>335307082397.5</v>
      </c>
      <c r="C52" s="44">
        <v>470984978399.66003</v>
      </c>
      <c r="D52" s="44">
        <f t="shared" si="0"/>
        <v>40.463772799560651</v>
      </c>
      <c r="E52" s="39">
        <v>3</v>
      </c>
      <c r="F52" s="39">
        <v>0</v>
      </c>
      <c r="G52" s="39">
        <v>1</v>
      </c>
      <c r="H52" s="44">
        <f t="shared" si="1"/>
        <v>75</v>
      </c>
      <c r="I52" s="44">
        <f t="shared" si="2"/>
        <v>0</v>
      </c>
      <c r="J52" s="44"/>
      <c r="K52" s="8"/>
    </row>
    <row r="53" spans="1:12" x14ac:dyDescent="0.25">
      <c r="A53" s="44" t="s">
        <v>3690</v>
      </c>
      <c r="B53" s="44">
        <v>95759667360.800003</v>
      </c>
      <c r="C53" s="44">
        <v>115052328135.05002</v>
      </c>
      <c r="D53" s="44">
        <f t="shared" si="0"/>
        <v>20.146958846003283</v>
      </c>
      <c r="E53" s="39">
        <v>3</v>
      </c>
      <c r="F53" s="39">
        <v>0</v>
      </c>
      <c r="G53" s="39">
        <v>1</v>
      </c>
      <c r="H53" s="44">
        <f t="shared" si="1"/>
        <v>75</v>
      </c>
      <c r="I53" s="44">
        <f t="shared" si="2"/>
        <v>0</v>
      </c>
      <c r="J53" s="44"/>
      <c r="K53" s="8"/>
    </row>
    <row r="54" spans="1:12" x14ac:dyDescent="0.25">
      <c r="A54" s="44" t="s">
        <v>3918</v>
      </c>
      <c r="B54" s="44">
        <v>56657560585.939995</v>
      </c>
      <c r="C54" s="44">
        <v>63877136496.069992</v>
      </c>
      <c r="D54" s="44">
        <f t="shared" si="0"/>
        <v>12.742475735747771</v>
      </c>
      <c r="E54" s="39">
        <v>6</v>
      </c>
      <c r="F54" s="39">
        <v>2</v>
      </c>
      <c r="G54" s="39">
        <v>0</v>
      </c>
      <c r="H54" s="44">
        <f t="shared" si="1"/>
        <v>75</v>
      </c>
      <c r="I54" s="44">
        <f t="shared" si="2"/>
        <v>25</v>
      </c>
      <c r="J54" s="44"/>
      <c r="K54" s="8"/>
    </row>
    <row r="55" spans="1:12" x14ac:dyDescent="0.25">
      <c r="A55" s="44" t="s">
        <v>1616</v>
      </c>
      <c r="B55" s="44">
        <v>582346433022.5</v>
      </c>
      <c r="C55" s="44">
        <v>640963264640.80005</v>
      </c>
      <c r="D55" s="44">
        <f t="shared" si="0"/>
        <v>10.065629030140428</v>
      </c>
      <c r="E55" s="39">
        <v>3</v>
      </c>
      <c r="F55" s="39">
        <v>1</v>
      </c>
      <c r="G55" s="39">
        <v>0</v>
      </c>
      <c r="H55" s="44">
        <f t="shared" si="1"/>
        <v>75</v>
      </c>
      <c r="I55" s="44">
        <f t="shared" si="2"/>
        <v>25</v>
      </c>
      <c r="J55" s="44"/>
      <c r="K55" s="8"/>
    </row>
    <row r="56" spans="1:12" x14ac:dyDescent="0.25">
      <c r="A56" s="44" t="s">
        <v>4053</v>
      </c>
      <c r="B56" s="44">
        <v>15631100664.4</v>
      </c>
      <c r="C56" s="44">
        <v>16767182523.4</v>
      </c>
      <c r="D56" s="44">
        <f t="shared" si="0"/>
        <v>7.268086127725085</v>
      </c>
      <c r="E56" s="39">
        <v>3</v>
      </c>
      <c r="F56" s="39">
        <v>1</v>
      </c>
      <c r="G56" s="39">
        <v>0</v>
      </c>
      <c r="H56" s="44">
        <f t="shared" si="1"/>
        <v>75</v>
      </c>
      <c r="I56" s="44">
        <f t="shared" si="2"/>
        <v>25</v>
      </c>
      <c r="J56" s="44"/>
      <c r="K56" s="8"/>
    </row>
    <row r="57" spans="1:12" x14ac:dyDescent="0.25">
      <c r="A57" s="44" t="s">
        <v>3900</v>
      </c>
      <c r="B57" s="44">
        <v>264001597603.75</v>
      </c>
      <c r="C57" s="44">
        <v>277859085466.90002</v>
      </c>
      <c r="D57" s="44">
        <f t="shared" si="0"/>
        <v>5.2490166684329136</v>
      </c>
      <c r="E57" s="39">
        <v>3</v>
      </c>
      <c r="F57" s="39">
        <v>1</v>
      </c>
      <c r="G57" s="39">
        <v>0</v>
      </c>
      <c r="H57" s="44">
        <f t="shared" si="1"/>
        <v>75</v>
      </c>
      <c r="I57" s="44">
        <f t="shared" si="2"/>
        <v>25</v>
      </c>
      <c r="J57" s="44"/>
      <c r="K57" s="8"/>
    </row>
    <row r="58" spans="1:12" x14ac:dyDescent="0.25">
      <c r="A58" s="51" t="s">
        <v>2577</v>
      </c>
      <c r="B58" s="44">
        <v>633887289825.49988</v>
      </c>
      <c r="C58" s="44">
        <v>660386745706.15002</v>
      </c>
      <c r="D58" s="44">
        <f t="shared" si="0"/>
        <v>4.1804680904621181</v>
      </c>
      <c r="E58" s="39">
        <v>3</v>
      </c>
      <c r="F58" s="39">
        <v>1</v>
      </c>
      <c r="G58" s="39">
        <v>0</v>
      </c>
      <c r="H58" s="44">
        <f t="shared" si="1"/>
        <v>75</v>
      </c>
      <c r="I58" s="44">
        <f t="shared" si="2"/>
        <v>25</v>
      </c>
      <c r="J58" s="44"/>
      <c r="K58" s="8"/>
    </row>
    <row r="59" spans="1:12" x14ac:dyDescent="0.25">
      <c r="A59" s="44" t="s">
        <v>166</v>
      </c>
      <c r="B59" s="44">
        <v>497696871064.79999</v>
      </c>
      <c r="C59" s="44">
        <v>510634547485.29999</v>
      </c>
      <c r="D59" s="44">
        <f t="shared" si="0"/>
        <v>2.5995092942457978</v>
      </c>
      <c r="E59" s="39">
        <v>3</v>
      </c>
      <c r="F59" s="39">
        <v>1</v>
      </c>
      <c r="G59" s="39">
        <v>0</v>
      </c>
      <c r="H59" s="44">
        <f t="shared" si="1"/>
        <v>75</v>
      </c>
      <c r="I59" s="44">
        <f t="shared" si="2"/>
        <v>25</v>
      </c>
      <c r="J59" s="44"/>
      <c r="K59" s="8"/>
      <c r="L59" s="8"/>
    </row>
    <row r="60" spans="1:12" x14ac:dyDescent="0.25">
      <c r="A60" s="44" t="s">
        <v>680</v>
      </c>
      <c r="B60" s="44">
        <v>26559178205988.418</v>
      </c>
      <c r="C60" s="44">
        <v>26634005231831.438</v>
      </c>
      <c r="D60" s="44">
        <f t="shared" si="0"/>
        <v>0.28173697718609358</v>
      </c>
      <c r="E60" s="39">
        <v>15</v>
      </c>
      <c r="F60" s="39">
        <v>5</v>
      </c>
      <c r="G60" s="39">
        <v>0</v>
      </c>
      <c r="H60" s="44">
        <f t="shared" si="1"/>
        <v>75</v>
      </c>
      <c r="I60" s="44">
        <f t="shared" si="2"/>
        <v>25</v>
      </c>
      <c r="J60" s="44"/>
      <c r="K60" s="8"/>
    </row>
    <row r="61" spans="1:12" x14ac:dyDescent="0.25">
      <c r="A61" s="44" t="s">
        <v>1001</v>
      </c>
      <c r="B61" s="44">
        <v>896308748100.34009</v>
      </c>
      <c r="C61" s="44">
        <v>1138234443818.9302</v>
      </c>
      <c r="D61" s="44">
        <f t="shared" si="0"/>
        <v>26.99133487554748</v>
      </c>
      <c r="E61" s="39">
        <v>8</v>
      </c>
      <c r="F61" s="39">
        <v>3</v>
      </c>
      <c r="G61" s="39">
        <v>0</v>
      </c>
      <c r="H61" s="44">
        <f t="shared" si="1"/>
        <v>72.727272727272734</v>
      </c>
      <c r="I61" s="44">
        <f t="shared" si="2"/>
        <v>27.27272727272727</v>
      </c>
      <c r="J61" s="44"/>
      <c r="K61" s="8"/>
    </row>
    <row r="62" spans="1:12" x14ac:dyDescent="0.25">
      <c r="A62" s="44" t="s">
        <v>4111</v>
      </c>
      <c r="B62" s="44">
        <v>42605524455.790001</v>
      </c>
      <c r="C62" s="44">
        <v>49242711718.670006</v>
      </c>
      <c r="D62" s="44">
        <f t="shared" si="0"/>
        <v>15.578231573624073</v>
      </c>
      <c r="E62" s="39">
        <v>5</v>
      </c>
      <c r="F62" s="39">
        <v>2</v>
      </c>
      <c r="G62" s="39">
        <v>0</v>
      </c>
      <c r="H62" s="44">
        <f t="shared" si="1"/>
        <v>71.428571428571431</v>
      </c>
      <c r="I62" s="44">
        <f t="shared" si="2"/>
        <v>28.571428571428569</v>
      </c>
      <c r="J62" s="44"/>
      <c r="K62" s="8"/>
    </row>
    <row r="63" spans="1:12" x14ac:dyDescent="0.25">
      <c r="A63" s="44" t="s">
        <v>3652</v>
      </c>
      <c r="B63" s="44">
        <v>111710238099.44</v>
      </c>
      <c r="C63" s="44">
        <v>124291122052.14</v>
      </c>
      <c r="D63" s="44">
        <f t="shared" si="0"/>
        <v>11.262068872775112</v>
      </c>
      <c r="E63" s="39">
        <v>5</v>
      </c>
      <c r="F63" s="39">
        <v>2</v>
      </c>
      <c r="G63" s="39">
        <v>0</v>
      </c>
      <c r="H63" s="44">
        <f t="shared" si="1"/>
        <v>71.428571428571431</v>
      </c>
      <c r="I63" s="44">
        <f t="shared" si="2"/>
        <v>28.571428571428569</v>
      </c>
      <c r="J63" s="44"/>
      <c r="K63" s="8"/>
    </row>
    <row r="64" spans="1:12" x14ac:dyDescent="0.25">
      <c r="A64" s="44" t="s">
        <v>67</v>
      </c>
      <c r="B64" s="44">
        <v>801862882006.95007</v>
      </c>
      <c r="C64" s="44">
        <v>842461154914.6499</v>
      </c>
      <c r="D64" s="44">
        <f t="shared" si="0"/>
        <v>5.0629944119732864</v>
      </c>
      <c r="E64" s="39">
        <v>5</v>
      </c>
      <c r="F64" s="39">
        <v>2</v>
      </c>
      <c r="G64" s="39">
        <v>0</v>
      </c>
      <c r="H64" s="44">
        <f t="shared" si="1"/>
        <v>71.428571428571431</v>
      </c>
      <c r="I64" s="44">
        <f t="shared" si="2"/>
        <v>28.571428571428569</v>
      </c>
      <c r="J64" s="44"/>
      <c r="K64" s="8"/>
    </row>
    <row r="65" spans="1:11" x14ac:dyDescent="0.25">
      <c r="A65" s="44" t="s">
        <v>9</v>
      </c>
      <c r="B65" s="44">
        <v>3455024571517.4399</v>
      </c>
      <c r="C65" s="44">
        <v>3557151082226.9702</v>
      </c>
      <c r="D65" s="44">
        <f t="shared" si="0"/>
        <v>2.9558837743569653</v>
      </c>
      <c r="E65" s="39">
        <v>5</v>
      </c>
      <c r="F65" s="39">
        <v>2</v>
      </c>
      <c r="G65" s="39">
        <v>0</v>
      </c>
      <c r="H65" s="44">
        <f t="shared" si="1"/>
        <v>71.428571428571431</v>
      </c>
      <c r="I65" s="44">
        <f t="shared" si="2"/>
        <v>28.571428571428569</v>
      </c>
      <c r="J65" s="44"/>
      <c r="K65" s="8"/>
    </row>
    <row r="66" spans="1:11" x14ac:dyDescent="0.25">
      <c r="A66" s="44" t="s">
        <v>3872</v>
      </c>
      <c r="B66" s="44">
        <v>533756227552.70001</v>
      </c>
      <c r="C66" s="44">
        <v>654711314740.57007</v>
      </c>
      <c r="D66" s="44">
        <f t="shared" si="0"/>
        <v>22.661110249234078</v>
      </c>
      <c r="E66" s="39">
        <v>17</v>
      </c>
      <c r="F66" s="39">
        <v>5</v>
      </c>
      <c r="G66" s="39">
        <v>2</v>
      </c>
      <c r="H66" s="44">
        <f t="shared" si="1"/>
        <v>70.833333333333343</v>
      </c>
      <c r="I66" s="44">
        <f t="shared" si="2"/>
        <v>20.833333333333336</v>
      </c>
      <c r="J66" s="44"/>
      <c r="K66" s="8"/>
    </row>
    <row r="67" spans="1:11" x14ac:dyDescent="0.25">
      <c r="A67" s="44" t="s">
        <v>3683</v>
      </c>
      <c r="B67" s="44">
        <v>4539353400786.1094</v>
      </c>
      <c r="C67" s="44">
        <v>5038715604997.5391</v>
      </c>
      <c r="D67" s="44">
        <f t="shared" si="0"/>
        <v>11.000734248295183</v>
      </c>
      <c r="E67" s="39">
        <v>27</v>
      </c>
      <c r="F67" s="39">
        <v>11</v>
      </c>
      <c r="G67" s="39">
        <v>1</v>
      </c>
      <c r="H67" s="44">
        <f t="shared" si="1"/>
        <v>69.230769230769226</v>
      </c>
      <c r="I67" s="44">
        <f t="shared" si="2"/>
        <v>28.205128205128204</v>
      </c>
      <c r="J67" s="44"/>
      <c r="K67" s="8"/>
    </row>
    <row r="68" spans="1:11" x14ac:dyDescent="0.25">
      <c r="A68" s="44" t="s">
        <v>1376</v>
      </c>
      <c r="B68" s="44">
        <v>6021388128232.8389</v>
      </c>
      <c r="C68" s="44">
        <v>5822274773374.5801</v>
      </c>
      <c r="D68" s="44">
        <f t="shared" si="0"/>
        <v>-3.3067683168381761</v>
      </c>
      <c r="E68" s="39">
        <v>13</v>
      </c>
      <c r="F68" s="39">
        <v>5</v>
      </c>
      <c r="G68" s="39">
        <v>1</v>
      </c>
      <c r="H68" s="44">
        <f t="shared" si="1"/>
        <v>68.421052631578945</v>
      </c>
      <c r="I68" s="44">
        <f t="shared" si="2"/>
        <v>26.315789473684209</v>
      </c>
      <c r="J68" s="44"/>
      <c r="K68" s="8"/>
    </row>
    <row r="69" spans="1:11" x14ac:dyDescent="0.25">
      <c r="A69" s="44" t="s">
        <v>3906</v>
      </c>
      <c r="B69" s="44">
        <v>357478119810.80005</v>
      </c>
      <c r="C69" s="44">
        <v>403268184909.32996</v>
      </c>
      <c r="D69" s="44">
        <f t="shared" si="0"/>
        <v>12.809193783039055</v>
      </c>
      <c r="E69" s="39">
        <v>30</v>
      </c>
      <c r="F69" s="39">
        <v>11</v>
      </c>
      <c r="G69" s="39">
        <v>3</v>
      </c>
      <c r="H69" s="44">
        <f t="shared" si="1"/>
        <v>68.181818181818173</v>
      </c>
      <c r="I69" s="44">
        <f t="shared" si="2"/>
        <v>25</v>
      </c>
      <c r="J69" s="44"/>
      <c r="K69" s="8"/>
    </row>
    <row r="70" spans="1:11" x14ac:dyDescent="0.25">
      <c r="A70" s="44" t="s">
        <v>15</v>
      </c>
      <c r="B70" s="44">
        <v>11890720228419.273</v>
      </c>
      <c r="C70" s="44">
        <v>13002130565024.93</v>
      </c>
      <c r="D70" s="44">
        <f t="shared" si="0"/>
        <v>9.3468714699833164</v>
      </c>
      <c r="E70" s="39">
        <v>109</v>
      </c>
      <c r="F70" s="39">
        <v>49</v>
      </c>
      <c r="G70" s="39">
        <v>4</v>
      </c>
      <c r="H70" s="44">
        <f t="shared" si="1"/>
        <v>67.283950617283949</v>
      </c>
      <c r="I70" s="44">
        <f t="shared" si="2"/>
        <v>30.246913580246915</v>
      </c>
      <c r="J70" s="70" t="s">
        <v>4437</v>
      </c>
      <c r="K70" s="67"/>
    </row>
    <row r="71" spans="1:11" x14ac:dyDescent="0.25">
      <c r="A71" s="44" t="s">
        <v>4194</v>
      </c>
      <c r="B71" s="44">
        <v>3825242690</v>
      </c>
      <c r="C71" s="44">
        <v>6581888584</v>
      </c>
      <c r="D71" s="44">
        <f t="shared" si="0"/>
        <v>72.064601318145378</v>
      </c>
      <c r="E71" s="39">
        <v>2</v>
      </c>
      <c r="F71" s="39">
        <v>1</v>
      </c>
      <c r="G71" s="39">
        <v>0</v>
      </c>
      <c r="H71" s="44">
        <f t="shared" si="1"/>
        <v>66.666666666666657</v>
      </c>
      <c r="I71" s="44">
        <f t="shared" si="2"/>
        <v>33.333333333333329</v>
      </c>
      <c r="J71" s="44"/>
      <c r="K71" s="8"/>
    </row>
    <row r="72" spans="1:11" x14ac:dyDescent="0.25">
      <c r="A72" s="44" t="s">
        <v>4057</v>
      </c>
      <c r="B72" s="44">
        <v>5597281347.8800001</v>
      </c>
      <c r="C72" s="44">
        <v>7685660632.2399998</v>
      </c>
      <c r="D72" s="44">
        <f t="shared" si="0"/>
        <v>37.310600532006212</v>
      </c>
      <c r="E72" s="39">
        <v>2</v>
      </c>
      <c r="F72" s="39">
        <v>1</v>
      </c>
      <c r="G72" s="39">
        <v>0</v>
      </c>
      <c r="H72" s="44">
        <f t="shared" si="1"/>
        <v>66.666666666666657</v>
      </c>
      <c r="I72" s="44">
        <f t="shared" si="2"/>
        <v>33.333333333333329</v>
      </c>
      <c r="J72" s="44"/>
      <c r="K72" s="8"/>
    </row>
    <row r="73" spans="1:11" x14ac:dyDescent="0.25">
      <c r="A73" s="44" t="s">
        <v>4066</v>
      </c>
      <c r="B73" s="44">
        <v>63397524269.01001</v>
      </c>
      <c r="C73" s="44">
        <v>83963424576.599991</v>
      </c>
      <c r="D73" s="44">
        <f t="shared" si="0"/>
        <v>32.439595307104142</v>
      </c>
      <c r="E73" s="39">
        <v>6</v>
      </c>
      <c r="F73" s="39">
        <v>2</v>
      </c>
      <c r="G73" s="39">
        <v>1</v>
      </c>
      <c r="H73" s="44">
        <f t="shared" si="1"/>
        <v>66.666666666666657</v>
      </c>
      <c r="I73" s="44">
        <f t="shared" si="2"/>
        <v>22.222222222222221</v>
      </c>
      <c r="J73" s="44"/>
      <c r="K73" s="8"/>
    </row>
    <row r="74" spans="1:11" x14ac:dyDescent="0.25">
      <c r="A74" s="44" t="s">
        <v>1907</v>
      </c>
      <c r="B74" s="44">
        <v>499126714426.15002</v>
      </c>
      <c r="C74" s="44">
        <v>549794573041.90002</v>
      </c>
      <c r="D74" s="44">
        <f t="shared" si="0"/>
        <v>10.151301693799988</v>
      </c>
      <c r="E74" s="39">
        <v>10</v>
      </c>
      <c r="F74" s="39">
        <v>4</v>
      </c>
      <c r="G74" s="39">
        <v>1</v>
      </c>
      <c r="H74" s="44">
        <f t="shared" si="1"/>
        <v>66.666666666666657</v>
      </c>
      <c r="I74" s="44">
        <f t="shared" si="2"/>
        <v>26.666666666666668</v>
      </c>
      <c r="J74" s="44"/>
      <c r="K74" s="8"/>
    </row>
    <row r="75" spans="1:11" x14ac:dyDescent="0.25">
      <c r="A75" s="44" t="s">
        <v>2671</v>
      </c>
      <c r="B75" s="44">
        <v>253074439135.31</v>
      </c>
      <c r="C75" s="44">
        <v>273748680313.20001</v>
      </c>
      <c r="D75" s="44">
        <f t="shared" si="0"/>
        <v>8.1692332297677162</v>
      </c>
      <c r="E75" s="39">
        <v>8</v>
      </c>
      <c r="F75" s="39">
        <v>4</v>
      </c>
      <c r="G75" s="39">
        <v>0</v>
      </c>
      <c r="H75" s="44">
        <f t="shared" si="1"/>
        <v>66.666666666666657</v>
      </c>
      <c r="I75" s="44">
        <f t="shared" si="2"/>
        <v>33.333333333333329</v>
      </c>
      <c r="J75" s="44"/>
      <c r="K75" s="8"/>
    </row>
    <row r="76" spans="1:11" x14ac:dyDescent="0.25">
      <c r="A76" s="44" t="s">
        <v>342</v>
      </c>
      <c r="B76" s="44">
        <v>1188815276295</v>
      </c>
      <c r="C76" s="44">
        <v>1276798415727.1001</v>
      </c>
      <c r="D76" s="44">
        <f t="shared" si="0"/>
        <v>7.4009092233659537</v>
      </c>
      <c r="E76" s="39">
        <v>2</v>
      </c>
      <c r="F76" s="39">
        <v>1</v>
      </c>
      <c r="G76" s="39">
        <v>0</v>
      </c>
      <c r="H76" s="44">
        <f t="shared" si="1"/>
        <v>66.666666666666657</v>
      </c>
      <c r="I76" s="44">
        <f t="shared" si="2"/>
        <v>33.333333333333329</v>
      </c>
      <c r="J76" s="44"/>
      <c r="K76" s="8"/>
    </row>
    <row r="77" spans="1:11" x14ac:dyDescent="0.25">
      <c r="A77" s="44" t="s">
        <v>2892</v>
      </c>
      <c r="B77" s="44">
        <v>2722524147939.1001</v>
      </c>
      <c r="C77" s="44">
        <v>2845153400421.5103</v>
      </c>
      <c r="D77" s="44">
        <f t="shared" si="0"/>
        <v>4.5042484774740457</v>
      </c>
      <c r="E77" s="39">
        <v>2</v>
      </c>
      <c r="F77" s="39">
        <v>1</v>
      </c>
      <c r="G77" s="39">
        <v>0</v>
      </c>
      <c r="H77" s="44">
        <f t="shared" si="1"/>
        <v>66.666666666666657</v>
      </c>
      <c r="I77" s="44">
        <f t="shared" si="2"/>
        <v>33.333333333333329</v>
      </c>
      <c r="J77" s="44"/>
      <c r="K77" s="8"/>
    </row>
    <row r="78" spans="1:11" x14ac:dyDescent="0.25">
      <c r="A78" s="44" t="s">
        <v>1807</v>
      </c>
      <c r="B78" s="44">
        <v>1302784940809.4199</v>
      </c>
      <c r="C78" s="44">
        <v>1343525675113.8201</v>
      </c>
      <c r="D78" s="44">
        <f t="shared" si="0"/>
        <v>3.1272033493945623</v>
      </c>
      <c r="E78" s="39">
        <v>12</v>
      </c>
      <c r="F78" s="39">
        <v>6</v>
      </c>
      <c r="G78" s="39">
        <v>0</v>
      </c>
      <c r="H78" s="44">
        <f t="shared" si="1"/>
        <v>66.666666666666657</v>
      </c>
      <c r="I78" s="44">
        <f t="shared" si="2"/>
        <v>33.333333333333329</v>
      </c>
      <c r="J78" s="44"/>
      <c r="K78" s="8"/>
    </row>
    <row r="79" spans="1:11" x14ac:dyDescent="0.25">
      <c r="A79" s="44" t="s">
        <v>96</v>
      </c>
      <c r="B79" s="44">
        <v>27261740092.700001</v>
      </c>
      <c r="C79" s="44">
        <v>28082852933.599998</v>
      </c>
      <c r="D79" s="44">
        <f t="shared" si="0"/>
        <v>3.0119604915456986</v>
      </c>
      <c r="E79" s="39">
        <v>2</v>
      </c>
      <c r="F79" s="39">
        <v>1</v>
      </c>
      <c r="G79" s="39">
        <v>0</v>
      </c>
      <c r="H79" s="44">
        <f t="shared" si="1"/>
        <v>66.666666666666657</v>
      </c>
      <c r="I79" s="44">
        <f t="shared" si="2"/>
        <v>33.333333333333329</v>
      </c>
      <c r="J79" s="44"/>
      <c r="K79" s="8"/>
    </row>
    <row r="80" spans="1:11" x14ac:dyDescent="0.25">
      <c r="A80" s="44" t="s">
        <v>3085</v>
      </c>
      <c r="B80" s="44">
        <v>8219652032805.0508</v>
      </c>
      <c r="C80" s="44">
        <v>8273372968099.7998</v>
      </c>
      <c r="D80" s="44">
        <f t="shared" si="0"/>
        <v>0.65356702546952139</v>
      </c>
      <c r="E80" s="39">
        <v>4</v>
      </c>
      <c r="F80" s="39">
        <v>2</v>
      </c>
      <c r="G80" s="39">
        <v>0</v>
      </c>
      <c r="H80" s="44">
        <f t="shared" si="1"/>
        <v>66.666666666666657</v>
      </c>
      <c r="I80" s="44">
        <f t="shared" si="2"/>
        <v>33.333333333333329</v>
      </c>
      <c r="J80" s="44"/>
      <c r="K80" s="8"/>
    </row>
    <row r="81" spans="1:11" x14ac:dyDescent="0.25">
      <c r="A81" s="44" t="s">
        <v>3118</v>
      </c>
      <c r="B81" s="44">
        <v>11244212777123.1</v>
      </c>
      <c r="C81" s="44">
        <v>10953146983288.699</v>
      </c>
      <c r="D81" s="44">
        <f t="shared" si="0"/>
        <v>-2.5885831191898823</v>
      </c>
      <c r="E81" s="39">
        <v>2</v>
      </c>
      <c r="F81" s="39">
        <v>1</v>
      </c>
      <c r="G81" s="39">
        <v>0</v>
      </c>
      <c r="H81" s="44">
        <f t="shared" si="1"/>
        <v>66.666666666666657</v>
      </c>
      <c r="I81" s="44">
        <f t="shared" si="2"/>
        <v>33.333333333333329</v>
      </c>
      <c r="J81" s="44"/>
      <c r="K81" s="8"/>
    </row>
    <row r="82" spans="1:11" x14ac:dyDescent="0.25">
      <c r="A82" s="44" t="s">
        <v>3475</v>
      </c>
      <c r="B82" s="44">
        <v>6928679924772.3799</v>
      </c>
      <c r="C82" s="44">
        <v>7772967901849.6191</v>
      </c>
      <c r="D82" s="44">
        <f t="shared" si="0"/>
        <v>12.185408854847278</v>
      </c>
      <c r="E82" s="39">
        <v>23</v>
      </c>
      <c r="F82" s="39">
        <v>11</v>
      </c>
      <c r="G82" s="39">
        <v>1</v>
      </c>
      <c r="H82" s="44">
        <f t="shared" si="1"/>
        <v>65.714285714285708</v>
      </c>
      <c r="I82" s="44">
        <f t="shared" si="2"/>
        <v>31.428571428571427</v>
      </c>
      <c r="J82" s="44"/>
      <c r="K82" s="8"/>
    </row>
    <row r="83" spans="1:11" x14ac:dyDescent="0.25">
      <c r="A83" s="44" t="s">
        <v>2422</v>
      </c>
      <c r="B83" s="44">
        <v>448652269931.42004</v>
      </c>
      <c r="C83" s="44">
        <v>473762476345.12012</v>
      </c>
      <c r="D83" s="44">
        <f t="shared" si="0"/>
        <v>5.5968080619626335</v>
      </c>
      <c r="E83" s="39">
        <v>24</v>
      </c>
      <c r="F83" s="39">
        <v>10</v>
      </c>
      <c r="G83" s="39">
        <v>3</v>
      </c>
      <c r="H83" s="44">
        <f t="shared" si="1"/>
        <v>64.86486486486487</v>
      </c>
      <c r="I83" s="44">
        <f t="shared" si="2"/>
        <v>27.027027027027028</v>
      </c>
      <c r="J83" s="44"/>
      <c r="K83" s="8"/>
    </row>
    <row r="84" spans="1:11" x14ac:dyDescent="0.25">
      <c r="A84" s="44" t="s">
        <v>376</v>
      </c>
      <c r="B84" s="44">
        <v>4953734152216.9707</v>
      </c>
      <c r="C84" s="44">
        <v>5156425799421.3604</v>
      </c>
      <c r="D84" s="44">
        <f t="shared" si="0"/>
        <v>4.0916940832135289</v>
      </c>
      <c r="E84" s="39">
        <v>70</v>
      </c>
      <c r="F84" s="39">
        <v>36</v>
      </c>
      <c r="G84" s="39">
        <v>2</v>
      </c>
      <c r="H84" s="44">
        <f t="shared" si="1"/>
        <v>64.81481481481481</v>
      </c>
      <c r="I84" s="44">
        <f t="shared" si="2"/>
        <v>33.333333333333329</v>
      </c>
      <c r="J84" s="44"/>
      <c r="K84" s="8"/>
    </row>
    <row r="85" spans="1:11" x14ac:dyDescent="0.25">
      <c r="A85" s="44" t="s">
        <v>1064</v>
      </c>
      <c r="B85" s="44">
        <v>1178249221486.5701</v>
      </c>
      <c r="C85" s="44">
        <v>1227094282057.5701</v>
      </c>
      <c r="D85" s="44">
        <f t="shared" si="0"/>
        <v>4.14556272817845</v>
      </c>
      <c r="E85" s="39">
        <v>32</v>
      </c>
      <c r="F85" s="39">
        <v>18</v>
      </c>
      <c r="G85" s="39">
        <v>1</v>
      </c>
      <c r="H85" s="44">
        <f t="shared" si="1"/>
        <v>62.745098039215684</v>
      </c>
      <c r="I85" s="44">
        <f t="shared" si="2"/>
        <v>35.294117647058826</v>
      </c>
      <c r="J85" s="44"/>
      <c r="K85" s="8"/>
    </row>
    <row r="86" spans="1:11" x14ac:dyDescent="0.25">
      <c r="A86" s="44" t="s">
        <v>1935</v>
      </c>
      <c r="B86" s="44">
        <v>450756084964.65002</v>
      </c>
      <c r="C86" s="44">
        <v>467853213459.10004</v>
      </c>
      <c r="D86" s="44">
        <f t="shared" si="0"/>
        <v>3.7929889500639429</v>
      </c>
      <c r="E86" s="39">
        <v>5</v>
      </c>
      <c r="F86" s="39">
        <v>3</v>
      </c>
      <c r="G86" s="39">
        <v>0</v>
      </c>
      <c r="H86" s="44">
        <f t="shared" si="1"/>
        <v>62.5</v>
      </c>
      <c r="I86" s="44">
        <f t="shared" si="2"/>
        <v>37.5</v>
      </c>
      <c r="J86" s="44"/>
      <c r="K86" s="8"/>
    </row>
    <row r="87" spans="1:11" x14ac:dyDescent="0.25">
      <c r="A87" s="44" t="s">
        <v>1271</v>
      </c>
      <c r="B87" s="44">
        <v>988875962993.30005</v>
      </c>
      <c r="C87" s="44">
        <v>1002533069436.5898</v>
      </c>
      <c r="D87" s="44">
        <f t="shared" si="0"/>
        <v>1.3810737599435741</v>
      </c>
      <c r="E87" s="39">
        <v>10</v>
      </c>
      <c r="F87" s="39">
        <v>6</v>
      </c>
      <c r="G87" s="39">
        <v>0</v>
      </c>
      <c r="H87" s="44">
        <f t="shared" si="1"/>
        <v>62.5</v>
      </c>
      <c r="I87" s="44">
        <f t="shared" si="2"/>
        <v>37.5</v>
      </c>
      <c r="J87" s="44"/>
      <c r="K87" s="8"/>
    </row>
    <row r="88" spans="1:11" x14ac:dyDescent="0.25">
      <c r="A88" s="44" t="s">
        <v>4094</v>
      </c>
      <c r="B88" s="44">
        <v>40215132653.840012</v>
      </c>
      <c r="C88" s="44">
        <v>42437624290.790001</v>
      </c>
      <c r="D88" s="44">
        <f t="shared" si="0"/>
        <v>5.5265057959165302</v>
      </c>
      <c r="E88" s="39">
        <v>13</v>
      </c>
      <c r="F88" s="39">
        <v>5</v>
      </c>
      <c r="G88" s="39">
        <v>3</v>
      </c>
      <c r="H88" s="44">
        <f t="shared" si="1"/>
        <v>61.904761904761905</v>
      </c>
      <c r="I88" s="44">
        <f t="shared" si="2"/>
        <v>23.809523809523807</v>
      </c>
      <c r="J88" s="44"/>
      <c r="K88" s="8"/>
    </row>
    <row r="89" spans="1:11" x14ac:dyDescent="0.25">
      <c r="A89" s="44" t="s">
        <v>1478</v>
      </c>
      <c r="B89" s="44">
        <v>478890706319.69</v>
      </c>
      <c r="C89" s="44">
        <v>534192575185.49994</v>
      </c>
      <c r="D89" s="44">
        <f t="shared" si="0"/>
        <v>11.547910230041596</v>
      </c>
      <c r="E89" s="39">
        <v>28</v>
      </c>
      <c r="F89" s="39">
        <v>17</v>
      </c>
      <c r="G89" s="39">
        <v>1</v>
      </c>
      <c r="H89" s="44">
        <f t="shared" si="1"/>
        <v>60.869565217391312</v>
      </c>
      <c r="I89" s="44">
        <f t="shared" si="2"/>
        <v>36.95652173913043</v>
      </c>
      <c r="J89" s="44"/>
      <c r="K89" s="8"/>
    </row>
    <row r="90" spans="1:11" x14ac:dyDescent="0.25">
      <c r="A90" s="44" t="s">
        <v>2297</v>
      </c>
      <c r="B90" s="44">
        <v>1281617460799.6609</v>
      </c>
      <c r="C90" s="44">
        <v>1475062411025.8301</v>
      </c>
      <c r="D90" s="44">
        <f t="shared" si="0"/>
        <v>15.093813570975373</v>
      </c>
      <c r="E90" s="39">
        <v>68</v>
      </c>
      <c r="F90" s="39">
        <v>35</v>
      </c>
      <c r="G90" s="39">
        <v>10</v>
      </c>
      <c r="H90" s="44">
        <f t="shared" si="1"/>
        <v>60.176991150442483</v>
      </c>
      <c r="I90" s="44">
        <f t="shared" si="2"/>
        <v>30.973451327433626</v>
      </c>
      <c r="J90" s="70" t="s">
        <v>4438</v>
      </c>
      <c r="K90" s="67"/>
    </row>
    <row r="91" spans="1:11" x14ac:dyDescent="0.25">
      <c r="A91" s="44" t="s">
        <v>2501</v>
      </c>
      <c r="B91" s="44">
        <v>117047377425.67</v>
      </c>
      <c r="C91" s="44">
        <v>139538987466.45001</v>
      </c>
      <c r="D91" s="44">
        <f t="shared" si="0"/>
        <v>19.215817163492733</v>
      </c>
      <c r="E91" s="39">
        <v>3</v>
      </c>
      <c r="F91" s="39">
        <v>1</v>
      </c>
      <c r="G91" s="39">
        <v>1</v>
      </c>
      <c r="H91" s="44">
        <f t="shared" si="1"/>
        <v>60</v>
      </c>
      <c r="I91" s="44">
        <f t="shared" si="2"/>
        <v>20</v>
      </c>
      <c r="J91" s="44"/>
      <c r="K91" s="8"/>
    </row>
    <row r="92" spans="1:11" x14ac:dyDescent="0.25">
      <c r="A92" s="44" t="s">
        <v>893</v>
      </c>
      <c r="B92" s="44">
        <v>1373058467656.8899</v>
      </c>
      <c r="C92" s="44">
        <v>1481915884506.25</v>
      </c>
      <c r="D92" s="44">
        <f t="shared" si="0"/>
        <v>7.9280977040347134</v>
      </c>
      <c r="E92" s="39">
        <v>9</v>
      </c>
      <c r="F92" s="39">
        <v>6</v>
      </c>
      <c r="G92" s="39">
        <v>0</v>
      </c>
      <c r="H92" s="44">
        <f t="shared" si="1"/>
        <v>60</v>
      </c>
      <c r="I92" s="44">
        <f t="shared" si="2"/>
        <v>40</v>
      </c>
      <c r="J92" s="44"/>
      <c r="K92" s="8"/>
    </row>
    <row r="93" spans="1:11" x14ac:dyDescent="0.25">
      <c r="A93" s="44" t="s">
        <v>767</v>
      </c>
      <c r="B93" s="44">
        <v>606313019335.38</v>
      </c>
      <c r="C93" s="44">
        <v>625687714054.90002</v>
      </c>
      <c r="D93" s="44">
        <f t="shared" si="0"/>
        <v>3.1954937633959948</v>
      </c>
      <c r="E93" s="39">
        <v>3</v>
      </c>
      <c r="F93" s="39">
        <v>1</v>
      </c>
      <c r="G93" s="39">
        <v>1</v>
      </c>
      <c r="H93" s="44">
        <f t="shared" si="1"/>
        <v>60</v>
      </c>
      <c r="I93" s="44">
        <f t="shared" si="2"/>
        <v>20</v>
      </c>
      <c r="J93" s="44"/>
      <c r="K93" s="8"/>
    </row>
    <row r="94" spans="1:11" x14ac:dyDescent="0.25">
      <c r="A94" s="44" t="s">
        <v>2757</v>
      </c>
      <c r="B94" s="44">
        <v>575529725068.53003</v>
      </c>
      <c r="C94" s="44">
        <v>590625619250.83008</v>
      </c>
      <c r="D94" s="44">
        <f t="shared" si="0"/>
        <v>2.6229564737950826</v>
      </c>
      <c r="E94" s="39">
        <v>3</v>
      </c>
      <c r="F94" s="39">
        <v>2</v>
      </c>
      <c r="G94" s="39">
        <v>0</v>
      </c>
      <c r="H94" s="44">
        <f t="shared" si="1"/>
        <v>60</v>
      </c>
      <c r="I94" s="44">
        <f t="shared" si="2"/>
        <v>40</v>
      </c>
      <c r="J94" s="44"/>
      <c r="K94" s="8"/>
    </row>
    <row r="95" spans="1:11" x14ac:dyDescent="0.25">
      <c r="A95" s="44" t="s">
        <v>3793</v>
      </c>
      <c r="B95" s="44">
        <v>1063327279656.3199</v>
      </c>
      <c r="C95" s="44">
        <v>1045014429292.71</v>
      </c>
      <c r="D95" s="44">
        <f t="shared" si="0"/>
        <v>-1.7222214377429417</v>
      </c>
      <c r="E95" s="39">
        <v>3</v>
      </c>
      <c r="F95" s="39">
        <v>2</v>
      </c>
      <c r="G95" s="39">
        <v>0</v>
      </c>
      <c r="H95" s="44">
        <f t="shared" si="1"/>
        <v>60</v>
      </c>
      <c r="I95" s="44">
        <f t="shared" si="2"/>
        <v>40</v>
      </c>
      <c r="J95" s="44"/>
      <c r="K95" s="8"/>
    </row>
    <row r="96" spans="1:11" x14ac:dyDescent="0.25">
      <c r="A96" s="44" t="s">
        <v>183</v>
      </c>
      <c r="B96" s="44">
        <v>1046293763016.95</v>
      </c>
      <c r="C96" s="44">
        <v>1027014467543.5</v>
      </c>
      <c r="D96" s="44">
        <f t="shared" si="0"/>
        <v>-1.8426273915519487</v>
      </c>
      <c r="E96" s="39">
        <v>3</v>
      </c>
      <c r="F96" s="39">
        <v>2</v>
      </c>
      <c r="G96" s="39">
        <v>0</v>
      </c>
      <c r="H96" s="44">
        <f t="shared" si="1"/>
        <v>60</v>
      </c>
      <c r="I96" s="44">
        <f t="shared" si="2"/>
        <v>40</v>
      </c>
      <c r="J96" s="44"/>
      <c r="K96" s="8"/>
    </row>
    <row r="97" spans="1:12" x14ac:dyDescent="0.25">
      <c r="A97" s="44" t="s">
        <v>2261</v>
      </c>
      <c r="B97" s="44">
        <v>52669792008.740005</v>
      </c>
      <c r="C97" s="44">
        <v>55933022986.82</v>
      </c>
      <c r="D97" s="44">
        <f t="shared" si="0"/>
        <v>6.19564052491131</v>
      </c>
      <c r="E97" s="39">
        <v>8</v>
      </c>
      <c r="F97" s="39">
        <v>6</v>
      </c>
      <c r="G97" s="39">
        <v>0</v>
      </c>
      <c r="H97" s="44">
        <f t="shared" si="1"/>
        <v>57.142857142857139</v>
      </c>
      <c r="I97" s="44">
        <f t="shared" si="2"/>
        <v>42.857142857142854</v>
      </c>
      <c r="J97" s="44"/>
      <c r="K97" s="8"/>
    </row>
    <row r="98" spans="1:12" x14ac:dyDescent="0.25">
      <c r="A98" s="44" t="s">
        <v>2787</v>
      </c>
      <c r="B98" s="44">
        <v>598640095589.64001</v>
      </c>
      <c r="C98" s="44">
        <v>612902705255.69995</v>
      </c>
      <c r="D98" s="44">
        <f t="shared" si="0"/>
        <v>2.3825015683274198</v>
      </c>
      <c r="E98" s="39">
        <v>4</v>
      </c>
      <c r="F98" s="39">
        <v>3</v>
      </c>
      <c r="G98" s="39">
        <v>0</v>
      </c>
      <c r="H98" s="44">
        <f t="shared" si="1"/>
        <v>57.142857142857139</v>
      </c>
      <c r="I98" s="44">
        <f t="shared" si="2"/>
        <v>42.857142857142854</v>
      </c>
      <c r="J98" s="44"/>
      <c r="K98" s="8"/>
    </row>
    <row r="99" spans="1:12" x14ac:dyDescent="0.25">
      <c r="A99" s="44" t="s">
        <v>1968</v>
      </c>
      <c r="B99" s="44">
        <v>28224365876858.422</v>
      </c>
      <c r="C99" s="44">
        <v>28790275768711.477</v>
      </c>
      <c r="D99" s="44">
        <f t="shared" si="0"/>
        <v>2.0050402348172955</v>
      </c>
      <c r="E99" s="39">
        <v>41</v>
      </c>
      <c r="F99" s="39">
        <v>28</v>
      </c>
      <c r="G99" s="39">
        <v>3</v>
      </c>
      <c r="H99" s="44">
        <f t="shared" si="1"/>
        <v>56.944444444444443</v>
      </c>
      <c r="I99" s="44">
        <f t="shared" si="2"/>
        <v>38.888888888888893</v>
      </c>
      <c r="J99" s="44"/>
      <c r="K99" s="8"/>
    </row>
    <row r="100" spans="1:12" x14ac:dyDescent="0.25">
      <c r="A100" s="44" t="s">
        <v>110</v>
      </c>
      <c r="B100" s="44">
        <v>447612755980</v>
      </c>
      <c r="C100" s="44">
        <v>490081618853.33002</v>
      </c>
      <c r="D100" s="44">
        <f t="shared" si="0"/>
        <v>9.4878580438015021</v>
      </c>
      <c r="E100" s="39">
        <v>13</v>
      </c>
      <c r="F100" s="39">
        <v>9</v>
      </c>
      <c r="G100" s="39">
        <v>1</v>
      </c>
      <c r="H100" s="44">
        <f t="shared" si="1"/>
        <v>56.521739130434781</v>
      </c>
      <c r="I100" s="44">
        <f t="shared" si="2"/>
        <v>39.130434782608695</v>
      </c>
      <c r="J100" s="44"/>
      <c r="K100" s="8"/>
    </row>
    <row r="101" spans="1:12" x14ac:dyDescent="0.25">
      <c r="A101" s="44" t="s">
        <v>1606</v>
      </c>
      <c r="B101" s="44">
        <v>190477807310.60001</v>
      </c>
      <c r="C101" s="44">
        <v>200731078720.44003</v>
      </c>
      <c r="D101" s="44">
        <f t="shared" si="0"/>
        <v>5.3829217978767847</v>
      </c>
      <c r="E101" s="39">
        <v>5</v>
      </c>
      <c r="F101" s="39">
        <v>2</v>
      </c>
      <c r="G101" s="39">
        <v>2</v>
      </c>
      <c r="H101" s="44">
        <f t="shared" si="1"/>
        <v>55.555555555555557</v>
      </c>
      <c r="I101" s="44">
        <f t="shared" si="2"/>
        <v>22.222222222222221</v>
      </c>
      <c r="J101" s="44"/>
      <c r="K101" s="8"/>
    </row>
    <row r="102" spans="1:12" x14ac:dyDescent="0.25">
      <c r="A102" s="44" t="s">
        <v>1760</v>
      </c>
      <c r="B102" s="44">
        <v>220160191610.04001</v>
      </c>
      <c r="C102" s="44">
        <v>223848540176.21002</v>
      </c>
      <c r="D102" s="44">
        <f t="shared" si="0"/>
        <v>1.6753022148086705</v>
      </c>
      <c r="E102" s="39">
        <v>5</v>
      </c>
      <c r="F102" s="39">
        <v>3</v>
      </c>
      <c r="G102" s="39">
        <v>1</v>
      </c>
      <c r="H102" s="44">
        <f t="shared" si="1"/>
        <v>55.555555555555557</v>
      </c>
      <c r="I102" s="44">
        <f t="shared" si="2"/>
        <v>33.333333333333329</v>
      </c>
      <c r="J102" s="44"/>
      <c r="K102" s="8"/>
    </row>
    <row r="103" spans="1:12" x14ac:dyDescent="0.25">
      <c r="A103" s="44" t="s">
        <v>3744</v>
      </c>
      <c r="B103" s="44">
        <v>1309317267036.23</v>
      </c>
      <c r="C103" s="44">
        <v>1386776009610.7</v>
      </c>
      <c r="D103" s="44">
        <f t="shared" si="0"/>
        <v>5.9159643368795969</v>
      </c>
      <c r="E103" s="39">
        <v>30</v>
      </c>
      <c r="F103" s="39">
        <v>24</v>
      </c>
      <c r="G103" s="39">
        <v>1</v>
      </c>
      <c r="H103" s="44">
        <f t="shared" si="1"/>
        <v>54.54545454545454</v>
      </c>
      <c r="I103" s="44">
        <f t="shared" si="2"/>
        <v>43.636363636363633</v>
      </c>
      <c r="J103" s="44"/>
      <c r="K103" s="8"/>
      <c r="L103" s="8"/>
    </row>
    <row r="104" spans="1:12" x14ac:dyDescent="0.25">
      <c r="A104" s="44" t="s">
        <v>2286</v>
      </c>
      <c r="B104" s="44">
        <v>586677376724.02002</v>
      </c>
      <c r="C104" s="44">
        <v>598430786479.83008</v>
      </c>
      <c r="D104" s="44">
        <f t="shared" si="0"/>
        <v>2.0033855441027177</v>
      </c>
      <c r="E104" s="39">
        <v>18</v>
      </c>
      <c r="F104" s="39">
        <v>14</v>
      </c>
      <c r="G104" s="39">
        <v>1</v>
      </c>
      <c r="H104" s="44">
        <f t="shared" si="1"/>
        <v>54.54545454545454</v>
      </c>
      <c r="I104" s="44">
        <f t="shared" si="2"/>
        <v>42.424242424242422</v>
      </c>
      <c r="J104" s="44"/>
      <c r="K104" s="8"/>
    </row>
    <row r="105" spans="1:12" x14ac:dyDescent="0.25">
      <c r="A105" s="44" t="s">
        <v>2575</v>
      </c>
      <c r="B105" s="44">
        <v>946319226425.20996</v>
      </c>
      <c r="C105" s="44">
        <v>939968994299.81006</v>
      </c>
      <c r="D105" s="44">
        <f t="shared" si="0"/>
        <v>-0.67104545147924011</v>
      </c>
      <c r="E105" s="39">
        <v>13</v>
      </c>
      <c r="F105" s="39">
        <v>10</v>
      </c>
      <c r="G105" s="39">
        <v>1</v>
      </c>
      <c r="H105" s="44">
        <f t="shared" si="1"/>
        <v>54.166666666666664</v>
      </c>
      <c r="I105" s="44">
        <f t="shared" si="2"/>
        <v>41.666666666666671</v>
      </c>
      <c r="J105" s="44"/>
      <c r="K105" s="8"/>
    </row>
    <row r="106" spans="1:12" x14ac:dyDescent="0.25">
      <c r="A106" s="44" t="s">
        <v>935</v>
      </c>
      <c r="B106" s="44">
        <v>3457249426639.999</v>
      </c>
      <c r="C106" s="44">
        <v>3616720407945.2505</v>
      </c>
      <c r="D106" s="44">
        <f t="shared" si="0"/>
        <v>4.6126547907258377</v>
      </c>
      <c r="E106" s="39">
        <v>7</v>
      </c>
      <c r="F106" s="39">
        <v>6</v>
      </c>
      <c r="G106" s="39">
        <v>0</v>
      </c>
      <c r="H106" s="44">
        <f t="shared" si="1"/>
        <v>53.846153846153847</v>
      </c>
      <c r="I106" s="44">
        <f t="shared" si="2"/>
        <v>46.153846153846153</v>
      </c>
      <c r="J106" s="44"/>
      <c r="K106" s="8"/>
    </row>
    <row r="107" spans="1:12" x14ac:dyDescent="0.25">
      <c r="A107" s="44" t="s">
        <v>1685</v>
      </c>
      <c r="B107" s="44">
        <v>292885694715.96002</v>
      </c>
      <c r="C107" s="44">
        <v>305794757220.17993</v>
      </c>
      <c r="D107" s="44">
        <f t="shared" si="0"/>
        <v>4.4075428527634619</v>
      </c>
      <c r="E107" s="39">
        <v>29</v>
      </c>
      <c r="F107" s="39">
        <v>21</v>
      </c>
      <c r="G107" s="39">
        <v>4</v>
      </c>
      <c r="H107" s="44">
        <f t="shared" si="1"/>
        <v>53.703703703703709</v>
      </c>
      <c r="I107" s="44">
        <f t="shared" si="2"/>
        <v>38.888888888888893</v>
      </c>
      <c r="J107" s="44"/>
      <c r="K107" s="8"/>
    </row>
    <row r="108" spans="1:12" x14ac:dyDescent="0.25">
      <c r="A108" s="44" t="s">
        <v>3831</v>
      </c>
      <c r="B108" s="44">
        <v>3015289114.0500002</v>
      </c>
      <c r="C108" s="44">
        <v>3114653360.5500002</v>
      </c>
      <c r="D108" s="44">
        <f t="shared" si="0"/>
        <v>3.2953472367543037</v>
      </c>
      <c r="E108" s="39">
        <v>9</v>
      </c>
      <c r="F108" s="39">
        <v>7</v>
      </c>
      <c r="G108" s="39">
        <v>1</v>
      </c>
      <c r="H108" s="44">
        <f t="shared" si="1"/>
        <v>52.941176470588239</v>
      </c>
      <c r="I108" s="44">
        <f t="shared" si="2"/>
        <v>41.17647058823529</v>
      </c>
      <c r="J108" s="44"/>
      <c r="K108" s="8"/>
    </row>
    <row r="109" spans="1:12" x14ac:dyDescent="0.25">
      <c r="A109" s="44" t="s">
        <v>206</v>
      </c>
      <c r="B109" s="44">
        <v>1064400258943.8501</v>
      </c>
      <c r="C109" s="44">
        <v>1096462639212.62</v>
      </c>
      <c r="D109" s="44">
        <f t="shared" si="0"/>
        <v>3.0122484468938175</v>
      </c>
      <c r="E109" s="39">
        <v>18</v>
      </c>
      <c r="F109" s="39">
        <v>16</v>
      </c>
      <c r="G109" s="39">
        <v>0</v>
      </c>
      <c r="H109" s="44">
        <f t="shared" si="1"/>
        <v>52.941176470588239</v>
      </c>
      <c r="I109" s="44">
        <f t="shared" si="2"/>
        <v>47.058823529411761</v>
      </c>
      <c r="J109" s="70" t="s">
        <v>4439</v>
      </c>
      <c r="K109" s="67"/>
    </row>
    <row r="110" spans="1:12" x14ac:dyDescent="0.25">
      <c r="A110" s="44" t="s">
        <v>2755</v>
      </c>
      <c r="B110" s="44">
        <v>3862041089266.23</v>
      </c>
      <c r="C110" s="44">
        <v>3853966763141.3003</v>
      </c>
      <c r="D110" s="44">
        <f t="shared" si="0"/>
        <v>-0.20906888192802142</v>
      </c>
      <c r="E110" s="39">
        <v>22</v>
      </c>
      <c r="F110" s="39">
        <v>19</v>
      </c>
      <c r="G110" s="39">
        <v>1</v>
      </c>
      <c r="H110" s="44">
        <f t="shared" si="1"/>
        <v>52.380952380952387</v>
      </c>
      <c r="I110" s="44">
        <f t="shared" si="2"/>
        <v>45.238095238095241</v>
      </c>
      <c r="J110" s="70" t="s">
        <v>4440</v>
      </c>
      <c r="K110" s="67"/>
    </row>
    <row r="111" spans="1:12" x14ac:dyDescent="0.25">
      <c r="A111" s="44" t="s">
        <v>1333</v>
      </c>
      <c r="B111" s="44">
        <v>83044739439.800003</v>
      </c>
      <c r="C111" s="44">
        <v>114534869921.66</v>
      </c>
      <c r="D111" s="44">
        <f t="shared" si="0"/>
        <v>37.919476530704905</v>
      </c>
      <c r="E111" s="39">
        <v>2</v>
      </c>
      <c r="F111" s="39">
        <v>2</v>
      </c>
      <c r="G111" s="39">
        <v>0</v>
      </c>
      <c r="H111" s="44">
        <f t="shared" si="1"/>
        <v>50</v>
      </c>
      <c r="I111" s="44">
        <f t="shared" si="2"/>
        <v>50</v>
      </c>
      <c r="J111" s="44"/>
      <c r="K111" s="8"/>
    </row>
    <row r="112" spans="1:12" x14ac:dyDescent="0.25">
      <c r="A112" s="44" t="s">
        <v>4168</v>
      </c>
      <c r="B112" s="44">
        <v>77395573923.200012</v>
      </c>
      <c r="C112" s="44">
        <v>97068146604.399994</v>
      </c>
      <c r="D112" s="44">
        <f t="shared" si="0"/>
        <v>25.418214096740428</v>
      </c>
      <c r="E112" s="39">
        <v>2</v>
      </c>
      <c r="F112" s="39">
        <v>2</v>
      </c>
      <c r="G112" s="39">
        <v>0</v>
      </c>
      <c r="H112" s="44">
        <f t="shared" si="1"/>
        <v>50</v>
      </c>
      <c r="I112" s="44">
        <f t="shared" si="2"/>
        <v>50</v>
      </c>
      <c r="J112" s="44"/>
      <c r="K112" s="8"/>
    </row>
    <row r="113" spans="1:11" x14ac:dyDescent="0.25">
      <c r="A113" s="44" t="s">
        <v>1695</v>
      </c>
      <c r="B113" s="44">
        <v>156389086299.35004</v>
      </c>
      <c r="C113" s="44">
        <v>167659462972.54004</v>
      </c>
      <c r="D113" s="44">
        <f t="shared" si="0"/>
        <v>7.206626075950699</v>
      </c>
      <c r="E113" s="39">
        <v>9</v>
      </c>
      <c r="F113" s="39">
        <v>9</v>
      </c>
      <c r="G113" s="39">
        <v>0</v>
      </c>
      <c r="H113" s="44">
        <f t="shared" si="1"/>
        <v>50</v>
      </c>
      <c r="I113" s="44">
        <f t="shared" si="2"/>
        <v>50</v>
      </c>
      <c r="J113" s="44"/>
      <c r="K113" s="8"/>
    </row>
    <row r="114" spans="1:11" x14ac:dyDescent="0.25">
      <c r="A114" s="44" t="s">
        <v>1351</v>
      </c>
      <c r="B114" s="44">
        <v>39613461651</v>
      </c>
      <c r="C114" s="44">
        <v>42047496558</v>
      </c>
      <c r="D114" s="44">
        <f t="shared" si="0"/>
        <v>6.1444640421586465</v>
      </c>
      <c r="E114" s="39">
        <v>3</v>
      </c>
      <c r="F114" s="39">
        <v>3</v>
      </c>
      <c r="G114" s="39">
        <v>0</v>
      </c>
      <c r="H114" s="44">
        <f t="shared" si="1"/>
        <v>50</v>
      </c>
      <c r="I114" s="44">
        <f t="shared" si="2"/>
        <v>50</v>
      </c>
      <c r="J114" s="44"/>
      <c r="K114" s="8"/>
    </row>
    <row r="115" spans="1:11" x14ac:dyDescent="0.25">
      <c r="A115" s="44" t="s">
        <v>4235</v>
      </c>
      <c r="B115" s="44">
        <v>586328650</v>
      </c>
      <c r="C115" s="44">
        <v>611495780</v>
      </c>
      <c r="D115" s="44">
        <f t="shared" si="0"/>
        <v>4.2923247908830655</v>
      </c>
      <c r="E115" s="44">
        <v>1</v>
      </c>
      <c r="F115" s="44">
        <v>1</v>
      </c>
      <c r="G115" s="44">
        <v>0</v>
      </c>
      <c r="H115" s="44">
        <f t="shared" si="1"/>
        <v>50</v>
      </c>
      <c r="I115" s="44">
        <f t="shared" si="2"/>
        <v>50</v>
      </c>
      <c r="J115" s="44"/>
      <c r="K115" s="8"/>
    </row>
    <row r="116" spans="1:11" x14ac:dyDescent="0.25">
      <c r="A116" s="44" t="s">
        <v>3611</v>
      </c>
      <c r="B116" s="44">
        <v>178234860750.85001</v>
      </c>
      <c r="C116" s="44">
        <v>185621699341.99002</v>
      </c>
      <c r="D116" s="44">
        <f t="shared" si="0"/>
        <v>4.1444409696405513</v>
      </c>
      <c r="E116" s="39">
        <v>6</v>
      </c>
      <c r="F116" s="39">
        <v>6</v>
      </c>
      <c r="G116" s="39">
        <v>0</v>
      </c>
      <c r="H116" s="44">
        <f t="shared" si="1"/>
        <v>50</v>
      </c>
      <c r="I116" s="44">
        <f t="shared" si="2"/>
        <v>50</v>
      </c>
      <c r="J116" s="44"/>
      <c r="K116" s="8"/>
    </row>
    <row r="117" spans="1:11" x14ac:dyDescent="0.25">
      <c r="A117" s="44" t="s">
        <v>4082</v>
      </c>
      <c r="B117" s="44">
        <v>1304818149764.75</v>
      </c>
      <c r="C117" s="44">
        <v>1358450780688.25</v>
      </c>
      <c r="D117" s="44">
        <f t="shared" si="0"/>
        <v>4.1103529203030789</v>
      </c>
      <c r="E117" s="39">
        <v>1</v>
      </c>
      <c r="F117" s="39">
        <v>0</v>
      </c>
      <c r="G117" s="39">
        <v>1</v>
      </c>
      <c r="H117" s="44">
        <f t="shared" si="1"/>
        <v>50</v>
      </c>
      <c r="I117" s="44">
        <f t="shared" si="2"/>
        <v>0</v>
      </c>
      <c r="J117" s="44"/>
      <c r="K117" s="8"/>
    </row>
    <row r="118" spans="1:11" x14ac:dyDescent="0.25">
      <c r="A118" s="44" t="s">
        <v>262</v>
      </c>
      <c r="B118" s="44">
        <v>13238897129.67</v>
      </c>
      <c r="C118" s="44">
        <v>13668047571.809999</v>
      </c>
      <c r="D118" s="44">
        <f t="shared" si="0"/>
        <v>3.2415875577597801</v>
      </c>
      <c r="E118" s="39">
        <v>4</v>
      </c>
      <c r="F118" s="39">
        <v>4</v>
      </c>
      <c r="G118" s="39">
        <v>0</v>
      </c>
      <c r="H118" s="44">
        <f t="shared" si="1"/>
        <v>50</v>
      </c>
      <c r="I118" s="44">
        <f t="shared" si="2"/>
        <v>50</v>
      </c>
      <c r="J118" s="44"/>
      <c r="K118" s="8"/>
    </row>
    <row r="119" spans="1:11" x14ac:dyDescent="0.25">
      <c r="A119" s="44" t="s">
        <v>876</v>
      </c>
      <c r="B119" s="44">
        <v>773322516.32999992</v>
      </c>
      <c r="C119" s="44">
        <v>792199890.57999992</v>
      </c>
      <c r="D119" s="44">
        <f t="shared" si="0"/>
        <v>2.4410739182388501</v>
      </c>
      <c r="E119" s="39">
        <v>2</v>
      </c>
      <c r="F119" s="39">
        <v>2</v>
      </c>
      <c r="G119" s="39">
        <v>0</v>
      </c>
      <c r="H119" s="44">
        <f t="shared" si="1"/>
        <v>50</v>
      </c>
      <c r="I119" s="44">
        <f t="shared" si="2"/>
        <v>50</v>
      </c>
      <c r="J119" s="44"/>
      <c r="K119" s="8"/>
    </row>
    <row r="120" spans="1:11" x14ac:dyDescent="0.25">
      <c r="A120" s="44" t="s">
        <v>3874</v>
      </c>
      <c r="B120" s="44">
        <v>190571493883.34998</v>
      </c>
      <c r="C120" s="44">
        <v>194929326566.20001</v>
      </c>
      <c r="D120" s="44">
        <f t="shared" si="0"/>
        <v>2.2867180154013451</v>
      </c>
      <c r="E120" s="39">
        <v>1</v>
      </c>
      <c r="F120" s="39">
        <v>1</v>
      </c>
      <c r="G120" s="39">
        <v>0</v>
      </c>
      <c r="H120" s="44">
        <f t="shared" si="1"/>
        <v>50</v>
      </c>
      <c r="I120" s="44">
        <f t="shared" si="2"/>
        <v>50</v>
      </c>
      <c r="J120" s="44"/>
      <c r="K120" s="8"/>
    </row>
    <row r="121" spans="1:11" x14ac:dyDescent="0.25">
      <c r="A121" s="44" t="s">
        <v>4068</v>
      </c>
      <c r="B121" s="44">
        <v>45456516768.800003</v>
      </c>
      <c r="C121" s="44">
        <v>46365269724</v>
      </c>
      <c r="D121" s="44">
        <f t="shared" si="0"/>
        <v>1.9991697996176818</v>
      </c>
      <c r="E121" s="39">
        <v>1</v>
      </c>
      <c r="F121" s="39">
        <v>1</v>
      </c>
      <c r="G121" s="39">
        <v>0</v>
      </c>
      <c r="H121" s="44">
        <f t="shared" si="1"/>
        <v>50</v>
      </c>
      <c r="I121" s="44">
        <f t="shared" si="2"/>
        <v>50</v>
      </c>
      <c r="J121" s="44"/>
      <c r="K121" s="8"/>
    </row>
    <row r="122" spans="1:11" x14ac:dyDescent="0.25">
      <c r="A122" s="44" t="s">
        <v>3190</v>
      </c>
      <c r="B122" s="44">
        <v>96167327360.660004</v>
      </c>
      <c r="C122" s="44">
        <v>98005154770.12001</v>
      </c>
      <c r="D122" s="44">
        <f t="shared" si="0"/>
        <v>1.9110725647677951</v>
      </c>
      <c r="E122" s="39">
        <v>5</v>
      </c>
      <c r="F122" s="39">
        <v>5</v>
      </c>
      <c r="G122" s="39">
        <v>0</v>
      </c>
      <c r="H122" s="44">
        <f t="shared" si="1"/>
        <v>50</v>
      </c>
      <c r="I122" s="44">
        <f t="shared" si="2"/>
        <v>50</v>
      </c>
      <c r="J122" s="44"/>
      <c r="K122" s="8"/>
    </row>
    <row r="123" spans="1:11" x14ac:dyDescent="0.25">
      <c r="A123" s="44" t="s">
        <v>959</v>
      </c>
      <c r="B123" s="44">
        <v>215462679112.75</v>
      </c>
      <c r="C123" s="44">
        <v>218798146086.28</v>
      </c>
      <c r="D123" s="44">
        <f t="shared" si="0"/>
        <v>1.5480485935035524</v>
      </c>
      <c r="E123" s="39">
        <v>5</v>
      </c>
      <c r="F123" s="39">
        <v>4</v>
      </c>
      <c r="G123" s="39">
        <v>1</v>
      </c>
      <c r="H123" s="44">
        <f t="shared" si="1"/>
        <v>50</v>
      </c>
      <c r="I123" s="44">
        <f t="shared" si="2"/>
        <v>40</v>
      </c>
      <c r="J123" s="44"/>
      <c r="K123" s="8"/>
    </row>
    <row r="124" spans="1:11" x14ac:dyDescent="0.25">
      <c r="A124" s="44" t="s">
        <v>3262</v>
      </c>
      <c r="B124" s="44">
        <v>1508885954941.3999</v>
      </c>
      <c r="C124" s="44">
        <v>1520886385613.6499</v>
      </c>
      <c r="D124" s="44">
        <f t="shared" si="0"/>
        <v>0.79531727583189382</v>
      </c>
      <c r="E124" s="39">
        <v>3</v>
      </c>
      <c r="F124" s="39">
        <v>2</v>
      </c>
      <c r="G124" s="39">
        <v>1</v>
      </c>
      <c r="H124" s="44">
        <f t="shared" si="1"/>
        <v>50</v>
      </c>
      <c r="I124" s="44">
        <f t="shared" si="2"/>
        <v>33.333333333333329</v>
      </c>
      <c r="J124" s="44"/>
      <c r="K124" s="8"/>
    </row>
    <row r="125" spans="1:11" x14ac:dyDescent="0.25">
      <c r="A125" s="44" t="s">
        <v>2594</v>
      </c>
      <c r="B125" s="44">
        <v>3683392045.25</v>
      </c>
      <c r="C125" s="44">
        <v>3708240791.0500002</v>
      </c>
      <c r="D125" s="44">
        <f t="shared" si="0"/>
        <v>0.67461582950542665</v>
      </c>
      <c r="E125" s="39">
        <v>4</v>
      </c>
      <c r="F125" s="39">
        <v>3</v>
      </c>
      <c r="G125" s="39">
        <v>1</v>
      </c>
      <c r="H125" s="44">
        <f t="shared" si="1"/>
        <v>50</v>
      </c>
      <c r="I125" s="44">
        <f t="shared" si="2"/>
        <v>37.5</v>
      </c>
      <c r="J125" s="44"/>
      <c r="K125" s="8"/>
    </row>
    <row r="126" spans="1:11" x14ac:dyDescent="0.25">
      <c r="A126" s="44" t="s">
        <v>3707</v>
      </c>
      <c r="B126" s="44">
        <v>199887214450.05002</v>
      </c>
      <c r="C126" s="44">
        <v>200211509946.30002</v>
      </c>
      <c r="D126" s="44">
        <f t="shared" si="0"/>
        <v>0.16223923933415885</v>
      </c>
      <c r="E126" s="39">
        <v>5</v>
      </c>
      <c r="F126" s="39">
        <v>5</v>
      </c>
      <c r="G126" s="39">
        <v>0</v>
      </c>
      <c r="H126" s="44">
        <f t="shared" si="1"/>
        <v>50</v>
      </c>
      <c r="I126" s="44">
        <f t="shared" si="2"/>
        <v>50</v>
      </c>
      <c r="J126" s="44"/>
      <c r="K126" s="8"/>
    </row>
    <row r="127" spans="1:11" x14ac:dyDescent="0.25">
      <c r="A127" s="44" t="s">
        <v>2778</v>
      </c>
      <c r="B127" s="44">
        <v>3458051692.7600002</v>
      </c>
      <c r="C127" s="44">
        <v>3452745975.2299995</v>
      </c>
      <c r="D127" s="44">
        <f t="shared" si="0"/>
        <v>-0.15343083335362159</v>
      </c>
      <c r="E127" s="39">
        <v>1</v>
      </c>
      <c r="F127" s="39">
        <v>1</v>
      </c>
      <c r="G127" s="39">
        <v>0</v>
      </c>
      <c r="H127" s="44">
        <f t="shared" si="1"/>
        <v>50</v>
      </c>
      <c r="I127" s="44">
        <f t="shared" si="2"/>
        <v>50</v>
      </c>
      <c r="J127" s="44"/>
      <c r="K127" s="8"/>
    </row>
    <row r="128" spans="1:11" x14ac:dyDescent="0.25">
      <c r="A128" s="44" t="s">
        <v>833</v>
      </c>
      <c r="B128" s="44">
        <v>318834647571.97998</v>
      </c>
      <c r="C128" s="44">
        <v>317837871054.43994</v>
      </c>
      <c r="D128" s="44">
        <f t="shared" si="0"/>
        <v>-0.31263117892951309</v>
      </c>
      <c r="E128" s="39">
        <v>2</v>
      </c>
      <c r="F128" s="39">
        <v>2</v>
      </c>
      <c r="G128" s="39">
        <v>0</v>
      </c>
      <c r="H128" s="44">
        <f t="shared" si="1"/>
        <v>50</v>
      </c>
      <c r="I128" s="44">
        <f t="shared" si="2"/>
        <v>50</v>
      </c>
      <c r="J128" s="44"/>
      <c r="K128" s="8"/>
    </row>
    <row r="129" spans="1:11" x14ac:dyDescent="0.25">
      <c r="A129" s="44" t="s">
        <v>2867</v>
      </c>
      <c r="B129" s="44">
        <v>5065820305.25</v>
      </c>
      <c r="C129" s="44">
        <v>5017498843.9000006</v>
      </c>
      <c r="D129" s="44">
        <f t="shared" si="0"/>
        <v>-0.95387239259002388</v>
      </c>
      <c r="E129" s="39">
        <v>3</v>
      </c>
      <c r="F129" s="39">
        <v>2</v>
      </c>
      <c r="G129" s="39">
        <v>1</v>
      </c>
      <c r="H129" s="44">
        <f t="shared" si="1"/>
        <v>50</v>
      </c>
      <c r="I129" s="44">
        <f t="shared" si="2"/>
        <v>33.333333333333329</v>
      </c>
      <c r="J129" s="44"/>
      <c r="K129" s="8"/>
    </row>
    <row r="130" spans="1:11" x14ac:dyDescent="0.25">
      <c r="A130" s="44" t="s">
        <v>3312</v>
      </c>
      <c r="B130" s="44">
        <v>197309589345.79001</v>
      </c>
      <c r="C130" s="44">
        <v>195212853047.38</v>
      </c>
      <c r="D130" s="44">
        <f t="shared" si="0"/>
        <v>-1.0626631505149102</v>
      </c>
      <c r="E130" s="39">
        <v>6</v>
      </c>
      <c r="F130" s="39">
        <v>6</v>
      </c>
      <c r="G130" s="39">
        <v>0</v>
      </c>
      <c r="H130" s="44">
        <f t="shared" si="1"/>
        <v>50</v>
      </c>
      <c r="I130" s="44">
        <f t="shared" si="2"/>
        <v>50</v>
      </c>
      <c r="J130" s="44"/>
      <c r="K130" s="8"/>
    </row>
    <row r="131" spans="1:11" x14ac:dyDescent="0.25">
      <c r="A131" s="44" t="s">
        <v>3672</v>
      </c>
      <c r="B131" s="44">
        <v>8386694212.3999996</v>
      </c>
      <c r="C131" s="44">
        <v>8127429937.2999992</v>
      </c>
      <c r="D131" s="44">
        <f t="shared" si="0"/>
        <v>-3.0913762745357967</v>
      </c>
      <c r="E131" s="39">
        <v>2</v>
      </c>
      <c r="F131" s="39">
        <v>2</v>
      </c>
      <c r="G131" s="39">
        <v>0</v>
      </c>
      <c r="H131" s="44">
        <f t="shared" si="1"/>
        <v>50</v>
      </c>
      <c r="I131" s="44">
        <f t="shared" si="2"/>
        <v>50</v>
      </c>
      <c r="J131" s="44"/>
      <c r="K131" s="8"/>
    </row>
    <row r="132" spans="1:11" x14ac:dyDescent="0.25">
      <c r="A132" s="44" t="s">
        <v>3369</v>
      </c>
      <c r="B132" s="44">
        <v>58373523507.669998</v>
      </c>
      <c r="C132" s="44">
        <v>54706073296.629997</v>
      </c>
      <c r="D132" s="44">
        <f t="shared" si="0"/>
        <v>-6.2827288651816877</v>
      </c>
      <c r="E132" s="39">
        <v>10</v>
      </c>
      <c r="F132" s="39">
        <v>9</v>
      </c>
      <c r="G132" s="39">
        <v>1</v>
      </c>
      <c r="H132" s="44">
        <f t="shared" si="1"/>
        <v>50</v>
      </c>
      <c r="I132" s="44">
        <f t="shared" si="2"/>
        <v>45</v>
      </c>
      <c r="J132" s="44"/>
      <c r="K132" s="8"/>
    </row>
    <row r="133" spans="1:11" x14ac:dyDescent="0.25">
      <c r="A133" s="44" t="s">
        <v>3519</v>
      </c>
      <c r="B133" s="44">
        <v>9247809257.1199989</v>
      </c>
      <c r="C133" s="44">
        <v>8390668557.9799995</v>
      </c>
      <c r="D133" s="44">
        <f t="shared" si="0"/>
        <v>-9.2685810802172046</v>
      </c>
      <c r="E133" s="39">
        <v>2</v>
      </c>
      <c r="F133" s="39">
        <v>2</v>
      </c>
      <c r="G133" s="39">
        <v>0</v>
      </c>
      <c r="H133" s="44">
        <f t="shared" si="1"/>
        <v>50</v>
      </c>
      <c r="I133" s="44">
        <f t="shared" si="2"/>
        <v>50</v>
      </c>
      <c r="J133" s="44"/>
      <c r="K133" s="8"/>
    </row>
    <row r="134" spans="1:11" x14ac:dyDescent="0.25">
      <c r="A134" s="44" t="s">
        <v>858</v>
      </c>
      <c r="B134" s="44">
        <v>4145199096438.6694</v>
      </c>
      <c r="C134" s="44">
        <v>4456955949940.6787</v>
      </c>
      <c r="D134" s="44">
        <f t="shared" si="0"/>
        <v>7.5209138632171824</v>
      </c>
      <c r="E134" s="39">
        <v>79</v>
      </c>
      <c r="F134" s="39">
        <v>64</v>
      </c>
      <c r="G134" s="39">
        <v>16</v>
      </c>
      <c r="H134" s="44">
        <f t="shared" si="1"/>
        <v>49.685534591194966</v>
      </c>
      <c r="I134" s="44">
        <f t="shared" si="2"/>
        <v>40.25157232704403</v>
      </c>
      <c r="J134" s="44"/>
      <c r="K134" s="8"/>
    </row>
    <row r="135" spans="1:11" x14ac:dyDescent="0.25">
      <c r="A135" s="44" t="s">
        <v>3110</v>
      </c>
      <c r="B135" s="44">
        <v>1241897205471.4302</v>
      </c>
      <c r="C135" s="44">
        <v>1276525844719.2002</v>
      </c>
      <c r="D135" s="44">
        <f t="shared" si="0"/>
        <v>2.788365985140036</v>
      </c>
      <c r="E135" s="39">
        <v>19</v>
      </c>
      <c r="F135" s="39">
        <v>17</v>
      </c>
      <c r="G135" s="39">
        <v>3</v>
      </c>
      <c r="H135" s="44">
        <f t="shared" si="1"/>
        <v>48.717948717948715</v>
      </c>
      <c r="I135" s="44">
        <f t="shared" si="2"/>
        <v>43.589743589743591</v>
      </c>
      <c r="J135" s="44"/>
      <c r="K135" s="8"/>
    </row>
    <row r="136" spans="1:11" x14ac:dyDescent="0.25">
      <c r="A136" s="44" t="s">
        <v>2929</v>
      </c>
      <c r="B136" s="44">
        <v>400040714102.42004</v>
      </c>
      <c r="C136" s="44">
        <v>405969323909.37012</v>
      </c>
      <c r="D136" s="44">
        <f t="shared" si="0"/>
        <v>1.4820016058246028</v>
      </c>
      <c r="E136" s="39">
        <v>30</v>
      </c>
      <c r="F136" s="39">
        <v>32</v>
      </c>
      <c r="G136" s="39">
        <v>0</v>
      </c>
      <c r="H136" s="44">
        <f t="shared" si="1"/>
        <v>48.387096774193552</v>
      </c>
      <c r="I136" s="44">
        <f t="shared" si="2"/>
        <v>51.612903225806448</v>
      </c>
      <c r="J136" s="44"/>
      <c r="K136" s="8"/>
    </row>
    <row r="137" spans="1:11" x14ac:dyDescent="0.25">
      <c r="A137" s="44" t="s">
        <v>3561</v>
      </c>
      <c r="B137" s="44">
        <v>320616867226.27008</v>
      </c>
      <c r="C137" s="44">
        <v>346346228648.35999</v>
      </c>
      <c r="D137" s="44">
        <f t="shared" si="0"/>
        <v>8.0249556564757487</v>
      </c>
      <c r="E137" s="39">
        <v>24</v>
      </c>
      <c r="F137" s="39">
        <v>22</v>
      </c>
      <c r="G137" s="39">
        <v>4</v>
      </c>
      <c r="H137" s="44">
        <f t="shared" si="1"/>
        <v>48</v>
      </c>
      <c r="I137" s="44">
        <f t="shared" si="2"/>
        <v>44</v>
      </c>
      <c r="J137" s="44"/>
      <c r="K137" s="8"/>
    </row>
    <row r="138" spans="1:11" x14ac:dyDescent="0.25">
      <c r="A138" s="44" t="s">
        <v>3431</v>
      </c>
      <c r="B138" s="44">
        <v>4115289253963.2998</v>
      </c>
      <c r="C138" s="44">
        <v>4272803543731.1997</v>
      </c>
      <c r="D138" s="44">
        <f t="shared" si="0"/>
        <v>3.8275387232186189</v>
      </c>
      <c r="E138" s="39">
        <v>8</v>
      </c>
      <c r="F138" s="39">
        <v>7</v>
      </c>
      <c r="G138" s="39">
        <v>2</v>
      </c>
      <c r="H138" s="44">
        <f t="shared" si="1"/>
        <v>47.058823529411761</v>
      </c>
      <c r="I138" s="44">
        <f t="shared" si="2"/>
        <v>41.17647058823529</v>
      </c>
      <c r="J138" s="44"/>
      <c r="K138" s="8"/>
    </row>
    <row r="139" spans="1:11" x14ac:dyDescent="0.25">
      <c r="A139" s="44" t="s">
        <v>2444</v>
      </c>
      <c r="B139" s="44">
        <v>1269412182382.0098</v>
      </c>
      <c r="C139" s="44">
        <v>1280258768599.76</v>
      </c>
      <c r="D139" s="44">
        <f t="shared" si="0"/>
        <v>0.85445739124678843</v>
      </c>
      <c r="E139" s="39">
        <v>7</v>
      </c>
      <c r="F139" s="39">
        <v>8</v>
      </c>
      <c r="G139" s="39">
        <v>0</v>
      </c>
      <c r="H139" s="44">
        <f t="shared" si="1"/>
        <v>46.666666666666664</v>
      </c>
      <c r="I139" s="44">
        <f t="shared" si="2"/>
        <v>53.333333333333336</v>
      </c>
      <c r="J139" s="70" t="s">
        <v>4441</v>
      </c>
      <c r="K139" s="67"/>
    </row>
    <row r="140" spans="1:11" x14ac:dyDescent="0.25">
      <c r="A140" s="44" t="s">
        <v>2627</v>
      </c>
      <c r="B140" s="44">
        <v>486968562019.46008</v>
      </c>
      <c r="C140" s="44">
        <v>501582508813.34998</v>
      </c>
      <c r="D140" s="44">
        <f t="shared" si="0"/>
        <v>3.0010041579041182</v>
      </c>
      <c r="E140" s="39">
        <v>6</v>
      </c>
      <c r="F140" s="39">
        <v>6</v>
      </c>
      <c r="G140" s="39">
        <v>1</v>
      </c>
      <c r="H140" s="44">
        <f t="shared" si="1"/>
        <v>46.153846153846153</v>
      </c>
      <c r="I140" s="44">
        <f t="shared" si="2"/>
        <v>46.153846153846153</v>
      </c>
      <c r="J140" s="44"/>
      <c r="K140" s="8"/>
    </row>
    <row r="141" spans="1:11" x14ac:dyDescent="0.25">
      <c r="A141" s="44" t="s">
        <v>2753</v>
      </c>
      <c r="B141" s="44">
        <v>1265276669982.7202</v>
      </c>
      <c r="C141" s="44">
        <v>1305659696157.8796</v>
      </c>
      <c r="D141" s="44">
        <f t="shared" si="0"/>
        <v>3.1916360376510329</v>
      </c>
      <c r="E141" s="39">
        <v>27</v>
      </c>
      <c r="F141" s="39">
        <v>31</v>
      </c>
      <c r="G141" s="39">
        <v>1</v>
      </c>
      <c r="H141" s="44">
        <f t="shared" si="1"/>
        <v>45.762711864406782</v>
      </c>
      <c r="I141" s="44">
        <f t="shared" si="2"/>
        <v>52.542372881355938</v>
      </c>
      <c r="J141" s="44"/>
      <c r="K141" s="8"/>
    </row>
    <row r="142" spans="1:11" x14ac:dyDescent="0.25">
      <c r="A142" s="44" t="s">
        <v>1999</v>
      </c>
      <c r="B142" s="44">
        <v>964310113452.96021</v>
      </c>
      <c r="C142" s="44">
        <v>978568011739.11011</v>
      </c>
      <c r="D142" s="44">
        <f t="shared" si="0"/>
        <v>1.4785594475511443</v>
      </c>
      <c r="E142" s="39">
        <v>26</v>
      </c>
      <c r="F142" s="39">
        <v>26</v>
      </c>
      <c r="G142" s="39">
        <v>5</v>
      </c>
      <c r="H142" s="44">
        <f t="shared" si="1"/>
        <v>45.614035087719294</v>
      </c>
      <c r="I142" s="44">
        <f t="shared" si="2"/>
        <v>45.614035087719294</v>
      </c>
      <c r="J142" s="44"/>
      <c r="K142" s="8"/>
    </row>
    <row r="143" spans="1:11" x14ac:dyDescent="0.25">
      <c r="A143" s="44" t="s">
        <v>788</v>
      </c>
      <c r="B143" s="44">
        <v>20295913558721.871</v>
      </c>
      <c r="C143" s="44">
        <v>19832862241680.91</v>
      </c>
      <c r="D143" s="44">
        <f t="shared" si="0"/>
        <v>-2.2815002424070308</v>
      </c>
      <c r="E143" s="39">
        <v>5</v>
      </c>
      <c r="F143" s="39">
        <v>6</v>
      </c>
      <c r="G143" s="39">
        <v>0</v>
      </c>
      <c r="H143" s="44">
        <f t="shared" si="1"/>
        <v>45.454545454545453</v>
      </c>
      <c r="I143" s="44">
        <f t="shared" si="2"/>
        <v>54.54545454545454</v>
      </c>
      <c r="J143" s="44"/>
      <c r="K143" s="8"/>
    </row>
    <row r="144" spans="1:11" x14ac:dyDescent="0.25">
      <c r="A144" s="44" t="s">
        <v>1337</v>
      </c>
      <c r="B144" s="44">
        <v>1012493229287.11</v>
      </c>
      <c r="C144" s="44">
        <v>1080747214712.5999</v>
      </c>
      <c r="D144" s="44">
        <f t="shared" si="0"/>
        <v>6.7411794421131157</v>
      </c>
      <c r="E144" s="39">
        <v>29</v>
      </c>
      <c r="F144" s="39">
        <v>27</v>
      </c>
      <c r="G144" s="39">
        <v>8</v>
      </c>
      <c r="H144" s="44">
        <f t="shared" si="1"/>
        <v>45.3125</v>
      </c>
      <c r="I144" s="44">
        <f t="shared" si="2"/>
        <v>42.1875</v>
      </c>
      <c r="J144" s="44"/>
      <c r="K144" s="8"/>
    </row>
    <row r="145" spans="1:11" x14ac:dyDescent="0.25">
      <c r="A145" s="44" t="s">
        <v>1633</v>
      </c>
      <c r="B145" s="44">
        <v>1226418605210.2</v>
      </c>
      <c r="C145" s="44">
        <v>1207397143328.6702</v>
      </c>
      <c r="D145" s="44">
        <f t="shared" si="0"/>
        <v>-1.5509762980372948</v>
      </c>
      <c r="E145" s="39">
        <v>33</v>
      </c>
      <c r="F145" s="39">
        <v>36</v>
      </c>
      <c r="G145" s="39">
        <v>4</v>
      </c>
      <c r="H145" s="44">
        <f t="shared" si="1"/>
        <v>45.205479452054789</v>
      </c>
      <c r="I145" s="44">
        <f t="shared" si="2"/>
        <v>49.315068493150683</v>
      </c>
      <c r="J145" s="44"/>
      <c r="K145" s="8"/>
    </row>
    <row r="146" spans="1:11" x14ac:dyDescent="0.25">
      <c r="A146" s="44" t="s">
        <v>3361</v>
      </c>
      <c r="B146" s="44">
        <v>152549227614.5</v>
      </c>
      <c r="C146" s="44">
        <v>161813869866.20001</v>
      </c>
      <c r="D146" s="44">
        <f t="shared" si="0"/>
        <v>6.073214788810505</v>
      </c>
      <c r="E146" s="39">
        <v>4</v>
      </c>
      <c r="F146" s="39">
        <v>4</v>
      </c>
      <c r="G146" s="39">
        <v>1</v>
      </c>
      <c r="H146" s="44">
        <f t="shared" si="1"/>
        <v>44.444444444444443</v>
      </c>
      <c r="I146" s="44">
        <f t="shared" si="2"/>
        <v>44.444444444444443</v>
      </c>
      <c r="J146" s="44"/>
      <c r="K146" s="8"/>
    </row>
    <row r="147" spans="1:11" x14ac:dyDescent="0.25">
      <c r="A147" s="44" t="s">
        <v>2834</v>
      </c>
      <c r="B147" s="44">
        <v>29145772258.900002</v>
      </c>
      <c r="C147" s="44">
        <v>29573191179.599998</v>
      </c>
      <c r="D147" s="44">
        <f t="shared" si="0"/>
        <v>1.4664868609528081</v>
      </c>
      <c r="E147" s="39">
        <v>4</v>
      </c>
      <c r="F147" s="39">
        <v>5</v>
      </c>
      <c r="G147" s="39">
        <v>0</v>
      </c>
      <c r="H147" s="44">
        <f t="shared" si="1"/>
        <v>44.444444444444443</v>
      </c>
      <c r="I147" s="44">
        <f t="shared" si="2"/>
        <v>55.555555555555557</v>
      </c>
      <c r="J147" s="44"/>
      <c r="K147" s="8"/>
    </row>
    <row r="148" spans="1:11" x14ac:dyDescent="0.25">
      <c r="A148" s="44" t="s">
        <v>1501</v>
      </c>
      <c r="B148" s="44">
        <v>742065392077.19995</v>
      </c>
      <c r="C148" s="44">
        <v>737999988651.67004</v>
      </c>
      <c r="D148" s="44">
        <f t="shared" si="0"/>
        <v>-0.54784975406951297</v>
      </c>
      <c r="E148" s="39">
        <v>4</v>
      </c>
      <c r="F148" s="39">
        <v>5</v>
      </c>
      <c r="G148" s="39">
        <v>0</v>
      </c>
      <c r="H148" s="44">
        <f t="shared" si="1"/>
        <v>44.444444444444443</v>
      </c>
      <c r="I148" s="44">
        <f t="shared" si="2"/>
        <v>55.555555555555557</v>
      </c>
      <c r="J148" s="44"/>
      <c r="K148" s="8"/>
    </row>
    <row r="149" spans="1:11" x14ac:dyDescent="0.25">
      <c r="A149" s="44" t="s">
        <v>3503</v>
      </c>
      <c r="B149" s="44">
        <v>1878774767834.7102</v>
      </c>
      <c r="C149" s="44">
        <v>1763096807788.9395</v>
      </c>
      <c r="D149" s="44">
        <f t="shared" si="0"/>
        <v>-6.157095678855093</v>
      </c>
      <c r="E149" s="39">
        <v>12</v>
      </c>
      <c r="F149" s="39">
        <v>14</v>
      </c>
      <c r="G149" s="39">
        <v>1</v>
      </c>
      <c r="H149" s="44">
        <f t="shared" si="1"/>
        <v>44.444444444444443</v>
      </c>
      <c r="I149" s="44">
        <f t="shared" si="2"/>
        <v>51.851851851851848</v>
      </c>
      <c r="J149" s="44"/>
      <c r="K149" s="8"/>
    </row>
    <row r="150" spans="1:11" x14ac:dyDescent="0.25">
      <c r="A150" s="44" t="s">
        <v>1136</v>
      </c>
      <c r="B150" s="44">
        <v>7157836658300.8008</v>
      </c>
      <c r="C150" s="44">
        <v>7195033044110.1406</v>
      </c>
      <c r="D150" s="44">
        <f t="shared" si="0"/>
        <v>0.51965960645670695</v>
      </c>
      <c r="E150" s="39">
        <v>19</v>
      </c>
      <c r="F150" s="39">
        <v>22</v>
      </c>
      <c r="G150" s="39">
        <v>3</v>
      </c>
      <c r="H150" s="44">
        <f t="shared" si="1"/>
        <v>43.18181818181818</v>
      </c>
      <c r="I150" s="44">
        <f t="shared" si="2"/>
        <v>50</v>
      </c>
      <c r="J150" s="44"/>
      <c r="K150" s="8"/>
    </row>
    <row r="151" spans="1:11" x14ac:dyDescent="0.25">
      <c r="A151" s="44" t="s">
        <v>1793</v>
      </c>
      <c r="B151" s="44">
        <v>1048926638198.6902</v>
      </c>
      <c r="C151" s="44">
        <v>1036957848390.89</v>
      </c>
      <c r="D151" s="44">
        <f t="shared" si="0"/>
        <v>-1.1410511824119596</v>
      </c>
      <c r="E151" s="39">
        <v>100</v>
      </c>
      <c r="F151" s="39">
        <v>114</v>
      </c>
      <c r="G151" s="39">
        <v>18</v>
      </c>
      <c r="H151" s="44">
        <f t="shared" si="1"/>
        <v>43.103448275862064</v>
      </c>
      <c r="I151" s="44">
        <f t="shared" si="2"/>
        <v>49.137931034482754</v>
      </c>
      <c r="J151" s="44"/>
      <c r="K151" s="8"/>
    </row>
    <row r="152" spans="1:11" x14ac:dyDescent="0.25">
      <c r="A152" s="44" t="s">
        <v>295</v>
      </c>
      <c r="B152" s="44">
        <v>108600629334.25</v>
      </c>
      <c r="C152" s="44">
        <v>99326803018.850006</v>
      </c>
      <c r="D152" s="44">
        <f t="shared" si="0"/>
        <v>-8.5393854273690248</v>
      </c>
      <c r="E152" s="39">
        <v>3</v>
      </c>
      <c r="F152" s="39">
        <v>4</v>
      </c>
      <c r="G152" s="39">
        <v>0</v>
      </c>
      <c r="H152" s="44">
        <f t="shared" si="1"/>
        <v>42.857142857142854</v>
      </c>
      <c r="I152" s="44">
        <f t="shared" si="2"/>
        <v>57.142857142857139</v>
      </c>
      <c r="J152" s="44"/>
      <c r="K152" s="8"/>
    </row>
    <row r="153" spans="1:11" x14ac:dyDescent="0.25">
      <c r="A153" s="44" t="s">
        <v>1645</v>
      </c>
      <c r="B153" s="44">
        <v>622497591301.43005</v>
      </c>
      <c r="C153" s="44">
        <v>674751195813.69995</v>
      </c>
      <c r="D153" s="44">
        <f t="shared" si="0"/>
        <v>8.3941858157274858</v>
      </c>
      <c r="E153" s="39">
        <v>17</v>
      </c>
      <c r="F153" s="39">
        <v>20</v>
      </c>
      <c r="G153" s="39">
        <v>3</v>
      </c>
      <c r="H153" s="44">
        <f t="shared" si="1"/>
        <v>42.5</v>
      </c>
      <c r="I153" s="44">
        <f t="shared" si="2"/>
        <v>50</v>
      </c>
      <c r="J153" s="44"/>
      <c r="K153" s="8"/>
    </row>
    <row r="154" spans="1:11" x14ac:dyDescent="0.25">
      <c r="A154" s="44" t="s">
        <v>1171</v>
      </c>
      <c r="B154" s="44">
        <v>757958122547.17004</v>
      </c>
      <c r="C154" s="44">
        <v>795462338446.11023</v>
      </c>
      <c r="D154" s="44">
        <f t="shared" si="0"/>
        <v>4.9480591055485634</v>
      </c>
      <c r="E154" s="39">
        <v>53</v>
      </c>
      <c r="F154" s="39">
        <v>45</v>
      </c>
      <c r="G154" s="39">
        <v>28</v>
      </c>
      <c r="H154" s="44">
        <f t="shared" si="1"/>
        <v>42.063492063492063</v>
      </c>
      <c r="I154" s="44">
        <f t="shared" si="2"/>
        <v>35.714285714285715</v>
      </c>
      <c r="J154" s="44"/>
      <c r="K154" s="8"/>
    </row>
    <row r="155" spans="1:11" x14ac:dyDescent="0.25">
      <c r="A155" s="44" t="s">
        <v>3140</v>
      </c>
      <c r="B155" s="44">
        <v>2601419397355.4199</v>
      </c>
      <c r="C155" s="44">
        <v>2526138942473.6704</v>
      </c>
      <c r="D155" s="44">
        <f t="shared" si="0"/>
        <v>-2.8938223094007434</v>
      </c>
      <c r="E155" s="39">
        <v>5</v>
      </c>
      <c r="F155" s="39">
        <v>7</v>
      </c>
      <c r="G155" s="39">
        <v>0</v>
      </c>
      <c r="H155" s="44">
        <f t="shared" si="1"/>
        <v>41.666666666666671</v>
      </c>
      <c r="I155" s="44">
        <f t="shared" si="2"/>
        <v>58.333333333333336</v>
      </c>
      <c r="J155" s="44"/>
      <c r="K155" s="8"/>
    </row>
    <row r="156" spans="1:11" x14ac:dyDescent="0.25">
      <c r="A156" s="44" t="s">
        <v>3209</v>
      </c>
      <c r="B156" s="44">
        <v>306148373256.54004</v>
      </c>
      <c r="C156" s="44">
        <v>332175772504.65997</v>
      </c>
      <c r="D156" s="44">
        <f t="shared" si="0"/>
        <v>8.5015637911980733</v>
      </c>
      <c r="E156" s="39">
        <v>19</v>
      </c>
      <c r="F156" s="39">
        <v>23</v>
      </c>
      <c r="G156" s="39">
        <v>4</v>
      </c>
      <c r="H156" s="44">
        <f t="shared" si="1"/>
        <v>41.304347826086953</v>
      </c>
      <c r="I156" s="44">
        <f t="shared" si="2"/>
        <v>50</v>
      </c>
      <c r="J156" s="44"/>
      <c r="K156" s="8"/>
    </row>
    <row r="157" spans="1:11" x14ac:dyDescent="0.25">
      <c r="A157" s="44" t="s">
        <v>3232</v>
      </c>
      <c r="B157" s="44">
        <v>1031806804089.6799</v>
      </c>
      <c r="C157" s="44">
        <v>1092048789402.6001</v>
      </c>
      <c r="D157" s="44">
        <f t="shared" si="0"/>
        <v>5.8384946749860944</v>
      </c>
      <c r="E157" s="39">
        <v>14</v>
      </c>
      <c r="F157" s="39">
        <v>16</v>
      </c>
      <c r="G157" s="39">
        <v>4</v>
      </c>
      <c r="H157" s="44">
        <f t="shared" si="1"/>
        <v>41.17647058823529</v>
      </c>
      <c r="I157" s="44">
        <f t="shared" si="2"/>
        <v>47.058823529411761</v>
      </c>
      <c r="J157" s="44"/>
      <c r="K157" s="8"/>
    </row>
    <row r="158" spans="1:11" x14ac:dyDescent="0.25">
      <c r="A158" s="44" t="s">
        <v>13</v>
      </c>
      <c r="B158" s="44">
        <v>9529296732580.2949</v>
      </c>
      <c r="C158" s="44">
        <v>9711205233152.1289</v>
      </c>
      <c r="D158" s="44">
        <f t="shared" si="0"/>
        <v>1.9089394073530725</v>
      </c>
      <c r="E158" s="39">
        <v>114</v>
      </c>
      <c r="F158" s="39">
        <v>131</v>
      </c>
      <c r="G158" s="39">
        <v>34</v>
      </c>
      <c r="H158" s="44">
        <f t="shared" si="1"/>
        <v>40.86021505376344</v>
      </c>
      <c r="I158" s="44">
        <f t="shared" si="2"/>
        <v>46.953405017921149</v>
      </c>
      <c r="J158" s="44"/>
      <c r="K158" s="8"/>
    </row>
    <row r="159" spans="1:11" x14ac:dyDescent="0.25">
      <c r="A159" s="44" t="s">
        <v>1315</v>
      </c>
      <c r="B159" s="44">
        <v>141671978140.70001</v>
      </c>
      <c r="C159" s="44">
        <v>169118948345.79999</v>
      </c>
      <c r="D159" s="44">
        <f t="shared" si="0"/>
        <v>19.373605539580531</v>
      </c>
      <c r="E159" s="39">
        <v>2</v>
      </c>
      <c r="F159" s="39">
        <v>2</v>
      </c>
      <c r="G159" s="39">
        <v>1</v>
      </c>
      <c r="H159" s="44">
        <f t="shared" si="1"/>
        <v>40</v>
      </c>
      <c r="I159" s="44">
        <f t="shared" si="2"/>
        <v>40</v>
      </c>
      <c r="J159" s="44"/>
      <c r="K159" s="8"/>
    </row>
    <row r="160" spans="1:11" x14ac:dyDescent="0.25">
      <c r="A160" s="44" t="s">
        <v>2265</v>
      </c>
      <c r="B160" s="44">
        <v>23237175285.649998</v>
      </c>
      <c r="C160" s="44">
        <v>26362469037.459999</v>
      </c>
      <c r="D160" s="44">
        <f t="shared" si="0"/>
        <v>13.449542439609735</v>
      </c>
      <c r="E160" s="39">
        <v>2</v>
      </c>
      <c r="F160" s="39">
        <v>3</v>
      </c>
      <c r="G160" s="39">
        <v>0</v>
      </c>
      <c r="H160" s="44">
        <f t="shared" si="1"/>
        <v>40</v>
      </c>
      <c r="I160" s="44">
        <f t="shared" si="2"/>
        <v>60</v>
      </c>
      <c r="J160" s="44"/>
      <c r="K160" s="8"/>
    </row>
    <row r="161" spans="1:11" x14ac:dyDescent="0.25">
      <c r="A161" s="44" t="s">
        <v>1563</v>
      </c>
      <c r="B161" s="44">
        <v>45583985621.239998</v>
      </c>
      <c r="C161" s="44">
        <v>49398634290.239998</v>
      </c>
      <c r="D161" s="44">
        <f t="shared" si="0"/>
        <v>8.3683965256924626</v>
      </c>
      <c r="E161" s="39">
        <v>2</v>
      </c>
      <c r="F161" s="39">
        <v>3</v>
      </c>
      <c r="G161" s="39">
        <v>0</v>
      </c>
      <c r="H161" s="44">
        <f t="shared" si="1"/>
        <v>40</v>
      </c>
      <c r="I161" s="44">
        <f t="shared" si="2"/>
        <v>60</v>
      </c>
      <c r="J161" s="44"/>
      <c r="K161" s="8"/>
    </row>
    <row r="162" spans="1:11" x14ac:dyDescent="0.25">
      <c r="A162" s="44" t="s">
        <v>2998</v>
      </c>
      <c r="B162" s="44">
        <v>12439220703.73</v>
      </c>
      <c r="C162" s="44">
        <v>12853727862.17</v>
      </c>
      <c r="D162" s="44">
        <f t="shared" si="0"/>
        <v>3.332259860263652</v>
      </c>
      <c r="E162" s="39">
        <v>2</v>
      </c>
      <c r="F162" s="39">
        <v>3</v>
      </c>
      <c r="G162" s="39">
        <v>0</v>
      </c>
      <c r="H162" s="44">
        <f t="shared" si="1"/>
        <v>40</v>
      </c>
      <c r="I162" s="44">
        <f t="shared" si="2"/>
        <v>60</v>
      </c>
      <c r="J162" s="44"/>
      <c r="K162" s="8"/>
    </row>
    <row r="163" spans="1:11" x14ac:dyDescent="0.25">
      <c r="A163" s="44" t="s">
        <v>3974</v>
      </c>
      <c r="B163" s="44">
        <v>272844585050.21997</v>
      </c>
      <c r="C163" s="44">
        <v>275461259212.17004</v>
      </c>
      <c r="D163" s="44">
        <f t="shared" si="0"/>
        <v>0.95903466857091779</v>
      </c>
      <c r="E163" s="39">
        <v>4</v>
      </c>
      <c r="F163" s="39">
        <v>6</v>
      </c>
      <c r="G163" s="39">
        <v>0</v>
      </c>
      <c r="H163" s="44">
        <f t="shared" si="1"/>
        <v>40</v>
      </c>
      <c r="I163" s="44">
        <f t="shared" si="2"/>
        <v>60</v>
      </c>
      <c r="J163" s="44"/>
      <c r="K163" s="8"/>
    </row>
    <row r="164" spans="1:11" x14ac:dyDescent="0.25">
      <c r="A164" s="44" t="s">
        <v>1598</v>
      </c>
      <c r="B164" s="44">
        <v>1430205566389.75</v>
      </c>
      <c r="C164" s="44">
        <v>1416050586086.75</v>
      </c>
      <c r="D164" s="44">
        <f t="shared" si="0"/>
        <v>-0.98971648801026835</v>
      </c>
      <c r="E164" s="39">
        <v>2</v>
      </c>
      <c r="F164" s="39">
        <v>1</v>
      </c>
      <c r="G164" s="39">
        <v>2</v>
      </c>
      <c r="H164" s="44">
        <f t="shared" si="1"/>
        <v>40</v>
      </c>
      <c r="I164" s="44">
        <f t="shared" si="2"/>
        <v>20</v>
      </c>
      <c r="J164" s="44"/>
      <c r="K164" s="8"/>
    </row>
    <row r="165" spans="1:11" x14ac:dyDescent="0.25">
      <c r="A165" s="44" t="s">
        <v>356</v>
      </c>
      <c r="B165" s="44">
        <v>3207867815060.8594</v>
      </c>
      <c r="C165" s="44">
        <v>3218666153674.8501</v>
      </c>
      <c r="D165" s="44">
        <f t="shared" si="0"/>
        <v>0.33662043564553351</v>
      </c>
      <c r="E165" s="39">
        <v>28</v>
      </c>
      <c r="F165" s="39">
        <v>38</v>
      </c>
      <c r="G165" s="39">
        <v>8</v>
      </c>
      <c r="H165" s="44">
        <f t="shared" si="1"/>
        <v>37.837837837837839</v>
      </c>
      <c r="I165" s="44">
        <f t="shared" si="2"/>
        <v>51.351351351351347</v>
      </c>
      <c r="J165" s="44"/>
      <c r="K165" s="8"/>
    </row>
    <row r="166" spans="1:11" x14ac:dyDescent="0.25">
      <c r="A166" s="44" t="s">
        <v>4036</v>
      </c>
      <c r="B166" s="44">
        <v>150799663839.57001</v>
      </c>
      <c r="C166" s="44">
        <v>159831184037.15997</v>
      </c>
      <c r="D166" s="44">
        <f t="shared" si="0"/>
        <v>5.9890850998171024</v>
      </c>
      <c r="E166" s="39">
        <v>10</v>
      </c>
      <c r="F166" s="39">
        <v>15</v>
      </c>
      <c r="G166" s="39">
        <v>3</v>
      </c>
      <c r="H166" s="44">
        <f t="shared" si="1"/>
        <v>35.714285714285715</v>
      </c>
      <c r="I166" s="44">
        <f t="shared" si="2"/>
        <v>53.571428571428569</v>
      </c>
      <c r="J166" s="44"/>
      <c r="K166" s="8"/>
    </row>
    <row r="167" spans="1:11" x14ac:dyDescent="0.25">
      <c r="A167" s="44" t="s">
        <v>2951</v>
      </c>
      <c r="B167" s="44">
        <v>327444072809.75</v>
      </c>
      <c r="C167" s="44">
        <v>341127794619.26984</v>
      </c>
      <c r="D167" s="44">
        <f t="shared" si="0"/>
        <v>4.1789493063966034</v>
      </c>
      <c r="E167" s="39">
        <v>75</v>
      </c>
      <c r="F167" s="39">
        <v>97</v>
      </c>
      <c r="G167" s="39">
        <v>46</v>
      </c>
      <c r="H167" s="44">
        <f t="shared" si="1"/>
        <v>34.403669724770644</v>
      </c>
      <c r="I167" s="44">
        <f t="shared" si="2"/>
        <v>44.4954128440367</v>
      </c>
      <c r="J167" s="44"/>
      <c r="K167" s="8"/>
    </row>
    <row r="168" spans="1:11" x14ac:dyDescent="0.25">
      <c r="A168" s="44" t="s">
        <v>1868</v>
      </c>
      <c r="B168" s="44">
        <v>4924614130073.8213</v>
      </c>
      <c r="C168" s="44">
        <v>4816217450144.2295</v>
      </c>
      <c r="D168" s="44">
        <f t="shared" si="0"/>
        <v>-2.2011202718936054</v>
      </c>
      <c r="E168" s="39">
        <v>32</v>
      </c>
      <c r="F168" s="39">
        <v>60</v>
      </c>
      <c r="G168" s="39">
        <v>3</v>
      </c>
      <c r="H168" s="44">
        <f t="shared" si="1"/>
        <v>33.684210526315788</v>
      </c>
      <c r="I168" s="44">
        <f t="shared" si="2"/>
        <v>63.157894736842103</v>
      </c>
      <c r="J168" s="44"/>
      <c r="K168" s="8"/>
    </row>
    <row r="169" spans="1:11" x14ac:dyDescent="0.25">
      <c r="A169" s="44" t="s">
        <v>2346</v>
      </c>
      <c r="B169" s="44">
        <v>23828134942.139999</v>
      </c>
      <c r="C169" s="44">
        <v>27027874580.619995</v>
      </c>
      <c r="D169" s="44">
        <f t="shared" si="0"/>
        <v>13.428409929059381</v>
      </c>
      <c r="E169" s="39">
        <v>8</v>
      </c>
      <c r="F169" s="39">
        <v>10</v>
      </c>
      <c r="G169" s="39">
        <v>6</v>
      </c>
      <c r="H169" s="44">
        <f t="shared" si="1"/>
        <v>33.333333333333329</v>
      </c>
      <c r="I169" s="44">
        <f t="shared" si="2"/>
        <v>41.666666666666671</v>
      </c>
      <c r="J169" s="44"/>
      <c r="K169" s="8"/>
    </row>
    <row r="170" spans="1:11" x14ac:dyDescent="0.25">
      <c r="A170" s="44" t="s">
        <v>1538</v>
      </c>
      <c r="B170" s="44">
        <v>1035268080.72</v>
      </c>
      <c r="C170" s="44">
        <v>1161183177.8099999</v>
      </c>
      <c r="D170" s="44">
        <f t="shared" si="0"/>
        <v>12.162559576108006</v>
      </c>
      <c r="E170" s="39">
        <v>2</v>
      </c>
      <c r="F170" s="39">
        <v>4</v>
      </c>
      <c r="G170" s="39">
        <v>0</v>
      </c>
      <c r="H170" s="44">
        <f t="shared" si="1"/>
        <v>33.333333333333329</v>
      </c>
      <c r="I170" s="44">
        <f t="shared" si="2"/>
        <v>66.666666666666657</v>
      </c>
      <c r="J170" s="44"/>
      <c r="K170" s="8"/>
    </row>
    <row r="171" spans="1:11" x14ac:dyDescent="0.25">
      <c r="A171" s="44" t="s">
        <v>324</v>
      </c>
      <c r="B171" s="44">
        <v>315881427134.55005</v>
      </c>
      <c r="C171" s="44">
        <v>311287203416.09998</v>
      </c>
      <c r="D171" s="44">
        <f t="shared" si="0"/>
        <v>-1.4544140059533031</v>
      </c>
      <c r="E171" s="39">
        <v>2</v>
      </c>
      <c r="F171" s="39">
        <v>4</v>
      </c>
      <c r="G171" s="39">
        <v>0</v>
      </c>
      <c r="H171" s="44">
        <f t="shared" si="1"/>
        <v>33.333333333333329</v>
      </c>
      <c r="I171" s="44">
        <f t="shared" si="2"/>
        <v>66.666666666666657</v>
      </c>
      <c r="J171" s="44"/>
      <c r="K171" s="8"/>
    </row>
    <row r="172" spans="1:11" x14ac:dyDescent="0.25">
      <c r="A172" s="44" t="s">
        <v>52</v>
      </c>
      <c r="B172" s="44">
        <v>858535760664.31995</v>
      </c>
      <c r="C172" s="44">
        <v>844781430989.68005</v>
      </c>
      <c r="D172" s="44">
        <f t="shared" si="0"/>
        <v>-1.6020683476244524</v>
      </c>
      <c r="E172" s="39">
        <v>1</v>
      </c>
      <c r="F172" s="39">
        <v>2</v>
      </c>
      <c r="G172" s="39">
        <v>0</v>
      </c>
      <c r="H172" s="44">
        <f t="shared" si="1"/>
        <v>33.333333333333329</v>
      </c>
      <c r="I172" s="44">
        <f t="shared" si="2"/>
        <v>66.666666666666657</v>
      </c>
      <c r="J172" s="44"/>
      <c r="K172" s="8"/>
    </row>
    <row r="173" spans="1:11" x14ac:dyDescent="0.25">
      <c r="A173" s="44" t="s">
        <v>3639</v>
      </c>
      <c r="B173" s="44">
        <v>3643553042.02</v>
      </c>
      <c r="C173" s="44">
        <v>3530242947.8000002</v>
      </c>
      <c r="D173" s="44">
        <f t="shared" si="0"/>
        <v>-3.1098790909101255</v>
      </c>
      <c r="E173" s="39">
        <v>1</v>
      </c>
      <c r="F173" s="39">
        <v>2</v>
      </c>
      <c r="G173" s="39">
        <v>0</v>
      </c>
      <c r="H173" s="44">
        <f t="shared" si="1"/>
        <v>33.333333333333329</v>
      </c>
      <c r="I173" s="44">
        <f t="shared" si="2"/>
        <v>66.666666666666657</v>
      </c>
      <c r="J173" s="44"/>
      <c r="K173" s="8"/>
    </row>
    <row r="174" spans="1:11" x14ac:dyDescent="0.25">
      <c r="A174" s="44" t="s">
        <v>2681</v>
      </c>
      <c r="B174" s="44">
        <v>377136743714.04999</v>
      </c>
      <c r="C174" s="44">
        <v>393689063215.9101</v>
      </c>
      <c r="D174" s="44">
        <f t="shared" si="0"/>
        <v>4.3889437393059456</v>
      </c>
      <c r="E174" s="39">
        <v>34</v>
      </c>
      <c r="F174" s="39">
        <v>37</v>
      </c>
      <c r="G174" s="39">
        <v>37</v>
      </c>
      <c r="H174" s="44">
        <f t="shared" si="1"/>
        <v>31.481481481481481</v>
      </c>
      <c r="I174" s="44">
        <f t="shared" si="2"/>
        <v>34.25925925925926</v>
      </c>
      <c r="J174" s="44"/>
      <c r="K174" s="8"/>
    </row>
    <row r="175" spans="1:11" x14ac:dyDescent="0.25">
      <c r="A175" s="44" t="s">
        <v>3023</v>
      </c>
      <c r="B175" s="44">
        <v>37015918018.480003</v>
      </c>
      <c r="C175" s="44">
        <v>36971236194.299995</v>
      </c>
      <c r="D175" s="44">
        <f t="shared" si="0"/>
        <v>-0.12070975561838226</v>
      </c>
      <c r="E175" s="39">
        <v>3</v>
      </c>
      <c r="F175" s="39">
        <v>8</v>
      </c>
      <c r="G175" s="39">
        <v>0</v>
      </c>
      <c r="H175" s="44">
        <f t="shared" si="1"/>
        <v>27.27272727272727</v>
      </c>
      <c r="I175" s="44">
        <f t="shared" si="2"/>
        <v>72.727272727272734</v>
      </c>
      <c r="J175" s="44"/>
      <c r="K175" s="8"/>
    </row>
    <row r="176" spans="1:11" x14ac:dyDescent="0.25">
      <c r="A176" s="44" t="s">
        <v>2905</v>
      </c>
      <c r="B176" s="44">
        <v>52367137099.82</v>
      </c>
      <c r="C176" s="44">
        <v>49145284499.580002</v>
      </c>
      <c r="D176" s="44">
        <f t="shared" si="0"/>
        <v>-6.1524321906287138</v>
      </c>
      <c r="E176" s="39">
        <v>3</v>
      </c>
      <c r="F176" s="39">
        <v>8</v>
      </c>
      <c r="G176" s="39">
        <v>0</v>
      </c>
      <c r="H176" s="44">
        <f t="shared" si="1"/>
        <v>27.27272727272727</v>
      </c>
      <c r="I176" s="44">
        <f t="shared" si="2"/>
        <v>72.727272727272734</v>
      </c>
      <c r="J176" s="44"/>
      <c r="K176" s="8"/>
    </row>
    <row r="177" spans="1:11" x14ac:dyDescent="0.25">
      <c r="A177" s="44" t="s">
        <v>3847</v>
      </c>
      <c r="B177" s="44">
        <v>942521609880.2002</v>
      </c>
      <c r="C177" s="44">
        <v>984281901097.18982</v>
      </c>
      <c r="D177" s="44">
        <f t="shared" si="0"/>
        <v>4.4306985409382378</v>
      </c>
      <c r="E177" s="39">
        <v>2</v>
      </c>
      <c r="F177" s="39">
        <v>6</v>
      </c>
      <c r="G177" s="39">
        <v>0</v>
      </c>
      <c r="H177" s="44">
        <f t="shared" si="1"/>
        <v>25</v>
      </c>
      <c r="I177" s="44">
        <f t="shared" si="2"/>
        <v>75</v>
      </c>
      <c r="J177" s="44"/>
      <c r="K177" s="8"/>
    </row>
    <row r="178" spans="1:11" x14ac:dyDescent="0.25">
      <c r="A178" s="44" t="s">
        <v>3814</v>
      </c>
      <c r="B178" s="44">
        <v>3353587493.8800001</v>
      </c>
      <c r="C178" s="44">
        <v>3485055760.5099998</v>
      </c>
      <c r="D178" s="44">
        <f t="shared" si="0"/>
        <v>3.9202277223992983</v>
      </c>
      <c r="E178" s="39">
        <v>1</v>
      </c>
      <c r="F178" s="39">
        <v>3</v>
      </c>
      <c r="G178" s="39">
        <v>0</v>
      </c>
      <c r="H178" s="44">
        <f t="shared" si="1"/>
        <v>25</v>
      </c>
      <c r="I178" s="44">
        <f t="shared" si="2"/>
        <v>75</v>
      </c>
      <c r="J178" s="44"/>
      <c r="K178" s="8"/>
    </row>
    <row r="179" spans="1:11" x14ac:dyDescent="0.25">
      <c r="A179" s="44" t="s">
        <v>56</v>
      </c>
      <c r="B179" s="44">
        <v>17364853573.379997</v>
      </c>
      <c r="C179" s="44">
        <v>17830462699.610001</v>
      </c>
      <c r="D179" s="44">
        <f t="shared" si="0"/>
        <v>2.6813305638452007</v>
      </c>
      <c r="E179" s="39">
        <v>3</v>
      </c>
      <c r="F179" s="39">
        <v>9</v>
      </c>
      <c r="G179" s="39">
        <v>0</v>
      </c>
      <c r="H179" s="44">
        <f t="shared" si="1"/>
        <v>25</v>
      </c>
      <c r="I179" s="44">
        <f t="shared" si="2"/>
        <v>75</v>
      </c>
      <c r="J179" s="44"/>
      <c r="K179" s="8"/>
    </row>
    <row r="180" spans="1:11" x14ac:dyDescent="0.25">
      <c r="A180" s="44" t="s">
        <v>711</v>
      </c>
      <c r="B180" s="44">
        <v>370852591186.51996</v>
      </c>
      <c r="C180" s="44">
        <v>369308628128.77997</v>
      </c>
      <c r="D180" s="44">
        <f t="shared" si="0"/>
        <v>-0.41632796815580442</v>
      </c>
      <c r="E180" s="39">
        <v>4</v>
      </c>
      <c r="F180" s="39">
        <v>18</v>
      </c>
      <c r="G180" s="39">
        <v>1</v>
      </c>
      <c r="H180" s="44">
        <f t="shared" si="1"/>
        <v>17.391304347826086</v>
      </c>
      <c r="I180" s="44">
        <f t="shared" si="2"/>
        <v>78.260869565217391</v>
      </c>
      <c r="J180" s="44"/>
      <c r="K180" s="8"/>
    </row>
    <row r="181" spans="1:11" x14ac:dyDescent="0.25">
      <c r="A181" s="44" t="s">
        <v>668</v>
      </c>
      <c r="B181" s="44">
        <v>67100487690.800003</v>
      </c>
      <c r="C181" s="44">
        <v>66878938445.349998</v>
      </c>
      <c r="D181" s="44">
        <f t="shared" si="0"/>
        <v>-0.33017531328670313</v>
      </c>
      <c r="E181" s="39">
        <v>0</v>
      </c>
      <c r="F181" s="39">
        <v>2</v>
      </c>
      <c r="G181" s="39">
        <v>0</v>
      </c>
      <c r="H181" s="44">
        <f t="shared" si="1"/>
        <v>0</v>
      </c>
      <c r="I181" s="44">
        <f t="shared" si="2"/>
        <v>100</v>
      </c>
      <c r="J181" s="44"/>
      <c r="K181" s="8"/>
    </row>
    <row r="182" spans="1:11" x14ac:dyDescent="0.25">
      <c r="A182" s="44" t="s">
        <v>3131</v>
      </c>
      <c r="B182" s="44">
        <v>1032003351620.0898</v>
      </c>
      <c r="C182" s="44">
        <v>1024348412333.0201</v>
      </c>
      <c r="D182" s="44">
        <f t="shared" si="0"/>
        <v>-0.74175527386152385</v>
      </c>
      <c r="E182" s="39">
        <v>0</v>
      </c>
      <c r="F182" s="39">
        <v>2</v>
      </c>
      <c r="G182" s="39">
        <v>0</v>
      </c>
      <c r="H182" s="44">
        <f t="shared" si="1"/>
        <v>0</v>
      </c>
      <c r="I182" s="44">
        <f t="shared" si="2"/>
        <v>100</v>
      </c>
      <c r="J182" s="44"/>
      <c r="K182" s="8"/>
    </row>
    <row r="183" spans="1:11" x14ac:dyDescent="0.25">
      <c r="A183" s="44" t="s">
        <v>4191</v>
      </c>
      <c r="B183" s="44">
        <v>8767110169</v>
      </c>
      <c r="C183" s="44">
        <v>8596582854.5</v>
      </c>
      <c r="D183" s="44">
        <f t="shared" si="0"/>
        <v>-1.9450800915331807</v>
      </c>
      <c r="E183" s="39">
        <v>0</v>
      </c>
      <c r="F183" s="39">
        <v>1</v>
      </c>
      <c r="G183" s="39">
        <v>0</v>
      </c>
      <c r="H183" s="44">
        <f t="shared" si="1"/>
        <v>0</v>
      </c>
      <c r="I183" s="44">
        <f t="shared" si="2"/>
        <v>100</v>
      </c>
      <c r="J183" s="44"/>
      <c r="K183" s="8"/>
    </row>
    <row r="184" spans="1:11" x14ac:dyDescent="0.25">
      <c r="A184" s="44" t="s">
        <v>3068</v>
      </c>
      <c r="B184" s="44">
        <v>4024131389.4400001</v>
      </c>
      <c r="C184" s="44">
        <v>3785300197.2999997</v>
      </c>
      <c r="D184" s="44">
        <f t="shared" si="0"/>
        <v>-5.9349750052081722</v>
      </c>
      <c r="E184" s="39">
        <v>0</v>
      </c>
      <c r="F184" s="39">
        <v>4</v>
      </c>
      <c r="G184" s="39">
        <v>0</v>
      </c>
      <c r="H184" s="44">
        <f t="shared" si="1"/>
        <v>0</v>
      </c>
      <c r="I184" s="44">
        <f t="shared" si="2"/>
        <v>100</v>
      </c>
      <c r="J184" s="44"/>
      <c r="K184" s="8"/>
    </row>
    <row r="185" spans="1:11" x14ac:dyDescent="0.25">
      <c r="A185" s="44" t="s">
        <v>4230</v>
      </c>
      <c r="B185" s="44">
        <v>8349218146</v>
      </c>
      <c r="C185" s="44">
        <v>7844874511.8000002</v>
      </c>
      <c r="D185" s="44">
        <f t="shared" si="0"/>
        <v>-6.040609137055835</v>
      </c>
      <c r="E185" s="39">
        <v>0</v>
      </c>
      <c r="F185" s="39">
        <v>1</v>
      </c>
      <c r="G185" s="39">
        <v>0</v>
      </c>
      <c r="H185" s="44">
        <f t="shared" si="1"/>
        <v>0</v>
      </c>
      <c r="I185" s="44">
        <f t="shared" si="2"/>
        <v>100</v>
      </c>
      <c r="J185" s="44"/>
      <c r="K185" s="8"/>
    </row>
    <row r="186" spans="1:11" x14ac:dyDescent="0.25">
      <c r="A186" s="44" t="s">
        <v>3867</v>
      </c>
      <c r="B186" s="44">
        <v>4677290731.2999992</v>
      </c>
      <c r="C186" s="44">
        <v>4152889268</v>
      </c>
      <c r="D186" s="44">
        <f t="shared" si="0"/>
        <v>-11.211649936377761</v>
      </c>
      <c r="E186" s="39">
        <v>0</v>
      </c>
      <c r="F186" s="39">
        <v>1</v>
      </c>
      <c r="G186" s="39">
        <v>0</v>
      </c>
      <c r="H186" s="44">
        <f t="shared" si="1"/>
        <v>0</v>
      </c>
      <c r="I186" s="44">
        <f t="shared" si="2"/>
        <v>100</v>
      </c>
      <c r="J186" s="44"/>
      <c r="K186" s="8"/>
    </row>
    <row r="187" spans="1:11" x14ac:dyDescent="0.25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8"/>
    </row>
    <row r="188" spans="1:11" x14ac:dyDescent="0.25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8"/>
    </row>
    <row r="189" spans="1:11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8"/>
    </row>
    <row r="190" spans="1:11" x14ac:dyDescent="0.25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8"/>
    </row>
    <row r="191" spans="1:11" x14ac:dyDescent="0.25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8"/>
    </row>
    <row r="192" spans="1:11" x14ac:dyDescent="0.25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8"/>
    </row>
    <row r="193" spans="1:11" x14ac:dyDescent="0.25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8"/>
    </row>
    <row r="194" spans="1:11" x14ac:dyDescent="0.25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8"/>
    </row>
    <row r="195" spans="1:11" x14ac:dyDescent="0.2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8"/>
    </row>
    <row r="196" spans="1:11" x14ac:dyDescent="0.25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8"/>
    </row>
    <row r="197" spans="1:11" x14ac:dyDescent="0.25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8"/>
    </row>
    <row r="198" spans="1:11" x14ac:dyDescent="0.25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8"/>
    </row>
    <row r="199" spans="1:11" x14ac:dyDescent="0.25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8"/>
    </row>
    <row r="200" spans="1:11" x14ac:dyDescent="0.25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8"/>
    </row>
    <row r="201" spans="1:11" x14ac:dyDescent="0.25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8"/>
    </row>
    <row r="202" spans="1:11" x14ac:dyDescent="0.25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8"/>
    </row>
    <row r="203" spans="1:11" x14ac:dyDescent="0.25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8"/>
    </row>
    <row r="204" spans="1:11" x14ac:dyDescent="0.25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8"/>
    </row>
    <row r="205" spans="1:11" x14ac:dyDescent="0.2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8"/>
    </row>
    <row r="206" spans="1:11" x14ac:dyDescent="0.25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8"/>
    </row>
    <row r="207" spans="1:11" x14ac:dyDescent="0.25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8"/>
    </row>
    <row r="208" spans="1:11" x14ac:dyDescent="0.25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8"/>
    </row>
    <row r="209" spans="1:11" x14ac:dyDescent="0.25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8"/>
    </row>
    <row r="210" spans="1:11" x14ac:dyDescent="0.25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8"/>
    </row>
    <row r="211" spans="1:11" x14ac:dyDescent="0.25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8"/>
    </row>
    <row r="212" spans="1:11" x14ac:dyDescent="0.25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8"/>
    </row>
    <row r="213" spans="1:11" x14ac:dyDescent="0.25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8"/>
    </row>
    <row r="214" spans="1:11" x14ac:dyDescent="0.25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8"/>
    </row>
    <row r="215" spans="1:11" x14ac:dyDescent="0.2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8"/>
    </row>
    <row r="216" spans="1:11" x14ac:dyDescent="0.25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8"/>
    </row>
    <row r="217" spans="1:11" x14ac:dyDescent="0.25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8"/>
    </row>
    <row r="218" spans="1:11" x14ac:dyDescent="0.25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8"/>
    </row>
    <row r="219" spans="1:11" x14ac:dyDescent="0.25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8"/>
    </row>
    <row r="220" spans="1:11" x14ac:dyDescent="0.25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8"/>
    </row>
    <row r="221" spans="1:11" x14ac:dyDescent="0.25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8"/>
    </row>
    <row r="222" spans="1:11" x14ac:dyDescent="0.25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8"/>
    </row>
    <row r="223" spans="1:11" x14ac:dyDescent="0.25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8"/>
    </row>
    <row r="224" spans="1:11" x14ac:dyDescent="0.25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8"/>
    </row>
    <row r="225" spans="1:11" x14ac:dyDescent="0.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8"/>
    </row>
    <row r="226" spans="1:11" x14ac:dyDescent="0.25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8"/>
    </row>
    <row r="227" spans="1:11" x14ac:dyDescent="0.25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8"/>
    </row>
    <row r="228" spans="1:11" x14ac:dyDescent="0.25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8"/>
    </row>
    <row r="229" spans="1:11" x14ac:dyDescent="0.25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8"/>
    </row>
    <row r="230" spans="1:11" x14ac:dyDescent="0.25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8"/>
    </row>
    <row r="231" spans="1:11" x14ac:dyDescent="0.25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8"/>
    </row>
    <row r="232" spans="1:11" x14ac:dyDescent="0.25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8"/>
    </row>
    <row r="233" spans="1:11" x14ac:dyDescent="0.25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8"/>
    </row>
    <row r="234" spans="1:11" x14ac:dyDescent="0.25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8"/>
    </row>
    <row r="235" spans="1:11" x14ac:dyDescent="0.2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8"/>
    </row>
    <row r="236" spans="1:11" x14ac:dyDescent="0.25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8"/>
    </row>
    <row r="237" spans="1:11" x14ac:dyDescent="0.25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8"/>
    </row>
    <row r="238" spans="1:11" x14ac:dyDescent="0.25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8"/>
    </row>
    <row r="239" spans="1:11" x14ac:dyDescent="0.25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8"/>
    </row>
    <row r="240" spans="1:11" x14ac:dyDescent="0.25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8"/>
    </row>
    <row r="241" spans="1:11" x14ac:dyDescent="0.25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8"/>
    </row>
    <row r="242" spans="1:11" x14ac:dyDescent="0.25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8"/>
    </row>
    <row r="243" spans="1:11" x14ac:dyDescent="0.25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8"/>
    </row>
    <row r="244" spans="1:11" x14ac:dyDescent="0.25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8"/>
    </row>
    <row r="245" spans="1:11" x14ac:dyDescent="0.2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8"/>
    </row>
    <row r="246" spans="1:11" x14ac:dyDescent="0.25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8"/>
    </row>
    <row r="247" spans="1:11" x14ac:dyDescent="0.25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8"/>
    </row>
    <row r="248" spans="1:11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8"/>
    </row>
    <row r="249" spans="1:11" x14ac:dyDescent="0.25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8"/>
    </row>
    <row r="250" spans="1:11" x14ac:dyDescent="0.25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8"/>
    </row>
    <row r="251" spans="1:11" x14ac:dyDescent="0.25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8"/>
    </row>
    <row r="252" spans="1:11" x14ac:dyDescent="0.25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8"/>
    </row>
    <row r="253" spans="1:11" x14ac:dyDescent="0.25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8"/>
    </row>
    <row r="254" spans="1:11" x14ac:dyDescent="0.25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8"/>
    </row>
    <row r="255" spans="1:11" x14ac:dyDescent="0.2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8"/>
    </row>
    <row r="256" spans="1:11" x14ac:dyDescent="0.25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8"/>
    </row>
    <row r="257" spans="1:11" x14ac:dyDescent="0.25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8"/>
    </row>
    <row r="258" spans="1:11" x14ac:dyDescent="0.25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8"/>
    </row>
    <row r="259" spans="1:11" x14ac:dyDescent="0.25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8"/>
    </row>
    <row r="260" spans="1:11" x14ac:dyDescent="0.25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8"/>
    </row>
    <row r="261" spans="1:11" x14ac:dyDescent="0.25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8"/>
    </row>
    <row r="262" spans="1:11" x14ac:dyDescent="0.25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8"/>
    </row>
    <row r="263" spans="1:11" x14ac:dyDescent="0.25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8"/>
    </row>
    <row r="264" spans="1:11" x14ac:dyDescent="0.25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8"/>
    </row>
    <row r="265" spans="1:11" x14ac:dyDescent="0.2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8"/>
    </row>
    <row r="266" spans="1:11" x14ac:dyDescent="0.25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8"/>
    </row>
    <row r="267" spans="1:11" x14ac:dyDescent="0.25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8"/>
    </row>
    <row r="268" spans="1:11" x14ac:dyDescent="0.25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8"/>
    </row>
    <row r="269" spans="1:11" x14ac:dyDescent="0.25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8"/>
    </row>
    <row r="270" spans="1:11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8"/>
    </row>
    <row r="271" spans="1:11" x14ac:dyDescent="0.25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8"/>
    </row>
    <row r="272" spans="1:11" x14ac:dyDescent="0.25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8"/>
    </row>
    <row r="273" spans="1:11" x14ac:dyDescent="0.25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8"/>
    </row>
    <row r="274" spans="1:11" x14ac:dyDescent="0.25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8"/>
    </row>
    <row r="275" spans="1:11" x14ac:dyDescent="0.2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8"/>
    </row>
    <row r="276" spans="1:11" x14ac:dyDescent="0.25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8"/>
    </row>
    <row r="277" spans="1:11" x14ac:dyDescent="0.25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8"/>
    </row>
    <row r="278" spans="1:11" x14ac:dyDescent="0.25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8"/>
    </row>
    <row r="279" spans="1:11" x14ac:dyDescent="0.25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8"/>
    </row>
    <row r="280" spans="1:11" x14ac:dyDescent="0.25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8"/>
    </row>
    <row r="281" spans="1:11" x14ac:dyDescent="0.25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8"/>
    </row>
    <row r="282" spans="1:11" x14ac:dyDescent="0.25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8"/>
    </row>
    <row r="283" spans="1:11" x14ac:dyDescent="0.25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8"/>
    </row>
    <row r="284" spans="1:11" x14ac:dyDescent="0.25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8"/>
    </row>
    <row r="285" spans="1:11" x14ac:dyDescent="0.2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8"/>
    </row>
    <row r="286" spans="1:11" x14ac:dyDescent="0.25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8"/>
    </row>
    <row r="287" spans="1:11" x14ac:dyDescent="0.25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8"/>
    </row>
    <row r="288" spans="1:11" x14ac:dyDescent="0.25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8"/>
    </row>
    <row r="289" spans="1:11" x14ac:dyDescent="0.25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8"/>
    </row>
    <row r="290" spans="1:11" x14ac:dyDescent="0.25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8"/>
    </row>
    <row r="291" spans="1:11" x14ac:dyDescent="0.25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8"/>
    </row>
    <row r="292" spans="1:11" x14ac:dyDescent="0.25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8"/>
    </row>
    <row r="293" spans="1:11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8"/>
    </row>
    <row r="294" spans="1:11" x14ac:dyDescent="0.25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8"/>
    </row>
    <row r="295" spans="1:11" x14ac:dyDescent="0.2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8"/>
    </row>
    <row r="296" spans="1:11" x14ac:dyDescent="0.25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8"/>
    </row>
    <row r="297" spans="1:11" x14ac:dyDescent="0.25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8"/>
    </row>
    <row r="298" spans="1:11" x14ac:dyDescent="0.25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8"/>
    </row>
    <row r="299" spans="1:11" x14ac:dyDescent="0.25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8"/>
    </row>
    <row r="300" spans="1:11" x14ac:dyDescent="0.25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8"/>
    </row>
    <row r="301" spans="1:11" x14ac:dyDescent="0.25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8"/>
    </row>
    <row r="302" spans="1:11" x14ac:dyDescent="0.25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8"/>
    </row>
    <row r="303" spans="1:11" x14ac:dyDescent="0.25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8"/>
    </row>
    <row r="304" spans="1:11" x14ac:dyDescent="0.25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8"/>
    </row>
    <row r="305" spans="1:11" x14ac:dyDescent="0.2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8"/>
    </row>
    <row r="306" spans="1:11" x14ac:dyDescent="0.25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8"/>
    </row>
    <row r="307" spans="1:11" x14ac:dyDescent="0.25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8"/>
    </row>
    <row r="308" spans="1:11" x14ac:dyDescent="0.25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8"/>
    </row>
    <row r="309" spans="1:11" x14ac:dyDescent="0.25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8"/>
    </row>
    <row r="310" spans="1:11" x14ac:dyDescent="0.25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8"/>
    </row>
    <row r="311" spans="1:11" x14ac:dyDescent="0.25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8"/>
    </row>
    <row r="312" spans="1:11" x14ac:dyDescent="0.25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8"/>
    </row>
    <row r="313" spans="1:11" x14ac:dyDescent="0.25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8"/>
    </row>
    <row r="314" spans="1:11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8"/>
    </row>
    <row r="315" spans="1:11" x14ac:dyDescent="0.2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8"/>
    </row>
    <row r="316" spans="1:11" x14ac:dyDescent="0.25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8"/>
    </row>
    <row r="317" spans="1:11" x14ac:dyDescent="0.25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8"/>
    </row>
    <row r="318" spans="1:11" x14ac:dyDescent="0.25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8"/>
    </row>
    <row r="319" spans="1:11" x14ac:dyDescent="0.25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8"/>
    </row>
    <row r="320" spans="1:11" x14ac:dyDescent="0.25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8"/>
    </row>
    <row r="321" spans="1:11" x14ac:dyDescent="0.25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8"/>
    </row>
    <row r="322" spans="1:11" x14ac:dyDescent="0.25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8"/>
    </row>
    <row r="323" spans="1:11" x14ac:dyDescent="0.25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8"/>
    </row>
    <row r="324" spans="1:11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8"/>
    </row>
    <row r="325" spans="1:11" x14ac:dyDescent="0.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8"/>
    </row>
    <row r="326" spans="1:11" x14ac:dyDescent="0.25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8"/>
    </row>
    <row r="327" spans="1:11" x14ac:dyDescent="0.25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8"/>
    </row>
    <row r="328" spans="1:11" x14ac:dyDescent="0.25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8"/>
    </row>
    <row r="329" spans="1:11" x14ac:dyDescent="0.25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8"/>
    </row>
    <row r="330" spans="1:11" x14ac:dyDescent="0.25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8"/>
    </row>
    <row r="331" spans="1:11" x14ac:dyDescent="0.25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8"/>
    </row>
    <row r="332" spans="1:11" x14ac:dyDescent="0.25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8"/>
    </row>
    <row r="333" spans="1:11" x14ac:dyDescent="0.25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8"/>
    </row>
    <row r="334" spans="1:11" x14ac:dyDescent="0.25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8"/>
    </row>
    <row r="335" spans="1:11" x14ac:dyDescent="0.2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8"/>
    </row>
    <row r="336" spans="1:11" x14ac:dyDescent="0.25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8"/>
    </row>
    <row r="337" spans="1:11" x14ac:dyDescent="0.25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8"/>
    </row>
    <row r="338" spans="1:11" x14ac:dyDescent="0.25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8"/>
    </row>
    <row r="339" spans="1:11" x14ac:dyDescent="0.25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8"/>
    </row>
    <row r="340" spans="1:11" x14ac:dyDescent="0.25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8"/>
    </row>
    <row r="341" spans="1:11" x14ac:dyDescent="0.25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8"/>
    </row>
    <row r="342" spans="1:11" x14ac:dyDescent="0.25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8"/>
    </row>
    <row r="343" spans="1:11" x14ac:dyDescent="0.25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8"/>
    </row>
    <row r="344" spans="1:11" x14ac:dyDescent="0.25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8"/>
    </row>
    <row r="345" spans="1:11" x14ac:dyDescent="0.2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8"/>
    </row>
    <row r="346" spans="1:11" x14ac:dyDescent="0.25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8"/>
    </row>
    <row r="347" spans="1:11" x14ac:dyDescent="0.25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8"/>
    </row>
    <row r="348" spans="1:11" x14ac:dyDescent="0.25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8"/>
    </row>
    <row r="349" spans="1:11" x14ac:dyDescent="0.25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8"/>
    </row>
    <row r="350" spans="1:11" x14ac:dyDescent="0.25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8"/>
    </row>
    <row r="351" spans="1:11" x14ac:dyDescent="0.25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8"/>
    </row>
    <row r="352" spans="1:11" x14ac:dyDescent="0.25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8"/>
    </row>
    <row r="353" spans="1:11" x14ac:dyDescent="0.25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8"/>
    </row>
    <row r="354" spans="1:11" x14ac:dyDescent="0.25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8"/>
    </row>
    <row r="355" spans="1:11" x14ac:dyDescent="0.2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8"/>
    </row>
    <row r="356" spans="1:11" x14ac:dyDescent="0.25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8"/>
    </row>
    <row r="357" spans="1:11" x14ac:dyDescent="0.25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8"/>
    </row>
    <row r="358" spans="1:11" x14ac:dyDescent="0.25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8"/>
    </row>
    <row r="359" spans="1:11" x14ac:dyDescent="0.25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8"/>
    </row>
    <row r="360" spans="1:11" x14ac:dyDescent="0.25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8"/>
    </row>
    <row r="361" spans="1:11" x14ac:dyDescent="0.25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8"/>
    </row>
    <row r="362" spans="1:11" x14ac:dyDescent="0.25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8"/>
    </row>
    <row r="363" spans="1:11" x14ac:dyDescent="0.25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8"/>
    </row>
    <row r="364" spans="1:11" x14ac:dyDescent="0.25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8"/>
    </row>
    <row r="365" spans="1:11" x14ac:dyDescent="0.2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8"/>
    </row>
    <row r="366" spans="1:11" x14ac:dyDescent="0.25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8"/>
    </row>
    <row r="367" spans="1:11" x14ac:dyDescent="0.25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8"/>
    </row>
    <row r="368" spans="1:11" x14ac:dyDescent="0.25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8"/>
    </row>
    <row r="369" spans="1:11" x14ac:dyDescent="0.25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8"/>
    </row>
    <row r="370" spans="1:11" x14ac:dyDescent="0.25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8"/>
    </row>
    <row r="371" spans="1:11" x14ac:dyDescent="0.25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8"/>
    </row>
    <row r="372" spans="1:11" x14ac:dyDescent="0.25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8"/>
    </row>
    <row r="373" spans="1:11" x14ac:dyDescent="0.25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8"/>
    </row>
    <row r="374" spans="1:11" x14ac:dyDescent="0.25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8"/>
    </row>
    <row r="375" spans="1:11" x14ac:dyDescent="0.2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8"/>
    </row>
    <row r="376" spans="1:11" x14ac:dyDescent="0.25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8"/>
    </row>
    <row r="377" spans="1:11" x14ac:dyDescent="0.25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8"/>
    </row>
    <row r="378" spans="1:11" x14ac:dyDescent="0.25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8"/>
    </row>
    <row r="379" spans="1:11" x14ac:dyDescent="0.25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8"/>
    </row>
    <row r="380" spans="1:11" x14ac:dyDescent="0.25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8"/>
    </row>
    <row r="381" spans="1:11" x14ac:dyDescent="0.25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8"/>
    </row>
    <row r="382" spans="1:11" x14ac:dyDescent="0.25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8"/>
    </row>
    <row r="383" spans="1:11" x14ac:dyDescent="0.25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8"/>
    </row>
    <row r="384" spans="1:11" x14ac:dyDescent="0.25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8"/>
    </row>
    <row r="385" spans="1:11" x14ac:dyDescent="0.2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8"/>
    </row>
    <row r="386" spans="1:11" x14ac:dyDescent="0.25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8"/>
    </row>
    <row r="387" spans="1:11" x14ac:dyDescent="0.25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8"/>
    </row>
    <row r="388" spans="1:11" x14ac:dyDescent="0.25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8"/>
    </row>
    <row r="389" spans="1:11" x14ac:dyDescent="0.25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8"/>
    </row>
    <row r="390" spans="1:11" x14ac:dyDescent="0.25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8"/>
    </row>
    <row r="391" spans="1:11" x14ac:dyDescent="0.25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8"/>
    </row>
    <row r="392" spans="1:11" x14ac:dyDescent="0.25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8"/>
    </row>
    <row r="393" spans="1:11" x14ac:dyDescent="0.25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8"/>
    </row>
    <row r="394" spans="1:11" x14ac:dyDescent="0.25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8"/>
    </row>
    <row r="395" spans="1:11" x14ac:dyDescent="0.2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8"/>
    </row>
    <row r="396" spans="1:11" x14ac:dyDescent="0.25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8"/>
    </row>
    <row r="397" spans="1:11" x14ac:dyDescent="0.25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8"/>
    </row>
    <row r="398" spans="1:11" x14ac:dyDescent="0.25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8"/>
    </row>
    <row r="399" spans="1:11" x14ac:dyDescent="0.25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8"/>
    </row>
    <row r="400" spans="1:11" x14ac:dyDescent="0.25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8"/>
    </row>
    <row r="401" spans="1:11" x14ac:dyDescent="0.25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8"/>
    </row>
    <row r="402" spans="1:11" x14ac:dyDescent="0.25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8"/>
    </row>
    <row r="403" spans="1:11" x14ac:dyDescent="0.25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8"/>
    </row>
    <row r="404" spans="1:11" x14ac:dyDescent="0.25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8"/>
    </row>
    <row r="405" spans="1:11" x14ac:dyDescent="0.2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8"/>
    </row>
    <row r="406" spans="1:11" x14ac:dyDescent="0.25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8"/>
    </row>
    <row r="407" spans="1:11" x14ac:dyDescent="0.25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8"/>
    </row>
    <row r="408" spans="1:11" x14ac:dyDescent="0.25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8"/>
    </row>
    <row r="409" spans="1:11" x14ac:dyDescent="0.25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8"/>
    </row>
    <row r="410" spans="1:11" x14ac:dyDescent="0.25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8"/>
    </row>
    <row r="411" spans="1:11" x14ac:dyDescent="0.25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8"/>
    </row>
    <row r="412" spans="1:11" x14ac:dyDescent="0.25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8"/>
    </row>
    <row r="413" spans="1:11" x14ac:dyDescent="0.25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8"/>
    </row>
    <row r="414" spans="1:11" x14ac:dyDescent="0.25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8"/>
    </row>
    <row r="415" spans="1:11" x14ac:dyDescent="0.2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8"/>
    </row>
    <row r="416" spans="1:11" x14ac:dyDescent="0.25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8"/>
    </row>
    <row r="417" spans="1:11" x14ac:dyDescent="0.25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8"/>
    </row>
    <row r="418" spans="1:11" x14ac:dyDescent="0.25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8"/>
    </row>
    <row r="419" spans="1:11" x14ac:dyDescent="0.25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8"/>
    </row>
    <row r="420" spans="1:11" x14ac:dyDescent="0.25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8"/>
    </row>
    <row r="421" spans="1:11" x14ac:dyDescent="0.25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8"/>
    </row>
    <row r="422" spans="1:11" x14ac:dyDescent="0.25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8"/>
    </row>
    <row r="423" spans="1:11" x14ac:dyDescent="0.25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8"/>
    </row>
    <row r="424" spans="1:11" x14ac:dyDescent="0.25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8"/>
    </row>
    <row r="425" spans="1:11" x14ac:dyDescent="0.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8"/>
    </row>
    <row r="426" spans="1:11" x14ac:dyDescent="0.25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8"/>
    </row>
    <row r="427" spans="1:11" x14ac:dyDescent="0.25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8"/>
    </row>
    <row r="428" spans="1:11" x14ac:dyDescent="0.25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8"/>
    </row>
    <row r="429" spans="1:11" x14ac:dyDescent="0.25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8"/>
    </row>
    <row r="430" spans="1:11" x14ac:dyDescent="0.25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8"/>
    </row>
    <row r="431" spans="1:11" x14ac:dyDescent="0.25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8"/>
    </row>
    <row r="432" spans="1:11" x14ac:dyDescent="0.25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8"/>
    </row>
    <row r="433" spans="1:11" x14ac:dyDescent="0.25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8"/>
    </row>
    <row r="434" spans="1:11" x14ac:dyDescent="0.25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8"/>
    </row>
    <row r="435" spans="1:11" x14ac:dyDescent="0.2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8"/>
    </row>
    <row r="436" spans="1:11" x14ac:dyDescent="0.25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8"/>
    </row>
    <row r="437" spans="1:11" x14ac:dyDescent="0.25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8"/>
    </row>
    <row r="438" spans="1:11" x14ac:dyDescent="0.25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8"/>
    </row>
    <row r="439" spans="1:11" x14ac:dyDescent="0.25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8"/>
    </row>
    <row r="440" spans="1:11" x14ac:dyDescent="0.25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8"/>
    </row>
    <row r="441" spans="1:11" x14ac:dyDescent="0.25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8"/>
    </row>
    <row r="442" spans="1:11" x14ac:dyDescent="0.25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8"/>
    </row>
    <row r="443" spans="1:11" x14ac:dyDescent="0.25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8"/>
    </row>
    <row r="444" spans="1:11" x14ac:dyDescent="0.25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8"/>
    </row>
    <row r="445" spans="1:11" x14ac:dyDescent="0.2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8"/>
    </row>
    <row r="446" spans="1:11" x14ac:dyDescent="0.25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8"/>
    </row>
    <row r="447" spans="1:11" x14ac:dyDescent="0.25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8"/>
    </row>
    <row r="448" spans="1:11" x14ac:dyDescent="0.25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8"/>
    </row>
    <row r="449" spans="1:11" x14ac:dyDescent="0.25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8"/>
    </row>
    <row r="450" spans="1:11" x14ac:dyDescent="0.25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8"/>
    </row>
    <row r="451" spans="1:11" x14ac:dyDescent="0.25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8"/>
    </row>
    <row r="452" spans="1:11" x14ac:dyDescent="0.25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8"/>
    </row>
    <row r="453" spans="1:11" x14ac:dyDescent="0.25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8"/>
    </row>
    <row r="454" spans="1:11" x14ac:dyDescent="0.25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8"/>
    </row>
    <row r="455" spans="1:11" x14ac:dyDescent="0.2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8"/>
    </row>
    <row r="456" spans="1:11" x14ac:dyDescent="0.25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8"/>
    </row>
    <row r="457" spans="1:11" x14ac:dyDescent="0.25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8"/>
    </row>
    <row r="458" spans="1:11" x14ac:dyDescent="0.25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8"/>
    </row>
    <row r="459" spans="1:11" x14ac:dyDescent="0.25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8"/>
    </row>
    <row r="460" spans="1:11" x14ac:dyDescent="0.25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8"/>
    </row>
    <row r="461" spans="1:11" x14ac:dyDescent="0.25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8"/>
    </row>
    <row r="462" spans="1:11" x14ac:dyDescent="0.25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8"/>
    </row>
    <row r="463" spans="1:11" x14ac:dyDescent="0.25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8"/>
    </row>
    <row r="464" spans="1:11" x14ac:dyDescent="0.25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8"/>
    </row>
    <row r="465" spans="1:11" x14ac:dyDescent="0.2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8"/>
    </row>
    <row r="466" spans="1:11" x14ac:dyDescent="0.25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8"/>
    </row>
    <row r="467" spans="1:11" x14ac:dyDescent="0.25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8"/>
    </row>
    <row r="468" spans="1:11" x14ac:dyDescent="0.25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8"/>
    </row>
    <row r="469" spans="1:11" x14ac:dyDescent="0.25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8"/>
    </row>
    <row r="470" spans="1:11" x14ac:dyDescent="0.25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8"/>
    </row>
    <row r="471" spans="1:11" x14ac:dyDescent="0.25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8"/>
    </row>
    <row r="472" spans="1:11" x14ac:dyDescent="0.25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8"/>
    </row>
    <row r="473" spans="1:11" x14ac:dyDescent="0.25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8"/>
    </row>
    <row r="474" spans="1:11" x14ac:dyDescent="0.25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8"/>
    </row>
    <row r="475" spans="1:11" x14ac:dyDescent="0.2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8"/>
    </row>
    <row r="476" spans="1:11" x14ac:dyDescent="0.25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8"/>
    </row>
    <row r="477" spans="1:11" x14ac:dyDescent="0.25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8"/>
    </row>
    <row r="478" spans="1:11" x14ac:dyDescent="0.25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8"/>
    </row>
    <row r="479" spans="1:11" x14ac:dyDescent="0.25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8"/>
    </row>
    <row r="480" spans="1:11" x14ac:dyDescent="0.25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8"/>
    </row>
    <row r="481" spans="1:11" x14ac:dyDescent="0.25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8"/>
    </row>
    <row r="482" spans="1:11" x14ac:dyDescent="0.25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8"/>
    </row>
    <row r="483" spans="1:11" x14ac:dyDescent="0.25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8"/>
    </row>
    <row r="484" spans="1:11" x14ac:dyDescent="0.25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8"/>
    </row>
    <row r="485" spans="1:11" x14ac:dyDescent="0.2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8"/>
    </row>
    <row r="486" spans="1:11" x14ac:dyDescent="0.25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8"/>
    </row>
    <row r="487" spans="1:11" x14ac:dyDescent="0.25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8"/>
    </row>
    <row r="488" spans="1:11" x14ac:dyDescent="0.25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8"/>
    </row>
    <row r="489" spans="1:11" x14ac:dyDescent="0.25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8"/>
    </row>
    <row r="490" spans="1:11" x14ac:dyDescent="0.25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8"/>
    </row>
    <row r="491" spans="1:11" x14ac:dyDescent="0.25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8"/>
    </row>
    <row r="492" spans="1:11" x14ac:dyDescent="0.25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8"/>
    </row>
    <row r="493" spans="1:11" x14ac:dyDescent="0.25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8"/>
    </row>
    <row r="494" spans="1:11" x14ac:dyDescent="0.25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8"/>
    </row>
    <row r="495" spans="1:11" x14ac:dyDescent="0.2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8"/>
    </row>
    <row r="496" spans="1:11" x14ac:dyDescent="0.25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8"/>
    </row>
    <row r="497" spans="1:11" x14ac:dyDescent="0.25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8"/>
    </row>
    <row r="498" spans="1:11" x14ac:dyDescent="0.25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8"/>
    </row>
    <row r="499" spans="1:11" x14ac:dyDescent="0.25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8"/>
    </row>
    <row r="500" spans="1:11" x14ac:dyDescent="0.25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8"/>
    </row>
    <row r="501" spans="1:11" x14ac:dyDescent="0.25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8"/>
    </row>
    <row r="502" spans="1:11" x14ac:dyDescent="0.25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8"/>
    </row>
    <row r="503" spans="1:11" x14ac:dyDescent="0.25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8"/>
    </row>
    <row r="504" spans="1:11" x14ac:dyDescent="0.25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8"/>
    </row>
    <row r="505" spans="1:11" x14ac:dyDescent="0.2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8"/>
    </row>
    <row r="506" spans="1:11" x14ac:dyDescent="0.25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8"/>
    </row>
    <row r="507" spans="1:11" x14ac:dyDescent="0.25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8"/>
    </row>
    <row r="508" spans="1:11" x14ac:dyDescent="0.25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8"/>
    </row>
    <row r="509" spans="1:11" x14ac:dyDescent="0.25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8"/>
    </row>
    <row r="510" spans="1:11" x14ac:dyDescent="0.25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8"/>
    </row>
    <row r="511" spans="1:11" x14ac:dyDescent="0.25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8"/>
    </row>
    <row r="512" spans="1:11" x14ac:dyDescent="0.25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8"/>
    </row>
    <row r="513" spans="1:11" x14ac:dyDescent="0.25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8"/>
    </row>
    <row r="514" spans="1:11" x14ac:dyDescent="0.25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8"/>
    </row>
    <row r="515" spans="1:11" x14ac:dyDescent="0.2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8"/>
    </row>
    <row r="516" spans="1:11" x14ac:dyDescent="0.25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8"/>
    </row>
    <row r="517" spans="1:11" x14ac:dyDescent="0.25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8"/>
    </row>
    <row r="518" spans="1:11" x14ac:dyDescent="0.25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8"/>
    </row>
    <row r="519" spans="1:11" x14ac:dyDescent="0.25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8"/>
    </row>
    <row r="520" spans="1:11" x14ac:dyDescent="0.25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8"/>
    </row>
    <row r="521" spans="1:11" x14ac:dyDescent="0.25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8"/>
    </row>
    <row r="522" spans="1:11" x14ac:dyDescent="0.25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8"/>
    </row>
    <row r="523" spans="1:11" x14ac:dyDescent="0.25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8"/>
    </row>
    <row r="524" spans="1:11" x14ac:dyDescent="0.25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8"/>
    </row>
    <row r="525" spans="1:11" x14ac:dyDescent="0.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8"/>
    </row>
    <row r="526" spans="1:11" x14ac:dyDescent="0.25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8"/>
    </row>
    <row r="527" spans="1:11" x14ac:dyDescent="0.25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8"/>
    </row>
    <row r="528" spans="1:11" x14ac:dyDescent="0.25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8"/>
    </row>
    <row r="529" spans="1:11" x14ac:dyDescent="0.25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8"/>
    </row>
    <row r="530" spans="1:11" x14ac:dyDescent="0.25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8"/>
    </row>
    <row r="531" spans="1:11" x14ac:dyDescent="0.25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8"/>
    </row>
    <row r="532" spans="1:11" x14ac:dyDescent="0.25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8"/>
    </row>
    <row r="533" spans="1:11" x14ac:dyDescent="0.25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8"/>
    </row>
    <row r="534" spans="1:11" x14ac:dyDescent="0.25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8"/>
    </row>
    <row r="535" spans="1:11" x14ac:dyDescent="0.2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8"/>
    </row>
    <row r="536" spans="1:11" x14ac:dyDescent="0.25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8"/>
    </row>
    <row r="537" spans="1:11" x14ac:dyDescent="0.25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8"/>
    </row>
    <row r="538" spans="1:11" x14ac:dyDescent="0.25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8"/>
    </row>
    <row r="539" spans="1:11" x14ac:dyDescent="0.25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8"/>
    </row>
    <row r="540" spans="1:11" x14ac:dyDescent="0.25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8"/>
    </row>
    <row r="541" spans="1:11" x14ac:dyDescent="0.25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8"/>
    </row>
    <row r="542" spans="1:11" x14ac:dyDescent="0.25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8"/>
    </row>
    <row r="543" spans="1:11" x14ac:dyDescent="0.25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8"/>
    </row>
    <row r="544" spans="1:11" x14ac:dyDescent="0.25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8"/>
    </row>
    <row r="545" spans="1:11" x14ac:dyDescent="0.2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8"/>
    </row>
    <row r="546" spans="1:11" x14ac:dyDescent="0.25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8"/>
    </row>
    <row r="547" spans="1:11" x14ac:dyDescent="0.25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8"/>
    </row>
    <row r="548" spans="1:11" x14ac:dyDescent="0.25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8"/>
    </row>
    <row r="549" spans="1:11" x14ac:dyDescent="0.25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8"/>
    </row>
    <row r="550" spans="1:11" x14ac:dyDescent="0.25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8"/>
    </row>
    <row r="551" spans="1:11" x14ac:dyDescent="0.25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8"/>
    </row>
    <row r="552" spans="1:11" x14ac:dyDescent="0.25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8"/>
    </row>
    <row r="553" spans="1:11" x14ac:dyDescent="0.25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8"/>
    </row>
    <row r="554" spans="1:11" x14ac:dyDescent="0.25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8"/>
    </row>
    <row r="555" spans="1:11" x14ac:dyDescent="0.2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8"/>
    </row>
    <row r="556" spans="1:11" x14ac:dyDescent="0.25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8"/>
    </row>
    <row r="557" spans="1:11" x14ac:dyDescent="0.25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8"/>
    </row>
    <row r="558" spans="1:11" x14ac:dyDescent="0.25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8"/>
    </row>
    <row r="559" spans="1:11" x14ac:dyDescent="0.25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8"/>
    </row>
    <row r="560" spans="1:11" x14ac:dyDescent="0.25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8"/>
    </row>
    <row r="561" spans="1:11" x14ac:dyDescent="0.25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8"/>
    </row>
    <row r="562" spans="1:11" x14ac:dyDescent="0.25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8"/>
    </row>
    <row r="563" spans="1:11" x14ac:dyDescent="0.25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8"/>
    </row>
    <row r="564" spans="1:11" x14ac:dyDescent="0.25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8"/>
    </row>
    <row r="565" spans="1:11" x14ac:dyDescent="0.2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8"/>
    </row>
    <row r="566" spans="1:11" x14ac:dyDescent="0.25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8"/>
    </row>
    <row r="567" spans="1:11" x14ac:dyDescent="0.25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8"/>
    </row>
    <row r="568" spans="1:11" x14ac:dyDescent="0.25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8"/>
    </row>
    <row r="569" spans="1:11" x14ac:dyDescent="0.25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8"/>
    </row>
    <row r="570" spans="1:11" x14ac:dyDescent="0.25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8"/>
    </row>
    <row r="571" spans="1:11" x14ac:dyDescent="0.25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8"/>
    </row>
    <row r="572" spans="1:11" x14ac:dyDescent="0.25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8"/>
    </row>
    <row r="573" spans="1:11" x14ac:dyDescent="0.25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8"/>
    </row>
    <row r="574" spans="1:11" x14ac:dyDescent="0.25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8"/>
    </row>
    <row r="575" spans="1:11" x14ac:dyDescent="0.2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8"/>
    </row>
    <row r="576" spans="1:11" x14ac:dyDescent="0.25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8"/>
    </row>
    <row r="577" spans="1:11" x14ac:dyDescent="0.25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8"/>
    </row>
    <row r="578" spans="1:11" x14ac:dyDescent="0.25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8"/>
    </row>
    <row r="579" spans="1:11" x14ac:dyDescent="0.25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8"/>
    </row>
    <row r="580" spans="1:11" x14ac:dyDescent="0.25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8"/>
    </row>
    <row r="581" spans="1:11" x14ac:dyDescent="0.25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8"/>
    </row>
    <row r="582" spans="1:11" x14ac:dyDescent="0.25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8"/>
    </row>
    <row r="583" spans="1:11" x14ac:dyDescent="0.25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8"/>
    </row>
    <row r="584" spans="1:11" x14ac:dyDescent="0.25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8"/>
    </row>
    <row r="585" spans="1:11" x14ac:dyDescent="0.2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8"/>
    </row>
    <row r="586" spans="1:11" x14ac:dyDescent="0.25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8"/>
    </row>
    <row r="587" spans="1:11" x14ac:dyDescent="0.25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8"/>
    </row>
    <row r="588" spans="1:11" x14ac:dyDescent="0.25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8"/>
    </row>
    <row r="589" spans="1:11" x14ac:dyDescent="0.25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8"/>
    </row>
    <row r="590" spans="1:11" x14ac:dyDescent="0.25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8"/>
    </row>
    <row r="591" spans="1:11" x14ac:dyDescent="0.25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8"/>
    </row>
    <row r="592" spans="1:11" x14ac:dyDescent="0.25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8"/>
    </row>
    <row r="593" spans="1:11" x14ac:dyDescent="0.25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8"/>
    </row>
    <row r="594" spans="1:11" x14ac:dyDescent="0.25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8"/>
    </row>
    <row r="595" spans="1:11" x14ac:dyDescent="0.2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8"/>
    </row>
    <row r="596" spans="1:11" x14ac:dyDescent="0.25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8"/>
    </row>
    <row r="597" spans="1:11" x14ac:dyDescent="0.25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8"/>
    </row>
    <row r="598" spans="1:11" x14ac:dyDescent="0.25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8"/>
    </row>
    <row r="599" spans="1:11" x14ac:dyDescent="0.25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8"/>
    </row>
    <row r="600" spans="1:11" x14ac:dyDescent="0.25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8"/>
    </row>
    <row r="601" spans="1:11" x14ac:dyDescent="0.25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8"/>
    </row>
    <row r="602" spans="1:11" x14ac:dyDescent="0.25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8"/>
    </row>
    <row r="603" spans="1:11" x14ac:dyDescent="0.25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8"/>
    </row>
    <row r="604" spans="1:11" x14ac:dyDescent="0.25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8"/>
    </row>
    <row r="605" spans="1:11" x14ac:dyDescent="0.2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8"/>
    </row>
    <row r="606" spans="1:11" x14ac:dyDescent="0.25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8"/>
    </row>
    <row r="607" spans="1:11" x14ac:dyDescent="0.25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8"/>
    </row>
    <row r="608" spans="1:11" x14ac:dyDescent="0.25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8"/>
    </row>
    <row r="609" spans="1:11" x14ac:dyDescent="0.25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8"/>
    </row>
    <row r="610" spans="1:11" x14ac:dyDescent="0.25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8"/>
    </row>
    <row r="611" spans="1:11" x14ac:dyDescent="0.25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8"/>
    </row>
    <row r="612" spans="1:11" x14ac:dyDescent="0.25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8"/>
    </row>
    <row r="613" spans="1:11" x14ac:dyDescent="0.25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8"/>
    </row>
    <row r="614" spans="1:11" x14ac:dyDescent="0.25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8"/>
    </row>
    <row r="615" spans="1:11" x14ac:dyDescent="0.2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8"/>
    </row>
    <row r="616" spans="1:11" x14ac:dyDescent="0.25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8"/>
    </row>
    <row r="617" spans="1:11" x14ac:dyDescent="0.25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8"/>
    </row>
    <row r="618" spans="1:11" x14ac:dyDescent="0.25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8"/>
    </row>
    <row r="619" spans="1:11" x14ac:dyDescent="0.25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8"/>
    </row>
    <row r="620" spans="1:11" x14ac:dyDescent="0.25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8"/>
    </row>
    <row r="621" spans="1:11" x14ac:dyDescent="0.25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8"/>
    </row>
    <row r="622" spans="1:11" x14ac:dyDescent="0.25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8"/>
    </row>
    <row r="623" spans="1:11" x14ac:dyDescent="0.25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8"/>
    </row>
    <row r="624" spans="1:11" x14ac:dyDescent="0.25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8"/>
    </row>
    <row r="625" spans="1:11" x14ac:dyDescent="0.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8"/>
    </row>
    <row r="626" spans="1:11" x14ac:dyDescent="0.25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8"/>
    </row>
    <row r="627" spans="1:11" x14ac:dyDescent="0.25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8"/>
    </row>
    <row r="628" spans="1:11" x14ac:dyDescent="0.25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8"/>
    </row>
    <row r="629" spans="1:11" x14ac:dyDescent="0.25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8"/>
    </row>
    <row r="630" spans="1:11" x14ac:dyDescent="0.25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8"/>
    </row>
    <row r="631" spans="1:11" x14ac:dyDescent="0.25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8"/>
    </row>
    <row r="632" spans="1:11" x14ac:dyDescent="0.25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8"/>
    </row>
    <row r="633" spans="1:11" x14ac:dyDescent="0.25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8"/>
    </row>
    <row r="634" spans="1:11" x14ac:dyDescent="0.25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8"/>
    </row>
    <row r="635" spans="1:11" x14ac:dyDescent="0.2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8"/>
    </row>
    <row r="636" spans="1:11" x14ac:dyDescent="0.25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8"/>
    </row>
    <row r="637" spans="1:11" x14ac:dyDescent="0.25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8"/>
    </row>
    <row r="638" spans="1:11" x14ac:dyDescent="0.25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8"/>
    </row>
    <row r="639" spans="1:11" x14ac:dyDescent="0.25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8"/>
    </row>
    <row r="640" spans="1:11" x14ac:dyDescent="0.25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8"/>
    </row>
    <row r="641" spans="1:11" x14ac:dyDescent="0.25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8"/>
    </row>
    <row r="642" spans="1:11" x14ac:dyDescent="0.25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8"/>
    </row>
    <row r="643" spans="1:11" x14ac:dyDescent="0.25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8"/>
    </row>
    <row r="644" spans="1:11" x14ac:dyDescent="0.25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8"/>
    </row>
    <row r="645" spans="1:11" x14ac:dyDescent="0.2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8"/>
    </row>
    <row r="646" spans="1:11" x14ac:dyDescent="0.25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8"/>
    </row>
    <row r="647" spans="1:11" x14ac:dyDescent="0.25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8"/>
    </row>
    <row r="648" spans="1:11" x14ac:dyDescent="0.25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8"/>
    </row>
    <row r="649" spans="1:11" x14ac:dyDescent="0.25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8"/>
    </row>
    <row r="650" spans="1:11" x14ac:dyDescent="0.25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8"/>
    </row>
    <row r="651" spans="1:11" x14ac:dyDescent="0.25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8"/>
    </row>
    <row r="652" spans="1:11" x14ac:dyDescent="0.25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8"/>
    </row>
    <row r="653" spans="1:11" x14ac:dyDescent="0.25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8"/>
    </row>
    <row r="654" spans="1:11" x14ac:dyDescent="0.25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8"/>
    </row>
    <row r="655" spans="1:11" x14ac:dyDescent="0.2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8"/>
    </row>
    <row r="656" spans="1:11" x14ac:dyDescent="0.25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8"/>
    </row>
    <row r="657" spans="1:11" x14ac:dyDescent="0.25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8"/>
    </row>
    <row r="658" spans="1:11" x14ac:dyDescent="0.25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8"/>
    </row>
    <row r="659" spans="1:11" x14ac:dyDescent="0.25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8"/>
    </row>
    <row r="660" spans="1:11" x14ac:dyDescent="0.25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8"/>
    </row>
    <row r="661" spans="1:11" x14ac:dyDescent="0.25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8"/>
    </row>
    <row r="662" spans="1:11" x14ac:dyDescent="0.25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8"/>
    </row>
    <row r="663" spans="1:11" x14ac:dyDescent="0.25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8"/>
    </row>
    <row r="664" spans="1:11" x14ac:dyDescent="0.25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8"/>
    </row>
    <row r="665" spans="1:11" x14ac:dyDescent="0.2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8"/>
    </row>
    <row r="666" spans="1:11" x14ac:dyDescent="0.25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8"/>
    </row>
    <row r="667" spans="1:11" x14ac:dyDescent="0.25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8"/>
    </row>
    <row r="668" spans="1:11" x14ac:dyDescent="0.25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8"/>
    </row>
    <row r="669" spans="1:11" x14ac:dyDescent="0.25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8"/>
    </row>
    <row r="670" spans="1:11" x14ac:dyDescent="0.25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8"/>
    </row>
    <row r="671" spans="1:11" x14ac:dyDescent="0.25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8"/>
    </row>
    <row r="672" spans="1:11" x14ac:dyDescent="0.25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8"/>
    </row>
    <row r="673" spans="1:11" x14ac:dyDescent="0.25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8"/>
    </row>
    <row r="674" spans="1:11" x14ac:dyDescent="0.25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8"/>
    </row>
    <row r="675" spans="1:11" x14ac:dyDescent="0.2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8"/>
    </row>
    <row r="676" spans="1:11" x14ac:dyDescent="0.25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8"/>
    </row>
    <row r="677" spans="1:11" x14ac:dyDescent="0.25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8"/>
    </row>
    <row r="678" spans="1:11" x14ac:dyDescent="0.25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8"/>
    </row>
    <row r="679" spans="1:11" x14ac:dyDescent="0.25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8"/>
    </row>
    <row r="680" spans="1:11" x14ac:dyDescent="0.25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8"/>
    </row>
    <row r="681" spans="1:11" x14ac:dyDescent="0.25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8"/>
    </row>
    <row r="682" spans="1:11" x14ac:dyDescent="0.25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8"/>
    </row>
    <row r="683" spans="1:11" x14ac:dyDescent="0.25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8"/>
    </row>
    <row r="684" spans="1:11" x14ac:dyDescent="0.25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8"/>
    </row>
    <row r="685" spans="1:11" x14ac:dyDescent="0.2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8"/>
    </row>
    <row r="686" spans="1:11" x14ac:dyDescent="0.25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8"/>
    </row>
    <row r="687" spans="1:11" x14ac:dyDescent="0.25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8"/>
    </row>
    <row r="688" spans="1:11" x14ac:dyDescent="0.25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8"/>
    </row>
    <row r="689" spans="1:11" x14ac:dyDescent="0.25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8"/>
    </row>
    <row r="690" spans="1:11" x14ac:dyDescent="0.25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8"/>
    </row>
    <row r="691" spans="1:11" x14ac:dyDescent="0.25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8"/>
    </row>
    <row r="692" spans="1:11" x14ac:dyDescent="0.25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8"/>
    </row>
    <row r="693" spans="1:11" x14ac:dyDescent="0.25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8"/>
    </row>
    <row r="694" spans="1:11" x14ac:dyDescent="0.25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8"/>
    </row>
    <row r="695" spans="1:11" x14ac:dyDescent="0.2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8"/>
    </row>
    <row r="696" spans="1:11" x14ac:dyDescent="0.25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8"/>
    </row>
    <row r="697" spans="1:11" x14ac:dyDescent="0.25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8"/>
    </row>
    <row r="698" spans="1:11" x14ac:dyDescent="0.25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8"/>
    </row>
    <row r="699" spans="1:11" x14ac:dyDescent="0.25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8"/>
    </row>
    <row r="700" spans="1:11" x14ac:dyDescent="0.25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8"/>
    </row>
    <row r="701" spans="1:11" x14ac:dyDescent="0.25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8"/>
    </row>
    <row r="702" spans="1:11" x14ac:dyDescent="0.25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8"/>
    </row>
    <row r="703" spans="1:11" x14ac:dyDescent="0.25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8"/>
    </row>
    <row r="704" spans="1:11" x14ac:dyDescent="0.25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8"/>
    </row>
    <row r="705" spans="1:11" x14ac:dyDescent="0.2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8"/>
    </row>
    <row r="706" spans="1:11" x14ac:dyDescent="0.25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8"/>
    </row>
    <row r="707" spans="1:11" x14ac:dyDescent="0.25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8"/>
    </row>
    <row r="708" spans="1:11" x14ac:dyDescent="0.25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8"/>
    </row>
    <row r="709" spans="1:11" x14ac:dyDescent="0.25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8"/>
    </row>
    <row r="710" spans="1:11" x14ac:dyDescent="0.25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8"/>
    </row>
    <row r="711" spans="1:11" x14ac:dyDescent="0.25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8"/>
    </row>
    <row r="712" spans="1:11" x14ac:dyDescent="0.25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8"/>
    </row>
    <row r="713" spans="1:11" x14ac:dyDescent="0.25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8"/>
    </row>
    <row r="714" spans="1:11" x14ac:dyDescent="0.25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8"/>
    </row>
    <row r="715" spans="1:11" x14ac:dyDescent="0.2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8"/>
    </row>
    <row r="716" spans="1:11" x14ac:dyDescent="0.25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8"/>
    </row>
    <row r="717" spans="1:11" x14ac:dyDescent="0.25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8"/>
    </row>
    <row r="718" spans="1:11" x14ac:dyDescent="0.25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8"/>
    </row>
    <row r="719" spans="1:11" x14ac:dyDescent="0.25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8"/>
    </row>
    <row r="720" spans="1:11" x14ac:dyDescent="0.25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8"/>
    </row>
    <row r="721" spans="1:11" x14ac:dyDescent="0.25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8"/>
    </row>
    <row r="722" spans="1:11" x14ac:dyDescent="0.25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8"/>
    </row>
    <row r="723" spans="1:11" x14ac:dyDescent="0.25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8"/>
    </row>
    <row r="724" spans="1:11" x14ac:dyDescent="0.25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8"/>
    </row>
    <row r="725" spans="1:11" x14ac:dyDescent="0.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8"/>
    </row>
    <row r="726" spans="1:11" x14ac:dyDescent="0.25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8"/>
    </row>
    <row r="727" spans="1:11" x14ac:dyDescent="0.25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8"/>
    </row>
    <row r="728" spans="1:11" x14ac:dyDescent="0.25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8"/>
    </row>
    <row r="729" spans="1:11" x14ac:dyDescent="0.25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8"/>
    </row>
    <row r="730" spans="1:11" x14ac:dyDescent="0.25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8"/>
    </row>
    <row r="731" spans="1:11" x14ac:dyDescent="0.25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8"/>
    </row>
    <row r="732" spans="1:11" x14ac:dyDescent="0.25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8"/>
    </row>
    <row r="733" spans="1:11" x14ac:dyDescent="0.25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8"/>
    </row>
    <row r="734" spans="1:11" x14ac:dyDescent="0.25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8"/>
    </row>
    <row r="735" spans="1:11" x14ac:dyDescent="0.2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8"/>
    </row>
    <row r="736" spans="1:11" x14ac:dyDescent="0.25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8"/>
    </row>
    <row r="737" spans="1:11" x14ac:dyDescent="0.25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8"/>
    </row>
    <row r="738" spans="1:11" x14ac:dyDescent="0.25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8"/>
    </row>
    <row r="739" spans="1:11" x14ac:dyDescent="0.25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8"/>
    </row>
    <row r="740" spans="1:11" x14ac:dyDescent="0.25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8"/>
    </row>
    <row r="741" spans="1:11" x14ac:dyDescent="0.25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8"/>
    </row>
    <row r="742" spans="1:11" x14ac:dyDescent="0.25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8"/>
    </row>
    <row r="743" spans="1:11" x14ac:dyDescent="0.25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8"/>
    </row>
    <row r="744" spans="1:11" x14ac:dyDescent="0.25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8"/>
    </row>
    <row r="745" spans="1:11" x14ac:dyDescent="0.2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8"/>
    </row>
    <row r="746" spans="1:11" x14ac:dyDescent="0.25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8"/>
    </row>
    <row r="747" spans="1:11" x14ac:dyDescent="0.25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8"/>
    </row>
    <row r="748" spans="1:11" x14ac:dyDescent="0.25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8"/>
    </row>
    <row r="749" spans="1:11" x14ac:dyDescent="0.25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8"/>
    </row>
    <row r="750" spans="1:11" x14ac:dyDescent="0.25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8"/>
    </row>
    <row r="751" spans="1:11" x14ac:dyDescent="0.25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8"/>
    </row>
    <row r="752" spans="1:11" x14ac:dyDescent="0.25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8"/>
    </row>
    <row r="753" spans="1:11" x14ac:dyDescent="0.25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8"/>
    </row>
    <row r="754" spans="1:11" x14ac:dyDescent="0.25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8"/>
    </row>
    <row r="755" spans="1:11" x14ac:dyDescent="0.2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8"/>
    </row>
    <row r="756" spans="1:11" x14ac:dyDescent="0.25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8"/>
    </row>
    <row r="757" spans="1:11" x14ac:dyDescent="0.25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8"/>
    </row>
    <row r="758" spans="1:11" x14ac:dyDescent="0.25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8"/>
    </row>
    <row r="759" spans="1:11" x14ac:dyDescent="0.25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8"/>
    </row>
    <row r="760" spans="1:11" x14ac:dyDescent="0.25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8"/>
    </row>
    <row r="761" spans="1:11" x14ac:dyDescent="0.25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8"/>
    </row>
    <row r="762" spans="1:11" x14ac:dyDescent="0.25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8"/>
    </row>
    <row r="763" spans="1:11" x14ac:dyDescent="0.25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8"/>
    </row>
    <row r="764" spans="1:11" x14ac:dyDescent="0.25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8"/>
    </row>
    <row r="765" spans="1:11" x14ac:dyDescent="0.2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8"/>
    </row>
    <row r="766" spans="1:11" x14ac:dyDescent="0.25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8"/>
    </row>
    <row r="767" spans="1:11" x14ac:dyDescent="0.25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8"/>
    </row>
    <row r="768" spans="1:11" x14ac:dyDescent="0.25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8"/>
    </row>
    <row r="769" spans="1:11" x14ac:dyDescent="0.25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8"/>
    </row>
    <row r="770" spans="1:11" x14ac:dyDescent="0.25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8"/>
    </row>
    <row r="771" spans="1:11" x14ac:dyDescent="0.25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8"/>
    </row>
    <row r="772" spans="1:11" x14ac:dyDescent="0.25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8"/>
    </row>
    <row r="773" spans="1:11" x14ac:dyDescent="0.25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8"/>
    </row>
    <row r="774" spans="1:11" x14ac:dyDescent="0.25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8"/>
    </row>
    <row r="775" spans="1:11" x14ac:dyDescent="0.2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8"/>
    </row>
    <row r="776" spans="1:11" x14ac:dyDescent="0.25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8"/>
    </row>
    <row r="777" spans="1:11" x14ac:dyDescent="0.25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8"/>
    </row>
    <row r="778" spans="1:11" x14ac:dyDescent="0.25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8"/>
    </row>
    <row r="779" spans="1:11" x14ac:dyDescent="0.25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8"/>
    </row>
    <row r="780" spans="1:11" x14ac:dyDescent="0.25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8"/>
    </row>
    <row r="781" spans="1:11" x14ac:dyDescent="0.25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8"/>
    </row>
    <row r="782" spans="1:11" x14ac:dyDescent="0.25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8"/>
    </row>
    <row r="783" spans="1:11" x14ac:dyDescent="0.25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8"/>
    </row>
    <row r="784" spans="1:11" x14ac:dyDescent="0.25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8"/>
    </row>
    <row r="785" spans="1:11" x14ac:dyDescent="0.2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8"/>
    </row>
    <row r="786" spans="1:11" x14ac:dyDescent="0.25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8"/>
    </row>
    <row r="787" spans="1:11" x14ac:dyDescent="0.25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8"/>
    </row>
    <row r="788" spans="1:11" x14ac:dyDescent="0.25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8"/>
    </row>
    <row r="789" spans="1:11" x14ac:dyDescent="0.25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8"/>
    </row>
    <row r="790" spans="1:11" x14ac:dyDescent="0.25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8"/>
    </row>
    <row r="791" spans="1:11" x14ac:dyDescent="0.25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8"/>
    </row>
    <row r="792" spans="1:11" x14ac:dyDescent="0.25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8"/>
    </row>
    <row r="793" spans="1:11" x14ac:dyDescent="0.25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8"/>
    </row>
    <row r="794" spans="1:11" x14ac:dyDescent="0.25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8"/>
    </row>
    <row r="795" spans="1:11" x14ac:dyDescent="0.2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8"/>
    </row>
    <row r="796" spans="1:11" x14ac:dyDescent="0.25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8"/>
    </row>
    <row r="797" spans="1:11" x14ac:dyDescent="0.25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8"/>
    </row>
    <row r="798" spans="1:11" x14ac:dyDescent="0.25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8"/>
    </row>
    <row r="799" spans="1:11" x14ac:dyDescent="0.25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8"/>
    </row>
    <row r="800" spans="1:11" x14ac:dyDescent="0.25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8"/>
    </row>
    <row r="801" spans="1:11" x14ac:dyDescent="0.25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8"/>
    </row>
    <row r="802" spans="1:11" x14ac:dyDescent="0.25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8"/>
    </row>
    <row r="803" spans="1:11" x14ac:dyDescent="0.25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8"/>
    </row>
    <row r="804" spans="1:11" x14ac:dyDescent="0.25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8"/>
    </row>
    <row r="805" spans="1:11" x14ac:dyDescent="0.2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8"/>
    </row>
    <row r="806" spans="1:11" x14ac:dyDescent="0.25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8"/>
    </row>
    <row r="807" spans="1:11" x14ac:dyDescent="0.25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8"/>
    </row>
    <row r="808" spans="1:11" x14ac:dyDescent="0.25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8"/>
    </row>
    <row r="809" spans="1:11" x14ac:dyDescent="0.25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8"/>
    </row>
    <row r="810" spans="1:11" x14ac:dyDescent="0.25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8"/>
    </row>
    <row r="811" spans="1:11" x14ac:dyDescent="0.25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8"/>
    </row>
    <row r="812" spans="1:11" x14ac:dyDescent="0.25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8"/>
    </row>
    <row r="813" spans="1:11" x14ac:dyDescent="0.25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8"/>
    </row>
    <row r="814" spans="1:11" x14ac:dyDescent="0.25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8"/>
    </row>
    <row r="815" spans="1:11" x14ac:dyDescent="0.2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8"/>
    </row>
    <row r="816" spans="1:11" x14ac:dyDescent="0.25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8"/>
    </row>
    <row r="817" spans="1:11" x14ac:dyDescent="0.25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8"/>
    </row>
    <row r="818" spans="1:11" x14ac:dyDescent="0.25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8"/>
    </row>
    <row r="819" spans="1:11" x14ac:dyDescent="0.25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8"/>
    </row>
    <row r="820" spans="1:11" x14ac:dyDescent="0.25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8"/>
    </row>
    <row r="821" spans="1:11" x14ac:dyDescent="0.25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8"/>
    </row>
    <row r="822" spans="1:11" x14ac:dyDescent="0.25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8"/>
    </row>
    <row r="823" spans="1:11" x14ac:dyDescent="0.25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8"/>
    </row>
    <row r="824" spans="1:11" x14ac:dyDescent="0.25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8"/>
    </row>
    <row r="825" spans="1:11" x14ac:dyDescent="0.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8"/>
    </row>
    <row r="826" spans="1:11" x14ac:dyDescent="0.25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8"/>
    </row>
    <row r="827" spans="1:11" x14ac:dyDescent="0.25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8"/>
    </row>
    <row r="828" spans="1:11" x14ac:dyDescent="0.25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8"/>
    </row>
    <row r="829" spans="1:11" x14ac:dyDescent="0.25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8"/>
    </row>
    <row r="830" spans="1:11" x14ac:dyDescent="0.25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8"/>
    </row>
    <row r="831" spans="1:11" x14ac:dyDescent="0.25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8"/>
    </row>
    <row r="832" spans="1:11" x14ac:dyDescent="0.25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8"/>
    </row>
    <row r="833" spans="1:11" x14ac:dyDescent="0.25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8"/>
    </row>
    <row r="834" spans="1:11" x14ac:dyDescent="0.25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8"/>
    </row>
    <row r="835" spans="1:11" x14ac:dyDescent="0.2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8"/>
    </row>
    <row r="836" spans="1:11" x14ac:dyDescent="0.25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8"/>
    </row>
    <row r="837" spans="1:11" x14ac:dyDescent="0.25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8"/>
    </row>
    <row r="838" spans="1:11" x14ac:dyDescent="0.25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8"/>
    </row>
    <row r="839" spans="1:11" x14ac:dyDescent="0.25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8"/>
    </row>
    <row r="840" spans="1:11" x14ac:dyDescent="0.25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8"/>
    </row>
    <row r="841" spans="1:11" x14ac:dyDescent="0.25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8"/>
    </row>
    <row r="842" spans="1:11" x14ac:dyDescent="0.25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8"/>
    </row>
    <row r="843" spans="1:11" x14ac:dyDescent="0.25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8"/>
    </row>
    <row r="844" spans="1:11" x14ac:dyDescent="0.25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8"/>
    </row>
    <row r="845" spans="1:11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8"/>
    </row>
    <row r="846" spans="1:11" x14ac:dyDescent="0.25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8"/>
    </row>
    <row r="847" spans="1:11" x14ac:dyDescent="0.25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8"/>
    </row>
    <row r="848" spans="1:11" x14ac:dyDescent="0.25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8"/>
    </row>
    <row r="849" spans="1:11" x14ac:dyDescent="0.25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8"/>
    </row>
    <row r="850" spans="1:11" x14ac:dyDescent="0.25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8"/>
    </row>
    <row r="851" spans="1:11" x14ac:dyDescent="0.25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8"/>
    </row>
    <row r="852" spans="1:11" x14ac:dyDescent="0.25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8"/>
    </row>
    <row r="853" spans="1:11" x14ac:dyDescent="0.25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8"/>
    </row>
    <row r="854" spans="1:11" x14ac:dyDescent="0.25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8"/>
    </row>
    <row r="855" spans="1:11" x14ac:dyDescent="0.2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8"/>
    </row>
    <row r="856" spans="1:11" x14ac:dyDescent="0.25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8"/>
    </row>
    <row r="857" spans="1:11" x14ac:dyDescent="0.25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8"/>
    </row>
    <row r="858" spans="1:11" x14ac:dyDescent="0.25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8"/>
    </row>
    <row r="859" spans="1:11" x14ac:dyDescent="0.25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8"/>
    </row>
    <row r="860" spans="1:11" x14ac:dyDescent="0.25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8"/>
    </row>
    <row r="861" spans="1:11" x14ac:dyDescent="0.25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8"/>
    </row>
    <row r="862" spans="1:11" x14ac:dyDescent="0.25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8"/>
    </row>
    <row r="863" spans="1:11" x14ac:dyDescent="0.25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8"/>
    </row>
    <row r="864" spans="1:11" x14ac:dyDescent="0.25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8"/>
    </row>
    <row r="865" spans="1:11" x14ac:dyDescent="0.2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8"/>
    </row>
    <row r="866" spans="1:11" x14ac:dyDescent="0.25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8"/>
    </row>
    <row r="867" spans="1:11" x14ac:dyDescent="0.25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8"/>
    </row>
    <row r="868" spans="1:11" x14ac:dyDescent="0.25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8"/>
    </row>
    <row r="869" spans="1:11" x14ac:dyDescent="0.25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8"/>
    </row>
    <row r="870" spans="1:11" x14ac:dyDescent="0.25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8"/>
    </row>
    <row r="871" spans="1:11" x14ac:dyDescent="0.25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8"/>
    </row>
    <row r="872" spans="1:11" x14ac:dyDescent="0.25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8"/>
    </row>
    <row r="873" spans="1:11" x14ac:dyDescent="0.25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8"/>
    </row>
    <row r="874" spans="1:11" x14ac:dyDescent="0.25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8"/>
    </row>
    <row r="875" spans="1:11" x14ac:dyDescent="0.2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8"/>
    </row>
    <row r="876" spans="1:11" x14ac:dyDescent="0.25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8"/>
    </row>
    <row r="877" spans="1:11" x14ac:dyDescent="0.25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8"/>
    </row>
    <row r="878" spans="1:11" x14ac:dyDescent="0.25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8"/>
    </row>
    <row r="879" spans="1:11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8"/>
    </row>
    <row r="880" spans="1:11" x14ac:dyDescent="0.25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8"/>
    </row>
    <row r="881" spans="1:11" x14ac:dyDescent="0.25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8"/>
    </row>
    <row r="882" spans="1:11" x14ac:dyDescent="0.25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8"/>
    </row>
    <row r="883" spans="1:11" x14ac:dyDescent="0.25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8"/>
    </row>
    <row r="884" spans="1:11" x14ac:dyDescent="0.25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8"/>
    </row>
    <row r="885" spans="1:11" x14ac:dyDescent="0.2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8"/>
    </row>
    <row r="886" spans="1:11" x14ac:dyDescent="0.25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8"/>
    </row>
    <row r="887" spans="1:11" x14ac:dyDescent="0.25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8"/>
    </row>
    <row r="888" spans="1:11" x14ac:dyDescent="0.25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8"/>
    </row>
    <row r="889" spans="1:11" x14ac:dyDescent="0.25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8"/>
    </row>
    <row r="890" spans="1:11" x14ac:dyDescent="0.25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8"/>
    </row>
    <row r="891" spans="1:11" x14ac:dyDescent="0.25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8"/>
    </row>
    <row r="892" spans="1:11" x14ac:dyDescent="0.25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8"/>
    </row>
    <row r="893" spans="1:11" x14ac:dyDescent="0.25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8"/>
    </row>
    <row r="894" spans="1:11" x14ac:dyDescent="0.25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8"/>
    </row>
    <row r="895" spans="1:11" x14ac:dyDescent="0.2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8"/>
    </row>
    <row r="896" spans="1:11" x14ac:dyDescent="0.25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8"/>
    </row>
    <row r="897" spans="1:11" x14ac:dyDescent="0.25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8"/>
    </row>
    <row r="898" spans="1:11" x14ac:dyDescent="0.25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8"/>
    </row>
    <row r="899" spans="1:11" x14ac:dyDescent="0.25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8"/>
    </row>
    <row r="900" spans="1:11" x14ac:dyDescent="0.25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8"/>
    </row>
    <row r="901" spans="1:11" x14ac:dyDescent="0.25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8"/>
    </row>
    <row r="902" spans="1:11" x14ac:dyDescent="0.25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8"/>
    </row>
    <row r="903" spans="1:11" x14ac:dyDescent="0.25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8"/>
    </row>
    <row r="904" spans="1:11" x14ac:dyDescent="0.25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8"/>
    </row>
    <row r="905" spans="1:11" x14ac:dyDescent="0.2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8"/>
    </row>
    <row r="906" spans="1:11" x14ac:dyDescent="0.25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8"/>
    </row>
    <row r="907" spans="1:11" x14ac:dyDescent="0.25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8"/>
    </row>
    <row r="908" spans="1:11" x14ac:dyDescent="0.25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8"/>
    </row>
    <row r="909" spans="1:11" x14ac:dyDescent="0.25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8"/>
    </row>
    <row r="910" spans="1:11" x14ac:dyDescent="0.25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8"/>
    </row>
    <row r="911" spans="1:11" x14ac:dyDescent="0.25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8"/>
    </row>
    <row r="912" spans="1:11" x14ac:dyDescent="0.25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8"/>
    </row>
    <row r="913" spans="1:11" x14ac:dyDescent="0.25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8"/>
    </row>
    <row r="914" spans="1:11" x14ac:dyDescent="0.25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8"/>
    </row>
    <row r="915" spans="1:11" x14ac:dyDescent="0.2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8"/>
    </row>
    <row r="916" spans="1:11" x14ac:dyDescent="0.25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8"/>
    </row>
    <row r="917" spans="1:11" x14ac:dyDescent="0.25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8"/>
    </row>
    <row r="918" spans="1:11" x14ac:dyDescent="0.25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8"/>
    </row>
    <row r="919" spans="1:11" x14ac:dyDescent="0.25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8"/>
    </row>
    <row r="920" spans="1:11" x14ac:dyDescent="0.25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8"/>
    </row>
    <row r="921" spans="1:11" x14ac:dyDescent="0.25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8"/>
    </row>
    <row r="922" spans="1:11" x14ac:dyDescent="0.25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8"/>
    </row>
    <row r="923" spans="1:11" x14ac:dyDescent="0.25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8"/>
    </row>
    <row r="924" spans="1:11" x14ac:dyDescent="0.25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8"/>
    </row>
    <row r="925" spans="1:11" x14ac:dyDescent="0.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8"/>
    </row>
    <row r="926" spans="1:11" x14ac:dyDescent="0.25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8"/>
    </row>
    <row r="927" spans="1:11" x14ac:dyDescent="0.25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8"/>
    </row>
    <row r="928" spans="1:11" x14ac:dyDescent="0.25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8"/>
    </row>
    <row r="929" spans="1:11" x14ac:dyDescent="0.25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8"/>
    </row>
    <row r="930" spans="1:11" x14ac:dyDescent="0.25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8"/>
    </row>
    <row r="931" spans="1:11" x14ac:dyDescent="0.25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8"/>
    </row>
    <row r="932" spans="1:11" x14ac:dyDescent="0.25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8"/>
    </row>
    <row r="933" spans="1:11" x14ac:dyDescent="0.25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8"/>
    </row>
    <row r="934" spans="1:11" x14ac:dyDescent="0.25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8"/>
    </row>
    <row r="935" spans="1:11" x14ac:dyDescent="0.2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8"/>
    </row>
    <row r="936" spans="1:11" x14ac:dyDescent="0.25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8"/>
    </row>
    <row r="937" spans="1:11" x14ac:dyDescent="0.25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8"/>
    </row>
    <row r="938" spans="1:11" x14ac:dyDescent="0.25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8"/>
    </row>
    <row r="939" spans="1:11" x14ac:dyDescent="0.25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8"/>
    </row>
    <row r="940" spans="1:11" x14ac:dyDescent="0.25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8"/>
    </row>
    <row r="941" spans="1:11" x14ac:dyDescent="0.25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8"/>
    </row>
    <row r="942" spans="1:11" x14ac:dyDescent="0.25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8"/>
    </row>
    <row r="943" spans="1:11" x14ac:dyDescent="0.25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8"/>
    </row>
    <row r="944" spans="1:11" x14ac:dyDescent="0.25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8"/>
    </row>
    <row r="945" spans="1:11" x14ac:dyDescent="0.2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8"/>
    </row>
    <row r="946" spans="1:11" x14ac:dyDescent="0.25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8"/>
    </row>
    <row r="947" spans="1:11" x14ac:dyDescent="0.25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8"/>
    </row>
    <row r="948" spans="1:11" x14ac:dyDescent="0.25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8"/>
    </row>
    <row r="949" spans="1:11" x14ac:dyDescent="0.25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8"/>
    </row>
    <row r="950" spans="1:11" x14ac:dyDescent="0.25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8"/>
    </row>
    <row r="951" spans="1:11" x14ac:dyDescent="0.25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8"/>
    </row>
    <row r="952" spans="1:11" x14ac:dyDescent="0.25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8"/>
    </row>
    <row r="953" spans="1:11" x14ac:dyDescent="0.25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8"/>
    </row>
    <row r="954" spans="1:11" x14ac:dyDescent="0.25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8"/>
    </row>
    <row r="955" spans="1:11" x14ac:dyDescent="0.2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8"/>
    </row>
    <row r="956" spans="1:11" x14ac:dyDescent="0.25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8"/>
    </row>
    <row r="957" spans="1:11" x14ac:dyDescent="0.25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8"/>
    </row>
    <row r="958" spans="1:11" x14ac:dyDescent="0.25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8"/>
    </row>
    <row r="959" spans="1:11" x14ac:dyDescent="0.25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8"/>
    </row>
    <row r="960" spans="1:11" x14ac:dyDescent="0.25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8"/>
    </row>
    <row r="961" spans="1:11" x14ac:dyDescent="0.25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8"/>
    </row>
    <row r="962" spans="1:11" x14ac:dyDescent="0.25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8"/>
    </row>
    <row r="963" spans="1:11" x14ac:dyDescent="0.25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8"/>
    </row>
    <row r="964" spans="1:11" x14ac:dyDescent="0.25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8"/>
    </row>
    <row r="965" spans="1:11" x14ac:dyDescent="0.2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8"/>
    </row>
    <row r="966" spans="1:11" x14ac:dyDescent="0.25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8"/>
    </row>
    <row r="967" spans="1:11" x14ac:dyDescent="0.25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8"/>
    </row>
    <row r="968" spans="1:11" x14ac:dyDescent="0.25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8"/>
    </row>
    <row r="969" spans="1:11" x14ac:dyDescent="0.25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8"/>
    </row>
    <row r="970" spans="1:11" x14ac:dyDescent="0.25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8"/>
    </row>
    <row r="971" spans="1:11" x14ac:dyDescent="0.25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8"/>
    </row>
    <row r="972" spans="1:11" x14ac:dyDescent="0.25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8"/>
    </row>
    <row r="973" spans="1:11" x14ac:dyDescent="0.25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8"/>
    </row>
    <row r="974" spans="1:11" x14ac:dyDescent="0.25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8"/>
    </row>
    <row r="975" spans="1:11" x14ac:dyDescent="0.2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8"/>
    </row>
    <row r="976" spans="1:11" x14ac:dyDescent="0.25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8"/>
    </row>
    <row r="977" spans="1:11" x14ac:dyDescent="0.25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8"/>
    </row>
    <row r="978" spans="1:11" x14ac:dyDescent="0.25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8"/>
    </row>
    <row r="979" spans="1:11" x14ac:dyDescent="0.25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8"/>
    </row>
    <row r="980" spans="1:11" x14ac:dyDescent="0.25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8"/>
    </row>
    <row r="981" spans="1:11" x14ac:dyDescent="0.25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8"/>
    </row>
    <row r="982" spans="1:11" x14ac:dyDescent="0.25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8"/>
    </row>
    <row r="983" spans="1:11" x14ac:dyDescent="0.25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8"/>
    </row>
    <row r="984" spans="1:11" x14ac:dyDescent="0.25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8"/>
    </row>
    <row r="985" spans="1:11" x14ac:dyDescent="0.2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8"/>
    </row>
    <row r="986" spans="1:11" x14ac:dyDescent="0.25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8"/>
    </row>
    <row r="987" spans="1:11" x14ac:dyDescent="0.25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8"/>
    </row>
    <row r="988" spans="1:11" x14ac:dyDescent="0.25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8"/>
    </row>
    <row r="989" spans="1:11" x14ac:dyDescent="0.25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8"/>
    </row>
    <row r="990" spans="1:11" x14ac:dyDescent="0.25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8"/>
    </row>
    <row r="991" spans="1:11" x14ac:dyDescent="0.25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8"/>
    </row>
    <row r="992" spans="1:11" x14ac:dyDescent="0.25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8"/>
    </row>
    <row r="993" spans="1:11" x14ac:dyDescent="0.25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8"/>
    </row>
    <row r="994" spans="1:11" x14ac:dyDescent="0.25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8"/>
    </row>
    <row r="995" spans="1:11" x14ac:dyDescent="0.2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8"/>
    </row>
    <row r="996" spans="1:11" x14ac:dyDescent="0.25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8"/>
    </row>
    <row r="997" spans="1:11" x14ac:dyDescent="0.25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8"/>
    </row>
    <row r="998" spans="1:11" x14ac:dyDescent="0.25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8"/>
    </row>
    <row r="999" spans="1:11" x14ac:dyDescent="0.25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8"/>
    </row>
    <row r="1000" spans="1:11" x14ac:dyDescent="0.25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8"/>
    </row>
    <row r="1001" spans="1:11" x14ac:dyDescent="0.25">
      <c r="A1001" s="44"/>
      <c r="B1001" s="44"/>
      <c r="C1001" s="44"/>
      <c r="D1001" s="44"/>
      <c r="E1001" s="44"/>
      <c r="F1001" s="44"/>
      <c r="G1001" s="44"/>
      <c r="H1001" s="44"/>
      <c r="I1001" s="44"/>
      <c r="J1001" s="44"/>
      <c r="K1001" s="8"/>
    </row>
    <row r="1002" spans="1:11" x14ac:dyDescent="0.25">
      <c r="A1002" s="44"/>
      <c r="B1002" s="44"/>
      <c r="C1002" s="44"/>
      <c r="D1002" s="44"/>
      <c r="E1002" s="44"/>
      <c r="F1002" s="44"/>
      <c r="G1002" s="44"/>
      <c r="H1002" s="44"/>
      <c r="I1002" s="44"/>
      <c r="J1002" s="44"/>
      <c r="K1002" s="8"/>
    </row>
  </sheetData>
  <mergeCells count="6">
    <mergeCell ref="J139:K139"/>
    <mergeCell ref="J31:K31"/>
    <mergeCell ref="J70:K70"/>
    <mergeCell ref="J90:K90"/>
    <mergeCell ref="J109:K109"/>
    <mergeCell ref="J110:K11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W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3" x14ac:dyDescent="0.25">
      <c r="A1" s="50" t="s">
        <v>0</v>
      </c>
      <c r="B1" s="50" t="s">
        <v>4354</v>
      </c>
      <c r="C1" s="50" t="s">
        <v>4355</v>
      </c>
      <c r="D1" s="50" t="s">
        <v>6</v>
      </c>
      <c r="E1" s="50" t="s">
        <v>4356</v>
      </c>
      <c r="F1" s="50" t="s">
        <v>4357</v>
      </c>
      <c r="G1" s="50" t="s">
        <v>4358</v>
      </c>
      <c r="H1" s="50" t="s">
        <v>4359</v>
      </c>
      <c r="I1" s="50" t="s">
        <v>4360</v>
      </c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</row>
    <row r="2" spans="1:23" x14ac:dyDescent="0.25">
      <c r="A2" s="44" t="s">
        <v>4245</v>
      </c>
      <c r="B2" s="44">
        <v>437580000</v>
      </c>
      <c r="C2" s="44">
        <v>711645000</v>
      </c>
      <c r="D2" s="44">
        <f t="shared" ref="D2:D186" si="0">((C2-B2)/B2)*100</f>
        <v>62.631975867269986</v>
      </c>
      <c r="E2" s="44">
        <v>1</v>
      </c>
      <c r="F2" s="44">
        <v>0</v>
      </c>
      <c r="G2" s="44">
        <v>0</v>
      </c>
      <c r="H2" s="8">
        <f t="shared" ref="H2:H186" si="1">(E2/(E2+F2+G2))*100</f>
        <v>100</v>
      </c>
      <c r="I2" s="8">
        <f t="shared" ref="I2:I186" si="2">(F2/(E2+F2+G2))*100</f>
        <v>0</v>
      </c>
      <c r="J2" s="8"/>
      <c r="K2" s="8"/>
    </row>
    <row r="3" spans="1:23" x14ac:dyDescent="0.25">
      <c r="A3" s="44" t="s">
        <v>4057</v>
      </c>
      <c r="B3" s="44">
        <v>4223916201.4400001</v>
      </c>
      <c r="C3" s="44">
        <v>5712805948.3999996</v>
      </c>
      <c r="D3" s="44">
        <f t="shared" si="0"/>
        <v>35.249036106644667</v>
      </c>
      <c r="E3" s="39">
        <v>3</v>
      </c>
      <c r="F3" s="39">
        <v>0</v>
      </c>
      <c r="G3" s="39">
        <v>0</v>
      </c>
      <c r="H3" s="8">
        <f t="shared" si="1"/>
        <v>100</v>
      </c>
      <c r="I3" s="8">
        <f t="shared" si="2"/>
        <v>0</v>
      </c>
      <c r="J3" s="8"/>
      <c r="K3" s="8"/>
    </row>
    <row r="4" spans="1:23" x14ac:dyDescent="0.25">
      <c r="A4" s="44" t="s">
        <v>3867</v>
      </c>
      <c r="B4" s="44">
        <v>3570294451.8999996</v>
      </c>
      <c r="C4" s="44">
        <v>4728209915</v>
      </c>
      <c r="D4" s="44">
        <f t="shared" si="0"/>
        <v>32.431931839229499</v>
      </c>
      <c r="E4" s="39">
        <v>1</v>
      </c>
      <c r="F4" s="39">
        <v>0</v>
      </c>
      <c r="G4" s="39">
        <v>0</v>
      </c>
      <c r="H4" s="8">
        <f t="shared" si="1"/>
        <v>100</v>
      </c>
      <c r="I4" s="8">
        <f t="shared" si="2"/>
        <v>0</v>
      </c>
      <c r="J4" s="8"/>
      <c r="K4" s="8"/>
    </row>
    <row r="5" spans="1:23" x14ac:dyDescent="0.25">
      <c r="A5" s="44" t="s">
        <v>4235</v>
      </c>
      <c r="B5" s="44">
        <v>430456000</v>
      </c>
      <c r="C5" s="44">
        <v>569564870</v>
      </c>
      <c r="D5" s="44">
        <f t="shared" si="0"/>
        <v>32.316629341907188</v>
      </c>
      <c r="E5" s="44">
        <v>2</v>
      </c>
      <c r="F5" s="44">
        <v>0</v>
      </c>
      <c r="G5" s="44">
        <v>0</v>
      </c>
      <c r="H5" s="8">
        <f t="shared" si="1"/>
        <v>100</v>
      </c>
      <c r="I5" s="8">
        <f t="shared" si="2"/>
        <v>0</v>
      </c>
      <c r="J5" s="8"/>
      <c r="K5" s="8"/>
    </row>
    <row r="6" spans="1:23" x14ac:dyDescent="0.25">
      <c r="A6" s="44" t="s">
        <v>4068</v>
      </c>
      <c r="B6" s="44">
        <v>34237448793.5</v>
      </c>
      <c r="C6" s="44">
        <v>44888389365.800003</v>
      </c>
      <c r="D6" s="44">
        <f t="shared" si="0"/>
        <v>31.109036881048478</v>
      </c>
      <c r="E6" s="39">
        <v>2</v>
      </c>
      <c r="F6" s="39">
        <v>0</v>
      </c>
      <c r="G6" s="39">
        <v>0</v>
      </c>
      <c r="H6" s="8">
        <f t="shared" si="1"/>
        <v>100</v>
      </c>
      <c r="I6" s="8">
        <f t="shared" si="2"/>
        <v>0</v>
      </c>
      <c r="J6" s="8"/>
      <c r="K6" s="8"/>
    </row>
    <row r="7" spans="1:23" x14ac:dyDescent="0.25">
      <c r="A7" s="44" t="s">
        <v>2825</v>
      </c>
      <c r="B7" s="44">
        <v>1602737928.1500001</v>
      </c>
      <c r="C7" s="44">
        <v>1984790239.75</v>
      </c>
      <c r="D7" s="44">
        <f t="shared" si="0"/>
        <v>23.837478660094682</v>
      </c>
      <c r="E7" s="39">
        <v>2</v>
      </c>
      <c r="F7" s="39">
        <v>0</v>
      </c>
      <c r="G7" s="39">
        <v>0</v>
      </c>
      <c r="H7" s="8">
        <f t="shared" si="1"/>
        <v>100</v>
      </c>
      <c r="I7" s="8">
        <f t="shared" si="2"/>
        <v>0</v>
      </c>
      <c r="J7" s="8"/>
      <c r="K7" s="8"/>
    </row>
    <row r="8" spans="1:23" x14ac:dyDescent="0.25">
      <c r="A8" s="44" t="s">
        <v>52</v>
      </c>
      <c r="B8" s="44">
        <v>723352817174.27991</v>
      </c>
      <c r="C8" s="44">
        <v>875150865306.52991</v>
      </c>
      <c r="D8" s="44">
        <f t="shared" si="0"/>
        <v>20.985340006725483</v>
      </c>
      <c r="E8" s="39">
        <v>3</v>
      </c>
      <c r="F8" s="39">
        <v>0</v>
      </c>
      <c r="G8" s="39">
        <v>0</v>
      </c>
      <c r="H8" s="8">
        <f t="shared" si="1"/>
        <v>100</v>
      </c>
      <c r="I8" s="8">
        <f t="shared" si="2"/>
        <v>0</v>
      </c>
      <c r="J8" s="8"/>
      <c r="K8" s="8"/>
    </row>
    <row r="9" spans="1:23" x14ac:dyDescent="0.25">
      <c r="A9" s="44" t="s">
        <v>4191</v>
      </c>
      <c r="B9" s="44">
        <v>6769934385.6499996</v>
      </c>
      <c r="C9" s="44">
        <v>8145187022</v>
      </c>
      <c r="D9" s="44">
        <f t="shared" si="0"/>
        <v>20.314120610460815</v>
      </c>
      <c r="E9" s="39">
        <v>1</v>
      </c>
      <c r="F9" s="39">
        <v>0</v>
      </c>
      <c r="G9" s="39">
        <v>0</v>
      </c>
      <c r="H9" s="8">
        <f t="shared" si="1"/>
        <v>100</v>
      </c>
      <c r="I9" s="8">
        <f t="shared" si="2"/>
        <v>0</v>
      </c>
      <c r="J9" s="8"/>
      <c r="K9" s="8"/>
    </row>
    <row r="10" spans="1:23" x14ac:dyDescent="0.25">
      <c r="A10" s="44" t="s">
        <v>108</v>
      </c>
      <c r="B10" s="39">
        <v>2420398365936.7998</v>
      </c>
      <c r="C10" s="39">
        <v>2814885344687.9502</v>
      </c>
      <c r="D10" s="44">
        <f t="shared" si="0"/>
        <v>16.298431873980661</v>
      </c>
      <c r="E10" s="39">
        <v>14</v>
      </c>
      <c r="F10" s="39">
        <v>0</v>
      </c>
      <c r="G10" s="39">
        <v>0</v>
      </c>
      <c r="H10" s="8">
        <f t="shared" si="1"/>
        <v>100</v>
      </c>
      <c r="I10" s="8">
        <f t="shared" si="2"/>
        <v>0</v>
      </c>
      <c r="J10" s="8"/>
      <c r="K10" s="8"/>
    </row>
    <row r="11" spans="1:23" x14ac:dyDescent="0.25">
      <c r="A11" s="44" t="s">
        <v>1616</v>
      </c>
      <c r="B11" s="44">
        <v>502737728579.95001</v>
      </c>
      <c r="C11" s="44">
        <v>580131128099.09998</v>
      </c>
      <c r="D11" s="44">
        <f t="shared" si="0"/>
        <v>15.394388588610203</v>
      </c>
      <c r="E11" s="39">
        <v>4</v>
      </c>
      <c r="F11" s="39">
        <v>0</v>
      </c>
      <c r="G11" s="39">
        <v>0</v>
      </c>
      <c r="H11" s="8">
        <f t="shared" si="1"/>
        <v>100</v>
      </c>
      <c r="I11" s="8">
        <f t="shared" si="2"/>
        <v>0</v>
      </c>
      <c r="J11" s="8"/>
      <c r="K11" s="8"/>
    </row>
    <row r="12" spans="1:23" x14ac:dyDescent="0.25">
      <c r="A12" s="44" t="s">
        <v>350</v>
      </c>
      <c r="B12" s="44">
        <v>764810977661.34009</v>
      </c>
      <c r="C12" s="44">
        <v>879385031703.63</v>
      </c>
      <c r="D12" s="44">
        <f t="shared" si="0"/>
        <v>14.980702080484983</v>
      </c>
      <c r="E12" s="39">
        <v>6</v>
      </c>
      <c r="F12" s="39">
        <v>0</v>
      </c>
      <c r="G12" s="39">
        <v>0</v>
      </c>
      <c r="H12" s="8">
        <f t="shared" si="1"/>
        <v>100</v>
      </c>
      <c r="I12" s="8">
        <f t="shared" si="2"/>
        <v>0</v>
      </c>
      <c r="J12" s="8"/>
      <c r="K12" s="8"/>
    </row>
    <row r="13" spans="1:23" x14ac:dyDescent="0.25">
      <c r="A13" s="44" t="s">
        <v>4051</v>
      </c>
      <c r="B13" s="44">
        <v>28900725016.299999</v>
      </c>
      <c r="C13" s="44">
        <v>32873323437.639999</v>
      </c>
      <c r="D13" s="44">
        <f t="shared" si="0"/>
        <v>13.745670460168235</v>
      </c>
      <c r="E13" s="39">
        <v>1</v>
      </c>
      <c r="F13" s="39">
        <v>0</v>
      </c>
      <c r="G13" s="39">
        <v>0</v>
      </c>
      <c r="H13" s="8">
        <f t="shared" si="1"/>
        <v>100</v>
      </c>
      <c r="I13" s="8">
        <f t="shared" si="2"/>
        <v>0</v>
      </c>
      <c r="J13" s="8"/>
      <c r="K13" s="8"/>
    </row>
    <row r="14" spans="1:23" x14ac:dyDescent="0.25">
      <c r="A14" s="44" t="s">
        <v>4128</v>
      </c>
      <c r="B14" s="44">
        <v>29782500000</v>
      </c>
      <c r="C14" s="44">
        <v>33646387500.000004</v>
      </c>
      <c r="D14" s="44">
        <f t="shared" si="0"/>
        <v>12.973684210526329</v>
      </c>
      <c r="E14" s="39">
        <v>1</v>
      </c>
      <c r="F14" s="39">
        <v>0</v>
      </c>
      <c r="G14" s="39">
        <v>0</v>
      </c>
      <c r="H14" s="8">
        <f t="shared" si="1"/>
        <v>100</v>
      </c>
      <c r="I14" s="8">
        <f t="shared" si="2"/>
        <v>0</v>
      </c>
      <c r="J14" s="8"/>
      <c r="K14" s="8"/>
    </row>
    <row r="15" spans="1:23" x14ac:dyDescent="0.25">
      <c r="A15" s="44" t="s">
        <v>3085</v>
      </c>
      <c r="B15" s="44">
        <v>7556656226885.0498</v>
      </c>
      <c r="C15" s="44">
        <v>8256485083826.9004</v>
      </c>
      <c r="D15" s="44">
        <f t="shared" si="0"/>
        <v>9.2610916247850668</v>
      </c>
      <c r="E15" s="39">
        <v>6</v>
      </c>
      <c r="F15" s="39">
        <v>0</v>
      </c>
      <c r="G15" s="39">
        <v>0</v>
      </c>
      <c r="H15" s="8">
        <f t="shared" si="1"/>
        <v>100</v>
      </c>
      <c r="I15" s="8">
        <f t="shared" si="2"/>
        <v>0</v>
      </c>
      <c r="J15" s="8"/>
      <c r="K15" s="8"/>
    </row>
    <row r="16" spans="1:23" x14ac:dyDescent="0.25">
      <c r="A16" s="44" t="s">
        <v>815</v>
      </c>
      <c r="B16" s="44">
        <v>31638771984.800003</v>
      </c>
      <c r="C16" s="44">
        <v>34375507620.699997</v>
      </c>
      <c r="D16" s="44">
        <f t="shared" si="0"/>
        <v>8.649942662802415</v>
      </c>
      <c r="E16" s="39">
        <v>4</v>
      </c>
      <c r="F16" s="39">
        <v>0</v>
      </c>
      <c r="G16" s="39">
        <v>0</v>
      </c>
      <c r="H16" s="8">
        <f t="shared" si="1"/>
        <v>100</v>
      </c>
      <c r="I16" s="8">
        <f t="shared" si="2"/>
        <v>0</v>
      </c>
      <c r="J16" s="8"/>
      <c r="K16" s="8"/>
    </row>
    <row r="17" spans="1:11" x14ac:dyDescent="0.25">
      <c r="A17" s="44" t="s">
        <v>758</v>
      </c>
      <c r="B17" s="44">
        <v>66569596190.600006</v>
      </c>
      <c r="C17" s="44">
        <v>72264735597.5</v>
      </c>
      <c r="D17" s="44">
        <f t="shared" si="0"/>
        <v>8.5551659207813842</v>
      </c>
      <c r="E17" s="39">
        <v>2</v>
      </c>
      <c r="F17" s="39">
        <v>0</v>
      </c>
      <c r="G17" s="39">
        <v>0</v>
      </c>
      <c r="H17" s="8">
        <f t="shared" si="1"/>
        <v>100</v>
      </c>
      <c r="I17" s="8">
        <f t="shared" si="2"/>
        <v>0</v>
      </c>
      <c r="J17" s="8"/>
      <c r="K17" s="8"/>
    </row>
    <row r="18" spans="1:11" x14ac:dyDescent="0.25">
      <c r="A18" s="44" t="s">
        <v>3501</v>
      </c>
      <c r="B18" s="44">
        <v>23354996745</v>
      </c>
      <c r="C18" s="44">
        <v>25184041750.200005</v>
      </c>
      <c r="D18" s="44">
        <f t="shared" si="0"/>
        <v>7.8314932995723039</v>
      </c>
      <c r="E18" s="39">
        <v>4</v>
      </c>
      <c r="F18" s="39">
        <v>0</v>
      </c>
      <c r="G18" s="39">
        <v>0</v>
      </c>
      <c r="H18" s="8">
        <f t="shared" si="1"/>
        <v>100</v>
      </c>
      <c r="I18" s="8">
        <f t="shared" si="2"/>
        <v>0</v>
      </c>
      <c r="J18" s="8"/>
      <c r="K18" s="8"/>
    </row>
    <row r="19" spans="1:11" x14ac:dyDescent="0.25">
      <c r="A19" s="44" t="s">
        <v>1672</v>
      </c>
      <c r="B19" s="44">
        <v>349511590972.65002</v>
      </c>
      <c r="C19" s="44">
        <v>376195057989.14008</v>
      </c>
      <c r="D19" s="44">
        <f t="shared" si="0"/>
        <v>7.6345013171760829</v>
      </c>
      <c r="E19" s="39">
        <v>3</v>
      </c>
      <c r="F19" s="39">
        <v>0</v>
      </c>
      <c r="G19" s="39">
        <v>0</v>
      </c>
      <c r="H19" s="8">
        <f t="shared" si="1"/>
        <v>100</v>
      </c>
      <c r="I19" s="8">
        <f t="shared" si="2"/>
        <v>0</v>
      </c>
      <c r="J19" s="8"/>
      <c r="K19" s="8"/>
    </row>
    <row r="20" spans="1:11" x14ac:dyDescent="0.25">
      <c r="A20" s="44" t="s">
        <v>850</v>
      </c>
      <c r="B20" s="44">
        <v>484214308736.95001</v>
      </c>
      <c r="C20" s="44">
        <v>518661570077.19995</v>
      </c>
      <c r="D20" s="44">
        <f t="shared" si="0"/>
        <v>7.1140527486897236</v>
      </c>
      <c r="E20" s="39">
        <v>6</v>
      </c>
      <c r="F20" s="39">
        <v>0</v>
      </c>
      <c r="G20" s="39">
        <v>0</v>
      </c>
      <c r="H20" s="8">
        <f t="shared" si="1"/>
        <v>100</v>
      </c>
      <c r="I20" s="8">
        <f t="shared" si="2"/>
        <v>0</v>
      </c>
      <c r="J20" s="8"/>
      <c r="K20" s="8"/>
    </row>
    <row r="21" spans="1:11" x14ac:dyDescent="0.25">
      <c r="A21" s="44" t="s">
        <v>4177</v>
      </c>
      <c r="B21" s="44">
        <v>51688977032.75</v>
      </c>
      <c r="C21" s="44">
        <v>55346904250</v>
      </c>
      <c r="D21" s="44">
        <f t="shared" si="0"/>
        <v>7.0768032707096262</v>
      </c>
      <c r="E21" s="39">
        <v>1</v>
      </c>
      <c r="F21" s="39">
        <v>0</v>
      </c>
      <c r="G21" s="39">
        <v>0</v>
      </c>
      <c r="H21" s="8">
        <f t="shared" si="1"/>
        <v>100</v>
      </c>
      <c r="I21" s="8">
        <f t="shared" si="2"/>
        <v>0</v>
      </c>
      <c r="J21" s="8"/>
      <c r="K21" s="8"/>
    </row>
    <row r="22" spans="1:11" x14ac:dyDescent="0.25">
      <c r="A22" s="44" t="s">
        <v>3900</v>
      </c>
      <c r="B22" s="44">
        <v>249517352223.67996</v>
      </c>
      <c r="C22" s="44">
        <v>266261954172.35001</v>
      </c>
      <c r="D22" s="44">
        <f t="shared" si="0"/>
        <v>6.7107965836617796</v>
      </c>
      <c r="E22" s="39">
        <v>4</v>
      </c>
      <c r="F22" s="39">
        <v>0</v>
      </c>
      <c r="G22" s="39">
        <v>0</v>
      </c>
      <c r="H22" s="8">
        <f t="shared" si="1"/>
        <v>100</v>
      </c>
      <c r="I22" s="8">
        <f t="shared" si="2"/>
        <v>0</v>
      </c>
      <c r="J22" s="8"/>
      <c r="K22" s="8"/>
    </row>
    <row r="23" spans="1:11" x14ac:dyDescent="0.25">
      <c r="A23" s="44" t="s">
        <v>41</v>
      </c>
      <c r="B23" s="44">
        <v>466519241308.80005</v>
      </c>
      <c r="C23" s="44">
        <v>497097474613.70001</v>
      </c>
      <c r="D23" s="44">
        <f t="shared" si="0"/>
        <v>6.5545492226888689</v>
      </c>
      <c r="E23" s="39">
        <v>3</v>
      </c>
      <c r="F23" s="39">
        <v>0</v>
      </c>
      <c r="G23" s="39">
        <v>0</v>
      </c>
      <c r="H23" s="8">
        <f t="shared" si="1"/>
        <v>100</v>
      </c>
      <c r="I23" s="8">
        <f t="shared" si="2"/>
        <v>0</v>
      </c>
      <c r="J23" s="8"/>
      <c r="K23" s="8"/>
    </row>
    <row r="24" spans="1:11" x14ac:dyDescent="0.25">
      <c r="A24" s="44" t="s">
        <v>3287</v>
      </c>
      <c r="B24" s="44">
        <v>186594106689.82999</v>
      </c>
      <c r="C24" s="44">
        <v>198757048263.79999</v>
      </c>
      <c r="D24" s="44">
        <f t="shared" si="0"/>
        <v>6.5183953500675713</v>
      </c>
      <c r="E24" s="39">
        <v>6</v>
      </c>
      <c r="F24" s="39">
        <v>0</v>
      </c>
      <c r="G24" s="39">
        <v>0</v>
      </c>
      <c r="H24" s="8">
        <f t="shared" si="1"/>
        <v>100</v>
      </c>
      <c r="I24" s="8">
        <f t="shared" si="2"/>
        <v>0</v>
      </c>
      <c r="J24" s="8"/>
      <c r="K24" s="8"/>
    </row>
    <row r="25" spans="1:11" x14ac:dyDescent="0.25">
      <c r="A25" s="44" t="s">
        <v>1453</v>
      </c>
      <c r="B25" s="44">
        <v>433972688571.34998</v>
      </c>
      <c r="C25" s="44">
        <v>459918631321.47998</v>
      </c>
      <c r="D25" s="44">
        <f t="shared" si="0"/>
        <v>5.9787040598210828</v>
      </c>
      <c r="E25" s="39">
        <v>9</v>
      </c>
      <c r="F25" s="39">
        <v>0</v>
      </c>
      <c r="G25" s="39">
        <v>0</v>
      </c>
      <c r="H25" s="8">
        <f t="shared" si="1"/>
        <v>100</v>
      </c>
      <c r="I25" s="8">
        <f t="shared" si="2"/>
        <v>0</v>
      </c>
      <c r="J25" s="8"/>
      <c r="K25" s="8"/>
    </row>
    <row r="26" spans="1:11" x14ac:dyDescent="0.25">
      <c r="A26" s="44" t="s">
        <v>659</v>
      </c>
      <c r="B26" s="44">
        <v>90452538717.399994</v>
      </c>
      <c r="C26" s="44">
        <v>94975571720.549988</v>
      </c>
      <c r="D26" s="44">
        <f t="shared" si="0"/>
        <v>5.0004489285604938</v>
      </c>
      <c r="E26" s="39">
        <v>2</v>
      </c>
      <c r="F26" s="39">
        <v>0</v>
      </c>
      <c r="G26" s="39">
        <v>0</v>
      </c>
      <c r="H26" s="8">
        <f t="shared" si="1"/>
        <v>100</v>
      </c>
      <c r="I26" s="8">
        <f t="shared" si="2"/>
        <v>0</v>
      </c>
      <c r="J26" s="8"/>
      <c r="K26" s="8"/>
    </row>
    <row r="27" spans="1:11" x14ac:dyDescent="0.25">
      <c r="A27" s="44" t="s">
        <v>1333</v>
      </c>
      <c r="B27" s="44">
        <v>76855935864.589996</v>
      </c>
      <c r="C27" s="44">
        <v>80601008018.960007</v>
      </c>
      <c r="D27" s="44">
        <f t="shared" si="0"/>
        <v>4.8728469860393506</v>
      </c>
      <c r="E27" s="39">
        <v>4</v>
      </c>
      <c r="F27" s="39">
        <v>0</v>
      </c>
      <c r="G27" s="39">
        <v>0</v>
      </c>
      <c r="H27" s="8">
        <f t="shared" si="1"/>
        <v>100</v>
      </c>
      <c r="I27" s="8">
        <f t="shared" si="2"/>
        <v>0</v>
      </c>
      <c r="J27" s="8"/>
      <c r="K27" s="8"/>
    </row>
    <row r="28" spans="1:11" x14ac:dyDescent="0.25">
      <c r="A28" s="44" t="s">
        <v>4210</v>
      </c>
      <c r="B28" s="44">
        <v>27120600830</v>
      </c>
      <c r="C28" s="44">
        <v>28314303187.700001</v>
      </c>
      <c r="D28" s="44">
        <f t="shared" si="0"/>
        <v>4.4014598540146013</v>
      </c>
      <c r="E28" s="39">
        <v>1</v>
      </c>
      <c r="F28" s="39">
        <v>0</v>
      </c>
      <c r="G28" s="39">
        <v>0</v>
      </c>
      <c r="H28" s="8">
        <f t="shared" si="1"/>
        <v>100</v>
      </c>
      <c r="I28" s="8">
        <f t="shared" si="2"/>
        <v>0</v>
      </c>
      <c r="J28" s="8"/>
      <c r="K28" s="8"/>
    </row>
    <row r="29" spans="1:11" x14ac:dyDescent="0.25">
      <c r="A29" s="44" t="s">
        <v>1935</v>
      </c>
      <c r="B29" s="44">
        <v>437438658058.34998</v>
      </c>
      <c r="C29" s="44">
        <v>452264419479.84998</v>
      </c>
      <c r="D29" s="44">
        <f t="shared" si="0"/>
        <v>3.3892206709180215</v>
      </c>
      <c r="E29" s="39">
        <v>8</v>
      </c>
      <c r="F29" s="39">
        <v>0</v>
      </c>
      <c r="G29" s="39">
        <v>0</v>
      </c>
      <c r="H29" s="8">
        <f t="shared" si="1"/>
        <v>100</v>
      </c>
      <c r="I29" s="8">
        <f t="shared" si="2"/>
        <v>0</v>
      </c>
      <c r="J29" s="8"/>
      <c r="K29" s="8"/>
    </row>
    <row r="30" spans="1:11" x14ac:dyDescent="0.25">
      <c r="A30" s="44" t="s">
        <v>2816</v>
      </c>
      <c r="B30" s="44">
        <v>310067992312.84998</v>
      </c>
      <c r="C30" s="44">
        <v>318758631190.75</v>
      </c>
      <c r="D30" s="44">
        <f t="shared" si="0"/>
        <v>2.8028171540941935</v>
      </c>
      <c r="E30" s="39">
        <v>2</v>
      </c>
      <c r="F30" s="39">
        <v>0</v>
      </c>
      <c r="G30" s="39">
        <v>0</v>
      </c>
      <c r="H30" s="8">
        <f t="shared" si="1"/>
        <v>100</v>
      </c>
      <c r="I30" s="8">
        <f t="shared" si="2"/>
        <v>0</v>
      </c>
      <c r="J30" s="8"/>
      <c r="K30" s="8"/>
    </row>
    <row r="31" spans="1:11" x14ac:dyDescent="0.25">
      <c r="A31" s="44" t="s">
        <v>4077</v>
      </c>
      <c r="B31" s="44">
        <v>4301383612.5</v>
      </c>
      <c r="C31" s="44">
        <v>4332713872.5</v>
      </c>
      <c r="D31" s="44">
        <f t="shared" si="0"/>
        <v>0.72837632776934758</v>
      </c>
      <c r="E31" s="39">
        <v>1</v>
      </c>
      <c r="F31" s="39">
        <v>0</v>
      </c>
      <c r="G31" s="39">
        <v>0</v>
      </c>
      <c r="H31" s="8">
        <f t="shared" si="1"/>
        <v>100</v>
      </c>
      <c r="I31" s="8">
        <f t="shared" si="2"/>
        <v>0</v>
      </c>
      <c r="J31" s="8"/>
      <c r="K31" s="8"/>
    </row>
    <row r="32" spans="1:11" x14ac:dyDescent="0.25">
      <c r="A32" s="44" t="s">
        <v>4082</v>
      </c>
      <c r="B32" s="44">
        <v>1291299217058.75</v>
      </c>
      <c r="C32" s="44">
        <v>1297427826606</v>
      </c>
      <c r="D32" s="44">
        <f t="shared" si="0"/>
        <v>0.47460801232493643</v>
      </c>
      <c r="E32" s="39">
        <v>2</v>
      </c>
      <c r="F32" s="39">
        <v>0</v>
      </c>
      <c r="G32" s="39">
        <v>0</v>
      </c>
      <c r="H32" s="8">
        <f t="shared" si="1"/>
        <v>100</v>
      </c>
      <c r="I32" s="8">
        <f t="shared" si="2"/>
        <v>0</v>
      </c>
      <c r="J32" s="8"/>
      <c r="K32" s="8"/>
    </row>
    <row r="33" spans="1:11" x14ac:dyDescent="0.25">
      <c r="A33" s="44" t="s">
        <v>3707</v>
      </c>
      <c r="B33" s="44">
        <v>190315861909.70001</v>
      </c>
      <c r="C33" s="44">
        <v>200024837253.03998</v>
      </c>
      <c r="D33" s="44">
        <f t="shared" si="0"/>
        <v>5.1015061203603853</v>
      </c>
      <c r="E33" s="39">
        <v>9</v>
      </c>
      <c r="F33" s="39">
        <v>1</v>
      </c>
      <c r="G33" s="39">
        <v>0</v>
      </c>
      <c r="H33" s="8">
        <f t="shared" si="1"/>
        <v>90</v>
      </c>
      <c r="I33" s="8">
        <f t="shared" si="2"/>
        <v>10</v>
      </c>
      <c r="J33" s="8"/>
      <c r="K33" s="8"/>
    </row>
    <row r="34" spans="1:11" x14ac:dyDescent="0.25">
      <c r="A34" s="44" t="s">
        <v>1695</v>
      </c>
      <c r="B34" s="44">
        <v>137028721252.09998</v>
      </c>
      <c r="C34" s="44">
        <v>155683304378.96002</v>
      </c>
      <c r="D34" s="44">
        <f t="shared" si="0"/>
        <v>13.613630015958545</v>
      </c>
      <c r="E34" s="39">
        <v>16</v>
      </c>
      <c r="F34" s="39">
        <v>1</v>
      </c>
      <c r="G34" s="39">
        <v>1</v>
      </c>
      <c r="H34" s="8">
        <f t="shared" si="1"/>
        <v>88.888888888888886</v>
      </c>
      <c r="I34" s="8">
        <f t="shared" si="2"/>
        <v>5.5555555555555554</v>
      </c>
      <c r="J34" s="8"/>
      <c r="K34" s="8"/>
    </row>
    <row r="35" spans="1:11" x14ac:dyDescent="0.25">
      <c r="A35" s="44" t="s">
        <v>2834</v>
      </c>
      <c r="B35" s="44">
        <v>27596572878.200001</v>
      </c>
      <c r="C35" s="44">
        <v>29287747034.599998</v>
      </c>
      <c r="D35" s="44">
        <f t="shared" si="0"/>
        <v>6.1282035413025726</v>
      </c>
      <c r="E35" s="39">
        <v>8</v>
      </c>
      <c r="F35" s="39">
        <v>1</v>
      </c>
      <c r="G35" s="39">
        <v>0</v>
      </c>
      <c r="H35" s="8">
        <f t="shared" si="1"/>
        <v>88.888888888888886</v>
      </c>
      <c r="I35" s="8">
        <f t="shared" si="2"/>
        <v>11.111111111111111</v>
      </c>
      <c r="J35" s="8"/>
      <c r="K35" s="8"/>
    </row>
    <row r="36" spans="1:11" x14ac:dyDescent="0.25">
      <c r="A36" s="44" t="s">
        <v>2228</v>
      </c>
      <c r="B36" s="44">
        <v>4278814647364.9102</v>
      </c>
      <c r="C36" s="44">
        <v>4742075443872.4297</v>
      </c>
      <c r="D36" s="44">
        <f t="shared" si="0"/>
        <v>10.826848898276459</v>
      </c>
      <c r="E36" s="39">
        <v>14</v>
      </c>
      <c r="F36" s="39">
        <v>2</v>
      </c>
      <c r="G36" s="39">
        <v>0</v>
      </c>
      <c r="H36" s="8">
        <f t="shared" si="1"/>
        <v>87.5</v>
      </c>
      <c r="I36" s="8">
        <f t="shared" si="2"/>
        <v>12.5</v>
      </c>
      <c r="J36" s="8"/>
      <c r="K36" s="8"/>
    </row>
    <row r="37" spans="1:11" x14ac:dyDescent="0.25">
      <c r="A37" s="44" t="s">
        <v>376</v>
      </c>
      <c r="B37" s="44">
        <v>4557364879571.9121</v>
      </c>
      <c r="C37" s="44">
        <v>4933577714563.4297</v>
      </c>
      <c r="D37" s="44">
        <f t="shared" si="0"/>
        <v>8.2550518760932849</v>
      </c>
      <c r="E37" s="39">
        <v>93</v>
      </c>
      <c r="F37" s="39">
        <v>14</v>
      </c>
      <c r="G37" s="39">
        <v>1</v>
      </c>
      <c r="H37" s="8">
        <f t="shared" si="1"/>
        <v>86.111111111111114</v>
      </c>
      <c r="I37" s="8">
        <f t="shared" si="2"/>
        <v>12.962962962962962</v>
      </c>
      <c r="J37" s="8"/>
      <c r="K37" s="8"/>
    </row>
    <row r="38" spans="1:11" x14ac:dyDescent="0.25">
      <c r="A38" s="44" t="s">
        <v>3402</v>
      </c>
      <c r="B38" s="44">
        <v>6452367213703.2793</v>
      </c>
      <c r="C38" s="44">
        <v>7000664033292.9502</v>
      </c>
      <c r="D38" s="44">
        <f t="shared" si="0"/>
        <v>8.497607179349929</v>
      </c>
      <c r="E38" s="39">
        <v>6</v>
      </c>
      <c r="F38" s="39">
        <v>1</v>
      </c>
      <c r="G38" s="39">
        <v>0</v>
      </c>
      <c r="H38" s="8">
        <f t="shared" si="1"/>
        <v>85.714285714285708</v>
      </c>
      <c r="I38" s="8">
        <f t="shared" si="2"/>
        <v>14.285714285714285</v>
      </c>
      <c r="J38" s="8"/>
      <c r="K38" s="8"/>
    </row>
    <row r="39" spans="1:11" x14ac:dyDescent="0.25">
      <c r="A39" s="44" t="s">
        <v>1970</v>
      </c>
      <c r="B39" s="44">
        <v>788893942750.59998</v>
      </c>
      <c r="C39" s="44">
        <v>827645101885.19995</v>
      </c>
      <c r="D39" s="44">
        <f t="shared" si="0"/>
        <v>4.9120872952184298</v>
      </c>
      <c r="E39" s="39">
        <v>6</v>
      </c>
      <c r="F39" s="39">
        <v>1</v>
      </c>
      <c r="G39" s="39">
        <v>0</v>
      </c>
      <c r="H39" s="8">
        <f t="shared" si="1"/>
        <v>85.714285714285708</v>
      </c>
      <c r="I39" s="8">
        <f t="shared" si="2"/>
        <v>14.285714285714285</v>
      </c>
      <c r="J39" s="8"/>
      <c r="K39" s="8"/>
    </row>
    <row r="40" spans="1:11" x14ac:dyDescent="0.25">
      <c r="A40" s="44" t="s">
        <v>3475</v>
      </c>
      <c r="B40" s="44">
        <v>6631051640577.0215</v>
      </c>
      <c r="C40" s="44">
        <v>6881608811545.0693</v>
      </c>
      <c r="D40" s="44">
        <f t="shared" si="0"/>
        <v>3.778543503338557</v>
      </c>
      <c r="E40" s="39">
        <v>30</v>
      </c>
      <c r="F40" s="39">
        <v>4</v>
      </c>
      <c r="G40" s="39">
        <v>1</v>
      </c>
      <c r="H40" s="8">
        <f t="shared" si="1"/>
        <v>85.714285714285708</v>
      </c>
      <c r="I40" s="8">
        <f t="shared" si="2"/>
        <v>11.428571428571429</v>
      </c>
      <c r="J40" s="8"/>
      <c r="K40" s="8"/>
    </row>
    <row r="41" spans="1:11" x14ac:dyDescent="0.25">
      <c r="A41" s="44" t="s">
        <v>1538</v>
      </c>
      <c r="B41" s="44">
        <v>927053873.10000002</v>
      </c>
      <c r="C41" s="44">
        <v>995170294.30999994</v>
      </c>
      <c r="D41" s="44">
        <f t="shared" si="0"/>
        <v>7.347622741947414</v>
      </c>
      <c r="E41" s="39">
        <v>5</v>
      </c>
      <c r="F41" s="39">
        <v>1</v>
      </c>
      <c r="G41" s="39">
        <v>0</v>
      </c>
      <c r="H41" s="8">
        <f t="shared" si="1"/>
        <v>83.333333333333343</v>
      </c>
      <c r="I41" s="8">
        <f t="shared" si="2"/>
        <v>16.666666666666664</v>
      </c>
      <c r="J41" s="8"/>
      <c r="K41" s="8"/>
    </row>
    <row r="42" spans="1:11" x14ac:dyDescent="0.25">
      <c r="A42" s="44" t="s">
        <v>324</v>
      </c>
      <c r="B42" s="44">
        <v>298526444533.80005</v>
      </c>
      <c r="C42" s="44">
        <v>315993320446.04999</v>
      </c>
      <c r="D42" s="44">
        <f t="shared" si="0"/>
        <v>5.8510313682687123</v>
      </c>
      <c r="E42" s="39">
        <v>5</v>
      </c>
      <c r="F42" s="39">
        <v>1</v>
      </c>
      <c r="G42" s="39">
        <v>0</v>
      </c>
      <c r="H42" s="8">
        <f t="shared" si="1"/>
        <v>83.333333333333343</v>
      </c>
      <c r="I42" s="8">
        <f t="shared" si="2"/>
        <v>16.666666666666664</v>
      </c>
      <c r="J42" s="8"/>
      <c r="K42" s="8"/>
    </row>
    <row r="43" spans="1:11" x14ac:dyDescent="0.25">
      <c r="A43" s="44" t="s">
        <v>2998</v>
      </c>
      <c r="B43" s="44">
        <v>11948053637.480001</v>
      </c>
      <c r="C43" s="44">
        <v>12520590962.509998</v>
      </c>
      <c r="D43" s="44">
        <f t="shared" si="0"/>
        <v>4.7918878036670112</v>
      </c>
      <c r="E43" s="39">
        <v>5</v>
      </c>
      <c r="F43" s="39">
        <v>0</v>
      </c>
      <c r="G43" s="39">
        <v>1</v>
      </c>
      <c r="H43" s="8">
        <f t="shared" si="1"/>
        <v>83.333333333333343</v>
      </c>
      <c r="I43" s="8">
        <f t="shared" si="2"/>
        <v>0</v>
      </c>
      <c r="J43" s="8"/>
      <c r="K43" s="8"/>
    </row>
    <row r="44" spans="1:11" x14ac:dyDescent="0.25">
      <c r="A44" s="44" t="s">
        <v>831</v>
      </c>
      <c r="B44" s="44">
        <v>170823590474.94998</v>
      </c>
      <c r="C44" s="44">
        <v>173542704283.14999</v>
      </c>
      <c r="D44" s="44">
        <f t="shared" si="0"/>
        <v>1.5917671561872189</v>
      </c>
      <c r="E44" s="39">
        <v>5</v>
      </c>
      <c r="F44" s="39">
        <v>1</v>
      </c>
      <c r="G44" s="39">
        <v>0</v>
      </c>
      <c r="H44" s="8">
        <f t="shared" si="1"/>
        <v>83.333333333333343</v>
      </c>
      <c r="I44" s="8">
        <f t="shared" si="2"/>
        <v>16.666666666666664</v>
      </c>
      <c r="J44" s="8"/>
      <c r="K44" s="8"/>
    </row>
    <row r="45" spans="1:11" x14ac:dyDescent="0.25">
      <c r="A45" s="44" t="s">
        <v>788</v>
      </c>
      <c r="B45" s="44">
        <v>19116150320799.434</v>
      </c>
      <c r="C45" s="44">
        <v>19762905533547.988</v>
      </c>
      <c r="D45" s="44">
        <f t="shared" si="0"/>
        <v>3.383292147712655</v>
      </c>
      <c r="E45" s="39">
        <v>9</v>
      </c>
      <c r="F45" s="39">
        <v>2</v>
      </c>
      <c r="G45" s="39">
        <v>0</v>
      </c>
      <c r="H45" s="8">
        <f t="shared" si="1"/>
        <v>81.818181818181827</v>
      </c>
      <c r="I45" s="8">
        <f t="shared" si="2"/>
        <v>18.181818181818183</v>
      </c>
      <c r="J45" s="8"/>
      <c r="K45" s="8"/>
    </row>
    <row r="46" spans="1:11" x14ac:dyDescent="0.25">
      <c r="A46" s="44" t="s">
        <v>1584</v>
      </c>
      <c r="B46" s="44">
        <v>231907330418.32001</v>
      </c>
      <c r="C46" s="44">
        <v>328165793599.29993</v>
      </c>
      <c r="D46" s="44">
        <f t="shared" si="0"/>
        <v>41.507296473702063</v>
      </c>
      <c r="E46" s="39">
        <v>4</v>
      </c>
      <c r="F46" s="39">
        <v>0</v>
      </c>
      <c r="G46" s="39">
        <v>1</v>
      </c>
      <c r="H46" s="8">
        <f t="shared" si="1"/>
        <v>80</v>
      </c>
      <c r="I46" s="8">
        <f t="shared" si="2"/>
        <v>0</v>
      </c>
      <c r="J46" s="8"/>
      <c r="K46" s="8"/>
    </row>
    <row r="47" spans="1:11" x14ac:dyDescent="0.25">
      <c r="A47" s="44" t="s">
        <v>3618</v>
      </c>
      <c r="B47" s="44">
        <v>136375888640.60001</v>
      </c>
      <c r="C47" s="44">
        <v>165163468292.54999</v>
      </c>
      <c r="D47" s="44">
        <f t="shared" si="0"/>
        <v>21.108995100897719</v>
      </c>
      <c r="E47" s="39">
        <v>4</v>
      </c>
      <c r="F47" s="39">
        <v>1</v>
      </c>
      <c r="G47" s="39">
        <v>0</v>
      </c>
      <c r="H47" s="8">
        <f t="shared" si="1"/>
        <v>80</v>
      </c>
      <c r="I47" s="8">
        <f t="shared" si="2"/>
        <v>20</v>
      </c>
      <c r="J47" s="8"/>
      <c r="K47" s="8"/>
    </row>
    <row r="48" spans="1:11" x14ac:dyDescent="0.25">
      <c r="A48" s="44" t="s">
        <v>3974</v>
      </c>
      <c r="B48" s="44">
        <v>237054143966.31</v>
      </c>
      <c r="C48" s="44">
        <v>274093219962.29999</v>
      </c>
      <c r="D48" s="44">
        <f t="shared" si="0"/>
        <v>15.624732551080806</v>
      </c>
      <c r="E48" s="39">
        <v>8</v>
      </c>
      <c r="F48" s="39">
        <v>2</v>
      </c>
      <c r="G48" s="39">
        <v>0</v>
      </c>
      <c r="H48" s="8">
        <f t="shared" si="1"/>
        <v>80</v>
      </c>
      <c r="I48" s="8">
        <f t="shared" si="2"/>
        <v>20</v>
      </c>
      <c r="J48" s="8"/>
      <c r="K48" s="8"/>
    </row>
    <row r="49" spans="1:13" x14ac:dyDescent="0.25">
      <c r="A49" s="44" t="s">
        <v>985</v>
      </c>
      <c r="B49" s="44">
        <v>2231851288327.02</v>
      </c>
      <c r="C49" s="44">
        <v>2429624618681.0601</v>
      </c>
      <c r="D49" s="44">
        <f t="shared" si="0"/>
        <v>8.8614027013551393</v>
      </c>
      <c r="E49" s="39">
        <v>16</v>
      </c>
      <c r="F49" s="39">
        <v>4</v>
      </c>
      <c r="G49" s="39">
        <v>0</v>
      </c>
      <c r="H49" s="8">
        <f t="shared" si="1"/>
        <v>80</v>
      </c>
      <c r="I49" s="8">
        <f t="shared" si="2"/>
        <v>20</v>
      </c>
      <c r="J49" s="8"/>
      <c r="K49" s="8"/>
    </row>
    <row r="50" spans="1:13" x14ac:dyDescent="0.25">
      <c r="A50" s="44" t="s">
        <v>3190</v>
      </c>
      <c r="B50" s="44">
        <v>88946288131.380005</v>
      </c>
      <c r="C50" s="44">
        <v>94553525860.470001</v>
      </c>
      <c r="D50" s="44">
        <f t="shared" si="0"/>
        <v>6.3040716446848322</v>
      </c>
      <c r="E50" s="39">
        <v>8</v>
      </c>
      <c r="F50" s="39">
        <v>2</v>
      </c>
      <c r="G50" s="39">
        <v>0</v>
      </c>
      <c r="H50" s="8">
        <f t="shared" si="1"/>
        <v>80</v>
      </c>
      <c r="I50" s="8">
        <f t="shared" si="2"/>
        <v>20</v>
      </c>
      <c r="J50" s="8"/>
      <c r="K50" s="8"/>
    </row>
    <row r="51" spans="1:13" x14ac:dyDescent="0.25">
      <c r="A51" s="44" t="s">
        <v>2501</v>
      </c>
      <c r="B51" s="44">
        <v>110219019864.19998</v>
      </c>
      <c r="C51" s="44">
        <v>114936746053.54999</v>
      </c>
      <c r="D51" s="44">
        <f t="shared" si="0"/>
        <v>4.280319490377142</v>
      </c>
      <c r="E51" s="39">
        <v>4</v>
      </c>
      <c r="F51" s="39">
        <v>0</v>
      </c>
      <c r="G51" s="39">
        <v>1</v>
      </c>
      <c r="H51" s="8">
        <f t="shared" si="1"/>
        <v>80</v>
      </c>
      <c r="I51" s="8">
        <f t="shared" si="2"/>
        <v>0</v>
      </c>
      <c r="J51" s="8"/>
      <c r="K51" s="8"/>
    </row>
    <row r="52" spans="1:13" x14ac:dyDescent="0.25">
      <c r="A52" s="44" t="s">
        <v>2757</v>
      </c>
      <c r="B52" s="44">
        <v>553195552186.62</v>
      </c>
      <c r="C52" s="44">
        <v>566819255733.66003</v>
      </c>
      <c r="D52" s="44">
        <f t="shared" si="0"/>
        <v>2.4627283233188568</v>
      </c>
      <c r="E52" s="39">
        <v>4</v>
      </c>
      <c r="F52" s="39">
        <v>1</v>
      </c>
      <c r="G52" s="39">
        <v>0</v>
      </c>
      <c r="H52" s="8">
        <f t="shared" si="1"/>
        <v>80</v>
      </c>
      <c r="I52" s="8">
        <f t="shared" si="2"/>
        <v>20</v>
      </c>
      <c r="J52" s="8"/>
      <c r="K52" s="8"/>
      <c r="L52" s="8"/>
      <c r="M52" s="8"/>
    </row>
    <row r="53" spans="1:13" x14ac:dyDescent="0.25">
      <c r="A53" s="44" t="s">
        <v>3772</v>
      </c>
      <c r="B53" s="44">
        <v>687974012890.63</v>
      </c>
      <c r="C53" s="44">
        <v>693940863415.56995</v>
      </c>
      <c r="D53" s="44">
        <f t="shared" si="0"/>
        <v>0.8673075455087742</v>
      </c>
      <c r="E53" s="39">
        <v>4</v>
      </c>
      <c r="F53" s="39">
        <v>1</v>
      </c>
      <c r="G53" s="39">
        <v>0</v>
      </c>
      <c r="H53" s="8">
        <f t="shared" si="1"/>
        <v>80</v>
      </c>
      <c r="I53" s="8">
        <f t="shared" si="2"/>
        <v>20</v>
      </c>
      <c r="J53" s="8"/>
      <c r="K53" s="8"/>
    </row>
    <row r="54" spans="1:13" x14ac:dyDescent="0.25">
      <c r="A54" s="44" t="s">
        <v>206</v>
      </c>
      <c r="B54" s="44">
        <v>1028432842272.2301</v>
      </c>
      <c r="C54" s="44">
        <v>1068248992341.76</v>
      </c>
      <c r="D54" s="44">
        <f t="shared" si="0"/>
        <v>3.8715362280301839</v>
      </c>
      <c r="E54" s="39">
        <v>26</v>
      </c>
      <c r="F54" s="39">
        <v>7</v>
      </c>
      <c r="G54" s="39">
        <v>0</v>
      </c>
      <c r="H54" s="8">
        <f t="shared" si="1"/>
        <v>78.787878787878782</v>
      </c>
      <c r="I54" s="8">
        <f t="shared" si="2"/>
        <v>21.212121212121211</v>
      </c>
      <c r="J54" s="8"/>
      <c r="K54" s="8"/>
    </row>
    <row r="55" spans="1:13" x14ac:dyDescent="0.25">
      <c r="A55" s="44" t="s">
        <v>2422</v>
      </c>
      <c r="B55" s="44">
        <v>432791715266.04999</v>
      </c>
      <c r="C55" s="44">
        <v>450912479999.50995</v>
      </c>
      <c r="D55" s="44">
        <f t="shared" si="0"/>
        <v>4.1869481541070135</v>
      </c>
      <c r="E55" s="39">
        <v>29</v>
      </c>
      <c r="F55" s="39">
        <v>7</v>
      </c>
      <c r="G55" s="39">
        <v>1</v>
      </c>
      <c r="H55" s="8">
        <f t="shared" si="1"/>
        <v>78.378378378378372</v>
      </c>
      <c r="I55" s="8">
        <f t="shared" si="2"/>
        <v>18.918918918918919</v>
      </c>
      <c r="J55" s="8"/>
      <c r="K55" s="8"/>
    </row>
    <row r="56" spans="1:13" x14ac:dyDescent="0.25">
      <c r="A56" s="44" t="s">
        <v>11</v>
      </c>
      <c r="B56" s="44">
        <v>1421147124506.28</v>
      </c>
      <c r="C56" s="44">
        <v>1576399172160.21</v>
      </c>
      <c r="D56" s="44">
        <f t="shared" si="0"/>
        <v>10.924417674761575</v>
      </c>
      <c r="E56" s="39">
        <v>7</v>
      </c>
      <c r="F56" s="39">
        <v>1</v>
      </c>
      <c r="G56" s="39">
        <v>1</v>
      </c>
      <c r="H56" s="8">
        <f t="shared" si="1"/>
        <v>77.777777777777786</v>
      </c>
      <c r="I56" s="8">
        <f t="shared" si="2"/>
        <v>11.111111111111111</v>
      </c>
      <c r="J56" s="8"/>
      <c r="K56" s="8"/>
    </row>
    <row r="57" spans="1:13" x14ac:dyDescent="0.25">
      <c r="A57" s="44" t="s">
        <v>4066</v>
      </c>
      <c r="B57" s="44">
        <v>58506136329.970001</v>
      </c>
      <c r="C57" s="44">
        <v>62456288400.510002</v>
      </c>
      <c r="D57" s="44">
        <f t="shared" si="0"/>
        <v>6.7516884865913118</v>
      </c>
      <c r="E57" s="39">
        <v>7</v>
      </c>
      <c r="F57" s="39">
        <v>2</v>
      </c>
      <c r="G57" s="39">
        <v>0</v>
      </c>
      <c r="H57" s="8">
        <f t="shared" si="1"/>
        <v>77.777777777777786</v>
      </c>
      <c r="I57" s="8">
        <f t="shared" si="2"/>
        <v>22.222222222222221</v>
      </c>
      <c r="J57" s="8"/>
      <c r="K57" s="8"/>
    </row>
    <row r="58" spans="1:13" x14ac:dyDescent="0.25">
      <c r="A58" s="44" t="s">
        <v>1501</v>
      </c>
      <c r="B58" s="44">
        <v>734244031688.67993</v>
      </c>
      <c r="C58" s="44">
        <v>743625094562.78003</v>
      </c>
      <c r="D58" s="44">
        <f t="shared" si="0"/>
        <v>1.2776491832728545</v>
      </c>
      <c r="E58" s="39">
        <v>7</v>
      </c>
      <c r="F58" s="39">
        <v>2</v>
      </c>
      <c r="G58" s="39">
        <v>0</v>
      </c>
      <c r="H58" s="8">
        <f t="shared" si="1"/>
        <v>77.777777777777786</v>
      </c>
      <c r="I58" s="8">
        <f t="shared" si="2"/>
        <v>22.222222222222221</v>
      </c>
      <c r="J58" s="8"/>
      <c r="K58" s="8"/>
    </row>
    <row r="59" spans="1:13" x14ac:dyDescent="0.25">
      <c r="A59" s="44" t="s">
        <v>807</v>
      </c>
      <c r="B59" s="44">
        <v>4028132145745.3604</v>
      </c>
      <c r="C59" s="44">
        <v>4299848476336.1597</v>
      </c>
      <c r="D59" s="44">
        <f t="shared" si="0"/>
        <v>6.7454671485342068</v>
      </c>
      <c r="E59" s="39">
        <v>23</v>
      </c>
      <c r="F59" s="39">
        <v>7</v>
      </c>
      <c r="G59" s="39">
        <v>0</v>
      </c>
      <c r="H59" s="8">
        <f t="shared" si="1"/>
        <v>76.666666666666671</v>
      </c>
      <c r="I59" s="8">
        <f t="shared" si="2"/>
        <v>23.333333333333332</v>
      </c>
      <c r="J59" s="8"/>
      <c r="K59" s="8"/>
    </row>
    <row r="60" spans="1:13" x14ac:dyDescent="0.25">
      <c r="A60" s="44" t="s">
        <v>4053</v>
      </c>
      <c r="B60" s="44">
        <v>13241185418.700001</v>
      </c>
      <c r="C60" s="44">
        <v>15920416554.75</v>
      </c>
      <c r="D60" s="44">
        <f t="shared" si="0"/>
        <v>20.234073093382012</v>
      </c>
      <c r="E60" s="39">
        <v>3</v>
      </c>
      <c r="F60" s="39">
        <v>1</v>
      </c>
      <c r="G60" s="39">
        <v>0</v>
      </c>
      <c r="H60" s="8">
        <f t="shared" si="1"/>
        <v>75</v>
      </c>
      <c r="I60" s="8">
        <f t="shared" si="2"/>
        <v>25</v>
      </c>
      <c r="J60" s="8"/>
      <c r="K60" s="8"/>
    </row>
    <row r="61" spans="1:13" x14ac:dyDescent="0.25">
      <c r="A61" s="44" t="s">
        <v>3068</v>
      </c>
      <c r="B61" s="44">
        <v>3563687106.7400002</v>
      </c>
      <c r="C61" s="44">
        <v>4149121120.4000001</v>
      </c>
      <c r="D61" s="44">
        <f t="shared" si="0"/>
        <v>16.427761364143578</v>
      </c>
      <c r="E61" s="39">
        <v>3</v>
      </c>
      <c r="F61" s="39">
        <v>1</v>
      </c>
      <c r="G61" s="39">
        <v>0</v>
      </c>
      <c r="H61" s="8">
        <f t="shared" si="1"/>
        <v>75</v>
      </c>
      <c r="I61" s="8">
        <f t="shared" si="2"/>
        <v>25</v>
      </c>
      <c r="J61" s="8"/>
      <c r="K61" s="8"/>
    </row>
    <row r="62" spans="1:13" x14ac:dyDescent="0.25">
      <c r="A62" s="44" t="s">
        <v>3814</v>
      </c>
      <c r="B62" s="44">
        <v>3061155125.7200003</v>
      </c>
      <c r="C62" s="44">
        <v>3382078397.8000002</v>
      </c>
      <c r="D62" s="44">
        <f t="shared" si="0"/>
        <v>10.483731104757947</v>
      </c>
      <c r="E62" s="39">
        <v>3</v>
      </c>
      <c r="F62" s="39">
        <v>1</v>
      </c>
      <c r="G62" s="39">
        <v>0</v>
      </c>
      <c r="H62" s="8">
        <f t="shared" si="1"/>
        <v>75</v>
      </c>
      <c r="I62" s="8">
        <f t="shared" si="2"/>
        <v>25</v>
      </c>
      <c r="J62" s="8"/>
      <c r="K62" s="8"/>
    </row>
    <row r="63" spans="1:13" x14ac:dyDescent="0.25">
      <c r="A63" s="44" t="s">
        <v>262</v>
      </c>
      <c r="B63" s="44">
        <v>12326355076.550001</v>
      </c>
      <c r="C63" s="44">
        <v>13509257739.539999</v>
      </c>
      <c r="D63" s="44">
        <f t="shared" si="0"/>
        <v>9.5965324351266226</v>
      </c>
      <c r="E63" s="39">
        <v>6</v>
      </c>
      <c r="F63" s="39">
        <v>2</v>
      </c>
      <c r="G63" s="39">
        <v>0</v>
      </c>
      <c r="H63" s="8">
        <f t="shared" si="1"/>
        <v>75</v>
      </c>
      <c r="I63" s="8">
        <f t="shared" si="2"/>
        <v>25</v>
      </c>
      <c r="J63" s="8"/>
      <c r="K63" s="8"/>
    </row>
    <row r="64" spans="1:13" x14ac:dyDescent="0.25">
      <c r="A64" s="51" t="s">
        <v>2577</v>
      </c>
      <c r="B64" s="44">
        <v>590867089853.59998</v>
      </c>
      <c r="C64" s="44">
        <v>645614182771.55005</v>
      </c>
      <c r="D64" s="44">
        <f t="shared" si="0"/>
        <v>9.2655512310754773</v>
      </c>
      <c r="E64" s="39">
        <v>3</v>
      </c>
      <c r="F64" s="39">
        <v>1</v>
      </c>
      <c r="G64" s="39">
        <v>0</v>
      </c>
      <c r="H64" s="8">
        <f t="shared" si="1"/>
        <v>75</v>
      </c>
      <c r="I64" s="8">
        <f t="shared" si="2"/>
        <v>25</v>
      </c>
      <c r="J64" s="8"/>
      <c r="K64" s="8"/>
    </row>
    <row r="65" spans="1:12" x14ac:dyDescent="0.25">
      <c r="A65" s="44" t="s">
        <v>1271</v>
      </c>
      <c r="B65" s="44">
        <v>916292997364.0199</v>
      </c>
      <c r="C65" s="44">
        <v>990103769053.19995</v>
      </c>
      <c r="D65" s="44">
        <f t="shared" si="0"/>
        <v>8.0553678683039109</v>
      </c>
      <c r="E65" s="39">
        <v>12</v>
      </c>
      <c r="F65" s="39">
        <v>4</v>
      </c>
      <c r="G65" s="39">
        <v>0</v>
      </c>
      <c r="H65" s="8">
        <f t="shared" si="1"/>
        <v>75</v>
      </c>
      <c r="I65" s="8">
        <f t="shared" si="2"/>
        <v>25</v>
      </c>
      <c r="J65" s="8"/>
      <c r="K65" s="8"/>
    </row>
    <row r="66" spans="1:12" x14ac:dyDescent="0.25">
      <c r="A66" s="44" t="s">
        <v>2522</v>
      </c>
      <c r="B66" s="44">
        <v>267612775328.31</v>
      </c>
      <c r="C66" s="44">
        <v>287979564747.21002</v>
      </c>
      <c r="D66" s="44">
        <f t="shared" si="0"/>
        <v>7.6105445242342586</v>
      </c>
      <c r="E66" s="39">
        <v>9</v>
      </c>
      <c r="F66" s="39">
        <v>3</v>
      </c>
      <c r="G66" s="39">
        <v>0</v>
      </c>
      <c r="H66" s="8">
        <f t="shared" si="1"/>
        <v>75</v>
      </c>
      <c r="I66" s="8">
        <f t="shared" si="2"/>
        <v>25</v>
      </c>
      <c r="J66" s="8"/>
      <c r="K66" s="8"/>
    </row>
    <row r="67" spans="1:12" x14ac:dyDescent="0.25">
      <c r="A67" s="44" t="s">
        <v>2721</v>
      </c>
      <c r="B67" s="44">
        <v>5622053688535.96</v>
      </c>
      <c r="C67" s="44">
        <v>6021696501632.8506</v>
      </c>
      <c r="D67" s="44">
        <f t="shared" si="0"/>
        <v>7.1084844655932429</v>
      </c>
      <c r="E67" s="39">
        <v>6</v>
      </c>
      <c r="F67" s="39">
        <v>2</v>
      </c>
      <c r="G67" s="39">
        <v>0</v>
      </c>
      <c r="H67" s="8">
        <f t="shared" si="1"/>
        <v>75</v>
      </c>
      <c r="I67" s="8">
        <f t="shared" si="2"/>
        <v>25</v>
      </c>
      <c r="J67" s="8"/>
      <c r="K67" s="8"/>
    </row>
    <row r="68" spans="1:12" x14ac:dyDescent="0.25">
      <c r="A68" s="44" t="s">
        <v>3918</v>
      </c>
      <c r="B68" s="44">
        <v>53586723092.720001</v>
      </c>
      <c r="C68" s="44">
        <v>55734780811.089996</v>
      </c>
      <c r="D68" s="44">
        <f t="shared" si="0"/>
        <v>4.0085633052300196</v>
      </c>
      <c r="E68" s="39">
        <v>6</v>
      </c>
      <c r="F68" s="39">
        <v>2</v>
      </c>
      <c r="G68" s="39">
        <v>0</v>
      </c>
      <c r="H68" s="8">
        <f t="shared" si="1"/>
        <v>75</v>
      </c>
      <c r="I68" s="8">
        <f t="shared" si="2"/>
        <v>25</v>
      </c>
      <c r="J68" s="8"/>
      <c r="K68" s="8"/>
    </row>
    <row r="69" spans="1:12" x14ac:dyDescent="0.25">
      <c r="A69" s="44" t="s">
        <v>4168</v>
      </c>
      <c r="B69" s="44">
        <v>75355020434</v>
      </c>
      <c r="C69" s="44">
        <v>77456626030</v>
      </c>
      <c r="D69" s="44">
        <f t="shared" si="0"/>
        <v>2.7889390566096384</v>
      </c>
      <c r="E69" s="39">
        <v>3</v>
      </c>
      <c r="F69" s="39">
        <v>1</v>
      </c>
      <c r="G69" s="39">
        <v>0</v>
      </c>
      <c r="H69" s="8">
        <f t="shared" si="1"/>
        <v>75</v>
      </c>
      <c r="I69" s="8">
        <f t="shared" si="2"/>
        <v>25</v>
      </c>
      <c r="J69" s="8"/>
      <c r="K69" s="8"/>
    </row>
    <row r="70" spans="1:12" x14ac:dyDescent="0.25">
      <c r="A70" s="44" t="s">
        <v>680</v>
      </c>
      <c r="B70" s="44">
        <v>25707640884974.004</v>
      </c>
      <c r="C70" s="44">
        <v>26392978875769.934</v>
      </c>
      <c r="D70" s="44">
        <f t="shared" si="0"/>
        <v>2.6658921908175035</v>
      </c>
      <c r="E70" s="39">
        <v>15</v>
      </c>
      <c r="F70" s="39">
        <v>4</v>
      </c>
      <c r="G70" s="39">
        <v>1</v>
      </c>
      <c r="H70" s="8">
        <f t="shared" si="1"/>
        <v>75</v>
      </c>
      <c r="I70" s="8">
        <f t="shared" si="2"/>
        <v>20</v>
      </c>
      <c r="J70" s="8"/>
      <c r="K70" s="8"/>
    </row>
    <row r="71" spans="1:12" x14ac:dyDescent="0.25">
      <c r="A71" s="44" t="s">
        <v>4016</v>
      </c>
      <c r="B71" s="44">
        <v>1600580884727.8999</v>
      </c>
      <c r="C71" s="44">
        <v>1620480082427.0498</v>
      </c>
      <c r="D71" s="44">
        <f t="shared" si="0"/>
        <v>1.2432484911584323</v>
      </c>
      <c r="E71" s="39">
        <v>3</v>
      </c>
      <c r="F71" s="39">
        <v>1</v>
      </c>
      <c r="G71" s="39">
        <v>0</v>
      </c>
      <c r="H71" s="8">
        <f t="shared" si="1"/>
        <v>75</v>
      </c>
      <c r="I71" s="8">
        <f t="shared" si="2"/>
        <v>25</v>
      </c>
      <c r="J71" s="8"/>
      <c r="K71" s="8"/>
    </row>
    <row r="72" spans="1:12" x14ac:dyDescent="0.25">
      <c r="A72" s="44" t="s">
        <v>893</v>
      </c>
      <c r="B72" s="44">
        <v>1305452489344.3398</v>
      </c>
      <c r="C72" s="44">
        <v>1360990325696.49</v>
      </c>
      <c r="D72" s="44">
        <f t="shared" si="0"/>
        <v>4.2542977860530096</v>
      </c>
      <c r="E72" s="39">
        <v>11</v>
      </c>
      <c r="F72" s="39">
        <v>4</v>
      </c>
      <c r="G72" s="39">
        <v>0</v>
      </c>
      <c r="H72" s="8">
        <f t="shared" si="1"/>
        <v>73.333333333333329</v>
      </c>
      <c r="I72" s="8">
        <f t="shared" si="2"/>
        <v>26.666666666666668</v>
      </c>
      <c r="J72" s="8"/>
      <c r="K72" s="8"/>
    </row>
    <row r="73" spans="1:12" x14ac:dyDescent="0.25">
      <c r="A73" s="44" t="s">
        <v>1907</v>
      </c>
      <c r="B73" s="44">
        <v>490949884622.65002</v>
      </c>
      <c r="C73" s="44">
        <v>488898821242.83008</v>
      </c>
      <c r="D73" s="44">
        <f t="shared" si="0"/>
        <v>-0.41777449064814798</v>
      </c>
      <c r="E73" s="39">
        <v>11</v>
      </c>
      <c r="F73" s="39">
        <v>3</v>
      </c>
      <c r="G73" s="39">
        <v>1</v>
      </c>
      <c r="H73" s="8">
        <f t="shared" si="1"/>
        <v>73.333333333333329</v>
      </c>
      <c r="I73" s="8">
        <f t="shared" si="2"/>
        <v>20</v>
      </c>
      <c r="J73" s="8"/>
      <c r="K73" s="8"/>
      <c r="L73" s="8"/>
    </row>
    <row r="74" spans="1:12" x14ac:dyDescent="0.25">
      <c r="A74" s="44" t="s">
        <v>15</v>
      </c>
      <c r="B74" s="44">
        <v>11129072653841.504</v>
      </c>
      <c r="C74" s="44">
        <v>11966811070610.256</v>
      </c>
      <c r="D74" s="44">
        <f t="shared" si="0"/>
        <v>7.5274772914667203</v>
      </c>
      <c r="E74" s="39">
        <v>117</v>
      </c>
      <c r="F74" s="39">
        <v>41</v>
      </c>
      <c r="G74" s="39">
        <v>3</v>
      </c>
      <c r="H74" s="8">
        <f t="shared" si="1"/>
        <v>72.67080745341616</v>
      </c>
      <c r="I74" s="8">
        <f t="shared" si="2"/>
        <v>25.465838509316768</v>
      </c>
      <c r="J74" s="8"/>
      <c r="K74" s="8"/>
    </row>
    <row r="75" spans="1:12" x14ac:dyDescent="0.25">
      <c r="A75" s="44" t="s">
        <v>1807</v>
      </c>
      <c r="B75" s="44">
        <v>1218497297544.6001</v>
      </c>
      <c r="C75" s="44">
        <v>1312812369058.7598</v>
      </c>
      <c r="D75" s="44">
        <f t="shared" si="0"/>
        <v>7.740277447000862</v>
      </c>
      <c r="E75" s="39">
        <v>13</v>
      </c>
      <c r="F75" s="39">
        <v>5</v>
      </c>
      <c r="G75" s="39">
        <v>0</v>
      </c>
      <c r="H75" s="8">
        <f t="shared" si="1"/>
        <v>72.222222222222214</v>
      </c>
      <c r="I75" s="8">
        <f t="shared" si="2"/>
        <v>27.777777777777779</v>
      </c>
      <c r="J75" s="8"/>
      <c r="K75" s="8"/>
    </row>
    <row r="76" spans="1:12" x14ac:dyDescent="0.25">
      <c r="A76" s="44" t="s">
        <v>1478</v>
      </c>
      <c r="B76" s="44">
        <v>431543372742.84009</v>
      </c>
      <c r="C76" s="44">
        <v>468766525261.73999</v>
      </c>
      <c r="D76" s="44">
        <f t="shared" si="0"/>
        <v>8.6255878018271552</v>
      </c>
      <c r="E76" s="39">
        <v>33</v>
      </c>
      <c r="F76" s="39">
        <v>12</v>
      </c>
      <c r="G76" s="39">
        <v>1</v>
      </c>
      <c r="H76" s="8">
        <f t="shared" si="1"/>
        <v>71.739130434782609</v>
      </c>
      <c r="I76" s="8">
        <f t="shared" si="2"/>
        <v>26.086956521739129</v>
      </c>
      <c r="J76" s="8"/>
      <c r="K76" s="8"/>
    </row>
    <row r="77" spans="1:12" x14ac:dyDescent="0.25">
      <c r="A77" s="44" t="s">
        <v>3652</v>
      </c>
      <c r="B77" s="44">
        <v>106126927731.29002</v>
      </c>
      <c r="C77" s="44">
        <v>112241092328.32001</v>
      </c>
      <c r="D77" s="44">
        <f t="shared" si="0"/>
        <v>5.7611811891048541</v>
      </c>
      <c r="E77" s="39">
        <v>5</v>
      </c>
      <c r="F77" s="39">
        <v>2</v>
      </c>
      <c r="G77" s="39">
        <v>0</v>
      </c>
      <c r="H77" s="8">
        <f t="shared" si="1"/>
        <v>71.428571428571431</v>
      </c>
      <c r="I77" s="8">
        <f t="shared" si="2"/>
        <v>28.571428571428569</v>
      </c>
      <c r="J77" s="8"/>
      <c r="K77" s="8"/>
    </row>
    <row r="78" spans="1:12" x14ac:dyDescent="0.25">
      <c r="A78" s="44" t="s">
        <v>4111</v>
      </c>
      <c r="B78" s="44">
        <v>43492088640.290001</v>
      </c>
      <c r="C78" s="44">
        <v>43100758424.75</v>
      </c>
      <c r="D78" s="44">
        <f t="shared" si="0"/>
        <v>-0.89977333297689055</v>
      </c>
      <c r="E78" s="39">
        <v>5</v>
      </c>
      <c r="F78" s="39">
        <v>2</v>
      </c>
      <c r="G78" s="39">
        <v>0</v>
      </c>
      <c r="H78" s="8">
        <f t="shared" si="1"/>
        <v>71.428571428571431</v>
      </c>
      <c r="I78" s="8">
        <f t="shared" si="2"/>
        <v>28.571428571428569</v>
      </c>
      <c r="J78" s="8"/>
      <c r="K78" s="8"/>
    </row>
    <row r="79" spans="1:12" x14ac:dyDescent="0.25">
      <c r="A79" s="44" t="s">
        <v>1968</v>
      </c>
      <c r="B79" s="44">
        <v>28253610868895.293</v>
      </c>
      <c r="C79" s="44">
        <v>28353073873081.516</v>
      </c>
      <c r="D79" s="44">
        <f t="shared" si="0"/>
        <v>0.352036434025226</v>
      </c>
      <c r="E79" s="39">
        <v>51</v>
      </c>
      <c r="F79" s="39">
        <v>19</v>
      </c>
      <c r="G79" s="39">
        <v>2</v>
      </c>
      <c r="H79" s="8">
        <f t="shared" si="1"/>
        <v>70.833333333333343</v>
      </c>
      <c r="I79" s="8">
        <f t="shared" si="2"/>
        <v>26.388888888888889</v>
      </c>
      <c r="J79" s="8"/>
      <c r="K79" s="8"/>
    </row>
    <row r="80" spans="1:12" x14ac:dyDescent="0.25">
      <c r="A80" s="44" t="s">
        <v>3906</v>
      </c>
      <c r="B80" s="44">
        <v>283950081715.39996</v>
      </c>
      <c r="C80" s="44">
        <v>353171724104.14996</v>
      </c>
      <c r="D80" s="44">
        <f t="shared" si="0"/>
        <v>24.378102647679491</v>
      </c>
      <c r="E80" s="39">
        <v>31</v>
      </c>
      <c r="F80" s="39">
        <v>9</v>
      </c>
      <c r="G80" s="39">
        <v>4</v>
      </c>
      <c r="H80" s="8">
        <f t="shared" si="1"/>
        <v>70.454545454545453</v>
      </c>
      <c r="I80" s="8">
        <f t="shared" si="2"/>
        <v>20.454545454545457</v>
      </c>
      <c r="J80" s="8"/>
      <c r="K80" s="8"/>
    </row>
    <row r="81" spans="1:12" x14ac:dyDescent="0.25">
      <c r="A81" s="44" t="s">
        <v>110</v>
      </c>
      <c r="B81" s="44">
        <v>425979494863.70001</v>
      </c>
      <c r="C81" s="44">
        <v>451068195336.87</v>
      </c>
      <c r="D81" s="44">
        <f t="shared" si="0"/>
        <v>5.8896498013824763</v>
      </c>
      <c r="E81" s="39">
        <v>16</v>
      </c>
      <c r="F81" s="39">
        <v>6</v>
      </c>
      <c r="G81" s="39">
        <v>1</v>
      </c>
      <c r="H81" s="8">
        <f t="shared" si="1"/>
        <v>69.565217391304344</v>
      </c>
      <c r="I81" s="8">
        <f t="shared" si="2"/>
        <v>26.086956521739129</v>
      </c>
      <c r="J81" s="8"/>
      <c r="K81" s="8"/>
    </row>
    <row r="82" spans="1:12" x14ac:dyDescent="0.25">
      <c r="A82" s="44" t="s">
        <v>1376</v>
      </c>
      <c r="B82" s="44">
        <v>5573804299753.1396</v>
      </c>
      <c r="C82" s="44">
        <v>5928914599176.8594</v>
      </c>
      <c r="D82" s="44">
        <f t="shared" si="0"/>
        <v>6.3710579045526838</v>
      </c>
      <c r="E82" s="39">
        <v>13</v>
      </c>
      <c r="F82" s="39">
        <v>4</v>
      </c>
      <c r="G82" s="39">
        <v>2</v>
      </c>
      <c r="H82" s="8">
        <f t="shared" si="1"/>
        <v>68.421052631578945</v>
      </c>
      <c r="I82" s="8">
        <f t="shared" si="2"/>
        <v>21.052631578947366</v>
      </c>
      <c r="J82" s="8"/>
      <c r="K82" s="8"/>
    </row>
    <row r="83" spans="1:12" x14ac:dyDescent="0.25">
      <c r="A83" s="44" t="s">
        <v>1046</v>
      </c>
      <c r="B83" s="44">
        <v>813240823916.41003</v>
      </c>
      <c r="C83" s="44">
        <v>874321683830.20007</v>
      </c>
      <c r="D83" s="44">
        <f t="shared" si="0"/>
        <v>7.5107960787846917</v>
      </c>
      <c r="E83" s="39">
        <v>15</v>
      </c>
      <c r="F83" s="39">
        <v>7</v>
      </c>
      <c r="G83" s="39">
        <v>0</v>
      </c>
      <c r="H83" s="8">
        <f t="shared" si="1"/>
        <v>68.181818181818173</v>
      </c>
      <c r="I83" s="8">
        <f t="shared" si="2"/>
        <v>31.818181818181817</v>
      </c>
      <c r="J83" s="8"/>
      <c r="K83" s="8"/>
    </row>
    <row r="84" spans="1:12" x14ac:dyDescent="0.25">
      <c r="A84" s="44" t="s">
        <v>1136</v>
      </c>
      <c r="B84" s="44">
        <v>6889709595767.5713</v>
      </c>
      <c r="C84" s="44">
        <v>7046736099337.2725</v>
      </c>
      <c r="D84" s="44">
        <f t="shared" si="0"/>
        <v>2.2791454616050055</v>
      </c>
      <c r="E84" s="39">
        <v>30</v>
      </c>
      <c r="F84" s="39">
        <v>11</v>
      </c>
      <c r="G84" s="39">
        <v>3</v>
      </c>
      <c r="H84" s="8">
        <f t="shared" si="1"/>
        <v>68.181818181818173</v>
      </c>
      <c r="I84" s="8">
        <f t="shared" si="2"/>
        <v>25</v>
      </c>
      <c r="J84" s="8"/>
      <c r="K84" s="8"/>
    </row>
    <row r="85" spans="1:12" x14ac:dyDescent="0.25">
      <c r="A85" s="44" t="s">
        <v>4194</v>
      </c>
      <c r="B85" s="44">
        <v>2697268932</v>
      </c>
      <c r="C85" s="44">
        <v>3870219176</v>
      </c>
      <c r="D85" s="44">
        <f t="shared" si="0"/>
        <v>43.486588603913077</v>
      </c>
      <c r="E85" s="39">
        <v>2</v>
      </c>
      <c r="F85" s="39">
        <v>1</v>
      </c>
      <c r="G85" s="39">
        <v>0</v>
      </c>
      <c r="H85" s="8">
        <f t="shared" si="1"/>
        <v>66.666666666666657</v>
      </c>
      <c r="I85" s="8">
        <f t="shared" si="2"/>
        <v>33.333333333333329</v>
      </c>
      <c r="J85" s="8"/>
      <c r="K85" s="8"/>
    </row>
    <row r="86" spans="1:12" x14ac:dyDescent="0.25">
      <c r="A86" s="44" t="s">
        <v>2286</v>
      </c>
      <c r="B86" s="44">
        <v>495146460584.67999</v>
      </c>
      <c r="C86" s="44">
        <v>583379322475.28003</v>
      </c>
      <c r="D86" s="44">
        <f t="shared" si="0"/>
        <v>17.81954813660845</v>
      </c>
      <c r="E86" s="39">
        <v>22</v>
      </c>
      <c r="F86" s="39">
        <v>10</v>
      </c>
      <c r="G86" s="39">
        <v>1</v>
      </c>
      <c r="H86" s="8">
        <f t="shared" si="1"/>
        <v>66.666666666666657</v>
      </c>
      <c r="I86" s="8">
        <f t="shared" si="2"/>
        <v>30.303030303030305</v>
      </c>
      <c r="J86" s="8"/>
      <c r="K86" s="8"/>
    </row>
    <row r="87" spans="1:12" x14ac:dyDescent="0.25">
      <c r="A87" s="44" t="s">
        <v>3140</v>
      </c>
      <c r="B87" s="44">
        <v>2358677279817.5508</v>
      </c>
      <c r="C87" s="44">
        <v>2615365359276.6802</v>
      </c>
      <c r="D87" s="44">
        <f t="shared" si="0"/>
        <v>10.882713021214366</v>
      </c>
      <c r="E87" s="39">
        <v>8</v>
      </c>
      <c r="F87" s="39">
        <v>3</v>
      </c>
      <c r="G87" s="39">
        <v>1</v>
      </c>
      <c r="H87" s="8">
        <f t="shared" si="1"/>
        <v>66.666666666666657</v>
      </c>
      <c r="I87" s="8">
        <f t="shared" si="2"/>
        <v>25</v>
      </c>
      <c r="J87" s="8"/>
      <c r="K87" s="8"/>
    </row>
    <row r="88" spans="1:12" x14ac:dyDescent="0.25">
      <c r="A88" s="44" t="s">
        <v>2321</v>
      </c>
      <c r="B88" s="44">
        <v>133328317955.05</v>
      </c>
      <c r="C88" s="44">
        <v>141412406210.69998</v>
      </c>
      <c r="D88" s="44">
        <f t="shared" si="0"/>
        <v>6.0632942645953349</v>
      </c>
      <c r="E88" s="39">
        <v>4</v>
      </c>
      <c r="F88" s="39">
        <v>2</v>
      </c>
      <c r="G88" s="39">
        <v>0</v>
      </c>
      <c r="H88" s="8">
        <f t="shared" si="1"/>
        <v>66.666666666666657</v>
      </c>
      <c r="I88" s="8">
        <f t="shared" si="2"/>
        <v>33.333333333333329</v>
      </c>
      <c r="J88" s="8"/>
      <c r="K88" s="8"/>
    </row>
    <row r="89" spans="1:12" x14ac:dyDescent="0.25">
      <c r="A89" s="44" t="s">
        <v>1760</v>
      </c>
      <c r="B89" s="44">
        <v>204744052929.18002</v>
      </c>
      <c r="C89" s="44">
        <v>216591772877.31998</v>
      </c>
      <c r="D89" s="44">
        <f t="shared" si="0"/>
        <v>5.7866002839349981</v>
      </c>
      <c r="E89" s="39">
        <v>6</v>
      </c>
      <c r="F89" s="39">
        <v>2</v>
      </c>
      <c r="G89" s="39">
        <v>1</v>
      </c>
      <c r="H89" s="8">
        <f t="shared" si="1"/>
        <v>66.666666666666657</v>
      </c>
      <c r="I89" s="8">
        <f t="shared" si="2"/>
        <v>22.222222222222221</v>
      </c>
      <c r="J89" s="8"/>
      <c r="K89" s="8"/>
    </row>
    <row r="90" spans="1:12" x14ac:dyDescent="0.25">
      <c r="A90" s="44" t="s">
        <v>3976</v>
      </c>
      <c r="B90" s="44">
        <v>1240005347416.05</v>
      </c>
      <c r="C90" s="20">
        <v>1297196101618.6399</v>
      </c>
      <c r="D90" s="44">
        <f t="shared" si="0"/>
        <v>4.6121377074514376</v>
      </c>
      <c r="E90" s="39">
        <v>12</v>
      </c>
      <c r="F90" s="39">
        <v>6</v>
      </c>
      <c r="G90" s="39">
        <v>0</v>
      </c>
      <c r="H90" s="8">
        <f t="shared" si="1"/>
        <v>66.666666666666657</v>
      </c>
      <c r="I90" s="8">
        <f t="shared" si="2"/>
        <v>33.333333333333329</v>
      </c>
      <c r="J90" s="8"/>
      <c r="K90" s="8"/>
    </row>
    <row r="91" spans="1:12" x14ac:dyDescent="0.25">
      <c r="A91" s="51" t="s">
        <v>2567</v>
      </c>
      <c r="B91" s="44">
        <v>166081864058.95001</v>
      </c>
      <c r="C91" s="44">
        <v>172664257178.20001</v>
      </c>
      <c r="D91" s="44">
        <f t="shared" si="0"/>
        <v>3.9633425097598907</v>
      </c>
      <c r="E91" s="39">
        <v>2</v>
      </c>
      <c r="F91" s="39">
        <v>1</v>
      </c>
      <c r="G91" s="39">
        <v>0</v>
      </c>
      <c r="H91" s="8">
        <f t="shared" si="1"/>
        <v>66.666666666666657</v>
      </c>
      <c r="I91" s="8">
        <f t="shared" si="2"/>
        <v>33.333333333333329</v>
      </c>
      <c r="J91" s="8"/>
      <c r="K91" s="8"/>
    </row>
    <row r="92" spans="1:12" x14ac:dyDescent="0.25">
      <c r="A92" s="44" t="s">
        <v>3536</v>
      </c>
      <c r="B92" s="44">
        <v>2239012344764.8999</v>
      </c>
      <c r="C92" s="44">
        <v>2314264841882.9302</v>
      </c>
      <c r="D92" s="44">
        <f t="shared" si="0"/>
        <v>3.3609683883155146</v>
      </c>
      <c r="E92" s="39">
        <v>4</v>
      </c>
      <c r="F92" s="39">
        <v>2</v>
      </c>
      <c r="G92" s="39">
        <v>0</v>
      </c>
      <c r="H92" s="8">
        <f t="shared" si="1"/>
        <v>66.666666666666657</v>
      </c>
      <c r="I92" s="8">
        <f t="shared" si="2"/>
        <v>33.333333333333329</v>
      </c>
      <c r="J92" s="8"/>
      <c r="K92" s="8"/>
    </row>
    <row r="93" spans="1:12" x14ac:dyDescent="0.25">
      <c r="A93" s="44" t="s">
        <v>2892</v>
      </c>
      <c r="B93" s="44">
        <v>2845596945038.3501</v>
      </c>
      <c r="C93" s="44">
        <v>2721843299000.73</v>
      </c>
      <c r="D93" s="44">
        <f t="shared" si="0"/>
        <v>-4.3489520275666553</v>
      </c>
      <c r="E93" s="39">
        <v>2</v>
      </c>
      <c r="F93" s="39">
        <v>1</v>
      </c>
      <c r="G93" s="39">
        <v>0</v>
      </c>
      <c r="H93" s="8">
        <f t="shared" si="1"/>
        <v>66.666666666666657</v>
      </c>
      <c r="I93" s="8">
        <f t="shared" si="2"/>
        <v>33.333333333333329</v>
      </c>
      <c r="J93" s="8"/>
      <c r="K93" s="8"/>
    </row>
    <row r="94" spans="1:12" x14ac:dyDescent="0.25">
      <c r="A94" s="44" t="s">
        <v>3951</v>
      </c>
      <c r="B94" s="44">
        <v>843896475698.06982</v>
      </c>
      <c r="C94" s="44">
        <v>943181718501.17004</v>
      </c>
      <c r="D94" s="44">
        <f t="shared" si="0"/>
        <v>11.765097457122526</v>
      </c>
      <c r="E94" s="39">
        <v>13</v>
      </c>
      <c r="F94" s="39">
        <v>7</v>
      </c>
      <c r="G94" s="39">
        <v>0</v>
      </c>
      <c r="H94" s="8">
        <f t="shared" si="1"/>
        <v>65</v>
      </c>
      <c r="I94" s="8">
        <f t="shared" si="2"/>
        <v>35</v>
      </c>
      <c r="J94" s="8"/>
      <c r="K94" s="8"/>
      <c r="L94" s="8"/>
    </row>
    <row r="95" spans="1:12" x14ac:dyDescent="0.25">
      <c r="A95" s="44" t="s">
        <v>3431</v>
      </c>
      <c r="B95" s="44">
        <v>4011995008299.3203</v>
      </c>
      <c r="C95" s="44">
        <v>4116378169953.8003</v>
      </c>
      <c r="D95" s="44">
        <f t="shared" si="0"/>
        <v>2.6017769573130121</v>
      </c>
      <c r="E95" s="39">
        <v>11</v>
      </c>
      <c r="F95" s="39">
        <v>4</v>
      </c>
      <c r="G95" s="39">
        <v>2</v>
      </c>
      <c r="H95" s="8">
        <f t="shared" si="1"/>
        <v>64.705882352941174</v>
      </c>
      <c r="I95" s="8">
        <f t="shared" si="2"/>
        <v>23.52941176470588</v>
      </c>
      <c r="J95" s="8"/>
      <c r="K95" s="8"/>
    </row>
    <row r="96" spans="1:12" x14ac:dyDescent="0.25">
      <c r="A96" s="44" t="s">
        <v>3683</v>
      </c>
      <c r="B96" s="44">
        <v>4164136547830.7798</v>
      </c>
      <c r="C96" s="44">
        <v>4564752592864.5684</v>
      </c>
      <c r="D96" s="44">
        <f t="shared" si="0"/>
        <v>9.6206269999114493</v>
      </c>
      <c r="E96" s="39">
        <v>25</v>
      </c>
      <c r="F96" s="39">
        <v>13</v>
      </c>
      <c r="G96" s="39">
        <v>1</v>
      </c>
      <c r="H96" s="8">
        <f t="shared" si="1"/>
        <v>64.102564102564102</v>
      </c>
      <c r="I96" s="8">
        <f t="shared" si="2"/>
        <v>33.333333333333329</v>
      </c>
      <c r="J96" s="8"/>
      <c r="K96" s="8"/>
    </row>
    <row r="97" spans="1:12" x14ac:dyDescent="0.25">
      <c r="A97" s="44" t="s">
        <v>3744</v>
      </c>
      <c r="B97" s="44">
        <v>1194693078925.8501</v>
      </c>
      <c r="C97" s="44">
        <v>1313513908125.6099</v>
      </c>
      <c r="D97" s="44">
        <f t="shared" si="0"/>
        <v>9.9457200594642856</v>
      </c>
      <c r="E97" s="39">
        <v>35</v>
      </c>
      <c r="F97" s="39">
        <v>17</v>
      </c>
      <c r="G97" s="39">
        <v>3</v>
      </c>
      <c r="H97" s="8">
        <f t="shared" si="1"/>
        <v>63.636363636363633</v>
      </c>
      <c r="I97" s="8">
        <f t="shared" si="2"/>
        <v>30.909090909090907</v>
      </c>
      <c r="J97" s="8"/>
      <c r="K97" s="8"/>
    </row>
    <row r="98" spans="1:12" x14ac:dyDescent="0.25">
      <c r="A98" s="44" t="s">
        <v>3023</v>
      </c>
      <c r="B98" s="44">
        <v>34913988530.610001</v>
      </c>
      <c r="C98" s="44">
        <v>37213400885.679993</v>
      </c>
      <c r="D98" s="44">
        <f t="shared" si="0"/>
        <v>6.5859343255899789</v>
      </c>
      <c r="E98" s="39">
        <v>7</v>
      </c>
      <c r="F98" s="39">
        <v>4</v>
      </c>
      <c r="G98" s="39">
        <v>0</v>
      </c>
      <c r="H98" s="8">
        <f t="shared" si="1"/>
        <v>63.636363636363633</v>
      </c>
      <c r="I98" s="8">
        <f t="shared" si="2"/>
        <v>36.363636363636367</v>
      </c>
      <c r="J98" s="8"/>
      <c r="K98" s="8"/>
    </row>
    <row r="99" spans="1:12" x14ac:dyDescent="0.25">
      <c r="A99" s="44" t="s">
        <v>1001</v>
      </c>
      <c r="B99" s="44">
        <v>855063293786.31006</v>
      </c>
      <c r="C99" s="44">
        <v>901846246637.53003</v>
      </c>
      <c r="D99" s="44">
        <f t="shared" si="0"/>
        <v>5.4712853646260671</v>
      </c>
      <c r="E99" s="39">
        <v>7</v>
      </c>
      <c r="F99" s="39">
        <v>4</v>
      </c>
      <c r="G99" s="39">
        <v>0</v>
      </c>
      <c r="H99" s="8">
        <f t="shared" si="1"/>
        <v>63.636363636363633</v>
      </c>
      <c r="I99" s="8">
        <f t="shared" si="2"/>
        <v>36.363636363636367</v>
      </c>
      <c r="J99" s="8"/>
      <c r="K99" s="8"/>
    </row>
    <row r="100" spans="1:12" x14ac:dyDescent="0.25">
      <c r="A100" s="44" t="s">
        <v>2755</v>
      </c>
      <c r="B100" s="44">
        <v>3661422380874.4292</v>
      </c>
      <c r="C100" s="44">
        <v>3879354182439.2798</v>
      </c>
      <c r="D100" s="44">
        <f t="shared" si="0"/>
        <v>5.9521076481977371</v>
      </c>
      <c r="E100" s="39">
        <v>26</v>
      </c>
      <c r="F100" s="39">
        <v>15</v>
      </c>
      <c r="G100" s="39">
        <v>0</v>
      </c>
      <c r="H100" s="8">
        <f t="shared" si="1"/>
        <v>63.414634146341463</v>
      </c>
      <c r="I100" s="8">
        <f t="shared" si="2"/>
        <v>36.585365853658537</v>
      </c>
      <c r="J100" s="8"/>
      <c r="K100" s="8"/>
    </row>
    <row r="101" spans="1:12" x14ac:dyDescent="0.25">
      <c r="A101" s="44" t="s">
        <v>3503</v>
      </c>
      <c r="B101" s="44">
        <v>1776115326926.1199</v>
      </c>
      <c r="C101" s="44">
        <v>1885695124491.5601</v>
      </c>
      <c r="D101" s="44">
        <f t="shared" si="0"/>
        <v>6.1696330133633444</v>
      </c>
      <c r="E101" s="39">
        <v>17</v>
      </c>
      <c r="F101" s="39">
        <v>8</v>
      </c>
      <c r="G101" s="39">
        <v>2</v>
      </c>
      <c r="H101" s="8">
        <f t="shared" si="1"/>
        <v>62.962962962962962</v>
      </c>
      <c r="I101" s="8">
        <f t="shared" si="2"/>
        <v>29.629629629629626</v>
      </c>
      <c r="J101" s="8"/>
      <c r="K101" s="8"/>
    </row>
    <row r="102" spans="1:12" x14ac:dyDescent="0.25">
      <c r="A102" s="44" t="s">
        <v>2753</v>
      </c>
      <c r="B102" s="44">
        <v>1193670621051.3101</v>
      </c>
      <c r="C102" s="44">
        <v>1267282749647.2903</v>
      </c>
      <c r="D102" s="44">
        <f t="shared" si="0"/>
        <v>6.1668711031144667</v>
      </c>
      <c r="E102" s="39">
        <v>37</v>
      </c>
      <c r="F102" s="39">
        <v>22</v>
      </c>
      <c r="G102" s="39">
        <v>0</v>
      </c>
      <c r="H102" s="8">
        <f t="shared" si="1"/>
        <v>62.711864406779661</v>
      </c>
      <c r="I102" s="8">
        <f t="shared" si="2"/>
        <v>37.288135593220339</v>
      </c>
      <c r="J102" s="8"/>
      <c r="K102" s="8"/>
    </row>
    <row r="103" spans="1:12" x14ac:dyDescent="0.25">
      <c r="A103" s="44" t="s">
        <v>3847</v>
      </c>
      <c r="B103" s="44">
        <v>824916162217.76001</v>
      </c>
      <c r="C103" s="44">
        <v>937368576745.34998</v>
      </c>
      <c r="D103" s="44">
        <f t="shared" si="0"/>
        <v>13.63198100341074</v>
      </c>
      <c r="E103" s="39">
        <v>5</v>
      </c>
      <c r="F103" s="39">
        <v>3</v>
      </c>
      <c r="G103" s="39">
        <v>0</v>
      </c>
      <c r="H103" s="8">
        <f t="shared" si="1"/>
        <v>62.5</v>
      </c>
      <c r="I103" s="8">
        <f t="shared" si="2"/>
        <v>37.5</v>
      </c>
      <c r="J103" s="8"/>
      <c r="K103" s="8"/>
    </row>
    <row r="104" spans="1:12" x14ac:dyDescent="0.25">
      <c r="A104" s="44" t="s">
        <v>2627</v>
      </c>
      <c r="B104" s="44">
        <v>471462813332.78003</v>
      </c>
      <c r="C104" s="44">
        <v>488666340187.78998</v>
      </c>
      <c r="D104" s="44">
        <f t="shared" si="0"/>
        <v>3.6489679288590917</v>
      </c>
      <c r="E104" s="39">
        <v>8</v>
      </c>
      <c r="F104" s="39">
        <v>4</v>
      </c>
      <c r="G104" s="39">
        <v>1</v>
      </c>
      <c r="H104" s="8">
        <f t="shared" si="1"/>
        <v>61.53846153846154</v>
      </c>
      <c r="I104" s="8">
        <f t="shared" si="2"/>
        <v>30.76923076923077</v>
      </c>
      <c r="J104" s="8"/>
      <c r="K104" s="8"/>
    </row>
    <row r="105" spans="1:12" x14ac:dyDescent="0.25">
      <c r="A105" s="44" t="s">
        <v>1685</v>
      </c>
      <c r="B105" s="44">
        <v>256105438633.77994</v>
      </c>
      <c r="C105" s="44">
        <v>284865817608.35992</v>
      </c>
      <c r="D105" s="44">
        <f t="shared" si="0"/>
        <v>11.229897782727733</v>
      </c>
      <c r="E105" s="39">
        <v>33</v>
      </c>
      <c r="F105" s="39">
        <v>19</v>
      </c>
      <c r="G105" s="39">
        <v>2</v>
      </c>
      <c r="H105" s="8">
        <f t="shared" si="1"/>
        <v>61.111111111111114</v>
      </c>
      <c r="I105" s="8">
        <f t="shared" si="2"/>
        <v>35.185185185185183</v>
      </c>
      <c r="J105" s="8"/>
      <c r="K105" s="8"/>
      <c r="L105" s="8"/>
    </row>
    <row r="106" spans="1:12" x14ac:dyDescent="0.25">
      <c r="A106" s="44" t="s">
        <v>711</v>
      </c>
      <c r="B106" s="44">
        <v>328673599806.17004</v>
      </c>
      <c r="C106" s="44">
        <v>371167793662.20996</v>
      </c>
      <c r="D106" s="44">
        <f t="shared" si="0"/>
        <v>12.928995173661706</v>
      </c>
      <c r="E106" s="39">
        <v>14</v>
      </c>
      <c r="F106" s="39">
        <v>8</v>
      </c>
      <c r="G106" s="39">
        <v>1</v>
      </c>
      <c r="H106" s="8">
        <f t="shared" si="1"/>
        <v>60.869565217391312</v>
      </c>
      <c r="I106" s="8">
        <f t="shared" si="2"/>
        <v>34.782608695652172</v>
      </c>
      <c r="J106" s="8"/>
      <c r="K106" s="8"/>
    </row>
    <row r="107" spans="1:12" x14ac:dyDescent="0.25">
      <c r="A107" s="44" t="s">
        <v>183</v>
      </c>
      <c r="B107" s="44">
        <v>930252854315.86011</v>
      </c>
      <c r="C107" s="44">
        <v>1039855936369.46</v>
      </c>
      <c r="D107" s="44">
        <f t="shared" si="0"/>
        <v>11.782074254876189</v>
      </c>
      <c r="E107" s="39">
        <v>3</v>
      </c>
      <c r="F107" s="39">
        <v>2</v>
      </c>
      <c r="G107" s="39">
        <v>0</v>
      </c>
      <c r="H107" s="8">
        <f t="shared" si="1"/>
        <v>60</v>
      </c>
      <c r="I107" s="8">
        <f t="shared" si="2"/>
        <v>40</v>
      </c>
      <c r="J107" s="8"/>
      <c r="K107" s="8"/>
    </row>
    <row r="108" spans="1:12" x14ac:dyDescent="0.25">
      <c r="A108" s="44" t="s">
        <v>1563</v>
      </c>
      <c r="B108" s="44">
        <v>44531741473.220001</v>
      </c>
      <c r="C108" s="44">
        <v>45062139200.400009</v>
      </c>
      <c r="D108" s="44">
        <f t="shared" si="0"/>
        <v>1.1910554351416338</v>
      </c>
      <c r="E108" s="39">
        <v>3</v>
      </c>
      <c r="F108" s="39">
        <v>2</v>
      </c>
      <c r="G108" s="39">
        <v>0</v>
      </c>
      <c r="H108" s="8">
        <f t="shared" si="1"/>
        <v>60</v>
      </c>
      <c r="I108" s="8">
        <f t="shared" si="2"/>
        <v>40</v>
      </c>
      <c r="J108" s="8"/>
      <c r="K108" s="8"/>
    </row>
    <row r="109" spans="1:12" x14ac:dyDescent="0.25">
      <c r="A109" s="44" t="s">
        <v>2265</v>
      </c>
      <c r="B109" s="44">
        <v>24010195396.800003</v>
      </c>
      <c r="C109" s="44">
        <v>24014911717.759998</v>
      </c>
      <c r="D109" s="44">
        <f t="shared" si="0"/>
        <v>1.964299282888737E-2</v>
      </c>
      <c r="E109" s="39">
        <v>3</v>
      </c>
      <c r="F109" s="39">
        <v>1</v>
      </c>
      <c r="G109" s="39">
        <v>1</v>
      </c>
      <c r="H109" s="8">
        <f t="shared" si="1"/>
        <v>60</v>
      </c>
      <c r="I109" s="8">
        <f t="shared" si="2"/>
        <v>20</v>
      </c>
      <c r="J109" s="8"/>
      <c r="K109" s="8"/>
    </row>
    <row r="110" spans="1:12" x14ac:dyDescent="0.25">
      <c r="A110" s="44" t="s">
        <v>3454</v>
      </c>
      <c r="B110" s="44">
        <v>29196956631.419998</v>
      </c>
      <c r="C110" s="44">
        <v>28914826870.309998</v>
      </c>
      <c r="D110" s="44">
        <f t="shared" si="0"/>
        <v>-0.96629852443726838</v>
      </c>
      <c r="E110" s="39">
        <v>3</v>
      </c>
      <c r="F110" s="39">
        <v>2</v>
      </c>
      <c r="G110" s="39">
        <v>0</v>
      </c>
      <c r="H110" s="8">
        <f t="shared" si="1"/>
        <v>60</v>
      </c>
      <c r="I110" s="8">
        <f t="shared" si="2"/>
        <v>40</v>
      </c>
      <c r="J110" s="8"/>
      <c r="K110" s="8"/>
    </row>
    <row r="111" spans="1:12" x14ac:dyDescent="0.25">
      <c r="A111" s="44" t="s">
        <v>1999</v>
      </c>
      <c r="B111" s="44">
        <v>839341756594.62988</v>
      </c>
      <c r="C111" s="44">
        <v>935667456287.23999</v>
      </c>
      <c r="D111" s="44">
        <f t="shared" si="0"/>
        <v>11.476338325335069</v>
      </c>
      <c r="E111" s="39">
        <v>34</v>
      </c>
      <c r="F111" s="39">
        <v>16</v>
      </c>
      <c r="G111" s="39">
        <v>7</v>
      </c>
      <c r="H111" s="8">
        <f t="shared" si="1"/>
        <v>59.649122807017541</v>
      </c>
      <c r="I111" s="8">
        <f t="shared" si="2"/>
        <v>28.07017543859649</v>
      </c>
      <c r="J111" s="8"/>
      <c r="K111" s="8"/>
    </row>
    <row r="112" spans="1:12" x14ac:dyDescent="0.25">
      <c r="A112" s="44" t="s">
        <v>3110</v>
      </c>
      <c r="B112" s="44">
        <v>1185077424728.77</v>
      </c>
      <c r="C112" s="44">
        <v>1233971498723.3</v>
      </c>
      <c r="D112" s="44">
        <f t="shared" si="0"/>
        <v>4.1258126240756354</v>
      </c>
      <c r="E112" s="39">
        <v>23</v>
      </c>
      <c r="F112" s="39">
        <v>13</v>
      </c>
      <c r="G112" s="39">
        <v>3</v>
      </c>
      <c r="H112" s="8">
        <f t="shared" si="1"/>
        <v>58.974358974358978</v>
      </c>
      <c r="I112" s="8">
        <f t="shared" si="2"/>
        <v>33.333333333333329</v>
      </c>
      <c r="J112" s="8"/>
      <c r="K112" s="8"/>
    </row>
    <row r="113" spans="1:11" x14ac:dyDescent="0.25">
      <c r="A113" s="44" t="s">
        <v>3232</v>
      </c>
      <c r="B113" s="44">
        <v>1019010520712.0198</v>
      </c>
      <c r="C113" s="44">
        <v>1036530057158.08</v>
      </c>
      <c r="D113" s="44">
        <f t="shared" si="0"/>
        <v>1.719269437357589</v>
      </c>
      <c r="E113" s="39">
        <v>20</v>
      </c>
      <c r="F113" s="39">
        <v>12</v>
      </c>
      <c r="G113" s="39">
        <v>2</v>
      </c>
      <c r="H113" s="8">
        <f t="shared" si="1"/>
        <v>58.82352941176471</v>
      </c>
      <c r="I113" s="8">
        <f t="shared" si="2"/>
        <v>35.294117647058826</v>
      </c>
      <c r="J113" s="8"/>
      <c r="K113" s="8"/>
    </row>
    <row r="114" spans="1:11" x14ac:dyDescent="0.25">
      <c r="A114" s="44" t="s">
        <v>3611</v>
      </c>
      <c r="B114" s="44">
        <v>160605936236.29001</v>
      </c>
      <c r="C114" s="44">
        <v>180155594595.64999</v>
      </c>
      <c r="D114" s="44">
        <f t="shared" si="0"/>
        <v>12.172438215856312</v>
      </c>
      <c r="E114" s="39">
        <v>7</v>
      </c>
      <c r="F114" s="39">
        <v>5</v>
      </c>
      <c r="G114" s="39">
        <v>0</v>
      </c>
      <c r="H114" s="8">
        <f t="shared" si="1"/>
        <v>58.333333333333336</v>
      </c>
      <c r="I114" s="8">
        <f t="shared" si="2"/>
        <v>41.666666666666671</v>
      </c>
      <c r="J114" s="8"/>
      <c r="K114" s="8"/>
    </row>
    <row r="115" spans="1:11" x14ac:dyDescent="0.25">
      <c r="A115" s="44" t="s">
        <v>56</v>
      </c>
      <c r="B115" s="44">
        <v>16096555714.92</v>
      </c>
      <c r="C115" s="44">
        <v>17639822675.799999</v>
      </c>
      <c r="D115" s="44">
        <f t="shared" si="0"/>
        <v>9.5875601477248651</v>
      </c>
      <c r="E115" s="39">
        <v>7</v>
      </c>
      <c r="F115" s="39">
        <v>5</v>
      </c>
      <c r="G115" s="39">
        <v>0</v>
      </c>
      <c r="H115" s="8">
        <f t="shared" si="1"/>
        <v>58.333333333333336</v>
      </c>
      <c r="I115" s="8">
        <f t="shared" si="2"/>
        <v>41.666666666666671</v>
      </c>
      <c r="J115" s="8"/>
      <c r="K115" s="8"/>
    </row>
    <row r="116" spans="1:11" x14ac:dyDescent="0.25">
      <c r="A116" s="44" t="s">
        <v>2671</v>
      </c>
      <c r="B116" s="44">
        <v>244547753025.44998</v>
      </c>
      <c r="C116" s="44">
        <v>251510140577.03003</v>
      </c>
      <c r="D116" s="44">
        <f t="shared" si="0"/>
        <v>2.847046217126957</v>
      </c>
      <c r="E116" s="39">
        <v>7</v>
      </c>
      <c r="F116" s="39">
        <v>5</v>
      </c>
      <c r="G116" s="39">
        <v>0</v>
      </c>
      <c r="H116" s="8">
        <f t="shared" si="1"/>
        <v>58.333333333333336</v>
      </c>
      <c r="I116" s="8">
        <f t="shared" si="2"/>
        <v>41.666666666666671</v>
      </c>
      <c r="J116" s="8"/>
      <c r="K116" s="8"/>
    </row>
    <row r="117" spans="1:11" x14ac:dyDescent="0.25">
      <c r="A117" s="44" t="s">
        <v>356</v>
      </c>
      <c r="B117" s="44">
        <v>2967045357052.8999</v>
      </c>
      <c r="C117" s="44">
        <v>3214371780775.2798</v>
      </c>
      <c r="D117" s="44">
        <f t="shared" si="0"/>
        <v>8.3357816938816089</v>
      </c>
      <c r="E117" s="39">
        <v>43</v>
      </c>
      <c r="F117" s="39">
        <v>27</v>
      </c>
      <c r="G117" s="39">
        <v>4</v>
      </c>
      <c r="H117" s="8">
        <f t="shared" si="1"/>
        <v>58.108108108108105</v>
      </c>
      <c r="I117" s="8">
        <f t="shared" si="2"/>
        <v>36.486486486486484</v>
      </c>
      <c r="J117" s="8"/>
      <c r="K117" s="8"/>
    </row>
    <row r="118" spans="1:11" x14ac:dyDescent="0.25">
      <c r="A118" s="44" t="s">
        <v>1633</v>
      </c>
      <c r="B118" s="44">
        <v>1203346730956.9199</v>
      </c>
      <c r="C118" s="44">
        <v>1225857460843.3701</v>
      </c>
      <c r="D118" s="44">
        <f t="shared" si="0"/>
        <v>1.8706769468305544</v>
      </c>
      <c r="E118" s="39">
        <v>42</v>
      </c>
      <c r="F118" s="39">
        <v>27</v>
      </c>
      <c r="G118" s="39">
        <v>4</v>
      </c>
      <c r="H118" s="8">
        <f t="shared" si="1"/>
        <v>57.534246575342465</v>
      </c>
      <c r="I118" s="8">
        <f t="shared" si="2"/>
        <v>36.986301369863014</v>
      </c>
      <c r="J118" s="8"/>
      <c r="K118" s="8"/>
    </row>
    <row r="119" spans="1:11" x14ac:dyDescent="0.25">
      <c r="A119" s="44" t="s">
        <v>2261</v>
      </c>
      <c r="B119" s="44">
        <v>48270325995.039993</v>
      </c>
      <c r="C119" s="44">
        <v>52244359109.599998</v>
      </c>
      <c r="D119" s="44">
        <f t="shared" si="0"/>
        <v>8.232869848379222</v>
      </c>
      <c r="E119" s="39">
        <v>8</v>
      </c>
      <c r="F119" s="39">
        <v>6</v>
      </c>
      <c r="G119" s="39">
        <v>0</v>
      </c>
      <c r="H119" s="8">
        <f t="shared" si="1"/>
        <v>57.142857142857139</v>
      </c>
      <c r="I119" s="8">
        <f t="shared" si="2"/>
        <v>42.857142857142854</v>
      </c>
      <c r="J119" s="8"/>
      <c r="K119" s="8"/>
    </row>
    <row r="120" spans="1:11" x14ac:dyDescent="0.25">
      <c r="A120" s="44" t="s">
        <v>295</v>
      </c>
      <c r="B120" s="44">
        <v>103591016230.95</v>
      </c>
      <c r="C120" s="44">
        <v>110077837071.84999</v>
      </c>
      <c r="D120" s="44">
        <f t="shared" si="0"/>
        <v>6.2619530890960782</v>
      </c>
      <c r="E120" s="39">
        <v>4</v>
      </c>
      <c r="F120" s="39">
        <v>3</v>
      </c>
      <c r="G120" s="39">
        <v>0</v>
      </c>
      <c r="H120" s="8">
        <f t="shared" si="1"/>
        <v>57.142857142857139</v>
      </c>
      <c r="I120" s="8">
        <f t="shared" si="2"/>
        <v>42.857142857142854</v>
      </c>
      <c r="J120" s="8"/>
      <c r="K120" s="8"/>
    </row>
    <row r="121" spans="1:11" x14ac:dyDescent="0.25">
      <c r="A121" s="44" t="s">
        <v>4036</v>
      </c>
      <c r="B121" s="44">
        <v>143363328589.53998</v>
      </c>
      <c r="C121" s="44">
        <v>148570605144.76999</v>
      </c>
      <c r="D121" s="44">
        <f t="shared" si="0"/>
        <v>3.6322235305646657</v>
      </c>
      <c r="E121" s="39">
        <v>16</v>
      </c>
      <c r="F121" s="39">
        <v>9</v>
      </c>
      <c r="G121" s="39">
        <v>3</v>
      </c>
      <c r="H121" s="8">
        <f t="shared" si="1"/>
        <v>57.142857142857139</v>
      </c>
      <c r="I121" s="8">
        <f t="shared" si="2"/>
        <v>32.142857142857146</v>
      </c>
      <c r="J121" s="8"/>
      <c r="K121" s="8"/>
    </row>
    <row r="122" spans="1:11" x14ac:dyDescent="0.25">
      <c r="A122" s="44" t="s">
        <v>67</v>
      </c>
      <c r="B122" s="44">
        <v>794857700197.15002</v>
      </c>
      <c r="C122" s="44">
        <v>800741841707.84998</v>
      </c>
      <c r="D122" s="44">
        <f t="shared" si="0"/>
        <v>0.74027609083242152</v>
      </c>
      <c r="E122" s="39">
        <v>4</v>
      </c>
      <c r="F122" s="39">
        <v>3</v>
      </c>
      <c r="G122" s="39">
        <v>0</v>
      </c>
      <c r="H122" s="8">
        <f t="shared" si="1"/>
        <v>57.142857142857139</v>
      </c>
      <c r="I122" s="8">
        <f t="shared" si="2"/>
        <v>42.857142857142854</v>
      </c>
      <c r="J122" s="8"/>
      <c r="K122" s="8"/>
    </row>
    <row r="123" spans="1:11" x14ac:dyDescent="0.25">
      <c r="A123" s="44" t="s">
        <v>9</v>
      </c>
      <c r="B123" s="44">
        <v>3443938194638.9502</v>
      </c>
      <c r="C123" s="44">
        <v>3465957222752.4106</v>
      </c>
      <c r="D123" s="44">
        <f t="shared" si="0"/>
        <v>0.639356076358648</v>
      </c>
      <c r="E123" s="39">
        <v>4</v>
      </c>
      <c r="F123" s="39">
        <v>3</v>
      </c>
      <c r="G123" s="39">
        <v>0</v>
      </c>
      <c r="H123" s="8">
        <f t="shared" si="1"/>
        <v>57.142857142857139</v>
      </c>
      <c r="I123" s="8">
        <f t="shared" si="2"/>
        <v>42.857142857142854</v>
      </c>
      <c r="J123" s="8"/>
      <c r="K123" s="8"/>
    </row>
    <row r="124" spans="1:11" x14ac:dyDescent="0.25">
      <c r="A124" s="44" t="s">
        <v>1337</v>
      </c>
      <c r="B124" s="44">
        <v>1000417037487.5498</v>
      </c>
      <c r="C124" s="44">
        <v>1007824897413.8099</v>
      </c>
      <c r="D124" s="44">
        <f t="shared" si="0"/>
        <v>0.74047718588082545</v>
      </c>
      <c r="E124" s="39">
        <v>36</v>
      </c>
      <c r="F124" s="39">
        <v>21</v>
      </c>
      <c r="G124" s="39">
        <v>7</v>
      </c>
      <c r="H124" s="8">
        <f t="shared" si="1"/>
        <v>56.25</v>
      </c>
      <c r="I124" s="8">
        <f t="shared" si="2"/>
        <v>32.8125</v>
      </c>
      <c r="J124" s="8"/>
      <c r="K124" s="8"/>
    </row>
    <row r="125" spans="1:11" x14ac:dyDescent="0.25">
      <c r="A125" s="44" t="s">
        <v>1793</v>
      </c>
      <c r="B125" s="44">
        <v>993163294459.14001</v>
      </c>
      <c r="C125" s="44">
        <v>1043355945943.17</v>
      </c>
      <c r="D125" s="44">
        <f t="shared" si="0"/>
        <v>5.0538166043846902</v>
      </c>
      <c r="E125" s="39">
        <v>129</v>
      </c>
      <c r="F125" s="39">
        <v>89</v>
      </c>
      <c r="G125" s="39">
        <v>14</v>
      </c>
      <c r="H125" s="8">
        <f t="shared" si="1"/>
        <v>55.603448275862064</v>
      </c>
      <c r="I125" s="8">
        <f t="shared" si="2"/>
        <v>38.362068965517246</v>
      </c>
      <c r="J125" s="8"/>
      <c r="K125" s="8"/>
    </row>
    <row r="126" spans="1:11" x14ac:dyDescent="0.25">
      <c r="A126" s="44" t="s">
        <v>3361</v>
      </c>
      <c r="B126" s="44">
        <v>133478183412.25</v>
      </c>
      <c r="C126" s="44">
        <v>153344370124.25</v>
      </c>
      <c r="D126" s="44">
        <f t="shared" si="0"/>
        <v>14.883470994389317</v>
      </c>
      <c r="E126" s="39">
        <v>5</v>
      </c>
      <c r="F126" s="39">
        <v>3</v>
      </c>
      <c r="G126" s="39">
        <v>1</v>
      </c>
      <c r="H126" s="8">
        <f t="shared" si="1"/>
        <v>55.555555555555557</v>
      </c>
      <c r="I126" s="8">
        <f t="shared" si="2"/>
        <v>33.333333333333329</v>
      </c>
      <c r="J126" s="8"/>
      <c r="K126" s="8"/>
    </row>
    <row r="127" spans="1:11" x14ac:dyDescent="0.25">
      <c r="A127" s="44" t="s">
        <v>1606</v>
      </c>
      <c r="B127" s="44">
        <v>179348150962.89999</v>
      </c>
      <c r="C127" s="44">
        <v>190911562342.29001</v>
      </c>
      <c r="D127" s="44">
        <f t="shared" si="0"/>
        <v>6.4474661808930636</v>
      </c>
      <c r="E127" s="39">
        <v>5</v>
      </c>
      <c r="F127" s="39">
        <v>3</v>
      </c>
      <c r="G127" s="39">
        <v>1</v>
      </c>
      <c r="H127" s="8">
        <f t="shared" si="1"/>
        <v>55.555555555555557</v>
      </c>
      <c r="I127" s="8">
        <f t="shared" si="2"/>
        <v>33.333333333333329</v>
      </c>
      <c r="J127" s="8"/>
      <c r="K127" s="8"/>
    </row>
    <row r="128" spans="1:11" x14ac:dyDescent="0.25">
      <c r="A128" s="44" t="s">
        <v>2575</v>
      </c>
      <c r="B128" s="44">
        <v>875949420476.95996</v>
      </c>
      <c r="C128" s="44">
        <v>949115487120.88</v>
      </c>
      <c r="D128" s="44">
        <f t="shared" si="0"/>
        <v>8.352772995052689</v>
      </c>
      <c r="E128" s="39">
        <v>13</v>
      </c>
      <c r="F128" s="39">
        <v>9</v>
      </c>
      <c r="G128" s="39">
        <v>2</v>
      </c>
      <c r="H128" s="8">
        <f t="shared" si="1"/>
        <v>54.166666666666664</v>
      </c>
      <c r="I128" s="8">
        <f t="shared" si="2"/>
        <v>37.5</v>
      </c>
      <c r="J128" s="8"/>
      <c r="K128" s="8"/>
    </row>
    <row r="129" spans="1:11" x14ac:dyDescent="0.25">
      <c r="A129" s="44" t="s">
        <v>3872</v>
      </c>
      <c r="B129" s="44">
        <v>545096909160.33002</v>
      </c>
      <c r="C129" s="44">
        <v>528521215023.89001</v>
      </c>
      <c r="D129" s="44">
        <f t="shared" si="0"/>
        <v>-3.0408710557492031</v>
      </c>
      <c r="E129" s="39">
        <v>13</v>
      </c>
      <c r="F129" s="39">
        <v>9</v>
      </c>
      <c r="G129" s="39">
        <v>2</v>
      </c>
      <c r="H129" s="8">
        <f t="shared" si="1"/>
        <v>54.166666666666664</v>
      </c>
      <c r="I129" s="8">
        <f t="shared" si="2"/>
        <v>37.5</v>
      </c>
      <c r="J129" s="8"/>
      <c r="K129" s="8"/>
    </row>
    <row r="130" spans="1:11" x14ac:dyDescent="0.25">
      <c r="A130" s="44" t="s">
        <v>935</v>
      </c>
      <c r="B130" s="44">
        <v>3324514798694.9004</v>
      </c>
      <c r="C130" s="44">
        <v>3431937635101.9702</v>
      </c>
      <c r="D130" s="44">
        <f t="shared" si="0"/>
        <v>3.2312335156167946</v>
      </c>
      <c r="E130" s="39">
        <v>7</v>
      </c>
      <c r="F130" s="39">
        <v>6</v>
      </c>
      <c r="G130" s="39">
        <v>0</v>
      </c>
      <c r="H130" s="8">
        <f t="shared" si="1"/>
        <v>53.846153846153847</v>
      </c>
      <c r="I130" s="8">
        <f t="shared" si="2"/>
        <v>46.153846153846153</v>
      </c>
      <c r="J130" s="8"/>
      <c r="K130" s="8"/>
    </row>
    <row r="131" spans="1:11" x14ac:dyDescent="0.25">
      <c r="A131" s="44" t="s">
        <v>2297</v>
      </c>
      <c r="B131" s="44">
        <v>1171367135797.0498</v>
      </c>
      <c r="C131" s="44">
        <v>1267490570257.6504</v>
      </c>
      <c r="D131" s="44">
        <f t="shared" si="0"/>
        <v>8.2060894080995332</v>
      </c>
      <c r="E131" s="39">
        <v>58</v>
      </c>
      <c r="F131" s="39">
        <v>42</v>
      </c>
      <c r="G131" s="39">
        <v>11</v>
      </c>
      <c r="H131" s="8">
        <f t="shared" si="1"/>
        <v>52.252252252252248</v>
      </c>
      <c r="I131" s="8">
        <f t="shared" si="2"/>
        <v>37.837837837837839</v>
      </c>
      <c r="J131" s="8"/>
      <c r="K131" s="8"/>
    </row>
    <row r="132" spans="1:11" x14ac:dyDescent="0.25">
      <c r="A132" s="44" t="s">
        <v>2929</v>
      </c>
      <c r="B132" s="44">
        <v>385958569556.04004</v>
      </c>
      <c r="C132" s="44">
        <v>396921924045.55011</v>
      </c>
      <c r="D132" s="44">
        <f t="shared" si="0"/>
        <v>2.8405521613682487</v>
      </c>
      <c r="E132" s="39">
        <v>32</v>
      </c>
      <c r="F132" s="39">
        <v>30</v>
      </c>
      <c r="G132" s="39">
        <v>0</v>
      </c>
      <c r="H132" s="8">
        <f t="shared" si="1"/>
        <v>51.612903225806448</v>
      </c>
      <c r="I132" s="8">
        <f t="shared" si="2"/>
        <v>48.387096774193552</v>
      </c>
      <c r="J132" s="8"/>
      <c r="K132" s="8"/>
    </row>
    <row r="133" spans="1:11" x14ac:dyDescent="0.25">
      <c r="A133" s="44" t="s">
        <v>858</v>
      </c>
      <c r="B133" s="44">
        <v>3820742480449.1797</v>
      </c>
      <c r="C133" s="44">
        <v>4107515991497.9385</v>
      </c>
      <c r="D133" s="44">
        <f t="shared" si="0"/>
        <v>7.5057011174185364</v>
      </c>
      <c r="E133" s="39">
        <v>81</v>
      </c>
      <c r="F133" s="39">
        <v>64</v>
      </c>
      <c r="G133" s="39">
        <v>14</v>
      </c>
      <c r="H133" s="8">
        <f t="shared" si="1"/>
        <v>50.943396226415096</v>
      </c>
      <c r="I133" s="8">
        <f t="shared" si="2"/>
        <v>40.25157232704403</v>
      </c>
      <c r="J133" s="8"/>
      <c r="K133" s="8"/>
    </row>
    <row r="134" spans="1:11" x14ac:dyDescent="0.25">
      <c r="A134" s="44" t="s">
        <v>1868</v>
      </c>
      <c r="B134" s="44">
        <v>4962896903272.4014</v>
      </c>
      <c r="C134" s="44">
        <v>4942159892846.0908</v>
      </c>
      <c r="D134" s="44">
        <f t="shared" si="0"/>
        <v>-0.41784084639431296</v>
      </c>
      <c r="E134" s="39">
        <v>48</v>
      </c>
      <c r="F134" s="39">
        <v>43</v>
      </c>
      <c r="G134" s="39">
        <v>4</v>
      </c>
      <c r="H134" s="8">
        <f t="shared" si="1"/>
        <v>50.526315789473685</v>
      </c>
      <c r="I134" s="8">
        <f t="shared" si="2"/>
        <v>45.263157894736842</v>
      </c>
      <c r="J134" s="8"/>
      <c r="K134" s="8"/>
    </row>
    <row r="135" spans="1:11" x14ac:dyDescent="0.25">
      <c r="A135" s="44" t="s">
        <v>3519</v>
      </c>
      <c r="B135" s="44">
        <v>7026437967.3599997</v>
      </c>
      <c r="C135" s="44">
        <v>8910815813.5</v>
      </c>
      <c r="D135" s="44">
        <f t="shared" si="0"/>
        <v>26.818394396898178</v>
      </c>
      <c r="E135" s="39">
        <v>2</v>
      </c>
      <c r="F135" s="39">
        <v>2</v>
      </c>
      <c r="G135" s="39">
        <v>0</v>
      </c>
      <c r="H135" s="8">
        <f t="shared" si="1"/>
        <v>50</v>
      </c>
      <c r="I135" s="8">
        <f t="shared" si="2"/>
        <v>50</v>
      </c>
      <c r="J135" s="8"/>
      <c r="K135" s="8"/>
    </row>
    <row r="136" spans="1:11" x14ac:dyDescent="0.25">
      <c r="A136" s="44" t="s">
        <v>2749</v>
      </c>
      <c r="B136" s="44">
        <v>14842294653.18</v>
      </c>
      <c r="C136" s="44">
        <v>17421230219.099998</v>
      </c>
      <c r="D136" s="44">
        <f t="shared" si="0"/>
        <v>17.375585286385984</v>
      </c>
      <c r="E136" s="39">
        <v>1</v>
      </c>
      <c r="F136" s="39">
        <v>1</v>
      </c>
      <c r="G136" s="39">
        <v>0</v>
      </c>
      <c r="H136" s="8">
        <f t="shared" si="1"/>
        <v>50</v>
      </c>
      <c r="I136" s="8">
        <f t="shared" si="2"/>
        <v>50</v>
      </c>
      <c r="J136" s="8"/>
      <c r="K136" s="8"/>
    </row>
    <row r="137" spans="1:11" x14ac:dyDescent="0.25">
      <c r="A137" s="44" t="s">
        <v>833</v>
      </c>
      <c r="B137" s="44">
        <v>283583736853.89996</v>
      </c>
      <c r="C137" s="44">
        <v>315053440191.65997</v>
      </c>
      <c r="D137" s="44">
        <f t="shared" si="0"/>
        <v>11.097146714719026</v>
      </c>
      <c r="E137" s="39">
        <v>2</v>
      </c>
      <c r="F137" s="39">
        <v>2</v>
      </c>
      <c r="G137" s="39">
        <v>0</v>
      </c>
      <c r="H137" s="8">
        <f t="shared" si="1"/>
        <v>50</v>
      </c>
      <c r="I137" s="8">
        <f t="shared" si="2"/>
        <v>50</v>
      </c>
      <c r="J137" s="8"/>
      <c r="K137" s="8"/>
    </row>
    <row r="138" spans="1:11" x14ac:dyDescent="0.25">
      <c r="A138" s="44" t="s">
        <v>2867</v>
      </c>
      <c r="B138" s="44">
        <v>4720780126.9199991</v>
      </c>
      <c r="C138" s="44">
        <v>5068132784.6499996</v>
      </c>
      <c r="D138" s="44">
        <f t="shared" si="0"/>
        <v>7.3579503470038849</v>
      </c>
      <c r="E138" s="39">
        <v>3</v>
      </c>
      <c r="F138" s="39">
        <v>2</v>
      </c>
      <c r="G138" s="39">
        <v>1</v>
      </c>
      <c r="H138" s="8">
        <f t="shared" si="1"/>
        <v>50</v>
      </c>
      <c r="I138" s="8">
        <f t="shared" si="2"/>
        <v>33.333333333333329</v>
      </c>
      <c r="J138" s="8"/>
      <c r="K138" s="8"/>
    </row>
    <row r="139" spans="1:11" x14ac:dyDescent="0.25">
      <c r="A139" s="44" t="s">
        <v>3690</v>
      </c>
      <c r="B139" s="44">
        <v>91586604535.050003</v>
      </c>
      <c r="C139" s="44">
        <v>96788725769.149994</v>
      </c>
      <c r="D139" s="44">
        <f t="shared" si="0"/>
        <v>5.6800022891002033</v>
      </c>
      <c r="E139" s="39">
        <v>2</v>
      </c>
      <c r="F139" s="39">
        <v>1</v>
      </c>
      <c r="G139" s="39">
        <v>1</v>
      </c>
      <c r="H139" s="8">
        <f t="shared" si="1"/>
        <v>50</v>
      </c>
      <c r="I139" s="8">
        <f t="shared" si="2"/>
        <v>25</v>
      </c>
      <c r="J139" s="8"/>
      <c r="K139" s="8"/>
    </row>
    <row r="140" spans="1:11" x14ac:dyDescent="0.25">
      <c r="A140" s="44" t="s">
        <v>642</v>
      </c>
      <c r="B140" s="44">
        <v>1434134248167.3003</v>
      </c>
      <c r="C140" s="44">
        <v>1508291629109.3</v>
      </c>
      <c r="D140" s="44">
        <f t="shared" si="0"/>
        <v>5.1708813897141415</v>
      </c>
      <c r="E140" s="39">
        <v>2</v>
      </c>
      <c r="F140" s="39">
        <v>2</v>
      </c>
      <c r="G140" s="39">
        <v>0</v>
      </c>
      <c r="H140" s="8">
        <f t="shared" si="1"/>
        <v>50</v>
      </c>
      <c r="I140" s="8">
        <f t="shared" si="2"/>
        <v>50</v>
      </c>
      <c r="J140" s="8"/>
      <c r="K140" s="8"/>
    </row>
    <row r="141" spans="1:11" x14ac:dyDescent="0.25">
      <c r="A141" s="44" t="s">
        <v>677</v>
      </c>
      <c r="B141" s="44">
        <v>313573300217.96002</v>
      </c>
      <c r="C141" s="44">
        <v>329633017716.91998</v>
      </c>
      <c r="D141" s="44">
        <f t="shared" si="0"/>
        <v>5.1215194303204692</v>
      </c>
      <c r="E141" s="39">
        <v>4</v>
      </c>
      <c r="F141" s="39">
        <v>4</v>
      </c>
      <c r="G141" s="39">
        <v>0</v>
      </c>
      <c r="H141" s="8">
        <f t="shared" si="1"/>
        <v>50</v>
      </c>
      <c r="I141" s="8">
        <f t="shared" si="2"/>
        <v>50</v>
      </c>
      <c r="J141" s="8"/>
      <c r="K141" s="8"/>
    </row>
    <row r="142" spans="1:11" x14ac:dyDescent="0.25">
      <c r="A142" s="44" t="s">
        <v>4033</v>
      </c>
      <c r="B142" s="44">
        <v>2738815173853.5</v>
      </c>
      <c r="C142" s="44">
        <v>2838722846361</v>
      </c>
      <c r="D142" s="44">
        <f t="shared" si="0"/>
        <v>3.6478428139760295</v>
      </c>
      <c r="E142" s="39">
        <v>2</v>
      </c>
      <c r="F142" s="39">
        <v>2</v>
      </c>
      <c r="G142" s="39">
        <v>0</v>
      </c>
      <c r="H142" s="8">
        <f t="shared" si="1"/>
        <v>50</v>
      </c>
      <c r="I142" s="8">
        <f t="shared" si="2"/>
        <v>50</v>
      </c>
      <c r="J142" s="8"/>
      <c r="K142" s="8"/>
    </row>
    <row r="143" spans="1:11" x14ac:dyDescent="0.25">
      <c r="A143" s="44" t="s">
        <v>4200</v>
      </c>
      <c r="B143" s="44">
        <v>105705202735.8</v>
      </c>
      <c r="C143" s="44">
        <v>109384348017.59999</v>
      </c>
      <c r="D143" s="44">
        <f t="shared" si="0"/>
        <v>3.4805716148103496</v>
      </c>
      <c r="E143" s="39">
        <v>1</v>
      </c>
      <c r="F143" s="39">
        <v>1</v>
      </c>
      <c r="G143" s="39">
        <v>0</v>
      </c>
      <c r="H143" s="8">
        <f t="shared" si="1"/>
        <v>50</v>
      </c>
      <c r="I143" s="8">
        <f t="shared" si="2"/>
        <v>50</v>
      </c>
      <c r="J143" s="8"/>
      <c r="K143" s="8"/>
    </row>
    <row r="144" spans="1:11" x14ac:dyDescent="0.25">
      <c r="A144" s="44" t="s">
        <v>204</v>
      </c>
      <c r="B144" s="44">
        <v>1056492887800.45</v>
      </c>
      <c r="C144" s="44">
        <v>1088870316281.45</v>
      </c>
      <c r="D144" s="44">
        <f t="shared" si="0"/>
        <v>3.0646139557463292</v>
      </c>
      <c r="E144" s="39">
        <v>7</v>
      </c>
      <c r="F144" s="39">
        <v>7</v>
      </c>
      <c r="G144" s="39">
        <v>0</v>
      </c>
      <c r="H144" s="8">
        <f t="shared" si="1"/>
        <v>50</v>
      </c>
      <c r="I144" s="8">
        <f t="shared" si="2"/>
        <v>50</v>
      </c>
      <c r="J144" s="8"/>
      <c r="K144" s="8"/>
    </row>
    <row r="145" spans="1:11" x14ac:dyDescent="0.25">
      <c r="A145" s="44" t="s">
        <v>3131</v>
      </c>
      <c r="B145" s="44">
        <v>1031569660676.05</v>
      </c>
      <c r="C145" s="44">
        <v>1031641853968.27</v>
      </c>
      <c r="D145" s="44">
        <f t="shared" si="0"/>
        <v>6.9983923502226755E-3</v>
      </c>
      <c r="E145" s="39">
        <v>1</v>
      </c>
      <c r="F145" s="39">
        <v>0</v>
      </c>
      <c r="G145" s="39">
        <v>1</v>
      </c>
      <c r="H145" s="8">
        <f t="shared" si="1"/>
        <v>50</v>
      </c>
      <c r="I145" s="8">
        <f t="shared" si="2"/>
        <v>0</v>
      </c>
      <c r="J145" s="8"/>
      <c r="K145" s="8"/>
    </row>
    <row r="146" spans="1:11" x14ac:dyDescent="0.25">
      <c r="A146" s="44" t="s">
        <v>2247</v>
      </c>
      <c r="B146" s="44">
        <v>134689961726.65001</v>
      </c>
      <c r="C146" s="44">
        <v>133929291035.25999</v>
      </c>
      <c r="D146" s="44">
        <f t="shared" si="0"/>
        <v>-0.56475678041528976</v>
      </c>
      <c r="E146" s="39">
        <v>2</v>
      </c>
      <c r="F146" s="39">
        <v>2</v>
      </c>
      <c r="G146" s="39">
        <v>0</v>
      </c>
      <c r="H146" s="8">
        <f t="shared" si="1"/>
        <v>50</v>
      </c>
      <c r="I146" s="8">
        <f t="shared" si="2"/>
        <v>50</v>
      </c>
      <c r="J146" s="8"/>
      <c r="K146" s="8"/>
    </row>
    <row r="147" spans="1:11" x14ac:dyDescent="0.25">
      <c r="A147" s="44" t="s">
        <v>876</v>
      </c>
      <c r="B147" s="44">
        <v>791084842.42000008</v>
      </c>
      <c r="C147" s="44">
        <v>781414998.25</v>
      </c>
      <c r="D147" s="44">
        <f t="shared" si="0"/>
        <v>-1.2223523510347067</v>
      </c>
      <c r="E147" s="39">
        <v>2</v>
      </c>
      <c r="F147" s="39">
        <v>1</v>
      </c>
      <c r="G147" s="39">
        <v>1</v>
      </c>
      <c r="H147" s="8">
        <f t="shared" si="1"/>
        <v>50</v>
      </c>
      <c r="I147" s="8">
        <f t="shared" si="2"/>
        <v>25</v>
      </c>
      <c r="J147" s="8"/>
      <c r="K147" s="8"/>
    </row>
    <row r="148" spans="1:11" x14ac:dyDescent="0.25">
      <c r="A148" s="44" t="s">
        <v>166</v>
      </c>
      <c r="B148" s="44">
        <v>506820747763.15002</v>
      </c>
      <c r="C148" s="44">
        <v>497370907040</v>
      </c>
      <c r="D148" s="44">
        <f t="shared" si="0"/>
        <v>-1.8645331243554715</v>
      </c>
      <c r="E148" s="39">
        <v>2</v>
      </c>
      <c r="F148" s="39">
        <v>2</v>
      </c>
      <c r="G148" s="39">
        <v>0</v>
      </c>
      <c r="H148" s="8">
        <f t="shared" si="1"/>
        <v>50</v>
      </c>
      <c r="I148" s="8">
        <f t="shared" si="2"/>
        <v>50</v>
      </c>
      <c r="J148" s="8"/>
      <c r="K148" s="8"/>
    </row>
    <row r="149" spans="1:11" x14ac:dyDescent="0.25">
      <c r="A149" s="44" t="s">
        <v>3262</v>
      </c>
      <c r="B149" s="44">
        <v>1535194793089.5498</v>
      </c>
      <c r="C149" s="44">
        <v>1494202603845.05</v>
      </c>
      <c r="D149" s="44">
        <f t="shared" si="0"/>
        <v>-2.6701620816472267</v>
      </c>
      <c r="E149" s="39">
        <v>3</v>
      </c>
      <c r="F149" s="39">
        <v>3</v>
      </c>
      <c r="G149" s="39">
        <v>0</v>
      </c>
      <c r="H149" s="8">
        <f t="shared" si="1"/>
        <v>50</v>
      </c>
      <c r="I149" s="8">
        <f t="shared" si="2"/>
        <v>50</v>
      </c>
      <c r="J149" s="8"/>
      <c r="K149" s="8"/>
    </row>
    <row r="150" spans="1:11" x14ac:dyDescent="0.25">
      <c r="A150" s="44" t="s">
        <v>3874</v>
      </c>
      <c r="B150" s="44">
        <v>212990171867.5</v>
      </c>
      <c r="C150" s="44">
        <v>190633373640.64999</v>
      </c>
      <c r="D150" s="44">
        <f t="shared" si="0"/>
        <v>-10.496633732357399</v>
      </c>
      <c r="E150" s="39">
        <v>1</v>
      </c>
      <c r="F150" s="39">
        <v>1</v>
      </c>
      <c r="G150" s="39">
        <v>0</v>
      </c>
      <c r="H150" s="8">
        <f t="shared" si="1"/>
        <v>50</v>
      </c>
      <c r="I150" s="8">
        <f t="shared" si="2"/>
        <v>50</v>
      </c>
      <c r="J150" s="8"/>
      <c r="K150" s="8"/>
    </row>
    <row r="151" spans="1:11" x14ac:dyDescent="0.25">
      <c r="A151" s="44" t="s">
        <v>13</v>
      </c>
      <c r="B151" s="44">
        <v>8965782919246.8965</v>
      </c>
      <c r="C151" s="44">
        <v>9370598973677.668</v>
      </c>
      <c r="D151" s="44">
        <f t="shared" si="0"/>
        <v>4.5151221937545536</v>
      </c>
      <c r="E151" s="39">
        <v>138</v>
      </c>
      <c r="F151" s="39">
        <v>103</v>
      </c>
      <c r="G151" s="39">
        <v>38</v>
      </c>
      <c r="H151" s="8">
        <f t="shared" si="1"/>
        <v>49.462365591397848</v>
      </c>
      <c r="I151" s="8">
        <f t="shared" si="2"/>
        <v>36.917562724014338</v>
      </c>
      <c r="J151" s="8"/>
      <c r="K151" s="8"/>
    </row>
    <row r="152" spans="1:11" x14ac:dyDescent="0.25">
      <c r="A152" s="44" t="s">
        <v>1064</v>
      </c>
      <c r="B152" s="44">
        <v>1183223803163.6304</v>
      </c>
      <c r="C152" s="44">
        <v>1182306513901.8901</v>
      </c>
      <c r="D152" s="44">
        <f t="shared" si="0"/>
        <v>-7.752457813032862E-2</v>
      </c>
      <c r="E152" s="39">
        <v>25</v>
      </c>
      <c r="F152" s="39">
        <v>25</v>
      </c>
      <c r="G152" s="39">
        <v>1</v>
      </c>
      <c r="H152" s="8">
        <f t="shared" si="1"/>
        <v>49.019607843137251</v>
      </c>
      <c r="I152" s="8">
        <f t="shared" si="2"/>
        <v>49.019607843137251</v>
      </c>
      <c r="J152" s="8"/>
      <c r="K152" s="8"/>
    </row>
    <row r="153" spans="1:11" x14ac:dyDescent="0.25">
      <c r="A153" s="44" t="s">
        <v>3209</v>
      </c>
      <c r="B153" s="44">
        <v>302185809121.53003</v>
      </c>
      <c r="C153" s="44">
        <v>306254561183.92999</v>
      </c>
      <c r="D153" s="44">
        <f t="shared" si="0"/>
        <v>1.346440481182104</v>
      </c>
      <c r="E153" s="39">
        <v>22</v>
      </c>
      <c r="F153" s="39">
        <v>21</v>
      </c>
      <c r="G153" s="39">
        <v>3</v>
      </c>
      <c r="H153" s="8">
        <f t="shared" si="1"/>
        <v>47.826086956521742</v>
      </c>
      <c r="I153" s="8">
        <f t="shared" si="2"/>
        <v>45.652173913043477</v>
      </c>
      <c r="J153" s="8"/>
      <c r="K153" s="8"/>
    </row>
    <row r="154" spans="1:11" x14ac:dyDescent="0.25">
      <c r="A154" s="44" t="s">
        <v>2346</v>
      </c>
      <c r="B154" s="44">
        <v>19988334670.73</v>
      </c>
      <c r="C154" s="44">
        <v>23888061516.139999</v>
      </c>
      <c r="D154" s="44">
        <f t="shared" si="0"/>
        <v>19.510013763780837</v>
      </c>
      <c r="E154" s="39">
        <v>11</v>
      </c>
      <c r="F154" s="39">
        <v>9</v>
      </c>
      <c r="G154" s="39">
        <v>4</v>
      </c>
      <c r="H154" s="8">
        <f t="shared" si="1"/>
        <v>45.833333333333329</v>
      </c>
      <c r="I154" s="8">
        <f t="shared" si="2"/>
        <v>37.5</v>
      </c>
      <c r="J154" s="8"/>
      <c r="K154" s="8"/>
    </row>
    <row r="155" spans="1:11" x14ac:dyDescent="0.25">
      <c r="A155" s="44" t="s">
        <v>1645</v>
      </c>
      <c r="B155" s="44">
        <v>561159561169.71997</v>
      </c>
      <c r="C155" s="44">
        <v>627452128720.06018</v>
      </c>
      <c r="D155" s="44">
        <f t="shared" si="0"/>
        <v>11.813496933413266</v>
      </c>
      <c r="E155" s="39">
        <v>18</v>
      </c>
      <c r="F155" s="39">
        <v>19</v>
      </c>
      <c r="G155" s="39">
        <v>3</v>
      </c>
      <c r="H155" s="8">
        <f t="shared" si="1"/>
        <v>45</v>
      </c>
      <c r="I155" s="8">
        <f t="shared" si="2"/>
        <v>47.5</v>
      </c>
      <c r="J155" s="8"/>
      <c r="K155" s="8"/>
    </row>
    <row r="156" spans="1:11" x14ac:dyDescent="0.25">
      <c r="A156" s="44" t="s">
        <v>1171</v>
      </c>
      <c r="B156" s="44">
        <v>689878111466.07983</v>
      </c>
      <c r="C156" s="44">
        <v>749858355085.60999</v>
      </c>
      <c r="D156" s="44">
        <f t="shared" si="0"/>
        <v>8.6943247832670636</v>
      </c>
      <c r="E156" s="39">
        <v>56</v>
      </c>
      <c r="F156" s="39">
        <v>42</v>
      </c>
      <c r="G156" s="39">
        <v>28</v>
      </c>
      <c r="H156" s="8">
        <f t="shared" si="1"/>
        <v>44.444444444444443</v>
      </c>
      <c r="I156" s="8">
        <f t="shared" si="2"/>
        <v>33.333333333333329</v>
      </c>
      <c r="J156" s="8"/>
      <c r="K156" s="8"/>
    </row>
    <row r="157" spans="1:11" x14ac:dyDescent="0.25">
      <c r="A157" s="44" t="s">
        <v>3561</v>
      </c>
      <c r="B157" s="44">
        <v>331638373185.52997</v>
      </c>
      <c r="C157" s="44">
        <v>318265435556.30994</v>
      </c>
      <c r="D157" s="44">
        <f t="shared" si="0"/>
        <v>-4.0323854868684776</v>
      </c>
      <c r="E157" s="39">
        <v>22</v>
      </c>
      <c r="F157" s="39">
        <v>25</v>
      </c>
      <c r="G157" s="39">
        <v>3</v>
      </c>
      <c r="H157" s="8">
        <f t="shared" si="1"/>
        <v>44</v>
      </c>
      <c r="I157" s="8">
        <f t="shared" si="2"/>
        <v>50</v>
      </c>
      <c r="J157" s="8"/>
      <c r="K157" s="8"/>
    </row>
    <row r="158" spans="1:11" x14ac:dyDescent="0.25">
      <c r="A158" s="44" t="s">
        <v>2681</v>
      </c>
      <c r="B158" s="44">
        <v>354719107593.55005</v>
      </c>
      <c r="C158" s="44">
        <v>377430011807.41998</v>
      </c>
      <c r="D158" s="44">
        <f t="shared" si="0"/>
        <v>6.4025037635956474</v>
      </c>
      <c r="E158" s="39">
        <v>47</v>
      </c>
      <c r="F158" s="39">
        <v>26</v>
      </c>
      <c r="G158" s="39">
        <v>35</v>
      </c>
      <c r="H158" s="8">
        <f t="shared" si="1"/>
        <v>43.518518518518519</v>
      </c>
      <c r="I158" s="8">
        <f t="shared" si="2"/>
        <v>24.074074074074073</v>
      </c>
      <c r="J158" s="8"/>
      <c r="K158" s="8"/>
    </row>
    <row r="159" spans="1:11" x14ac:dyDescent="0.25">
      <c r="A159" s="44" t="s">
        <v>3183</v>
      </c>
      <c r="B159" s="44">
        <v>4140540691688.8496</v>
      </c>
      <c r="C159" s="44">
        <v>4289743166263.3994</v>
      </c>
      <c r="D159" s="44">
        <f t="shared" si="0"/>
        <v>3.6034538888613818</v>
      </c>
      <c r="E159" s="39">
        <v>3</v>
      </c>
      <c r="F159" s="39">
        <v>4</v>
      </c>
      <c r="G159" s="39">
        <v>0</v>
      </c>
      <c r="H159" s="8">
        <f t="shared" si="1"/>
        <v>42.857142857142854</v>
      </c>
      <c r="I159" s="8">
        <f t="shared" si="2"/>
        <v>57.142857142857139</v>
      </c>
      <c r="J159" s="69" t="s">
        <v>4442</v>
      </c>
      <c r="K159" s="67"/>
    </row>
    <row r="160" spans="1:11" x14ac:dyDescent="0.25">
      <c r="A160" s="44" t="s">
        <v>4094</v>
      </c>
      <c r="B160" s="44">
        <v>37980443779.129997</v>
      </c>
      <c r="C160" s="44">
        <v>39191528994.779999</v>
      </c>
      <c r="D160" s="44">
        <f t="shared" si="0"/>
        <v>3.1887073850239869</v>
      </c>
      <c r="E160" s="39">
        <v>9</v>
      </c>
      <c r="F160" s="39">
        <v>7</v>
      </c>
      <c r="G160" s="39">
        <v>5</v>
      </c>
      <c r="H160" s="8">
        <f t="shared" si="1"/>
        <v>42.857142857142854</v>
      </c>
      <c r="I160" s="8">
        <f t="shared" si="2"/>
        <v>33.333333333333329</v>
      </c>
      <c r="J160" s="8"/>
      <c r="K160" s="8"/>
    </row>
    <row r="161" spans="1:11" x14ac:dyDescent="0.25">
      <c r="A161" s="44" t="s">
        <v>2444</v>
      </c>
      <c r="B161" s="44">
        <v>1232942691094</v>
      </c>
      <c r="C161" s="44">
        <v>1236067878595.9902</v>
      </c>
      <c r="D161" s="44">
        <f t="shared" si="0"/>
        <v>0.25347386578180936</v>
      </c>
      <c r="E161" s="39">
        <v>6</v>
      </c>
      <c r="F161" s="39">
        <v>8</v>
      </c>
      <c r="G161" s="39">
        <v>0</v>
      </c>
      <c r="H161" s="8">
        <f t="shared" si="1"/>
        <v>42.857142857142854</v>
      </c>
      <c r="I161" s="8">
        <f t="shared" si="2"/>
        <v>57.142857142857139</v>
      </c>
      <c r="J161" s="8"/>
      <c r="K161" s="8"/>
    </row>
    <row r="162" spans="1:11" x14ac:dyDescent="0.25">
      <c r="A162" s="44" t="s">
        <v>2787</v>
      </c>
      <c r="B162" s="44">
        <v>599793878808.15002</v>
      </c>
      <c r="C162" s="44">
        <v>597960029085.47998</v>
      </c>
      <c r="D162" s="44">
        <f t="shared" si="0"/>
        <v>-0.3057466552199708</v>
      </c>
      <c r="E162" s="39">
        <v>3</v>
      </c>
      <c r="F162" s="39">
        <v>4</v>
      </c>
      <c r="G162" s="39">
        <v>0</v>
      </c>
      <c r="H162" s="8">
        <f t="shared" si="1"/>
        <v>42.857142857142854</v>
      </c>
      <c r="I162" s="8">
        <f t="shared" si="2"/>
        <v>57.142857142857139</v>
      </c>
      <c r="J162" s="8"/>
      <c r="K162" s="8"/>
    </row>
    <row r="163" spans="1:11" x14ac:dyDescent="0.25">
      <c r="A163" s="44" t="s">
        <v>3312</v>
      </c>
      <c r="B163" s="44">
        <v>174944548836.35001</v>
      </c>
      <c r="C163" s="44">
        <v>199732028406.88998</v>
      </c>
      <c r="D163" s="44">
        <f t="shared" si="0"/>
        <v>14.168763608477541</v>
      </c>
      <c r="E163" s="39">
        <v>5</v>
      </c>
      <c r="F163" s="39">
        <v>6</v>
      </c>
      <c r="G163" s="39">
        <v>1</v>
      </c>
      <c r="H163" s="8">
        <f t="shared" si="1"/>
        <v>41.666666666666671</v>
      </c>
      <c r="I163" s="8">
        <f t="shared" si="2"/>
        <v>50</v>
      </c>
      <c r="J163" s="8"/>
      <c r="K163" s="8"/>
    </row>
    <row r="164" spans="1:11" x14ac:dyDescent="0.25">
      <c r="A164" s="44" t="s">
        <v>959</v>
      </c>
      <c r="B164" s="44">
        <v>209918367700.5</v>
      </c>
      <c r="C164" s="44">
        <v>215609453254.74002</v>
      </c>
      <c r="D164" s="44">
        <f t="shared" si="0"/>
        <v>2.7110946110060028</v>
      </c>
      <c r="E164" s="39">
        <v>4</v>
      </c>
      <c r="F164" s="39">
        <v>5</v>
      </c>
      <c r="G164" s="39">
        <v>1</v>
      </c>
      <c r="H164" s="8">
        <f t="shared" si="1"/>
        <v>40</v>
      </c>
      <c r="I164" s="8">
        <f t="shared" si="2"/>
        <v>50</v>
      </c>
      <c r="J164" s="8"/>
      <c r="K164" s="8"/>
    </row>
    <row r="165" spans="1:11" x14ac:dyDescent="0.25">
      <c r="A165" s="44" t="s">
        <v>1315</v>
      </c>
      <c r="B165" s="44">
        <v>140007174904.73001</v>
      </c>
      <c r="C165" s="44">
        <v>140059583366.5</v>
      </c>
      <c r="D165" s="44">
        <f t="shared" si="0"/>
        <v>3.7432697149736176E-2</v>
      </c>
      <c r="E165" s="39">
        <v>2</v>
      </c>
      <c r="F165" s="39">
        <v>2</v>
      </c>
      <c r="G165" s="39">
        <v>1</v>
      </c>
      <c r="H165" s="8">
        <f t="shared" si="1"/>
        <v>40</v>
      </c>
      <c r="I165" s="8">
        <f t="shared" si="2"/>
        <v>40</v>
      </c>
      <c r="J165" s="8"/>
      <c r="K165" s="8"/>
    </row>
    <row r="166" spans="1:11" x14ac:dyDescent="0.25">
      <c r="A166" s="44" t="s">
        <v>767</v>
      </c>
      <c r="B166" s="44">
        <v>613206017114.92993</v>
      </c>
      <c r="C166" s="44">
        <v>608087645542.03003</v>
      </c>
      <c r="D166" s="44">
        <f t="shared" si="0"/>
        <v>-0.83469036996429102</v>
      </c>
      <c r="E166" s="39">
        <v>2</v>
      </c>
      <c r="F166" s="39">
        <v>2</v>
      </c>
      <c r="G166" s="39">
        <v>1</v>
      </c>
      <c r="H166" s="8">
        <f t="shared" si="1"/>
        <v>40</v>
      </c>
      <c r="I166" s="8">
        <f t="shared" si="2"/>
        <v>40</v>
      </c>
      <c r="J166" s="8"/>
      <c r="K166" s="8"/>
    </row>
    <row r="167" spans="1:11" x14ac:dyDescent="0.25">
      <c r="A167" s="44" t="s">
        <v>3793</v>
      </c>
      <c r="B167" s="44">
        <v>1100681501340.22</v>
      </c>
      <c r="C167" s="44">
        <v>1040405822200.62</v>
      </c>
      <c r="D167" s="44">
        <f t="shared" si="0"/>
        <v>-5.4762144240824124</v>
      </c>
      <c r="E167" s="39">
        <v>2</v>
      </c>
      <c r="F167" s="39">
        <v>2</v>
      </c>
      <c r="G167" s="39">
        <v>1</v>
      </c>
      <c r="H167" s="8">
        <f t="shared" si="1"/>
        <v>40</v>
      </c>
      <c r="I167" s="8">
        <f t="shared" si="2"/>
        <v>40</v>
      </c>
      <c r="J167" s="8"/>
      <c r="K167" s="8"/>
    </row>
    <row r="168" spans="1:11" x14ac:dyDescent="0.25">
      <c r="A168" s="44" t="s">
        <v>2951</v>
      </c>
      <c r="B168" s="44">
        <v>310086103074.22998</v>
      </c>
      <c r="C168" s="44">
        <v>324402981999.97986</v>
      </c>
      <c r="D168" s="44">
        <f t="shared" si="0"/>
        <v>4.6170656420299592</v>
      </c>
      <c r="E168" s="39">
        <v>84</v>
      </c>
      <c r="F168" s="39">
        <v>91</v>
      </c>
      <c r="G168" s="39">
        <v>43</v>
      </c>
      <c r="H168" s="8">
        <f t="shared" si="1"/>
        <v>38.532110091743121</v>
      </c>
      <c r="I168" s="8">
        <f t="shared" si="2"/>
        <v>41.743119266055047</v>
      </c>
      <c r="J168" s="8"/>
      <c r="K168" s="8"/>
    </row>
    <row r="169" spans="1:11" x14ac:dyDescent="0.25">
      <c r="A169" s="44" t="s">
        <v>2905</v>
      </c>
      <c r="B169" s="44">
        <v>49256394361.25</v>
      </c>
      <c r="C169" s="44">
        <v>51336914878.240005</v>
      </c>
      <c r="D169" s="44">
        <f t="shared" si="0"/>
        <v>4.2238587374693237</v>
      </c>
      <c r="E169" s="39">
        <v>4</v>
      </c>
      <c r="F169" s="39">
        <v>7</v>
      </c>
      <c r="G169" s="39">
        <v>0</v>
      </c>
      <c r="H169" s="8">
        <f t="shared" si="1"/>
        <v>36.363636363636367</v>
      </c>
      <c r="I169" s="8">
        <f t="shared" si="2"/>
        <v>63.636363636363633</v>
      </c>
      <c r="J169" s="8"/>
      <c r="K169" s="8"/>
    </row>
    <row r="170" spans="1:11" x14ac:dyDescent="0.25">
      <c r="A170" s="44" t="s">
        <v>3831</v>
      </c>
      <c r="B170" s="44">
        <v>2940261866.6699996</v>
      </c>
      <c r="C170" s="44">
        <v>2983659195.29</v>
      </c>
      <c r="D170" s="44">
        <f t="shared" si="0"/>
        <v>1.4759681480054738</v>
      </c>
      <c r="E170" s="39">
        <v>6</v>
      </c>
      <c r="F170" s="39">
        <v>9</v>
      </c>
      <c r="G170" s="39">
        <v>2</v>
      </c>
      <c r="H170" s="8">
        <f t="shared" si="1"/>
        <v>35.294117647058826</v>
      </c>
      <c r="I170" s="8">
        <f t="shared" si="2"/>
        <v>52.941176470588239</v>
      </c>
      <c r="J170" s="8"/>
      <c r="K170" s="8"/>
    </row>
    <row r="171" spans="1:11" x14ac:dyDescent="0.25">
      <c r="A171" s="44" t="s">
        <v>3369</v>
      </c>
      <c r="B171" s="44">
        <v>63407781884</v>
      </c>
      <c r="C171" s="44">
        <v>58213196793.860001</v>
      </c>
      <c r="D171" s="44">
        <f t="shared" si="0"/>
        <v>-8.1923463268958407</v>
      </c>
      <c r="E171" s="39">
        <v>7</v>
      </c>
      <c r="F171" s="39">
        <v>12</v>
      </c>
      <c r="G171" s="39">
        <v>1</v>
      </c>
      <c r="H171" s="8">
        <f t="shared" si="1"/>
        <v>35</v>
      </c>
      <c r="I171" s="8">
        <f t="shared" si="2"/>
        <v>60</v>
      </c>
      <c r="J171" s="8"/>
      <c r="K171" s="8"/>
    </row>
    <row r="172" spans="1:11" x14ac:dyDescent="0.25">
      <c r="A172" s="44" t="s">
        <v>3639</v>
      </c>
      <c r="B172" s="44">
        <v>3389074382.0100002</v>
      </c>
      <c r="C172" s="44">
        <v>3678338236.3900003</v>
      </c>
      <c r="D172" s="44">
        <f t="shared" si="0"/>
        <v>8.5351875401578781</v>
      </c>
      <c r="E172" s="39">
        <v>1</v>
      </c>
      <c r="F172" s="39">
        <v>2</v>
      </c>
      <c r="G172" s="39">
        <v>0</v>
      </c>
      <c r="H172" s="8">
        <f t="shared" si="1"/>
        <v>33.333333333333329</v>
      </c>
      <c r="I172" s="8">
        <f t="shared" si="2"/>
        <v>66.666666666666657</v>
      </c>
      <c r="J172" s="8"/>
      <c r="K172" s="8"/>
    </row>
    <row r="173" spans="1:11" x14ac:dyDescent="0.25">
      <c r="A173" s="44" t="s">
        <v>1351</v>
      </c>
      <c r="B173" s="44">
        <v>39301006848</v>
      </c>
      <c r="C173" s="44">
        <v>39646600576.809998</v>
      </c>
      <c r="D173" s="44">
        <f t="shared" si="0"/>
        <v>0.87935082718519353</v>
      </c>
      <c r="E173" s="39">
        <v>2</v>
      </c>
      <c r="F173" s="39">
        <v>4</v>
      </c>
      <c r="G173" s="39">
        <v>0</v>
      </c>
      <c r="H173" s="8">
        <f t="shared" si="1"/>
        <v>33.333333333333329</v>
      </c>
      <c r="I173" s="8">
        <f t="shared" si="2"/>
        <v>66.666666666666657</v>
      </c>
      <c r="J173" s="8"/>
      <c r="K173" s="8"/>
    </row>
    <row r="174" spans="1:11" x14ac:dyDescent="0.25">
      <c r="A174" s="44" t="s">
        <v>3118</v>
      </c>
      <c r="B174" s="44">
        <v>10996095283193.602</v>
      </c>
      <c r="C174" s="44">
        <v>11071387346398.85</v>
      </c>
      <c r="D174" s="44">
        <f t="shared" si="0"/>
        <v>0.68471635854523927</v>
      </c>
      <c r="E174" s="39">
        <v>1</v>
      </c>
      <c r="F174" s="39">
        <v>2</v>
      </c>
      <c r="G174" s="39">
        <v>0</v>
      </c>
      <c r="H174" s="8">
        <f t="shared" si="1"/>
        <v>33.333333333333329</v>
      </c>
      <c r="I174" s="8">
        <f t="shared" si="2"/>
        <v>66.666666666666657</v>
      </c>
      <c r="J174" s="8"/>
      <c r="K174" s="8"/>
    </row>
    <row r="175" spans="1:11" x14ac:dyDescent="0.25">
      <c r="A175" s="44" t="s">
        <v>4145</v>
      </c>
      <c r="B175" s="44">
        <v>9863060134851.4102</v>
      </c>
      <c r="C175" s="44">
        <v>9775332683403.8809</v>
      </c>
      <c r="D175" s="44">
        <f t="shared" si="0"/>
        <v>-0.88945469507523112</v>
      </c>
      <c r="E175" s="39">
        <v>4</v>
      </c>
      <c r="F175" s="39">
        <v>8</v>
      </c>
      <c r="G175" s="39">
        <v>0</v>
      </c>
      <c r="H175" s="8">
        <f t="shared" si="1"/>
        <v>33.333333333333329</v>
      </c>
      <c r="I175" s="8">
        <f t="shared" si="2"/>
        <v>66.666666666666657</v>
      </c>
      <c r="J175" s="8"/>
      <c r="K175" s="8"/>
    </row>
    <row r="176" spans="1:11" x14ac:dyDescent="0.25">
      <c r="A176" s="44" t="s">
        <v>2594</v>
      </c>
      <c r="B176" s="44">
        <v>3106577038.2999997</v>
      </c>
      <c r="C176" s="44">
        <v>3601469084.5</v>
      </c>
      <c r="D176" s="44">
        <f t="shared" si="0"/>
        <v>15.93046108622557</v>
      </c>
      <c r="E176" s="39">
        <v>2</v>
      </c>
      <c r="F176" s="39">
        <v>5</v>
      </c>
      <c r="G176" s="39">
        <v>1</v>
      </c>
      <c r="H176" s="8">
        <f t="shared" si="1"/>
        <v>25</v>
      </c>
      <c r="I176" s="8">
        <f t="shared" si="2"/>
        <v>62.5</v>
      </c>
      <c r="J176" s="8"/>
      <c r="K176" s="8"/>
    </row>
    <row r="177" spans="1:11" x14ac:dyDescent="0.25">
      <c r="A177" s="44" t="s">
        <v>3672</v>
      </c>
      <c r="B177" s="44">
        <v>8243438669.9899998</v>
      </c>
      <c r="C177" s="44">
        <v>8504564690.5100002</v>
      </c>
      <c r="D177" s="44">
        <f t="shared" si="0"/>
        <v>3.1676831838468353</v>
      </c>
      <c r="E177" s="39">
        <v>1</v>
      </c>
      <c r="F177" s="39">
        <v>3</v>
      </c>
      <c r="G177" s="39">
        <v>0</v>
      </c>
      <c r="H177" s="8">
        <f t="shared" si="1"/>
        <v>25</v>
      </c>
      <c r="I177" s="8">
        <f t="shared" si="2"/>
        <v>75</v>
      </c>
      <c r="J177" s="8"/>
      <c r="K177" s="8"/>
    </row>
    <row r="178" spans="1:11" x14ac:dyDescent="0.25">
      <c r="A178" s="44" t="s">
        <v>3883</v>
      </c>
      <c r="B178" s="44">
        <v>363214744980.59998</v>
      </c>
      <c r="C178" s="44">
        <v>359470580610.40002</v>
      </c>
      <c r="D178" s="44">
        <f t="shared" si="0"/>
        <v>-1.0308404110631397</v>
      </c>
      <c r="E178" s="39">
        <v>1</v>
      </c>
      <c r="F178" s="39">
        <v>3</v>
      </c>
      <c r="G178" s="39">
        <v>0</v>
      </c>
      <c r="H178" s="8">
        <f t="shared" si="1"/>
        <v>25</v>
      </c>
      <c r="I178" s="8">
        <f t="shared" si="2"/>
        <v>75</v>
      </c>
      <c r="J178" s="8"/>
      <c r="K178" s="8"/>
    </row>
    <row r="179" spans="1:11" x14ac:dyDescent="0.25">
      <c r="A179" s="44" t="s">
        <v>1598</v>
      </c>
      <c r="B179" s="44">
        <v>1423934061175</v>
      </c>
      <c r="C179" s="44">
        <v>1425590922030.5</v>
      </c>
      <c r="D179" s="44">
        <f t="shared" si="0"/>
        <v>0.11635797616448573</v>
      </c>
      <c r="E179" s="39">
        <v>1</v>
      </c>
      <c r="F179" s="39">
        <v>2</v>
      </c>
      <c r="G179" s="39">
        <v>2</v>
      </c>
      <c r="H179" s="8">
        <f t="shared" si="1"/>
        <v>20</v>
      </c>
      <c r="I179" s="8">
        <f t="shared" si="2"/>
        <v>40</v>
      </c>
      <c r="J179" s="8"/>
      <c r="K179" s="8"/>
    </row>
    <row r="180" spans="1:11" x14ac:dyDescent="0.25">
      <c r="A180" s="44" t="s">
        <v>4230</v>
      </c>
      <c r="B180" s="44">
        <v>8518745418</v>
      </c>
      <c r="C180" s="44">
        <v>8319550873.4000006</v>
      </c>
      <c r="D180" s="44">
        <f t="shared" si="0"/>
        <v>-2.3383084577114364</v>
      </c>
      <c r="E180" s="39">
        <v>0</v>
      </c>
      <c r="F180" s="39">
        <v>1</v>
      </c>
      <c r="G180" s="39">
        <v>0</v>
      </c>
      <c r="H180" s="8">
        <f t="shared" si="1"/>
        <v>0</v>
      </c>
      <c r="I180" s="8">
        <f t="shared" si="2"/>
        <v>100</v>
      </c>
      <c r="J180" s="8"/>
      <c r="K180" s="8"/>
    </row>
    <row r="181" spans="1:11" x14ac:dyDescent="0.25">
      <c r="A181" s="44" t="s">
        <v>342</v>
      </c>
      <c r="B181" s="44">
        <v>1199562291559.7002</v>
      </c>
      <c r="C181" s="44">
        <v>1169685720789.8</v>
      </c>
      <c r="D181" s="44">
        <f t="shared" si="0"/>
        <v>-2.4906227029739236</v>
      </c>
      <c r="E181" s="39">
        <v>0</v>
      </c>
      <c r="F181" s="39">
        <v>3</v>
      </c>
      <c r="G181" s="39">
        <v>0</v>
      </c>
      <c r="H181" s="8">
        <f t="shared" si="1"/>
        <v>0</v>
      </c>
      <c r="I181" s="8">
        <f t="shared" si="2"/>
        <v>100</v>
      </c>
      <c r="J181" s="8"/>
      <c r="K181" s="8"/>
    </row>
    <row r="182" spans="1:11" x14ac:dyDescent="0.25">
      <c r="A182" s="44" t="s">
        <v>3663</v>
      </c>
      <c r="B182" s="44">
        <v>95824353395.100006</v>
      </c>
      <c r="C182" s="44">
        <v>92753662117.399994</v>
      </c>
      <c r="D182" s="44">
        <f t="shared" si="0"/>
        <v>-3.2044998676265868</v>
      </c>
      <c r="E182" s="39">
        <v>0</v>
      </c>
      <c r="F182" s="39">
        <v>2</v>
      </c>
      <c r="G182" s="39">
        <v>0</v>
      </c>
      <c r="H182" s="8">
        <f t="shared" si="1"/>
        <v>0</v>
      </c>
      <c r="I182" s="8">
        <f t="shared" si="2"/>
        <v>100</v>
      </c>
      <c r="J182" s="8"/>
      <c r="K182" s="8"/>
    </row>
    <row r="183" spans="1:11" x14ac:dyDescent="0.25">
      <c r="A183" s="44" t="s">
        <v>4133</v>
      </c>
      <c r="B183" s="44">
        <v>3975776910</v>
      </c>
      <c r="C183" s="44">
        <v>3794602266</v>
      </c>
      <c r="D183" s="44">
        <f t="shared" si="0"/>
        <v>-4.556962025316456</v>
      </c>
      <c r="E183" s="39">
        <v>0</v>
      </c>
      <c r="F183" s="39">
        <v>1</v>
      </c>
      <c r="G183" s="39">
        <v>0</v>
      </c>
      <c r="H183" s="8">
        <f t="shared" si="1"/>
        <v>0</v>
      </c>
      <c r="I183" s="8">
        <f t="shared" si="2"/>
        <v>100</v>
      </c>
      <c r="J183" s="8"/>
      <c r="K183" s="8"/>
    </row>
    <row r="184" spans="1:11" x14ac:dyDescent="0.25">
      <c r="A184" s="44" t="s">
        <v>668</v>
      </c>
      <c r="B184" s="44">
        <v>70998599601.649994</v>
      </c>
      <c r="C184" s="44">
        <v>67446711051.550003</v>
      </c>
      <c r="D184" s="44">
        <f t="shared" si="0"/>
        <v>-5.0027586037308902</v>
      </c>
      <c r="E184" s="39">
        <v>0</v>
      </c>
      <c r="F184" s="39">
        <v>2</v>
      </c>
      <c r="G184" s="39">
        <v>0</v>
      </c>
      <c r="H184" s="8">
        <f t="shared" si="1"/>
        <v>0</v>
      </c>
      <c r="I184" s="8">
        <f t="shared" si="2"/>
        <v>100</v>
      </c>
      <c r="J184" s="8"/>
      <c r="K184" s="8"/>
    </row>
    <row r="185" spans="1:11" x14ac:dyDescent="0.25">
      <c r="A185" s="44" t="s">
        <v>2778</v>
      </c>
      <c r="B185" s="44">
        <v>3693282674.04</v>
      </c>
      <c r="C185" s="44">
        <v>3478230758.3699999</v>
      </c>
      <c r="D185" s="44">
        <f t="shared" si="0"/>
        <v>-5.8227851656629239</v>
      </c>
      <c r="E185" s="39">
        <v>0</v>
      </c>
      <c r="F185" s="39">
        <v>2</v>
      </c>
      <c r="G185" s="39">
        <v>0</v>
      </c>
      <c r="H185" s="8">
        <f t="shared" si="1"/>
        <v>0</v>
      </c>
      <c r="I185" s="8">
        <f t="shared" si="2"/>
        <v>100</v>
      </c>
      <c r="J185" s="8"/>
      <c r="K185" s="8"/>
    </row>
    <row r="186" spans="1:11" x14ac:dyDescent="0.25">
      <c r="A186" s="44" t="s">
        <v>96</v>
      </c>
      <c r="B186" s="44">
        <v>29532937454.880001</v>
      </c>
      <c r="C186" s="44">
        <v>27733644205.599998</v>
      </c>
      <c r="D186" s="44">
        <f t="shared" si="0"/>
        <v>-6.0924967319249461</v>
      </c>
      <c r="E186" s="39">
        <v>0</v>
      </c>
      <c r="F186" s="39">
        <v>3</v>
      </c>
      <c r="G186" s="39">
        <v>0</v>
      </c>
      <c r="H186" s="8">
        <f t="shared" si="1"/>
        <v>0</v>
      </c>
      <c r="I186" s="8">
        <f t="shared" si="2"/>
        <v>100</v>
      </c>
      <c r="J186" s="8"/>
      <c r="K186" s="8"/>
    </row>
    <row r="187" spans="1:11" x14ac:dyDescent="0.25">
      <c r="A187" s="44"/>
      <c r="B187" s="44"/>
      <c r="C187" s="44"/>
      <c r="D187" s="44"/>
      <c r="E187" s="44"/>
      <c r="F187" s="44"/>
      <c r="G187" s="44"/>
      <c r="H187" s="44"/>
      <c r="I187" s="44"/>
      <c r="J187" s="8"/>
      <c r="K187" s="8"/>
    </row>
    <row r="188" spans="1:11" x14ac:dyDescent="0.25">
      <c r="A188" s="44"/>
      <c r="B188" s="44"/>
      <c r="C188" s="44"/>
      <c r="D188" s="44"/>
      <c r="E188" s="44"/>
      <c r="F188" s="44"/>
      <c r="G188" s="44"/>
      <c r="H188" s="44"/>
      <c r="I188" s="44"/>
      <c r="J188" s="8"/>
      <c r="K188" s="8"/>
    </row>
    <row r="189" spans="1:11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8"/>
      <c r="K189" s="8"/>
    </row>
    <row r="190" spans="1:11" x14ac:dyDescent="0.25">
      <c r="A190" s="44"/>
      <c r="B190" s="44"/>
      <c r="C190" s="44"/>
      <c r="D190" s="44"/>
      <c r="E190" s="44"/>
      <c r="F190" s="44"/>
      <c r="G190" s="44"/>
      <c r="H190" s="44"/>
      <c r="I190" s="44"/>
      <c r="J190" s="8"/>
      <c r="K190" s="8"/>
    </row>
    <row r="191" spans="1:11" x14ac:dyDescent="0.25">
      <c r="A191" s="44"/>
      <c r="B191" s="44"/>
      <c r="C191" s="44"/>
      <c r="D191" s="44"/>
      <c r="E191" s="44"/>
      <c r="F191" s="44"/>
      <c r="G191" s="44"/>
      <c r="H191" s="44"/>
      <c r="I191" s="44"/>
      <c r="J191" s="8"/>
      <c r="K191" s="8"/>
    </row>
    <row r="192" spans="1:11" x14ac:dyDescent="0.25">
      <c r="A192" s="44"/>
      <c r="B192" s="44"/>
      <c r="C192" s="44"/>
      <c r="D192" s="44"/>
      <c r="E192" s="44"/>
      <c r="F192" s="44"/>
      <c r="G192" s="44"/>
      <c r="H192" s="44"/>
      <c r="I192" s="44"/>
      <c r="J192" s="8"/>
      <c r="K192" s="8"/>
    </row>
    <row r="193" spans="1:11" x14ac:dyDescent="0.25">
      <c r="A193" s="44"/>
      <c r="B193" s="44"/>
      <c r="C193" s="44"/>
      <c r="D193" s="44"/>
      <c r="E193" s="44"/>
      <c r="F193" s="44"/>
      <c r="G193" s="44"/>
      <c r="H193" s="44"/>
      <c r="I193" s="44"/>
      <c r="J193" s="8"/>
      <c r="K193" s="8"/>
    </row>
    <row r="194" spans="1:11" x14ac:dyDescent="0.25">
      <c r="A194" s="44"/>
      <c r="B194" s="44"/>
      <c r="C194" s="44"/>
      <c r="D194" s="44"/>
      <c r="E194" s="44"/>
      <c r="F194" s="44"/>
      <c r="G194" s="44"/>
      <c r="H194" s="44"/>
      <c r="I194" s="44"/>
      <c r="J194" s="8"/>
      <c r="K194" s="8"/>
    </row>
    <row r="195" spans="1:11" x14ac:dyDescent="0.25">
      <c r="A195" s="44"/>
      <c r="B195" s="44"/>
      <c r="C195" s="44"/>
      <c r="D195" s="44"/>
      <c r="E195" s="44"/>
      <c r="F195" s="44"/>
      <c r="G195" s="44"/>
      <c r="H195" s="44"/>
      <c r="I195" s="44"/>
      <c r="J195" s="8"/>
      <c r="K195" s="8"/>
    </row>
    <row r="196" spans="1:11" x14ac:dyDescent="0.25">
      <c r="A196" s="44"/>
      <c r="B196" s="44"/>
      <c r="C196" s="44"/>
      <c r="D196" s="44"/>
      <c r="E196" s="44"/>
      <c r="F196" s="44"/>
      <c r="G196" s="44"/>
      <c r="H196" s="44"/>
      <c r="I196" s="44"/>
      <c r="J196" s="8"/>
      <c r="K196" s="8"/>
    </row>
    <row r="197" spans="1:11" x14ac:dyDescent="0.25">
      <c r="A197" s="44"/>
      <c r="B197" s="44"/>
      <c r="C197" s="44"/>
      <c r="D197" s="44"/>
      <c r="E197" s="44"/>
      <c r="F197" s="44"/>
      <c r="G197" s="44"/>
      <c r="H197" s="44"/>
      <c r="I197" s="44"/>
      <c r="J197" s="8"/>
      <c r="K197" s="8"/>
    </row>
    <row r="198" spans="1:11" x14ac:dyDescent="0.25">
      <c r="A198" s="44"/>
      <c r="B198" s="44"/>
      <c r="C198" s="44"/>
      <c r="D198" s="44"/>
      <c r="E198" s="44"/>
      <c r="F198" s="44"/>
      <c r="G198" s="44"/>
      <c r="H198" s="44"/>
      <c r="I198" s="44"/>
      <c r="J198" s="8"/>
      <c r="K198" s="8"/>
    </row>
    <row r="199" spans="1:11" x14ac:dyDescent="0.25">
      <c r="A199" s="44"/>
      <c r="B199" s="44"/>
      <c r="C199" s="44"/>
      <c r="D199" s="44"/>
      <c r="E199" s="44"/>
      <c r="F199" s="44"/>
      <c r="G199" s="44"/>
      <c r="H199" s="44"/>
      <c r="I199" s="44"/>
      <c r="J199" s="8"/>
      <c r="K199" s="8"/>
    </row>
    <row r="200" spans="1:11" x14ac:dyDescent="0.25">
      <c r="A200" s="44"/>
      <c r="B200" s="44"/>
      <c r="C200" s="44"/>
      <c r="D200" s="44"/>
      <c r="E200" s="44"/>
      <c r="F200" s="44"/>
      <c r="G200" s="44"/>
      <c r="H200" s="44"/>
      <c r="I200" s="44"/>
      <c r="J200" s="8"/>
      <c r="K200" s="8"/>
    </row>
    <row r="201" spans="1:11" x14ac:dyDescent="0.25">
      <c r="A201" s="44"/>
      <c r="B201" s="44"/>
      <c r="C201" s="44"/>
      <c r="D201" s="44"/>
      <c r="E201" s="44"/>
      <c r="F201" s="44"/>
      <c r="G201" s="44"/>
      <c r="H201" s="44"/>
      <c r="I201" s="44"/>
      <c r="J201" s="8"/>
      <c r="K201" s="8"/>
    </row>
    <row r="202" spans="1:11" x14ac:dyDescent="0.25">
      <c r="A202" s="44"/>
      <c r="B202" s="44"/>
      <c r="C202" s="44"/>
      <c r="D202" s="44"/>
      <c r="E202" s="44"/>
      <c r="F202" s="44"/>
      <c r="G202" s="44"/>
      <c r="H202" s="44"/>
      <c r="I202" s="44"/>
      <c r="J202" s="8"/>
      <c r="K202" s="8"/>
    </row>
    <row r="203" spans="1:11" x14ac:dyDescent="0.25">
      <c r="A203" s="44"/>
      <c r="B203" s="44"/>
      <c r="C203" s="44"/>
      <c r="D203" s="44"/>
      <c r="E203" s="44"/>
      <c r="F203" s="44"/>
      <c r="G203" s="44"/>
      <c r="H203" s="44"/>
      <c r="I203" s="44"/>
      <c r="J203" s="8"/>
      <c r="K203" s="8"/>
    </row>
    <row r="204" spans="1:11" x14ac:dyDescent="0.25">
      <c r="A204" s="44"/>
      <c r="B204" s="44"/>
      <c r="C204" s="44"/>
      <c r="D204" s="44"/>
      <c r="E204" s="44"/>
      <c r="F204" s="44"/>
      <c r="G204" s="44"/>
      <c r="H204" s="44"/>
      <c r="I204" s="44"/>
      <c r="J204" s="8"/>
      <c r="K204" s="8"/>
    </row>
    <row r="205" spans="1:11" x14ac:dyDescent="0.25">
      <c r="A205" s="44"/>
      <c r="B205" s="44"/>
      <c r="C205" s="44"/>
      <c r="D205" s="44"/>
      <c r="E205" s="44"/>
      <c r="F205" s="44"/>
      <c r="G205" s="44"/>
      <c r="H205" s="44"/>
      <c r="I205" s="44"/>
      <c r="J205" s="8"/>
      <c r="K205" s="8"/>
    </row>
    <row r="206" spans="1:11" x14ac:dyDescent="0.25">
      <c r="A206" s="44"/>
      <c r="B206" s="44"/>
      <c r="C206" s="44"/>
      <c r="D206" s="44"/>
      <c r="E206" s="44"/>
      <c r="F206" s="44"/>
      <c r="G206" s="44"/>
      <c r="H206" s="44"/>
      <c r="I206" s="44"/>
      <c r="J206" s="8"/>
      <c r="K206" s="8"/>
    </row>
    <row r="207" spans="1:11" x14ac:dyDescent="0.25">
      <c r="A207" s="44"/>
      <c r="B207" s="44"/>
      <c r="C207" s="44"/>
      <c r="D207" s="44"/>
      <c r="E207" s="44"/>
      <c r="F207" s="44"/>
      <c r="G207" s="44"/>
      <c r="H207" s="44"/>
      <c r="I207" s="44"/>
      <c r="J207" s="8"/>
      <c r="K207" s="8"/>
    </row>
    <row r="208" spans="1:11" x14ac:dyDescent="0.25">
      <c r="A208" s="44"/>
      <c r="B208" s="44"/>
      <c r="C208" s="44"/>
      <c r="D208" s="44"/>
      <c r="E208" s="44"/>
      <c r="F208" s="44"/>
      <c r="G208" s="44"/>
      <c r="H208" s="44"/>
      <c r="I208" s="44"/>
      <c r="J208" s="8"/>
      <c r="K208" s="8"/>
    </row>
    <row r="209" spans="1:11" x14ac:dyDescent="0.25">
      <c r="A209" s="44"/>
      <c r="B209" s="44"/>
      <c r="C209" s="44"/>
      <c r="D209" s="44"/>
      <c r="E209" s="44"/>
      <c r="F209" s="44"/>
      <c r="G209" s="44"/>
      <c r="H209" s="44"/>
      <c r="I209" s="44"/>
      <c r="J209" s="8"/>
      <c r="K209" s="8"/>
    </row>
    <row r="210" spans="1:11" x14ac:dyDescent="0.25">
      <c r="A210" s="44"/>
      <c r="B210" s="44"/>
      <c r="C210" s="44"/>
      <c r="D210" s="44"/>
      <c r="E210" s="44"/>
      <c r="F210" s="44"/>
      <c r="G210" s="44"/>
      <c r="H210" s="44"/>
      <c r="I210" s="44"/>
      <c r="J210" s="8"/>
      <c r="K210" s="8"/>
    </row>
    <row r="211" spans="1:11" x14ac:dyDescent="0.25">
      <c r="A211" s="44"/>
      <c r="B211" s="44"/>
      <c r="C211" s="44"/>
      <c r="D211" s="44"/>
      <c r="E211" s="44"/>
      <c r="F211" s="44"/>
      <c r="G211" s="44"/>
      <c r="H211" s="44"/>
      <c r="I211" s="44"/>
      <c r="J211" s="8"/>
      <c r="K211" s="8"/>
    </row>
    <row r="212" spans="1:11" x14ac:dyDescent="0.25">
      <c r="A212" s="44"/>
      <c r="B212" s="44"/>
      <c r="C212" s="44"/>
      <c r="D212" s="44"/>
      <c r="E212" s="44"/>
      <c r="F212" s="44"/>
      <c r="G212" s="44"/>
      <c r="H212" s="44"/>
      <c r="I212" s="44"/>
      <c r="J212" s="8"/>
      <c r="K212" s="8"/>
    </row>
    <row r="213" spans="1:11" x14ac:dyDescent="0.25">
      <c r="A213" s="44"/>
      <c r="B213" s="44"/>
      <c r="C213" s="44"/>
      <c r="D213" s="44"/>
      <c r="E213" s="44"/>
      <c r="F213" s="44"/>
      <c r="G213" s="44"/>
      <c r="H213" s="44"/>
      <c r="I213" s="44"/>
      <c r="J213" s="8"/>
      <c r="K213" s="8"/>
    </row>
    <row r="214" spans="1:11" x14ac:dyDescent="0.25">
      <c r="A214" s="44"/>
      <c r="B214" s="44"/>
      <c r="C214" s="44"/>
      <c r="D214" s="44"/>
      <c r="E214" s="44"/>
      <c r="F214" s="44"/>
      <c r="G214" s="44"/>
      <c r="H214" s="44"/>
      <c r="I214" s="44"/>
      <c r="J214" s="8"/>
      <c r="K214" s="8"/>
    </row>
    <row r="215" spans="1:11" x14ac:dyDescent="0.25">
      <c r="A215" s="44"/>
      <c r="B215" s="44"/>
      <c r="C215" s="44"/>
      <c r="D215" s="44"/>
      <c r="E215" s="44"/>
      <c r="F215" s="44"/>
      <c r="G215" s="44"/>
      <c r="H215" s="44"/>
      <c r="I215" s="44"/>
      <c r="J215" s="8"/>
      <c r="K215" s="8"/>
    </row>
    <row r="216" spans="1:11" x14ac:dyDescent="0.25">
      <c r="A216" s="44"/>
      <c r="B216" s="44"/>
      <c r="C216" s="44"/>
      <c r="D216" s="44"/>
      <c r="E216" s="44"/>
      <c r="F216" s="44"/>
      <c r="G216" s="44"/>
      <c r="H216" s="44"/>
      <c r="I216" s="44"/>
      <c r="J216" s="8"/>
      <c r="K216" s="8"/>
    </row>
    <row r="217" spans="1:11" x14ac:dyDescent="0.25">
      <c r="A217" s="44"/>
      <c r="B217" s="44"/>
      <c r="C217" s="44"/>
      <c r="D217" s="44"/>
      <c r="E217" s="44"/>
      <c r="F217" s="44"/>
      <c r="G217" s="44"/>
      <c r="H217" s="44"/>
      <c r="I217" s="44"/>
      <c r="J217" s="8"/>
      <c r="K217" s="8"/>
    </row>
    <row r="218" spans="1:11" x14ac:dyDescent="0.25">
      <c r="A218" s="44"/>
      <c r="B218" s="44"/>
      <c r="C218" s="44"/>
      <c r="D218" s="44"/>
      <c r="E218" s="44"/>
      <c r="F218" s="44"/>
      <c r="G218" s="44"/>
      <c r="H218" s="44"/>
      <c r="I218" s="44"/>
      <c r="J218" s="8"/>
      <c r="K218" s="8"/>
    </row>
    <row r="219" spans="1:11" x14ac:dyDescent="0.25">
      <c r="A219" s="44"/>
      <c r="B219" s="44"/>
      <c r="C219" s="44"/>
      <c r="D219" s="44"/>
      <c r="E219" s="44"/>
      <c r="F219" s="44"/>
      <c r="G219" s="44"/>
      <c r="H219" s="44"/>
      <c r="I219" s="44"/>
      <c r="J219" s="8"/>
      <c r="K219" s="8"/>
    </row>
    <row r="220" spans="1:11" x14ac:dyDescent="0.25">
      <c r="A220" s="44"/>
      <c r="B220" s="44"/>
      <c r="C220" s="44"/>
      <c r="D220" s="44"/>
      <c r="E220" s="44"/>
      <c r="F220" s="44"/>
      <c r="G220" s="44"/>
      <c r="H220" s="44"/>
      <c r="I220" s="44"/>
      <c r="J220" s="8"/>
      <c r="K220" s="8"/>
    </row>
    <row r="221" spans="1:11" x14ac:dyDescent="0.25">
      <c r="A221" s="44"/>
      <c r="B221" s="44"/>
      <c r="C221" s="44"/>
      <c r="D221" s="44"/>
      <c r="E221" s="44"/>
      <c r="F221" s="44"/>
      <c r="G221" s="44"/>
      <c r="H221" s="44"/>
      <c r="I221" s="44"/>
      <c r="J221" s="8"/>
      <c r="K221" s="8"/>
    </row>
    <row r="222" spans="1:11" x14ac:dyDescent="0.25">
      <c r="A222" s="44"/>
      <c r="B222" s="44"/>
      <c r="C222" s="44"/>
      <c r="D222" s="44"/>
      <c r="E222" s="44"/>
      <c r="F222" s="44"/>
      <c r="G222" s="44"/>
      <c r="H222" s="44"/>
      <c r="I222" s="44"/>
      <c r="J222" s="8"/>
      <c r="K222" s="8"/>
    </row>
    <row r="223" spans="1:11" x14ac:dyDescent="0.25">
      <c r="A223" s="44"/>
      <c r="B223" s="44"/>
      <c r="C223" s="44"/>
      <c r="D223" s="44"/>
      <c r="E223" s="44"/>
      <c r="F223" s="44"/>
      <c r="G223" s="44"/>
      <c r="H223" s="44"/>
      <c r="I223" s="44"/>
      <c r="J223" s="8"/>
      <c r="K223" s="8"/>
    </row>
    <row r="224" spans="1:11" x14ac:dyDescent="0.25">
      <c r="A224" s="44"/>
      <c r="B224" s="44"/>
      <c r="C224" s="44"/>
      <c r="D224" s="44"/>
      <c r="E224" s="44"/>
      <c r="F224" s="44"/>
      <c r="G224" s="44"/>
      <c r="H224" s="44"/>
      <c r="I224" s="44"/>
      <c r="J224" s="8"/>
      <c r="K224" s="8"/>
    </row>
    <row r="225" spans="1:11" x14ac:dyDescent="0.25">
      <c r="A225" s="44"/>
      <c r="B225" s="44"/>
      <c r="C225" s="44"/>
      <c r="D225" s="44"/>
      <c r="E225" s="44"/>
      <c r="F225" s="44"/>
      <c r="G225" s="44"/>
      <c r="H225" s="44"/>
      <c r="I225" s="44"/>
      <c r="J225" s="8"/>
      <c r="K225" s="8"/>
    </row>
    <row r="226" spans="1:11" x14ac:dyDescent="0.25">
      <c r="A226" s="44"/>
      <c r="B226" s="44"/>
      <c r="C226" s="44"/>
      <c r="D226" s="44"/>
      <c r="E226" s="44"/>
      <c r="F226" s="44"/>
      <c r="G226" s="44"/>
      <c r="H226" s="44"/>
      <c r="I226" s="44"/>
      <c r="J226" s="8"/>
      <c r="K226" s="8"/>
    </row>
    <row r="227" spans="1:11" x14ac:dyDescent="0.25">
      <c r="A227" s="44"/>
      <c r="B227" s="44"/>
      <c r="C227" s="44"/>
      <c r="D227" s="44"/>
      <c r="E227" s="44"/>
      <c r="F227" s="44"/>
      <c r="G227" s="44"/>
      <c r="H227" s="44"/>
      <c r="I227" s="44"/>
      <c r="J227" s="8"/>
      <c r="K227" s="8"/>
    </row>
    <row r="228" spans="1:11" x14ac:dyDescent="0.25">
      <c r="A228" s="44"/>
      <c r="B228" s="44"/>
      <c r="C228" s="44"/>
      <c r="D228" s="44"/>
      <c r="E228" s="44"/>
      <c r="F228" s="44"/>
      <c r="G228" s="44"/>
      <c r="H228" s="44"/>
      <c r="I228" s="44"/>
      <c r="J228" s="8"/>
      <c r="K228" s="8"/>
    </row>
    <row r="229" spans="1:11" x14ac:dyDescent="0.25">
      <c r="A229" s="44"/>
      <c r="B229" s="44"/>
      <c r="C229" s="44"/>
      <c r="D229" s="44"/>
      <c r="E229" s="44"/>
      <c r="F229" s="44"/>
      <c r="G229" s="44"/>
      <c r="H229" s="44"/>
      <c r="I229" s="44"/>
      <c r="J229" s="8"/>
      <c r="K229" s="8"/>
    </row>
    <row r="230" spans="1:11" x14ac:dyDescent="0.25">
      <c r="A230" s="44"/>
      <c r="B230" s="44"/>
      <c r="C230" s="44"/>
      <c r="D230" s="44"/>
      <c r="E230" s="44"/>
      <c r="F230" s="44"/>
      <c r="G230" s="44"/>
      <c r="H230" s="44"/>
      <c r="I230" s="44"/>
      <c r="J230" s="8"/>
      <c r="K230" s="8"/>
    </row>
    <row r="231" spans="1:11" x14ac:dyDescent="0.25">
      <c r="A231" s="44"/>
      <c r="B231" s="44"/>
      <c r="C231" s="44"/>
      <c r="D231" s="44"/>
      <c r="E231" s="44"/>
      <c r="F231" s="44"/>
      <c r="G231" s="44"/>
      <c r="H231" s="44"/>
      <c r="I231" s="44"/>
      <c r="J231" s="8"/>
      <c r="K231" s="8"/>
    </row>
    <row r="232" spans="1:11" x14ac:dyDescent="0.25">
      <c r="A232" s="44"/>
      <c r="B232" s="44"/>
      <c r="C232" s="44"/>
      <c r="D232" s="44"/>
      <c r="E232" s="44"/>
      <c r="F232" s="44"/>
      <c r="G232" s="44"/>
      <c r="H232" s="44"/>
      <c r="I232" s="44"/>
      <c r="J232" s="8"/>
      <c r="K232" s="8"/>
    </row>
    <row r="233" spans="1:11" x14ac:dyDescent="0.25">
      <c r="A233" s="44"/>
      <c r="B233" s="44"/>
      <c r="C233" s="44"/>
      <c r="D233" s="44"/>
      <c r="E233" s="44"/>
      <c r="F233" s="44"/>
      <c r="G233" s="44"/>
      <c r="H233" s="44"/>
      <c r="I233" s="44"/>
      <c r="J233" s="8"/>
      <c r="K233" s="8"/>
    </row>
    <row r="234" spans="1:11" x14ac:dyDescent="0.25">
      <c r="A234" s="44"/>
      <c r="B234" s="44"/>
      <c r="C234" s="44"/>
      <c r="D234" s="44"/>
      <c r="E234" s="44"/>
      <c r="F234" s="44"/>
      <c r="G234" s="44"/>
      <c r="H234" s="44"/>
      <c r="I234" s="44"/>
      <c r="J234" s="8"/>
      <c r="K234" s="8"/>
    </row>
    <row r="235" spans="1:11" x14ac:dyDescent="0.25">
      <c r="A235" s="44"/>
      <c r="B235" s="44"/>
      <c r="C235" s="44"/>
      <c r="D235" s="44"/>
      <c r="E235" s="44"/>
      <c r="F235" s="44"/>
      <c r="G235" s="44"/>
      <c r="H235" s="44"/>
      <c r="I235" s="44"/>
      <c r="J235" s="8"/>
      <c r="K235" s="8"/>
    </row>
    <row r="236" spans="1:11" x14ac:dyDescent="0.25">
      <c r="A236" s="44"/>
      <c r="B236" s="44"/>
      <c r="C236" s="44"/>
      <c r="D236" s="44"/>
      <c r="E236" s="44"/>
      <c r="F236" s="44"/>
      <c r="G236" s="44"/>
      <c r="H236" s="44"/>
      <c r="I236" s="44"/>
      <c r="J236" s="8"/>
      <c r="K236" s="8"/>
    </row>
    <row r="237" spans="1:11" x14ac:dyDescent="0.25">
      <c r="A237" s="44"/>
      <c r="B237" s="44"/>
      <c r="C237" s="44"/>
      <c r="D237" s="44"/>
      <c r="E237" s="44"/>
      <c r="F237" s="44"/>
      <c r="G237" s="44"/>
      <c r="H237" s="44"/>
      <c r="I237" s="44"/>
      <c r="J237" s="8"/>
      <c r="K237" s="8"/>
    </row>
    <row r="238" spans="1:11" x14ac:dyDescent="0.25">
      <c r="A238" s="44"/>
      <c r="B238" s="44"/>
      <c r="C238" s="44"/>
      <c r="D238" s="44"/>
      <c r="E238" s="44"/>
      <c r="F238" s="44"/>
      <c r="G238" s="44"/>
      <c r="H238" s="44"/>
      <c r="I238" s="44"/>
      <c r="J238" s="8"/>
      <c r="K238" s="8"/>
    </row>
    <row r="239" spans="1:11" x14ac:dyDescent="0.25">
      <c r="A239" s="44"/>
      <c r="B239" s="44"/>
      <c r="C239" s="44"/>
      <c r="D239" s="44"/>
      <c r="E239" s="44"/>
      <c r="F239" s="44"/>
      <c r="G239" s="44"/>
      <c r="H239" s="44"/>
      <c r="I239" s="44"/>
      <c r="J239" s="8"/>
      <c r="K239" s="8"/>
    </row>
    <row r="240" spans="1:11" x14ac:dyDescent="0.25">
      <c r="A240" s="44"/>
      <c r="B240" s="44"/>
      <c r="C240" s="44"/>
      <c r="D240" s="44"/>
      <c r="E240" s="44"/>
      <c r="F240" s="44"/>
      <c r="G240" s="44"/>
      <c r="H240" s="44"/>
      <c r="I240" s="44"/>
      <c r="J240" s="8"/>
      <c r="K240" s="8"/>
    </row>
    <row r="241" spans="1:11" x14ac:dyDescent="0.25">
      <c r="A241" s="44"/>
      <c r="B241" s="44"/>
      <c r="C241" s="44"/>
      <c r="D241" s="44"/>
      <c r="E241" s="44"/>
      <c r="F241" s="44"/>
      <c r="G241" s="44"/>
      <c r="H241" s="44"/>
      <c r="I241" s="44"/>
      <c r="J241" s="8"/>
      <c r="K241" s="8"/>
    </row>
    <row r="242" spans="1:11" x14ac:dyDescent="0.25">
      <c r="A242" s="44"/>
      <c r="B242" s="44"/>
      <c r="C242" s="44"/>
      <c r="D242" s="44"/>
      <c r="E242" s="44"/>
      <c r="F242" s="44"/>
      <c r="G242" s="44"/>
      <c r="H242" s="44"/>
      <c r="I242" s="44"/>
      <c r="J242" s="8"/>
      <c r="K242" s="8"/>
    </row>
    <row r="243" spans="1:11" x14ac:dyDescent="0.25">
      <c r="A243" s="44"/>
      <c r="B243" s="44"/>
      <c r="C243" s="44"/>
      <c r="D243" s="44"/>
      <c r="E243" s="44"/>
      <c r="F243" s="44"/>
      <c r="G243" s="44"/>
      <c r="H243" s="44"/>
      <c r="I243" s="44"/>
      <c r="J243" s="8"/>
      <c r="K243" s="8"/>
    </row>
    <row r="244" spans="1:11" x14ac:dyDescent="0.25">
      <c r="A244" s="44"/>
      <c r="B244" s="44"/>
      <c r="C244" s="44"/>
      <c r="D244" s="44"/>
      <c r="E244" s="44"/>
      <c r="F244" s="44"/>
      <c r="G244" s="44"/>
      <c r="H244" s="44"/>
      <c r="I244" s="44"/>
      <c r="J244" s="8"/>
      <c r="K244" s="8"/>
    </row>
    <row r="245" spans="1:11" x14ac:dyDescent="0.25">
      <c r="A245" s="44"/>
      <c r="B245" s="44"/>
      <c r="C245" s="44"/>
      <c r="D245" s="44"/>
      <c r="E245" s="44"/>
      <c r="F245" s="44"/>
      <c r="G245" s="44"/>
      <c r="H245" s="44"/>
      <c r="I245" s="44"/>
      <c r="J245" s="8"/>
      <c r="K245" s="8"/>
    </row>
    <row r="246" spans="1:11" x14ac:dyDescent="0.25">
      <c r="A246" s="44"/>
      <c r="B246" s="44"/>
      <c r="C246" s="44"/>
      <c r="D246" s="44"/>
      <c r="E246" s="44"/>
      <c r="F246" s="44"/>
      <c r="G246" s="44"/>
      <c r="H246" s="44"/>
      <c r="I246" s="44"/>
      <c r="J246" s="8"/>
      <c r="K246" s="8"/>
    </row>
    <row r="247" spans="1:11" x14ac:dyDescent="0.25">
      <c r="A247" s="44"/>
      <c r="B247" s="44"/>
      <c r="C247" s="44"/>
      <c r="D247" s="44"/>
      <c r="E247" s="44"/>
      <c r="F247" s="44"/>
      <c r="G247" s="44"/>
      <c r="H247" s="44"/>
      <c r="I247" s="44"/>
      <c r="J247" s="8"/>
      <c r="K247" s="8"/>
    </row>
    <row r="248" spans="1:11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8"/>
      <c r="K248" s="8"/>
    </row>
    <row r="249" spans="1:11" x14ac:dyDescent="0.25">
      <c r="A249" s="44"/>
      <c r="B249" s="44"/>
      <c r="C249" s="44"/>
      <c r="D249" s="44"/>
      <c r="E249" s="44"/>
      <c r="F249" s="44"/>
      <c r="G249" s="44"/>
      <c r="H249" s="44"/>
      <c r="I249" s="44"/>
      <c r="J249" s="8"/>
      <c r="K249" s="8"/>
    </row>
    <row r="250" spans="1:11" x14ac:dyDescent="0.25">
      <c r="A250" s="44"/>
      <c r="B250" s="44"/>
      <c r="C250" s="44"/>
      <c r="D250" s="44"/>
      <c r="E250" s="44"/>
      <c r="F250" s="44"/>
      <c r="G250" s="44"/>
      <c r="H250" s="44"/>
      <c r="I250" s="44"/>
      <c r="J250" s="8"/>
      <c r="K250" s="8"/>
    </row>
    <row r="251" spans="1:11" x14ac:dyDescent="0.25">
      <c r="A251" s="44"/>
      <c r="B251" s="44"/>
      <c r="C251" s="44"/>
      <c r="D251" s="44"/>
      <c r="E251" s="44"/>
      <c r="F251" s="44"/>
      <c r="G251" s="44"/>
      <c r="H251" s="44"/>
      <c r="I251" s="44"/>
      <c r="J251" s="8"/>
      <c r="K251" s="8"/>
    </row>
    <row r="252" spans="1:11" x14ac:dyDescent="0.25">
      <c r="A252" s="44"/>
      <c r="B252" s="44"/>
      <c r="C252" s="44"/>
      <c r="D252" s="44"/>
      <c r="E252" s="44"/>
      <c r="F252" s="44"/>
      <c r="G252" s="44"/>
      <c r="H252" s="44"/>
      <c r="I252" s="44"/>
      <c r="J252" s="8"/>
      <c r="K252" s="8"/>
    </row>
    <row r="253" spans="1:11" x14ac:dyDescent="0.25">
      <c r="A253" s="44"/>
      <c r="B253" s="44"/>
      <c r="C253" s="44"/>
      <c r="D253" s="44"/>
      <c r="E253" s="44"/>
      <c r="F253" s="44"/>
      <c r="G253" s="44"/>
      <c r="H253" s="44"/>
      <c r="I253" s="44"/>
      <c r="J253" s="8"/>
      <c r="K253" s="8"/>
    </row>
    <row r="254" spans="1:11" x14ac:dyDescent="0.25">
      <c r="A254" s="44"/>
      <c r="B254" s="44"/>
      <c r="C254" s="44"/>
      <c r="D254" s="44"/>
      <c r="E254" s="44"/>
      <c r="F254" s="44"/>
      <c r="G254" s="44"/>
      <c r="H254" s="44"/>
      <c r="I254" s="44"/>
      <c r="J254" s="8"/>
      <c r="K254" s="8"/>
    </row>
    <row r="255" spans="1:11" x14ac:dyDescent="0.25">
      <c r="A255" s="44"/>
      <c r="B255" s="44"/>
      <c r="C255" s="44"/>
      <c r="D255" s="44"/>
      <c r="E255" s="44"/>
      <c r="F255" s="44"/>
      <c r="G255" s="44"/>
      <c r="H255" s="44"/>
      <c r="I255" s="44"/>
      <c r="J255" s="8"/>
      <c r="K255" s="8"/>
    </row>
    <row r="256" spans="1:11" x14ac:dyDescent="0.25">
      <c r="A256" s="44"/>
      <c r="B256" s="44"/>
      <c r="C256" s="44"/>
      <c r="D256" s="44"/>
      <c r="E256" s="44"/>
      <c r="F256" s="44"/>
      <c r="G256" s="44"/>
      <c r="H256" s="44"/>
      <c r="I256" s="44"/>
      <c r="J256" s="8"/>
      <c r="K256" s="8"/>
    </row>
    <row r="257" spans="1:11" x14ac:dyDescent="0.25">
      <c r="A257" s="44"/>
      <c r="B257" s="44"/>
      <c r="C257" s="44"/>
      <c r="D257" s="44"/>
      <c r="E257" s="44"/>
      <c r="F257" s="44"/>
      <c r="G257" s="44"/>
      <c r="H257" s="44"/>
      <c r="I257" s="44"/>
      <c r="J257" s="8"/>
      <c r="K257" s="8"/>
    </row>
    <row r="258" spans="1:11" x14ac:dyDescent="0.25">
      <c r="A258" s="44"/>
      <c r="B258" s="44"/>
      <c r="C258" s="44"/>
      <c r="D258" s="44"/>
      <c r="E258" s="44"/>
      <c r="F258" s="44"/>
      <c r="G258" s="44"/>
      <c r="H258" s="44"/>
      <c r="I258" s="44"/>
      <c r="J258" s="8"/>
      <c r="K258" s="8"/>
    </row>
    <row r="259" spans="1:11" x14ac:dyDescent="0.25">
      <c r="A259" s="44"/>
      <c r="B259" s="44"/>
      <c r="C259" s="44"/>
      <c r="D259" s="44"/>
      <c r="E259" s="44"/>
      <c r="F259" s="44"/>
      <c r="G259" s="44"/>
      <c r="H259" s="44"/>
      <c r="I259" s="44"/>
      <c r="J259" s="8"/>
      <c r="K259" s="8"/>
    </row>
    <row r="260" spans="1:11" x14ac:dyDescent="0.25">
      <c r="A260" s="44"/>
      <c r="B260" s="44"/>
      <c r="C260" s="44"/>
      <c r="D260" s="44"/>
      <c r="E260" s="44"/>
      <c r="F260" s="44"/>
      <c r="G260" s="44"/>
      <c r="H260" s="44"/>
      <c r="I260" s="44"/>
      <c r="J260" s="8"/>
      <c r="K260" s="8"/>
    </row>
    <row r="261" spans="1:11" x14ac:dyDescent="0.25">
      <c r="A261" s="44"/>
      <c r="B261" s="44"/>
      <c r="C261" s="44"/>
      <c r="D261" s="44"/>
      <c r="E261" s="44"/>
      <c r="F261" s="44"/>
      <c r="G261" s="44"/>
      <c r="H261" s="44"/>
      <c r="I261" s="44"/>
      <c r="J261" s="8"/>
      <c r="K261" s="8"/>
    </row>
    <row r="262" spans="1:11" x14ac:dyDescent="0.25">
      <c r="A262" s="44"/>
      <c r="B262" s="44"/>
      <c r="C262" s="44"/>
      <c r="D262" s="44"/>
      <c r="E262" s="44"/>
      <c r="F262" s="44"/>
      <c r="G262" s="44"/>
      <c r="H262" s="44"/>
      <c r="I262" s="44"/>
      <c r="J262" s="8"/>
      <c r="K262" s="8"/>
    </row>
    <row r="263" spans="1:11" x14ac:dyDescent="0.25">
      <c r="A263" s="44"/>
      <c r="B263" s="44"/>
      <c r="C263" s="44"/>
      <c r="D263" s="44"/>
      <c r="E263" s="44"/>
      <c r="F263" s="44"/>
      <c r="G263" s="44"/>
      <c r="H263" s="44"/>
      <c r="I263" s="44"/>
      <c r="J263" s="8"/>
      <c r="K263" s="8"/>
    </row>
    <row r="264" spans="1:11" x14ac:dyDescent="0.25">
      <c r="A264" s="44"/>
      <c r="B264" s="44"/>
      <c r="C264" s="44"/>
      <c r="D264" s="44"/>
      <c r="E264" s="44"/>
      <c r="F264" s="44"/>
      <c r="G264" s="44"/>
      <c r="H264" s="44"/>
      <c r="I264" s="44"/>
      <c r="J264" s="8"/>
      <c r="K264" s="8"/>
    </row>
    <row r="265" spans="1:11" x14ac:dyDescent="0.25">
      <c r="A265" s="44"/>
      <c r="B265" s="44"/>
      <c r="C265" s="44"/>
      <c r="D265" s="44"/>
      <c r="E265" s="44"/>
      <c r="F265" s="44"/>
      <c r="G265" s="44"/>
      <c r="H265" s="44"/>
      <c r="I265" s="44"/>
      <c r="J265" s="8"/>
      <c r="K265" s="8"/>
    </row>
    <row r="266" spans="1:11" x14ac:dyDescent="0.25">
      <c r="A266" s="44"/>
      <c r="B266" s="44"/>
      <c r="C266" s="44"/>
      <c r="D266" s="44"/>
      <c r="E266" s="44"/>
      <c r="F266" s="44"/>
      <c r="G266" s="44"/>
      <c r="H266" s="44"/>
      <c r="I266" s="44"/>
      <c r="J266" s="8"/>
      <c r="K266" s="8"/>
    </row>
    <row r="267" spans="1:11" x14ac:dyDescent="0.25">
      <c r="A267" s="44"/>
      <c r="B267" s="44"/>
      <c r="C267" s="44"/>
      <c r="D267" s="44"/>
      <c r="E267" s="44"/>
      <c r="F267" s="44"/>
      <c r="G267" s="44"/>
      <c r="H267" s="44"/>
      <c r="I267" s="44"/>
      <c r="J267" s="8"/>
      <c r="K267" s="8"/>
    </row>
    <row r="268" spans="1:11" x14ac:dyDescent="0.25">
      <c r="A268" s="44"/>
      <c r="B268" s="44"/>
      <c r="C268" s="44"/>
      <c r="D268" s="44"/>
      <c r="E268" s="44"/>
      <c r="F268" s="44"/>
      <c r="G268" s="44"/>
      <c r="H268" s="44"/>
      <c r="I268" s="44"/>
      <c r="J268" s="8"/>
      <c r="K268" s="8"/>
    </row>
    <row r="269" spans="1:11" x14ac:dyDescent="0.25">
      <c r="A269" s="44"/>
      <c r="B269" s="44"/>
      <c r="C269" s="44"/>
      <c r="D269" s="44"/>
      <c r="E269" s="44"/>
      <c r="F269" s="44"/>
      <c r="G269" s="44"/>
      <c r="H269" s="44"/>
      <c r="I269" s="44"/>
      <c r="J269" s="8"/>
      <c r="K269" s="8"/>
    </row>
    <row r="270" spans="1:11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8"/>
      <c r="K270" s="8"/>
    </row>
    <row r="271" spans="1:11" x14ac:dyDescent="0.25">
      <c r="A271" s="44"/>
      <c r="B271" s="44"/>
      <c r="C271" s="44"/>
      <c r="D271" s="44"/>
      <c r="E271" s="44"/>
      <c r="F271" s="44"/>
      <c r="G271" s="44"/>
      <c r="H271" s="44"/>
      <c r="I271" s="44"/>
      <c r="J271" s="8"/>
      <c r="K271" s="8"/>
    </row>
    <row r="272" spans="1:11" x14ac:dyDescent="0.25">
      <c r="A272" s="44"/>
      <c r="B272" s="44"/>
      <c r="C272" s="44"/>
      <c r="D272" s="44"/>
      <c r="E272" s="44"/>
      <c r="F272" s="44"/>
      <c r="G272" s="44"/>
      <c r="H272" s="44"/>
      <c r="I272" s="44"/>
      <c r="J272" s="8"/>
      <c r="K272" s="8"/>
    </row>
    <row r="273" spans="1:11" x14ac:dyDescent="0.25">
      <c r="A273" s="44"/>
      <c r="B273" s="44"/>
      <c r="C273" s="44"/>
      <c r="D273" s="44"/>
      <c r="E273" s="44"/>
      <c r="F273" s="44"/>
      <c r="G273" s="44"/>
      <c r="H273" s="44"/>
      <c r="I273" s="44"/>
      <c r="J273" s="8"/>
      <c r="K273" s="8"/>
    </row>
    <row r="274" spans="1:11" x14ac:dyDescent="0.25">
      <c r="A274" s="44"/>
      <c r="B274" s="44"/>
      <c r="C274" s="44"/>
      <c r="D274" s="44"/>
      <c r="E274" s="44"/>
      <c r="F274" s="44"/>
      <c r="G274" s="44"/>
      <c r="H274" s="44"/>
      <c r="I274" s="44"/>
      <c r="J274" s="8"/>
      <c r="K274" s="8"/>
    </row>
    <row r="275" spans="1:11" x14ac:dyDescent="0.25">
      <c r="A275" s="44"/>
      <c r="B275" s="44"/>
      <c r="C275" s="44"/>
      <c r="D275" s="44"/>
      <c r="E275" s="44"/>
      <c r="F275" s="44"/>
      <c r="G275" s="44"/>
      <c r="H275" s="44"/>
      <c r="I275" s="44"/>
      <c r="J275" s="8"/>
      <c r="K275" s="8"/>
    </row>
    <row r="276" spans="1:11" x14ac:dyDescent="0.25">
      <c r="A276" s="44"/>
      <c r="B276" s="44"/>
      <c r="C276" s="44"/>
      <c r="D276" s="44"/>
      <c r="E276" s="44"/>
      <c r="F276" s="44"/>
      <c r="G276" s="44"/>
      <c r="H276" s="44"/>
      <c r="I276" s="44"/>
      <c r="J276" s="8"/>
      <c r="K276" s="8"/>
    </row>
    <row r="277" spans="1:11" x14ac:dyDescent="0.25">
      <c r="A277" s="44"/>
      <c r="B277" s="44"/>
      <c r="C277" s="44"/>
      <c r="D277" s="44"/>
      <c r="E277" s="44"/>
      <c r="F277" s="44"/>
      <c r="G277" s="44"/>
      <c r="H277" s="44"/>
      <c r="I277" s="44"/>
      <c r="J277" s="8"/>
      <c r="K277" s="8"/>
    </row>
    <row r="278" spans="1:11" x14ac:dyDescent="0.25">
      <c r="A278" s="44"/>
      <c r="B278" s="44"/>
      <c r="C278" s="44"/>
      <c r="D278" s="44"/>
      <c r="E278" s="44"/>
      <c r="F278" s="44"/>
      <c r="G278" s="44"/>
      <c r="H278" s="44"/>
      <c r="I278" s="44"/>
      <c r="J278" s="8"/>
      <c r="K278" s="8"/>
    </row>
    <row r="279" spans="1:11" x14ac:dyDescent="0.25">
      <c r="A279" s="44"/>
      <c r="B279" s="44"/>
      <c r="C279" s="44"/>
      <c r="D279" s="44"/>
      <c r="E279" s="44"/>
      <c r="F279" s="44"/>
      <c r="G279" s="44"/>
      <c r="H279" s="44"/>
      <c r="I279" s="44"/>
      <c r="J279" s="8"/>
      <c r="K279" s="8"/>
    </row>
    <row r="280" spans="1:11" x14ac:dyDescent="0.25">
      <c r="A280" s="44"/>
      <c r="B280" s="44"/>
      <c r="C280" s="44"/>
      <c r="D280" s="44"/>
      <c r="E280" s="44"/>
      <c r="F280" s="44"/>
      <c r="G280" s="44"/>
      <c r="H280" s="44"/>
      <c r="I280" s="44"/>
      <c r="J280" s="8"/>
      <c r="K280" s="8"/>
    </row>
    <row r="281" spans="1:11" x14ac:dyDescent="0.25">
      <c r="A281" s="44"/>
      <c r="B281" s="44"/>
      <c r="C281" s="44"/>
      <c r="D281" s="44"/>
      <c r="E281" s="44"/>
      <c r="F281" s="44"/>
      <c r="G281" s="44"/>
      <c r="H281" s="44"/>
      <c r="I281" s="44"/>
      <c r="J281" s="8"/>
      <c r="K281" s="8"/>
    </row>
    <row r="282" spans="1:11" x14ac:dyDescent="0.25">
      <c r="A282" s="44"/>
      <c r="B282" s="44"/>
      <c r="C282" s="44"/>
      <c r="D282" s="44"/>
      <c r="E282" s="44"/>
      <c r="F282" s="44"/>
      <c r="G282" s="44"/>
      <c r="H282" s="44"/>
      <c r="I282" s="44"/>
      <c r="J282" s="8"/>
      <c r="K282" s="8"/>
    </row>
    <row r="283" spans="1:11" x14ac:dyDescent="0.25">
      <c r="A283" s="44"/>
      <c r="B283" s="44"/>
      <c r="C283" s="44"/>
      <c r="D283" s="44"/>
      <c r="E283" s="44"/>
      <c r="F283" s="44"/>
      <c r="G283" s="44"/>
      <c r="H283" s="44"/>
      <c r="I283" s="44"/>
      <c r="J283" s="8"/>
      <c r="K283" s="8"/>
    </row>
    <row r="284" spans="1:11" x14ac:dyDescent="0.25">
      <c r="A284" s="44"/>
      <c r="B284" s="44"/>
      <c r="C284" s="44"/>
      <c r="D284" s="44"/>
      <c r="E284" s="44"/>
      <c r="F284" s="44"/>
      <c r="G284" s="44"/>
      <c r="H284" s="44"/>
      <c r="I284" s="44"/>
      <c r="J284" s="8"/>
      <c r="K284" s="8"/>
    </row>
    <row r="285" spans="1:11" x14ac:dyDescent="0.25">
      <c r="A285" s="44"/>
      <c r="B285" s="44"/>
      <c r="C285" s="44"/>
      <c r="D285" s="44"/>
      <c r="E285" s="44"/>
      <c r="F285" s="44"/>
      <c r="G285" s="44"/>
      <c r="H285" s="44"/>
      <c r="I285" s="44"/>
      <c r="J285" s="8"/>
      <c r="K285" s="8"/>
    </row>
    <row r="286" spans="1:11" x14ac:dyDescent="0.25">
      <c r="A286" s="44"/>
      <c r="B286" s="44"/>
      <c r="C286" s="44"/>
      <c r="D286" s="44"/>
      <c r="E286" s="44"/>
      <c r="F286" s="44"/>
      <c r="G286" s="44"/>
      <c r="H286" s="44"/>
      <c r="I286" s="44"/>
      <c r="J286" s="8"/>
      <c r="K286" s="8"/>
    </row>
    <row r="287" spans="1:11" x14ac:dyDescent="0.25">
      <c r="A287" s="44"/>
      <c r="B287" s="44"/>
      <c r="C287" s="44"/>
      <c r="D287" s="44"/>
      <c r="E287" s="44"/>
      <c r="F287" s="44"/>
      <c r="G287" s="44"/>
      <c r="H287" s="44"/>
      <c r="I287" s="44"/>
      <c r="J287" s="8"/>
      <c r="K287" s="8"/>
    </row>
    <row r="288" spans="1:11" x14ac:dyDescent="0.25">
      <c r="A288" s="44"/>
      <c r="B288" s="44"/>
      <c r="C288" s="44"/>
      <c r="D288" s="44"/>
      <c r="E288" s="44"/>
      <c r="F288" s="44"/>
      <c r="G288" s="44"/>
      <c r="H288" s="44"/>
      <c r="I288" s="44"/>
      <c r="J288" s="8"/>
      <c r="K288" s="8"/>
    </row>
    <row r="289" spans="1:11" x14ac:dyDescent="0.25">
      <c r="A289" s="44"/>
      <c r="B289" s="44"/>
      <c r="C289" s="44"/>
      <c r="D289" s="44"/>
      <c r="E289" s="44"/>
      <c r="F289" s="44"/>
      <c r="G289" s="44"/>
      <c r="H289" s="44"/>
      <c r="I289" s="44"/>
      <c r="J289" s="8"/>
      <c r="K289" s="8"/>
    </row>
    <row r="290" spans="1:11" x14ac:dyDescent="0.25">
      <c r="A290" s="44"/>
      <c r="B290" s="44"/>
      <c r="C290" s="44"/>
      <c r="D290" s="44"/>
      <c r="E290" s="44"/>
      <c r="F290" s="44"/>
      <c r="G290" s="44"/>
      <c r="H290" s="44"/>
      <c r="I290" s="44"/>
      <c r="J290" s="8"/>
      <c r="K290" s="8"/>
    </row>
    <row r="291" spans="1:11" x14ac:dyDescent="0.25">
      <c r="A291" s="44"/>
      <c r="B291" s="44"/>
      <c r="C291" s="44"/>
      <c r="D291" s="44"/>
      <c r="E291" s="44"/>
      <c r="F291" s="44"/>
      <c r="G291" s="44"/>
      <c r="H291" s="44"/>
      <c r="I291" s="44"/>
      <c r="J291" s="8"/>
      <c r="K291" s="8"/>
    </row>
    <row r="292" spans="1:11" x14ac:dyDescent="0.25">
      <c r="A292" s="44"/>
      <c r="B292" s="44"/>
      <c r="C292" s="44"/>
      <c r="D292" s="44"/>
      <c r="E292" s="44"/>
      <c r="F292" s="44"/>
      <c r="G292" s="44"/>
      <c r="H292" s="44"/>
      <c r="I292" s="44"/>
      <c r="J292" s="8"/>
      <c r="K292" s="8"/>
    </row>
    <row r="293" spans="1:11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8"/>
      <c r="K293" s="8"/>
    </row>
    <row r="294" spans="1:11" x14ac:dyDescent="0.25">
      <c r="A294" s="44"/>
      <c r="B294" s="44"/>
      <c r="C294" s="44"/>
      <c r="D294" s="44"/>
      <c r="E294" s="44"/>
      <c r="F294" s="44"/>
      <c r="G294" s="44"/>
      <c r="H294" s="44"/>
      <c r="I294" s="44"/>
      <c r="J294" s="8"/>
      <c r="K294" s="8"/>
    </row>
    <row r="295" spans="1:11" x14ac:dyDescent="0.25">
      <c r="A295" s="44"/>
      <c r="B295" s="44"/>
      <c r="C295" s="44"/>
      <c r="D295" s="44"/>
      <c r="E295" s="44"/>
      <c r="F295" s="44"/>
      <c r="G295" s="44"/>
      <c r="H295" s="44"/>
      <c r="I295" s="44"/>
      <c r="J295" s="8"/>
      <c r="K295" s="8"/>
    </row>
    <row r="296" spans="1:11" x14ac:dyDescent="0.25">
      <c r="A296" s="44"/>
      <c r="B296" s="44"/>
      <c r="C296" s="44"/>
      <c r="D296" s="44"/>
      <c r="E296" s="44"/>
      <c r="F296" s="44"/>
      <c r="G296" s="44"/>
      <c r="H296" s="44"/>
      <c r="I296" s="44"/>
      <c r="J296" s="8"/>
      <c r="K296" s="8"/>
    </row>
    <row r="297" spans="1:11" x14ac:dyDescent="0.25">
      <c r="A297" s="44"/>
      <c r="B297" s="44"/>
      <c r="C297" s="44"/>
      <c r="D297" s="44"/>
      <c r="E297" s="44"/>
      <c r="F297" s="44"/>
      <c r="G297" s="44"/>
      <c r="H297" s="44"/>
      <c r="I297" s="44"/>
      <c r="J297" s="8"/>
      <c r="K297" s="8"/>
    </row>
    <row r="298" spans="1:11" x14ac:dyDescent="0.25">
      <c r="A298" s="44"/>
      <c r="B298" s="44"/>
      <c r="C298" s="44"/>
      <c r="D298" s="44"/>
      <c r="E298" s="44"/>
      <c r="F298" s="44"/>
      <c r="G298" s="44"/>
      <c r="H298" s="44"/>
      <c r="I298" s="44"/>
      <c r="J298" s="8"/>
      <c r="K298" s="8"/>
    </row>
    <row r="299" spans="1:11" x14ac:dyDescent="0.25">
      <c r="A299" s="44"/>
      <c r="B299" s="44"/>
      <c r="C299" s="44"/>
      <c r="D299" s="44"/>
      <c r="E299" s="44"/>
      <c r="F299" s="44"/>
      <c r="G299" s="44"/>
      <c r="H299" s="44"/>
      <c r="I299" s="44"/>
      <c r="J299" s="8"/>
      <c r="K299" s="8"/>
    </row>
    <row r="300" spans="1:11" x14ac:dyDescent="0.25">
      <c r="A300" s="44"/>
      <c r="B300" s="44"/>
      <c r="C300" s="44"/>
      <c r="D300" s="44"/>
      <c r="E300" s="44"/>
      <c r="F300" s="44"/>
      <c r="G300" s="44"/>
      <c r="H300" s="44"/>
      <c r="I300" s="44"/>
      <c r="J300" s="8"/>
      <c r="K300" s="8"/>
    </row>
    <row r="301" spans="1:11" x14ac:dyDescent="0.25">
      <c r="A301" s="44"/>
      <c r="B301" s="44"/>
      <c r="C301" s="44"/>
      <c r="D301" s="44"/>
      <c r="E301" s="44"/>
      <c r="F301" s="44"/>
      <c r="G301" s="44"/>
      <c r="H301" s="44"/>
      <c r="I301" s="44"/>
      <c r="J301" s="8"/>
      <c r="K301" s="8"/>
    </row>
    <row r="302" spans="1:11" x14ac:dyDescent="0.25">
      <c r="A302" s="44"/>
      <c r="B302" s="44"/>
      <c r="C302" s="44"/>
      <c r="D302" s="44"/>
      <c r="E302" s="44"/>
      <c r="F302" s="44"/>
      <c r="G302" s="44"/>
      <c r="H302" s="44"/>
      <c r="I302" s="44"/>
      <c r="J302" s="8"/>
      <c r="K302" s="8"/>
    </row>
    <row r="303" spans="1:11" x14ac:dyDescent="0.25">
      <c r="A303" s="44"/>
      <c r="B303" s="44"/>
      <c r="C303" s="44"/>
      <c r="D303" s="44"/>
      <c r="E303" s="44"/>
      <c r="F303" s="44"/>
      <c r="G303" s="44"/>
      <c r="H303" s="44"/>
      <c r="I303" s="44"/>
      <c r="J303" s="8"/>
      <c r="K303" s="8"/>
    </row>
    <row r="304" spans="1:11" x14ac:dyDescent="0.25">
      <c r="A304" s="44"/>
      <c r="B304" s="44"/>
      <c r="C304" s="44"/>
      <c r="D304" s="44"/>
      <c r="E304" s="44"/>
      <c r="F304" s="44"/>
      <c r="G304" s="44"/>
      <c r="H304" s="44"/>
      <c r="I304" s="44"/>
      <c r="J304" s="8"/>
      <c r="K304" s="8"/>
    </row>
    <row r="305" spans="1:11" x14ac:dyDescent="0.25">
      <c r="A305" s="44"/>
      <c r="B305" s="44"/>
      <c r="C305" s="44"/>
      <c r="D305" s="44"/>
      <c r="E305" s="44"/>
      <c r="F305" s="44"/>
      <c r="G305" s="44"/>
      <c r="H305" s="44"/>
      <c r="I305" s="44"/>
      <c r="J305" s="8"/>
      <c r="K305" s="8"/>
    </row>
    <row r="306" spans="1:11" x14ac:dyDescent="0.25">
      <c r="A306" s="44"/>
      <c r="B306" s="44"/>
      <c r="C306" s="44"/>
      <c r="D306" s="44"/>
      <c r="E306" s="44"/>
      <c r="F306" s="44"/>
      <c r="G306" s="44"/>
      <c r="H306" s="44"/>
      <c r="I306" s="44"/>
      <c r="J306" s="8"/>
      <c r="K306" s="8"/>
    </row>
    <row r="307" spans="1:11" x14ac:dyDescent="0.25">
      <c r="A307" s="44"/>
      <c r="B307" s="44"/>
      <c r="C307" s="44"/>
      <c r="D307" s="44"/>
      <c r="E307" s="44"/>
      <c r="F307" s="44"/>
      <c r="G307" s="44"/>
      <c r="H307" s="44"/>
      <c r="I307" s="44"/>
      <c r="J307" s="8"/>
      <c r="K307" s="8"/>
    </row>
    <row r="308" spans="1:11" x14ac:dyDescent="0.25">
      <c r="A308" s="44"/>
      <c r="B308" s="44"/>
      <c r="C308" s="44"/>
      <c r="D308" s="44"/>
      <c r="E308" s="44"/>
      <c r="F308" s="44"/>
      <c r="G308" s="44"/>
      <c r="H308" s="44"/>
      <c r="I308" s="44"/>
      <c r="J308" s="8"/>
      <c r="K308" s="8"/>
    </row>
    <row r="309" spans="1:11" x14ac:dyDescent="0.25">
      <c r="A309" s="44"/>
      <c r="B309" s="44"/>
      <c r="C309" s="44"/>
      <c r="D309" s="44"/>
      <c r="E309" s="44"/>
      <c r="F309" s="44"/>
      <c r="G309" s="44"/>
      <c r="H309" s="44"/>
      <c r="I309" s="44"/>
      <c r="J309" s="8"/>
      <c r="K309" s="8"/>
    </row>
    <row r="310" spans="1:11" x14ac:dyDescent="0.25">
      <c r="A310" s="44"/>
      <c r="B310" s="44"/>
      <c r="C310" s="44"/>
      <c r="D310" s="44"/>
      <c r="E310" s="44"/>
      <c r="F310" s="44"/>
      <c r="G310" s="44"/>
      <c r="H310" s="44"/>
      <c r="I310" s="44"/>
      <c r="J310" s="8"/>
      <c r="K310" s="8"/>
    </row>
    <row r="311" spans="1:11" x14ac:dyDescent="0.25">
      <c r="A311" s="44"/>
      <c r="B311" s="44"/>
      <c r="C311" s="44"/>
      <c r="D311" s="44"/>
      <c r="E311" s="44"/>
      <c r="F311" s="44"/>
      <c r="G311" s="44"/>
      <c r="H311" s="44"/>
      <c r="I311" s="44"/>
      <c r="J311" s="8"/>
      <c r="K311" s="8"/>
    </row>
    <row r="312" spans="1:11" x14ac:dyDescent="0.25">
      <c r="A312" s="44"/>
      <c r="B312" s="44"/>
      <c r="C312" s="44"/>
      <c r="D312" s="44"/>
      <c r="E312" s="44"/>
      <c r="F312" s="44"/>
      <c r="G312" s="44"/>
      <c r="H312" s="44"/>
      <c r="I312" s="44"/>
      <c r="J312" s="8"/>
      <c r="K312" s="8"/>
    </row>
    <row r="313" spans="1:11" x14ac:dyDescent="0.25">
      <c r="A313" s="44"/>
      <c r="B313" s="44"/>
      <c r="C313" s="44"/>
      <c r="D313" s="44"/>
      <c r="E313" s="44"/>
      <c r="F313" s="44"/>
      <c r="G313" s="44"/>
      <c r="H313" s="44"/>
      <c r="I313" s="44"/>
      <c r="J313" s="8"/>
      <c r="K313" s="8"/>
    </row>
    <row r="314" spans="1:11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8"/>
      <c r="K314" s="8"/>
    </row>
    <row r="315" spans="1:11" x14ac:dyDescent="0.25">
      <c r="A315" s="44"/>
      <c r="B315" s="44"/>
      <c r="C315" s="44"/>
      <c r="D315" s="44"/>
      <c r="E315" s="44"/>
      <c r="F315" s="44"/>
      <c r="G315" s="44"/>
      <c r="H315" s="44"/>
      <c r="I315" s="44"/>
      <c r="J315" s="8"/>
      <c r="K315" s="8"/>
    </row>
    <row r="316" spans="1:11" x14ac:dyDescent="0.25">
      <c r="A316" s="44"/>
      <c r="B316" s="44"/>
      <c r="C316" s="44"/>
      <c r="D316" s="44"/>
      <c r="E316" s="44"/>
      <c r="F316" s="44"/>
      <c r="G316" s="44"/>
      <c r="H316" s="44"/>
      <c r="I316" s="44"/>
      <c r="J316" s="8"/>
      <c r="K316" s="8"/>
    </row>
    <row r="317" spans="1:11" x14ac:dyDescent="0.25">
      <c r="A317" s="44"/>
      <c r="B317" s="44"/>
      <c r="C317" s="44"/>
      <c r="D317" s="44"/>
      <c r="E317" s="44"/>
      <c r="F317" s="44"/>
      <c r="G317" s="44"/>
      <c r="H317" s="44"/>
      <c r="I317" s="44"/>
      <c r="J317" s="8"/>
      <c r="K317" s="8"/>
    </row>
    <row r="318" spans="1:11" x14ac:dyDescent="0.25">
      <c r="A318" s="44"/>
      <c r="B318" s="44"/>
      <c r="C318" s="44"/>
      <c r="D318" s="44"/>
      <c r="E318" s="44"/>
      <c r="F318" s="44"/>
      <c r="G318" s="44"/>
      <c r="H318" s="44"/>
      <c r="I318" s="44"/>
      <c r="J318" s="8"/>
      <c r="K318" s="8"/>
    </row>
    <row r="319" spans="1:11" x14ac:dyDescent="0.25">
      <c r="A319" s="44"/>
      <c r="B319" s="44"/>
      <c r="C319" s="44"/>
      <c r="D319" s="44"/>
      <c r="E319" s="44"/>
      <c r="F319" s="44"/>
      <c r="G319" s="44"/>
      <c r="H319" s="44"/>
      <c r="I319" s="44"/>
      <c r="J319" s="8"/>
      <c r="K319" s="8"/>
    </row>
    <row r="320" spans="1:11" x14ac:dyDescent="0.25">
      <c r="A320" s="44"/>
      <c r="B320" s="44"/>
      <c r="C320" s="44"/>
      <c r="D320" s="44"/>
      <c r="E320" s="44"/>
      <c r="F320" s="44"/>
      <c r="G320" s="44"/>
      <c r="H320" s="44"/>
      <c r="I320" s="44"/>
      <c r="J320" s="8"/>
      <c r="K320" s="8"/>
    </row>
    <row r="321" spans="1:11" x14ac:dyDescent="0.25">
      <c r="A321" s="44"/>
      <c r="B321" s="44"/>
      <c r="C321" s="44"/>
      <c r="D321" s="44"/>
      <c r="E321" s="44"/>
      <c r="F321" s="44"/>
      <c r="G321" s="44"/>
      <c r="H321" s="44"/>
      <c r="I321" s="44"/>
      <c r="J321" s="8"/>
      <c r="K321" s="8"/>
    </row>
    <row r="322" spans="1:11" x14ac:dyDescent="0.25">
      <c r="A322" s="44"/>
      <c r="B322" s="44"/>
      <c r="C322" s="44"/>
      <c r="D322" s="44"/>
      <c r="E322" s="44"/>
      <c r="F322" s="44"/>
      <c r="G322" s="44"/>
      <c r="H322" s="44"/>
      <c r="I322" s="44"/>
      <c r="J322" s="8"/>
      <c r="K322" s="8"/>
    </row>
    <row r="323" spans="1:11" x14ac:dyDescent="0.25">
      <c r="A323" s="44"/>
      <c r="B323" s="44"/>
      <c r="C323" s="44"/>
      <c r="D323" s="44"/>
      <c r="E323" s="44"/>
      <c r="F323" s="44"/>
      <c r="G323" s="44"/>
      <c r="H323" s="44"/>
      <c r="I323" s="44"/>
      <c r="J323" s="8"/>
      <c r="K323" s="8"/>
    </row>
    <row r="324" spans="1:11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8"/>
      <c r="K324" s="8"/>
    </row>
    <row r="325" spans="1:11" x14ac:dyDescent="0.25">
      <c r="A325" s="44"/>
      <c r="B325" s="44"/>
      <c r="C325" s="44"/>
      <c r="D325" s="44"/>
      <c r="E325" s="44"/>
      <c r="F325" s="44"/>
      <c r="G325" s="44"/>
      <c r="H325" s="44"/>
      <c r="I325" s="44"/>
      <c r="J325" s="8"/>
      <c r="K325" s="8"/>
    </row>
    <row r="326" spans="1:11" x14ac:dyDescent="0.25">
      <c r="A326" s="44"/>
      <c r="B326" s="44"/>
      <c r="C326" s="44"/>
      <c r="D326" s="44"/>
      <c r="E326" s="44"/>
      <c r="F326" s="44"/>
      <c r="G326" s="44"/>
      <c r="H326" s="44"/>
      <c r="I326" s="44"/>
      <c r="J326" s="8"/>
      <c r="K326" s="8"/>
    </row>
    <row r="327" spans="1:11" x14ac:dyDescent="0.25">
      <c r="A327" s="44"/>
      <c r="B327" s="44"/>
      <c r="C327" s="44"/>
      <c r="D327" s="44"/>
      <c r="E327" s="44"/>
      <c r="F327" s="44"/>
      <c r="G327" s="44"/>
      <c r="H327" s="44"/>
      <c r="I327" s="44"/>
      <c r="J327" s="8"/>
      <c r="K327" s="8"/>
    </row>
    <row r="328" spans="1:11" x14ac:dyDescent="0.25">
      <c r="A328" s="44"/>
      <c r="B328" s="44"/>
      <c r="C328" s="44"/>
      <c r="D328" s="44"/>
      <c r="E328" s="44"/>
      <c r="F328" s="44"/>
      <c r="G328" s="44"/>
      <c r="H328" s="44"/>
      <c r="I328" s="44"/>
      <c r="J328" s="8"/>
      <c r="K328" s="8"/>
    </row>
    <row r="329" spans="1:11" x14ac:dyDescent="0.25">
      <c r="A329" s="44"/>
      <c r="B329" s="44"/>
      <c r="C329" s="44"/>
      <c r="D329" s="44"/>
      <c r="E329" s="44"/>
      <c r="F329" s="44"/>
      <c r="G329" s="44"/>
      <c r="H329" s="44"/>
      <c r="I329" s="44"/>
      <c r="J329" s="8"/>
      <c r="K329" s="8"/>
    </row>
    <row r="330" spans="1:11" x14ac:dyDescent="0.25">
      <c r="A330" s="44"/>
      <c r="B330" s="44"/>
      <c r="C330" s="44"/>
      <c r="D330" s="44"/>
      <c r="E330" s="44"/>
      <c r="F330" s="44"/>
      <c r="G330" s="44"/>
      <c r="H330" s="44"/>
      <c r="I330" s="44"/>
      <c r="J330" s="8"/>
      <c r="K330" s="8"/>
    </row>
    <row r="331" spans="1:11" x14ac:dyDescent="0.25">
      <c r="A331" s="44"/>
      <c r="B331" s="44"/>
      <c r="C331" s="44"/>
      <c r="D331" s="44"/>
      <c r="E331" s="44"/>
      <c r="F331" s="44"/>
      <c r="G331" s="44"/>
      <c r="H331" s="44"/>
      <c r="I331" s="44"/>
      <c r="J331" s="8"/>
      <c r="K331" s="8"/>
    </row>
    <row r="332" spans="1:11" x14ac:dyDescent="0.25">
      <c r="A332" s="44"/>
      <c r="B332" s="44"/>
      <c r="C332" s="44"/>
      <c r="D332" s="44"/>
      <c r="E332" s="44"/>
      <c r="F332" s="44"/>
      <c r="G332" s="44"/>
      <c r="H332" s="44"/>
      <c r="I332" s="44"/>
      <c r="J332" s="8"/>
      <c r="K332" s="8"/>
    </row>
    <row r="333" spans="1:11" x14ac:dyDescent="0.25">
      <c r="A333" s="44"/>
      <c r="B333" s="44"/>
      <c r="C333" s="44"/>
      <c r="D333" s="44"/>
      <c r="E333" s="44"/>
      <c r="F333" s="44"/>
      <c r="G333" s="44"/>
      <c r="H333" s="44"/>
      <c r="I333" s="44"/>
      <c r="J333" s="8"/>
      <c r="K333" s="8"/>
    </row>
    <row r="334" spans="1:11" x14ac:dyDescent="0.25">
      <c r="A334" s="44"/>
      <c r="B334" s="44"/>
      <c r="C334" s="44"/>
      <c r="D334" s="44"/>
      <c r="E334" s="44"/>
      <c r="F334" s="44"/>
      <c r="G334" s="44"/>
      <c r="H334" s="44"/>
      <c r="I334" s="44"/>
      <c r="J334" s="8"/>
      <c r="K334" s="8"/>
    </row>
    <row r="335" spans="1:11" x14ac:dyDescent="0.25">
      <c r="A335" s="44"/>
      <c r="B335" s="44"/>
      <c r="C335" s="44"/>
      <c r="D335" s="44"/>
      <c r="E335" s="44"/>
      <c r="F335" s="44"/>
      <c r="G335" s="44"/>
      <c r="H335" s="44"/>
      <c r="I335" s="44"/>
      <c r="J335" s="8"/>
      <c r="K335" s="8"/>
    </row>
    <row r="336" spans="1:11" x14ac:dyDescent="0.25">
      <c r="A336" s="44"/>
      <c r="B336" s="44"/>
      <c r="C336" s="44"/>
      <c r="D336" s="44"/>
      <c r="E336" s="44"/>
      <c r="F336" s="44"/>
      <c r="G336" s="44"/>
      <c r="H336" s="44"/>
      <c r="I336" s="44"/>
      <c r="J336" s="8"/>
      <c r="K336" s="8"/>
    </row>
    <row r="337" spans="1:11" x14ac:dyDescent="0.25">
      <c r="A337" s="44"/>
      <c r="B337" s="44"/>
      <c r="C337" s="44"/>
      <c r="D337" s="44"/>
      <c r="E337" s="44"/>
      <c r="F337" s="44"/>
      <c r="G337" s="44"/>
      <c r="H337" s="44"/>
      <c r="I337" s="44"/>
      <c r="J337" s="8"/>
      <c r="K337" s="8"/>
    </row>
    <row r="338" spans="1:11" x14ac:dyDescent="0.25">
      <c r="A338" s="44"/>
      <c r="B338" s="44"/>
      <c r="C338" s="44"/>
      <c r="D338" s="44"/>
      <c r="E338" s="44"/>
      <c r="F338" s="44"/>
      <c r="G338" s="44"/>
      <c r="H338" s="44"/>
      <c r="I338" s="44"/>
      <c r="J338" s="8"/>
      <c r="K338" s="8"/>
    </row>
    <row r="339" spans="1:11" x14ac:dyDescent="0.25">
      <c r="A339" s="44"/>
      <c r="B339" s="44"/>
      <c r="C339" s="44"/>
      <c r="D339" s="44"/>
      <c r="E339" s="44"/>
      <c r="F339" s="44"/>
      <c r="G339" s="44"/>
      <c r="H339" s="44"/>
      <c r="I339" s="44"/>
      <c r="J339" s="8"/>
      <c r="K339" s="8"/>
    </row>
    <row r="340" spans="1:11" x14ac:dyDescent="0.25">
      <c r="A340" s="44"/>
      <c r="B340" s="44"/>
      <c r="C340" s="44"/>
      <c r="D340" s="44"/>
      <c r="E340" s="44"/>
      <c r="F340" s="44"/>
      <c r="G340" s="44"/>
      <c r="H340" s="44"/>
      <c r="I340" s="44"/>
      <c r="J340" s="8"/>
      <c r="K340" s="8"/>
    </row>
    <row r="341" spans="1:11" x14ac:dyDescent="0.25">
      <c r="A341" s="44"/>
      <c r="B341" s="44"/>
      <c r="C341" s="44"/>
      <c r="D341" s="44"/>
      <c r="E341" s="44"/>
      <c r="F341" s="44"/>
      <c r="G341" s="44"/>
      <c r="H341" s="44"/>
      <c r="I341" s="44"/>
      <c r="J341" s="8"/>
      <c r="K341" s="8"/>
    </row>
    <row r="342" spans="1:11" x14ac:dyDescent="0.25">
      <c r="A342" s="44"/>
      <c r="B342" s="44"/>
      <c r="C342" s="44"/>
      <c r="D342" s="44"/>
      <c r="E342" s="44"/>
      <c r="F342" s="44"/>
      <c r="G342" s="44"/>
      <c r="H342" s="44"/>
      <c r="I342" s="44"/>
      <c r="J342" s="8"/>
      <c r="K342" s="8"/>
    </row>
    <row r="343" spans="1:11" x14ac:dyDescent="0.25">
      <c r="A343" s="44"/>
      <c r="B343" s="44"/>
      <c r="C343" s="44"/>
      <c r="D343" s="44"/>
      <c r="E343" s="44"/>
      <c r="F343" s="44"/>
      <c r="G343" s="44"/>
      <c r="H343" s="44"/>
      <c r="I343" s="44"/>
      <c r="J343" s="8"/>
      <c r="K343" s="8"/>
    </row>
    <row r="344" spans="1:11" x14ac:dyDescent="0.25">
      <c r="A344" s="44"/>
      <c r="B344" s="44"/>
      <c r="C344" s="44"/>
      <c r="D344" s="44"/>
      <c r="E344" s="44"/>
      <c r="F344" s="44"/>
      <c r="G344" s="44"/>
      <c r="H344" s="44"/>
      <c r="I344" s="44"/>
      <c r="J344" s="8"/>
      <c r="K344" s="8"/>
    </row>
    <row r="345" spans="1:11" x14ac:dyDescent="0.25">
      <c r="A345" s="44"/>
      <c r="B345" s="44"/>
      <c r="C345" s="44"/>
      <c r="D345" s="44"/>
      <c r="E345" s="44"/>
      <c r="F345" s="44"/>
      <c r="G345" s="44"/>
      <c r="H345" s="44"/>
      <c r="I345" s="44"/>
      <c r="J345" s="8"/>
      <c r="K345" s="8"/>
    </row>
    <row r="346" spans="1:11" x14ac:dyDescent="0.25">
      <c r="A346" s="44"/>
      <c r="B346" s="44"/>
      <c r="C346" s="44"/>
      <c r="D346" s="44"/>
      <c r="E346" s="44"/>
      <c r="F346" s="44"/>
      <c r="G346" s="44"/>
      <c r="H346" s="44"/>
      <c r="I346" s="44"/>
      <c r="J346" s="8"/>
      <c r="K346" s="8"/>
    </row>
    <row r="347" spans="1:11" x14ac:dyDescent="0.25">
      <c r="A347" s="44"/>
      <c r="B347" s="44"/>
      <c r="C347" s="44"/>
      <c r="D347" s="44"/>
      <c r="E347" s="44"/>
      <c r="F347" s="44"/>
      <c r="G347" s="44"/>
      <c r="H347" s="44"/>
      <c r="I347" s="44"/>
      <c r="J347" s="8"/>
      <c r="K347" s="8"/>
    </row>
    <row r="348" spans="1:11" x14ac:dyDescent="0.25">
      <c r="A348" s="44"/>
      <c r="B348" s="44"/>
      <c r="C348" s="44"/>
      <c r="D348" s="44"/>
      <c r="E348" s="44"/>
      <c r="F348" s="44"/>
      <c r="G348" s="44"/>
      <c r="H348" s="44"/>
      <c r="I348" s="44"/>
      <c r="J348" s="8"/>
      <c r="K348" s="8"/>
    </row>
    <row r="349" spans="1:11" x14ac:dyDescent="0.25">
      <c r="A349" s="44"/>
      <c r="B349" s="44"/>
      <c r="C349" s="44"/>
      <c r="D349" s="44"/>
      <c r="E349" s="44"/>
      <c r="F349" s="44"/>
      <c r="G349" s="44"/>
      <c r="H349" s="44"/>
      <c r="I349" s="44"/>
      <c r="J349" s="8"/>
      <c r="K349" s="8"/>
    </row>
    <row r="350" spans="1:11" x14ac:dyDescent="0.25">
      <c r="A350" s="44"/>
      <c r="B350" s="44"/>
      <c r="C350" s="44"/>
      <c r="D350" s="44"/>
      <c r="E350" s="44"/>
      <c r="F350" s="44"/>
      <c r="G350" s="44"/>
      <c r="H350" s="44"/>
      <c r="I350" s="44"/>
      <c r="J350" s="8"/>
      <c r="K350" s="8"/>
    </row>
    <row r="351" spans="1:11" x14ac:dyDescent="0.25">
      <c r="A351" s="44"/>
      <c r="B351" s="44"/>
      <c r="C351" s="44"/>
      <c r="D351" s="44"/>
      <c r="E351" s="44"/>
      <c r="F351" s="44"/>
      <c r="G351" s="44"/>
      <c r="H351" s="44"/>
      <c r="I351" s="44"/>
      <c r="J351" s="8"/>
      <c r="K351" s="8"/>
    </row>
    <row r="352" spans="1:11" x14ac:dyDescent="0.25">
      <c r="A352" s="44"/>
      <c r="B352" s="44"/>
      <c r="C352" s="44"/>
      <c r="D352" s="44"/>
      <c r="E352" s="44"/>
      <c r="F352" s="44"/>
      <c r="G352" s="44"/>
      <c r="H352" s="44"/>
      <c r="I352" s="44"/>
      <c r="J352" s="8"/>
      <c r="K352" s="8"/>
    </row>
    <row r="353" spans="1:11" x14ac:dyDescent="0.25">
      <c r="A353" s="44"/>
      <c r="B353" s="44"/>
      <c r="C353" s="44"/>
      <c r="D353" s="44"/>
      <c r="E353" s="44"/>
      <c r="F353" s="44"/>
      <c r="G353" s="44"/>
      <c r="H353" s="44"/>
      <c r="I353" s="44"/>
      <c r="J353" s="8"/>
      <c r="K353" s="8"/>
    </row>
    <row r="354" spans="1:11" x14ac:dyDescent="0.25">
      <c r="A354" s="44"/>
      <c r="B354" s="44"/>
      <c r="C354" s="44"/>
      <c r="D354" s="44"/>
      <c r="E354" s="44"/>
      <c r="F354" s="44"/>
      <c r="G354" s="44"/>
      <c r="H354" s="44"/>
      <c r="I354" s="44"/>
      <c r="J354" s="8"/>
      <c r="K354" s="8"/>
    </row>
    <row r="355" spans="1:11" x14ac:dyDescent="0.25">
      <c r="A355" s="44"/>
      <c r="B355" s="44"/>
      <c r="C355" s="44"/>
      <c r="D355" s="44"/>
      <c r="E355" s="44"/>
      <c r="F355" s="44"/>
      <c r="G355" s="44"/>
      <c r="H355" s="44"/>
      <c r="I355" s="44"/>
      <c r="J355" s="8"/>
      <c r="K355" s="8"/>
    </row>
    <row r="356" spans="1:11" x14ac:dyDescent="0.25">
      <c r="A356" s="44"/>
      <c r="B356" s="44"/>
      <c r="C356" s="44"/>
      <c r="D356" s="44"/>
      <c r="E356" s="44"/>
      <c r="F356" s="44"/>
      <c r="G356" s="44"/>
      <c r="H356" s="44"/>
      <c r="I356" s="44"/>
      <c r="J356" s="8"/>
      <c r="K356" s="8"/>
    </row>
    <row r="357" spans="1:11" x14ac:dyDescent="0.25">
      <c r="A357" s="44"/>
      <c r="B357" s="44"/>
      <c r="C357" s="44"/>
      <c r="D357" s="44"/>
      <c r="E357" s="44"/>
      <c r="F357" s="44"/>
      <c r="G357" s="44"/>
      <c r="H357" s="44"/>
      <c r="I357" s="44"/>
      <c r="J357" s="8"/>
      <c r="K357" s="8"/>
    </row>
    <row r="358" spans="1:11" x14ac:dyDescent="0.25">
      <c r="A358" s="44"/>
      <c r="B358" s="44"/>
      <c r="C358" s="44"/>
      <c r="D358" s="44"/>
      <c r="E358" s="44"/>
      <c r="F358" s="44"/>
      <c r="G358" s="44"/>
      <c r="H358" s="44"/>
      <c r="I358" s="44"/>
      <c r="J358" s="8"/>
      <c r="K358" s="8"/>
    </row>
    <row r="359" spans="1:11" x14ac:dyDescent="0.25">
      <c r="A359" s="44"/>
      <c r="B359" s="44"/>
      <c r="C359" s="44"/>
      <c r="D359" s="44"/>
      <c r="E359" s="44"/>
      <c r="F359" s="44"/>
      <c r="G359" s="44"/>
      <c r="H359" s="44"/>
      <c r="I359" s="44"/>
      <c r="J359" s="8"/>
      <c r="K359" s="8"/>
    </row>
    <row r="360" spans="1:11" x14ac:dyDescent="0.25">
      <c r="A360" s="44"/>
      <c r="B360" s="44"/>
      <c r="C360" s="44"/>
      <c r="D360" s="44"/>
      <c r="E360" s="44"/>
      <c r="F360" s="44"/>
      <c r="G360" s="44"/>
      <c r="H360" s="44"/>
      <c r="I360" s="44"/>
      <c r="J360" s="8"/>
      <c r="K360" s="8"/>
    </row>
    <row r="361" spans="1:11" x14ac:dyDescent="0.25">
      <c r="A361" s="44"/>
      <c r="B361" s="44"/>
      <c r="C361" s="44"/>
      <c r="D361" s="44"/>
      <c r="E361" s="44"/>
      <c r="F361" s="44"/>
      <c r="G361" s="44"/>
      <c r="H361" s="44"/>
      <c r="I361" s="44"/>
      <c r="J361" s="8"/>
      <c r="K361" s="8"/>
    </row>
    <row r="362" spans="1:11" x14ac:dyDescent="0.25">
      <c r="A362" s="44"/>
      <c r="B362" s="44"/>
      <c r="C362" s="44"/>
      <c r="D362" s="44"/>
      <c r="E362" s="44"/>
      <c r="F362" s="44"/>
      <c r="G362" s="44"/>
      <c r="H362" s="44"/>
      <c r="I362" s="44"/>
      <c r="J362" s="8"/>
      <c r="K362" s="8"/>
    </row>
    <row r="363" spans="1:11" x14ac:dyDescent="0.25">
      <c r="A363" s="44"/>
      <c r="B363" s="44"/>
      <c r="C363" s="44"/>
      <c r="D363" s="44"/>
      <c r="E363" s="44"/>
      <c r="F363" s="44"/>
      <c r="G363" s="44"/>
      <c r="H363" s="44"/>
      <c r="I363" s="44"/>
      <c r="J363" s="8"/>
      <c r="K363" s="8"/>
    </row>
    <row r="364" spans="1:11" x14ac:dyDescent="0.25">
      <c r="A364" s="44"/>
      <c r="B364" s="44"/>
      <c r="C364" s="44"/>
      <c r="D364" s="44"/>
      <c r="E364" s="44"/>
      <c r="F364" s="44"/>
      <c r="G364" s="44"/>
      <c r="H364" s="44"/>
      <c r="I364" s="44"/>
      <c r="J364" s="8"/>
      <c r="K364" s="8"/>
    </row>
    <row r="365" spans="1:11" x14ac:dyDescent="0.25">
      <c r="A365" s="44"/>
      <c r="B365" s="44"/>
      <c r="C365" s="44"/>
      <c r="D365" s="44"/>
      <c r="E365" s="44"/>
      <c r="F365" s="44"/>
      <c r="G365" s="44"/>
      <c r="H365" s="44"/>
      <c r="I365" s="44"/>
      <c r="J365" s="8"/>
      <c r="K365" s="8"/>
    </row>
    <row r="366" spans="1:11" x14ac:dyDescent="0.25">
      <c r="A366" s="44"/>
      <c r="B366" s="44"/>
      <c r="C366" s="44"/>
      <c r="D366" s="44"/>
      <c r="E366" s="44"/>
      <c r="F366" s="44"/>
      <c r="G366" s="44"/>
      <c r="H366" s="44"/>
      <c r="I366" s="44"/>
      <c r="J366" s="8"/>
      <c r="K366" s="8"/>
    </row>
    <row r="367" spans="1:11" x14ac:dyDescent="0.25">
      <c r="A367" s="44"/>
      <c r="B367" s="44"/>
      <c r="C367" s="44"/>
      <c r="D367" s="44"/>
      <c r="E367" s="44"/>
      <c r="F367" s="44"/>
      <c r="G367" s="44"/>
      <c r="H367" s="44"/>
      <c r="I367" s="44"/>
      <c r="J367" s="8"/>
      <c r="K367" s="8"/>
    </row>
    <row r="368" spans="1:11" x14ac:dyDescent="0.25">
      <c r="A368" s="44"/>
      <c r="B368" s="44"/>
      <c r="C368" s="44"/>
      <c r="D368" s="44"/>
      <c r="E368" s="44"/>
      <c r="F368" s="44"/>
      <c r="G368" s="44"/>
      <c r="H368" s="44"/>
      <c r="I368" s="44"/>
      <c r="J368" s="8"/>
      <c r="K368" s="8"/>
    </row>
    <row r="369" spans="1:11" x14ac:dyDescent="0.25">
      <c r="A369" s="44"/>
      <c r="B369" s="44"/>
      <c r="C369" s="44"/>
      <c r="D369" s="44"/>
      <c r="E369" s="44"/>
      <c r="F369" s="44"/>
      <c r="G369" s="44"/>
      <c r="H369" s="44"/>
      <c r="I369" s="44"/>
      <c r="J369" s="8"/>
      <c r="K369" s="8"/>
    </row>
    <row r="370" spans="1:11" x14ac:dyDescent="0.25">
      <c r="A370" s="44"/>
      <c r="B370" s="44"/>
      <c r="C370" s="44"/>
      <c r="D370" s="44"/>
      <c r="E370" s="44"/>
      <c r="F370" s="44"/>
      <c r="G370" s="44"/>
      <c r="H370" s="44"/>
      <c r="I370" s="44"/>
      <c r="J370" s="8"/>
      <c r="K370" s="8"/>
    </row>
    <row r="371" spans="1:11" x14ac:dyDescent="0.25">
      <c r="A371" s="44"/>
      <c r="B371" s="44"/>
      <c r="C371" s="44"/>
      <c r="D371" s="44"/>
      <c r="E371" s="44"/>
      <c r="F371" s="44"/>
      <c r="G371" s="44"/>
      <c r="H371" s="44"/>
      <c r="I371" s="44"/>
      <c r="J371" s="8"/>
      <c r="K371" s="8"/>
    </row>
    <row r="372" spans="1:11" x14ac:dyDescent="0.25">
      <c r="A372" s="44"/>
      <c r="B372" s="44"/>
      <c r="C372" s="44"/>
      <c r="D372" s="44"/>
      <c r="E372" s="44"/>
      <c r="F372" s="44"/>
      <c r="G372" s="44"/>
      <c r="H372" s="44"/>
      <c r="I372" s="44"/>
      <c r="J372" s="8"/>
      <c r="K372" s="8"/>
    </row>
    <row r="373" spans="1:11" x14ac:dyDescent="0.25">
      <c r="A373" s="44"/>
      <c r="B373" s="44"/>
      <c r="C373" s="44"/>
      <c r="D373" s="44"/>
      <c r="E373" s="44"/>
      <c r="F373" s="44"/>
      <c r="G373" s="44"/>
      <c r="H373" s="44"/>
      <c r="I373" s="44"/>
      <c r="J373" s="8"/>
      <c r="K373" s="8"/>
    </row>
    <row r="374" spans="1:11" x14ac:dyDescent="0.25">
      <c r="A374" s="44"/>
      <c r="B374" s="44"/>
      <c r="C374" s="44"/>
      <c r="D374" s="44"/>
      <c r="E374" s="44"/>
      <c r="F374" s="44"/>
      <c r="G374" s="44"/>
      <c r="H374" s="44"/>
      <c r="I374" s="44"/>
      <c r="J374" s="8"/>
      <c r="K374" s="8"/>
    </row>
    <row r="375" spans="1:11" x14ac:dyDescent="0.25">
      <c r="A375" s="44"/>
      <c r="B375" s="44"/>
      <c r="C375" s="44"/>
      <c r="D375" s="44"/>
      <c r="E375" s="44"/>
      <c r="F375" s="44"/>
      <c r="G375" s="44"/>
      <c r="H375" s="44"/>
      <c r="I375" s="44"/>
      <c r="J375" s="8"/>
      <c r="K375" s="8"/>
    </row>
    <row r="376" spans="1:11" x14ac:dyDescent="0.25">
      <c r="A376" s="44"/>
      <c r="B376" s="44"/>
      <c r="C376" s="44"/>
      <c r="D376" s="44"/>
      <c r="E376" s="44"/>
      <c r="F376" s="44"/>
      <c r="G376" s="44"/>
      <c r="H376" s="44"/>
      <c r="I376" s="44"/>
      <c r="J376" s="8"/>
      <c r="K376" s="8"/>
    </row>
    <row r="377" spans="1:11" x14ac:dyDescent="0.25">
      <c r="A377" s="44"/>
      <c r="B377" s="44"/>
      <c r="C377" s="44"/>
      <c r="D377" s="44"/>
      <c r="E377" s="44"/>
      <c r="F377" s="44"/>
      <c r="G377" s="44"/>
      <c r="H377" s="44"/>
      <c r="I377" s="44"/>
      <c r="J377" s="8"/>
      <c r="K377" s="8"/>
    </row>
    <row r="378" spans="1:11" x14ac:dyDescent="0.25">
      <c r="A378" s="44"/>
      <c r="B378" s="44"/>
      <c r="C378" s="44"/>
      <c r="D378" s="44"/>
      <c r="E378" s="44"/>
      <c r="F378" s="44"/>
      <c r="G378" s="44"/>
      <c r="H378" s="44"/>
      <c r="I378" s="44"/>
      <c r="J378" s="8"/>
      <c r="K378" s="8"/>
    </row>
    <row r="379" spans="1:11" x14ac:dyDescent="0.25">
      <c r="A379" s="44"/>
      <c r="B379" s="44"/>
      <c r="C379" s="44"/>
      <c r="D379" s="44"/>
      <c r="E379" s="44"/>
      <c r="F379" s="44"/>
      <c r="G379" s="44"/>
      <c r="H379" s="44"/>
      <c r="I379" s="44"/>
      <c r="J379" s="8"/>
      <c r="K379" s="8"/>
    </row>
    <row r="380" spans="1:11" x14ac:dyDescent="0.25">
      <c r="A380" s="44"/>
      <c r="B380" s="44"/>
      <c r="C380" s="44"/>
      <c r="D380" s="44"/>
      <c r="E380" s="44"/>
      <c r="F380" s="44"/>
      <c r="G380" s="44"/>
      <c r="H380" s="44"/>
      <c r="I380" s="44"/>
      <c r="J380" s="8"/>
      <c r="K380" s="8"/>
    </row>
    <row r="381" spans="1:11" x14ac:dyDescent="0.25">
      <c r="A381" s="44"/>
      <c r="B381" s="44"/>
      <c r="C381" s="44"/>
      <c r="D381" s="44"/>
      <c r="E381" s="44"/>
      <c r="F381" s="44"/>
      <c r="G381" s="44"/>
      <c r="H381" s="44"/>
      <c r="I381" s="44"/>
      <c r="J381" s="8"/>
      <c r="K381" s="8"/>
    </row>
    <row r="382" spans="1:11" x14ac:dyDescent="0.25">
      <c r="A382" s="44"/>
      <c r="B382" s="44"/>
      <c r="C382" s="44"/>
      <c r="D382" s="44"/>
      <c r="E382" s="44"/>
      <c r="F382" s="44"/>
      <c r="G382" s="44"/>
      <c r="H382" s="44"/>
      <c r="I382" s="44"/>
      <c r="J382" s="8"/>
      <c r="K382" s="8"/>
    </row>
    <row r="383" spans="1:11" x14ac:dyDescent="0.25">
      <c r="A383" s="44"/>
      <c r="B383" s="44"/>
      <c r="C383" s="44"/>
      <c r="D383" s="44"/>
      <c r="E383" s="44"/>
      <c r="F383" s="44"/>
      <c r="G383" s="44"/>
      <c r="H383" s="44"/>
      <c r="I383" s="44"/>
      <c r="J383" s="8"/>
      <c r="K383" s="8"/>
    </row>
    <row r="384" spans="1:11" x14ac:dyDescent="0.25">
      <c r="A384" s="44"/>
      <c r="B384" s="44"/>
      <c r="C384" s="44"/>
      <c r="D384" s="44"/>
      <c r="E384" s="44"/>
      <c r="F384" s="44"/>
      <c r="G384" s="44"/>
      <c r="H384" s="44"/>
      <c r="I384" s="44"/>
      <c r="J384" s="8"/>
      <c r="K384" s="8"/>
    </row>
    <row r="385" spans="1:11" x14ac:dyDescent="0.25">
      <c r="A385" s="44"/>
      <c r="B385" s="44"/>
      <c r="C385" s="44"/>
      <c r="D385" s="44"/>
      <c r="E385" s="44"/>
      <c r="F385" s="44"/>
      <c r="G385" s="44"/>
      <c r="H385" s="44"/>
      <c r="I385" s="44"/>
      <c r="J385" s="8"/>
      <c r="K385" s="8"/>
    </row>
    <row r="386" spans="1:11" x14ac:dyDescent="0.25">
      <c r="A386" s="44"/>
      <c r="B386" s="44"/>
      <c r="C386" s="44"/>
      <c r="D386" s="44"/>
      <c r="E386" s="44"/>
      <c r="F386" s="44"/>
      <c r="G386" s="44"/>
      <c r="H386" s="44"/>
      <c r="I386" s="44"/>
      <c r="J386" s="8"/>
      <c r="K386" s="8"/>
    </row>
    <row r="387" spans="1:11" x14ac:dyDescent="0.25">
      <c r="A387" s="44"/>
      <c r="B387" s="44"/>
      <c r="C387" s="44"/>
      <c r="D387" s="44"/>
      <c r="E387" s="44"/>
      <c r="F387" s="44"/>
      <c r="G387" s="44"/>
      <c r="H387" s="44"/>
      <c r="I387" s="44"/>
      <c r="J387" s="8"/>
      <c r="K387" s="8"/>
    </row>
    <row r="388" spans="1:11" x14ac:dyDescent="0.25">
      <c r="A388" s="44"/>
      <c r="B388" s="44"/>
      <c r="C388" s="44"/>
      <c r="D388" s="44"/>
      <c r="E388" s="44"/>
      <c r="F388" s="44"/>
      <c r="G388" s="44"/>
      <c r="H388" s="44"/>
      <c r="I388" s="44"/>
      <c r="J388" s="8"/>
      <c r="K388" s="8"/>
    </row>
    <row r="389" spans="1:11" x14ac:dyDescent="0.25">
      <c r="A389" s="44"/>
      <c r="B389" s="44"/>
      <c r="C389" s="44"/>
      <c r="D389" s="44"/>
      <c r="E389" s="44"/>
      <c r="F389" s="44"/>
      <c r="G389" s="44"/>
      <c r="H389" s="44"/>
      <c r="I389" s="44"/>
      <c r="J389" s="8"/>
      <c r="K389" s="8"/>
    </row>
    <row r="390" spans="1:11" x14ac:dyDescent="0.25">
      <c r="A390" s="44"/>
      <c r="B390" s="44"/>
      <c r="C390" s="44"/>
      <c r="D390" s="44"/>
      <c r="E390" s="44"/>
      <c r="F390" s="44"/>
      <c r="G390" s="44"/>
      <c r="H390" s="44"/>
      <c r="I390" s="44"/>
      <c r="J390" s="8"/>
      <c r="K390" s="8"/>
    </row>
    <row r="391" spans="1:11" x14ac:dyDescent="0.25">
      <c r="A391" s="44"/>
      <c r="B391" s="44"/>
      <c r="C391" s="44"/>
      <c r="D391" s="44"/>
      <c r="E391" s="44"/>
      <c r="F391" s="44"/>
      <c r="G391" s="44"/>
      <c r="H391" s="44"/>
      <c r="I391" s="44"/>
      <c r="J391" s="8"/>
      <c r="K391" s="8"/>
    </row>
    <row r="392" spans="1:11" x14ac:dyDescent="0.25">
      <c r="A392" s="44"/>
      <c r="B392" s="44"/>
      <c r="C392" s="44"/>
      <c r="D392" s="44"/>
      <c r="E392" s="44"/>
      <c r="F392" s="44"/>
      <c r="G392" s="44"/>
      <c r="H392" s="44"/>
      <c r="I392" s="44"/>
      <c r="J392" s="8"/>
      <c r="K392" s="8"/>
    </row>
    <row r="393" spans="1:11" x14ac:dyDescent="0.25">
      <c r="A393" s="44"/>
      <c r="B393" s="44"/>
      <c r="C393" s="44"/>
      <c r="D393" s="44"/>
      <c r="E393" s="44"/>
      <c r="F393" s="44"/>
      <c r="G393" s="44"/>
      <c r="H393" s="44"/>
      <c r="I393" s="44"/>
      <c r="J393" s="8"/>
      <c r="K393" s="8"/>
    </row>
    <row r="394" spans="1:11" x14ac:dyDescent="0.25">
      <c r="A394" s="44"/>
      <c r="B394" s="44"/>
      <c r="C394" s="44"/>
      <c r="D394" s="44"/>
      <c r="E394" s="44"/>
      <c r="F394" s="44"/>
      <c r="G394" s="44"/>
      <c r="H394" s="44"/>
      <c r="I394" s="44"/>
      <c r="J394" s="8"/>
      <c r="K394" s="8"/>
    </row>
    <row r="395" spans="1:11" x14ac:dyDescent="0.25">
      <c r="A395" s="44"/>
      <c r="B395" s="44"/>
      <c r="C395" s="44"/>
      <c r="D395" s="44"/>
      <c r="E395" s="44"/>
      <c r="F395" s="44"/>
      <c r="G395" s="44"/>
      <c r="H395" s="44"/>
      <c r="I395" s="44"/>
      <c r="J395" s="8"/>
      <c r="K395" s="8"/>
    </row>
    <row r="396" spans="1:11" x14ac:dyDescent="0.25">
      <c r="A396" s="44"/>
      <c r="B396" s="44"/>
      <c r="C396" s="44"/>
      <c r="D396" s="44"/>
      <c r="E396" s="44"/>
      <c r="F396" s="44"/>
      <c r="G396" s="44"/>
      <c r="H396" s="44"/>
      <c r="I396" s="44"/>
      <c r="J396" s="8"/>
      <c r="K396" s="8"/>
    </row>
    <row r="397" spans="1:11" x14ac:dyDescent="0.25">
      <c r="A397" s="44"/>
      <c r="B397" s="44"/>
      <c r="C397" s="44"/>
      <c r="D397" s="44"/>
      <c r="E397" s="44"/>
      <c r="F397" s="44"/>
      <c r="G397" s="44"/>
      <c r="H397" s="44"/>
      <c r="I397" s="44"/>
      <c r="J397" s="8"/>
      <c r="K397" s="8"/>
    </row>
    <row r="398" spans="1:11" x14ac:dyDescent="0.25">
      <c r="A398" s="44"/>
      <c r="B398" s="44"/>
      <c r="C398" s="44"/>
      <c r="D398" s="44"/>
      <c r="E398" s="44"/>
      <c r="F398" s="44"/>
      <c r="G398" s="44"/>
      <c r="H398" s="44"/>
      <c r="I398" s="44"/>
      <c r="J398" s="8"/>
      <c r="K398" s="8"/>
    </row>
    <row r="399" spans="1:11" x14ac:dyDescent="0.25">
      <c r="A399" s="44"/>
      <c r="B399" s="44"/>
      <c r="C399" s="44"/>
      <c r="D399" s="44"/>
      <c r="E399" s="44"/>
      <c r="F399" s="44"/>
      <c r="G399" s="44"/>
      <c r="H399" s="44"/>
      <c r="I399" s="44"/>
      <c r="J399" s="8"/>
      <c r="K399" s="8"/>
    </row>
    <row r="400" spans="1:11" x14ac:dyDescent="0.25">
      <c r="A400" s="44"/>
      <c r="B400" s="44"/>
      <c r="C400" s="44"/>
      <c r="D400" s="44"/>
      <c r="E400" s="44"/>
      <c r="F400" s="44"/>
      <c r="G400" s="44"/>
      <c r="H400" s="44"/>
      <c r="I400" s="44"/>
      <c r="J400" s="8"/>
      <c r="K400" s="8"/>
    </row>
    <row r="401" spans="1:11" x14ac:dyDescent="0.25">
      <c r="A401" s="44"/>
      <c r="B401" s="44"/>
      <c r="C401" s="44"/>
      <c r="D401" s="44"/>
      <c r="E401" s="44"/>
      <c r="F401" s="44"/>
      <c r="G401" s="44"/>
      <c r="H401" s="44"/>
      <c r="I401" s="44"/>
      <c r="J401" s="8"/>
      <c r="K401" s="8"/>
    </row>
    <row r="402" spans="1:11" x14ac:dyDescent="0.25">
      <c r="A402" s="44"/>
      <c r="B402" s="44"/>
      <c r="C402" s="44"/>
      <c r="D402" s="44"/>
      <c r="E402" s="44"/>
      <c r="F402" s="44"/>
      <c r="G402" s="44"/>
      <c r="H402" s="44"/>
      <c r="I402" s="44"/>
      <c r="J402" s="8"/>
      <c r="K402" s="8"/>
    </row>
    <row r="403" spans="1:11" x14ac:dyDescent="0.25">
      <c r="A403" s="44"/>
      <c r="B403" s="44"/>
      <c r="C403" s="44"/>
      <c r="D403" s="44"/>
      <c r="E403" s="44"/>
      <c r="F403" s="44"/>
      <c r="G403" s="44"/>
      <c r="H403" s="44"/>
      <c r="I403" s="44"/>
      <c r="J403" s="8"/>
      <c r="K403" s="8"/>
    </row>
    <row r="404" spans="1:11" x14ac:dyDescent="0.25">
      <c r="A404" s="44"/>
      <c r="B404" s="44"/>
      <c r="C404" s="44"/>
      <c r="D404" s="44"/>
      <c r="E404" s="44"/>
      <c r="F404" s="44"/>
      <c r="G404" s="44"/>
      <c r="H404" s="44"/>
      <c r="I404" s="44"/>
      <c r="J404" s="8"/>
      <c r="K404" s="8"/>
    </row>
    <row r="405" spans="1:11" x14ac:dyDescent="0.25">
      <c r="A405" s="44"/>
      <c r="B405" s="44"/>
      <c r="C405" s="44"/>
      <c r="D405" s="44"/>
      <c r="E405" s="44"/>
      <c r="F405" s="44"/>
      <c r="G405" s="44"/>
      <c r="H405" s="44"/>
      <c r="I405" s="44"/>
      <c r="J405" s="8"/>
      <c r="K405" s="8"/>
    </row>
    <row r="406" spans="1:11" x14ac:dyDescent="0.25">
      <c r="A406" s="44"/>
      <c r="B406" s="44"/>
      <c r="C406" s="44"/>
      <c r="D406" s="44"/>
      <c r="E406" s="44"/>
      <c r="F406" s="44"/>
      <c r="G406" s="44"/>
      <c r="H406" s="44"/>
      <c r="I406" s="44"/>
      <c r="J406" s="8"/>
      <c r="K406" s="8"/>
    </row>
    <row r="407" spans="1:11" x14ac:dyDescent="0.25">
      <c r="A407" s="44"/>
      <c r="B407" s="44"/>
      <c r="C407" s="44"/>
      <c r="D407" s="44"/>
      <c r="E407" s="44"/>
      <c r="F407" s="44"/>
      <c r="G407" s="44"/>
      <c r="H407" s="44"/>
      <c r="I407" s="44"/>
      <c r="J407" s="8"/>
      <c r="K407" s="8"/>
    </row>
    <row r="408" spans="1:11" x14ac:dyDescent="0.25">
      <c r="A408" s="44"/>
      <c r="B408" s="44"/>
      <c r="C408" s="44"/>
      <c r="D408" s="44"/>
      <c r="E408" s="44"/>
      <c r="F408" s="44"/>
      <c r="G408" s="44"/>
      <c r="H408" s="44"/>
      <c r="I408" s="44"/>
      <c r="J408" s="8"/>
      <c r="K408" s="8"/>
    </row>
    <row r="409" spans="1:11" x14ac:dyDescent="0.25">
      <c r="A409" s="44"/>
      <c r="B409" s="44"/>
      <c r="C409" s="44"/>
      <c r="D409" s="44"/>
      <c r="E409" s="44"/>
      <c r="F409" s="44"/>
      <c r="G409" s="44"/>
      <c r="H409" s="44"/>
      <c r="I409" s="44"/>
      <c r="J409" s="8"/>
      <c r="K409" s="8"/>
    </row>
    <row r="410" spans="1:11" x14ac:dyDescent="0.25">
      <c r="A410" s="44"/>
      <c r="B410" s="44"/>
      <c r="C410" s="44"/>
      <c r="D410" s="44"/>
      <c r="E410" s="44"/>
      <c r="F410" s="44"/>
      <c r="G410" s="44"/>
      <c r="H410" s="44"/>
      <c r="I410" s="44"/>
      <c r="J410" s="8"/>
      <c r="K410" s="8"/>
    </row>
    <row r="411" spans="1:11" x14ac:dyDescent="0.25">
      <c r="A411" s="44"/>
      <c r="B411" s="44"/>
      <c r="C411" s="44"/>
      <c r="D411" s="44"/>
      <c r="E411" s="44"/>
      <c r="F411" s="44"/>
      <c r="G411" s="44"/>
      <c r="H411" s="44"/>
      <c r="I411" s="44"/>
      <c r="J411" s="8"/>
      <c r="K411" s="8"/>
    </row>
    <row r="412" spans="1:11" x14ac:dyDescent="0.25">
      <c r="A412" s="44"/>
      <c r="B412" s="44"/>
      <c r="C412" s="44"/>
      <c r="D412" s="44"/>
      <c r="E412" s="44"/>
      <c r="F412" s="44"/>
      <c r="G412" s="44"/>
      <c r="H412" s="44"/>
      <c r="I412" s="44"/>
      <c r="J412" s="8"/>
      <c r="K412" s="8"/>
    </row>
    <row r="413" spans="1:11" x14ac:dyDescent="0.25">
      <c r="A413" s="44"/>
      <c r="B413" s="44"/>
      <c r="C413" s="44"/>
      <c r="D413" s="44"/>
      <c r="E413" s="44"/>
      <c r="F413" s="44"/>
      <c r="G413" s="44"/>
      <c r="H413" s="44"/>
      <c r="I413" s="44"/>
      <c r="J413" s="8"/>
      <c r="K413" s="8"/>
    </row>
    <row r="414" spans="1:11" x14ac:dyDescent="0.25">
      <c r="A414" s="44"/>
      <c r="B414" s="44"/>
      <c r="C414" s="44"/>
      <c r="D414" s="44"/>
      <c r="E414" s="44"/>
      <c r="F414" s="44"/>
      <c r="G414" s="44"/>
      <c r="H414" s="44"/>
      <c r="I414" s="44"/>
      <c r="J414" s="8"/>
      <c r="K414" s="8"/>
    </row>
    <row r="415" spans="1:11" x14ac:dyDescent="0.25">
      <c r="A415" s="44"/>
      <c r="B415" s="44"/>
      <c r="C415" s="44"/>
      <c r="D415" s="44"/>
      <c r="E415" s="44"/>
      <c r="F415" s="44"/>
      <c r="G415" s="44"/>
      <c r="H415" s="44"/>
      <c r="I415" s="44"/>
      <c r="J415" s="8"/>
      <c r="K415" s="8"/>
    </row>
    <row r="416" spans="1:11" x14ac:dyDescent="0.25">
      <c r="A416" s="44"/>
      <c r="B416" s="44"/>
      <c r="C416" s="44"/>
      <c r="D416" s="44"/>
      <c r="E416" s="44"/>
      <c r="F416" s="44"/>
      <c r="G416" s="44"/>
      <c r="H416" s="44"/>
      <c r="I416" s="44"/>
      <c r="J416" s="8"/>
      <c r="K416" s="8"/>
    </row>
    <row r="417" spans="1:11" x14ac:dyDescent="0.25">
      <c r="A417" s="44"/>
      <c r="B417" s="44"/>
      <c r="C417" s="44"/>
      <c r="D417" s="44"/>
      <c r="E417" s="44"/>
      <c r="F417" s="44"/>
      <c r="G417" s="44"/>
      <c r="H417" s="44"/>
      <c r="I417" s="44"/>
      <c r="J417" s="8"/>
      <c r="K417" s="8"/>
    </row>
    <row r="418" spans="1:11" x14ac:dyDescent="0.25">
      <c r="A418" s="44"/>
      <c r="B418" s="44"/>
      <c r="C418" s="44"/>
      <c r="D418" s="44"/>
      <c r="E418" s="44"/>
      <c r="F418" s="44"/>
      <c r="G418" s="44"/>
      <c r="H418" s="44"/>
      <c r="I418" s="44"/>
      <c r="J418" s="8"/>
      <c r="K418" s="8"/>
    </row>
    <row r="419" spans="1:11" x14ac:dyDescent="0.25">
      <c r="A419" s="44"/>
      <c r="B419" s="44"/>
      <c r="C419" s="44"/>
      <c r="D419" s="44"/>
      <c r="E419" s="44"/>
      <c r="F419" s="44"/>
      <c r="G419" s="44"/>
      <c r="H419" s="44"/>
      <c r="I419" s="44"/>
      <c r="J419" s="8"/>
      <c r="K419" s="8"/>
    </row>
    <row r="420" spans="1:11" x14ac:dyDescent="0.25">
      <c r="A420" s="44"/>
      <c r="B420" s="44"/>
      <c r="C420" s="44"/>
      <c r="D420" s="44"/>
      <c r="E420" s="44"/>
      <c r="F420" s="44"/>
      <c r="G420" s="44"/>
      <c r="H420" s="44"/>
      <c r="I420" s="44"/>
      <c r="J420" s="8"/>
      <c r="K420" s="8"/>
    </row>
    <row r="421" spans="1:11" x14ac:dyDescent="0.25">
      <c r="A421" s="44"/>
      <c r="B421" s="44"/>
      <c r="C421" s="44"/>
      <c r="D421" s="44"/>
      <c r="E421" s="44"/>
      <c r="F421" s="44"/>
      <c r="G421" s="44"/>
      <c r="H421" s="44"/>
      <c r="I421" s="44"/>
      <c r="J421" s="8"/>
      <c r="K421" s="8"/>
    </row>
    <row r="422" spans="1:11" x14ac:dyDescent="0.25">
      <c r="A422" s="44"/>
      <c r="B422" s="44"/>
      <c r="C422" s="44"/>
      <c r="D422" s="44"/>
      <c r="E422" s="44"/>
      <c r="F422" s="44"/>
      <c r="G422" s="44"/>
      <c r="H422" s="44"/>
      <c r="I422" s="44"/>
      <c r="J422" s="8"/>
      <c r="K422" s="8"/>
    </row>
    <row r="423" spans="1:11" x14ac:dyDescent="0.25">
      <c r="A423" s="44"/>
      <c r="B423" s="44"/>
      <c r="C423" s="44"/>
      <c r="D423" s="44"/>
      <c r="E423" s="44"/>
      <c r="F423" s="44"/>
      <c r="G423" s="44"/>
      <c r="H423" s="44"/>
      <c r="I423" s="44"/>
      <c r="J423" s="8"/>
      <c r="K423" s="8"/>
    </row>
    <row r="424" spans="1:11" x14ac:dyDescent="0.25">
      <c r="A424" s="44"/>
      <c r="B424" s="44"/>
      <c r="C424" s="44"/>
      <c r="D424" s="44"/>
      <c r="E424" s="44"/>
      <c r="F424" s="44"/>
      <c r="G424" s="44"/>
      <c r="H424" s="44"/>
      <c r="I424" s="44"/>
      <c r="J424" s="8"/>
      <c r="K424" s="8"/>
    </row>
    <row r="425" spans="1:11" x14ac:dyDescent="0.25">
      <c r="A425" s="44"/>
      <c r="B425" s="44"/>
      <c r="C425" s="44"/>
      <c r="D425" s="44"/>
      <c r="E425" s="44"/>
      <c r="F425" s="44"/>
      <c r="G425" s="44"/>
      <c r="H425" s="44"/>
      <c r="I425" s="44"/>
      <c r="J425" s="8"/>
      <c r="K425" s="8"/>
    </row>
    <row r="426" spans="1:11" x14ac:dyDescent="0.25">
      <c r="A426" s="44"/>
      <c r="B426" s="44"/>
      <c r="C426" s="44"/>
      <c r="D426" s="44"/>
      <c r="E426" s="44"/>
      <c r="F426" s="44"/>
      <c r="G426" s="44"/>
      <c r="H426" s="44"/>
      <c r="I426" s="44"/>
      <c r="J426" s="8"/>
      <c r="K426" s="8"/>
    </row>
    <row r="427" spans="1:11" x14ac:dyDescent="0.25">
      <c r="A427" s="44"/>
      <c r="B427" s="44"/>
      <c r="C427" s="44"/>
      <c r="D427" s="44"/>
      <c r="E427" s="44"/>
      <c r="F427" s="44"/>
      <c r="G427" s="44"/>
      <c r="H427" s="44"/>
      <c r="I427" s="44"/>
      <c r="J427" s="8"/>
      <c r="K427" s="8"/>
    </row>
    <row r="428" spans="1:11" x14ac:dyDescent="0.25">
      <c r="A428" s="44"/>
      <c r="B428" s="44"/>
      <c r="C428" s="44"/>
      <c r="D428" s="44"/>
      <c r="E428" s="44"/>
      <c r="F428" s="44"/>
      <c r="G428" s="44"/>
      <c r="H428" s="44"/>
      <c r="I428" s="44"/>
      <c r="J428" s="8"/>
      <c r="K428" s="8"/>
    </row>
    <row r="429" spans="1:11" x14ac:dyDescent="0.25">
      <c r="A429" s="44"/>
      <c r="B429" s="44"/>
      <c r="C429" s="44"/>
      <c r="D429" s="44"/>
      <c r="E429" s="44"/>
      <c r="F429" s="44"/>
      <c r="G429" s="44"/>
      <c r="H429" s="44"/>
      <c r="I429" s="44"/>
      <c r="J429" s="8"/>
      <c r="K429" s="8"/>
    </row>
    <row r="430" spans="1:11" x14ac:dyDescent="0.25">
      <c r="A430" s="44"/>
      <c r="B430" s="44"/>
      <c r="C430" s="44"/>
      <c r="D430" s="44"/>
      <c r="E430" s="44"/>
      <c r="F430" s="44"/>
      <c r="G430" s="44"/>
      <c r="H430" s="44"/>
      <c r="I430" s="44"/>
      <c r="J430" s="8"/>
      <c r="K430" s="8"/>
    </row>
    <row r="431" spans="1:11" x14ac:dyDescent="0.25">
      <c r="A431" s="44"/>
      <c r="B431" s="44"/>
      <c r="C431" s="44"/>
      <c r="D431" s="44"/>
      <c r="E431" s="44"/>
      <c r="F431" s="44"/>
      <c r="G431" s="44"/>
      <c r="H431" s="44"/>
      <c r="I431" s="44"/>
      <c r="J431" s="8"/>
      <c r="K431" s="8"/>
    </row>
    <row r="432" spans="1:11" x14ac:dyDescent="0.25">
      <c r="A432" s="44"/>
      <c r="B432" s="44"/>
      <c r="C432" s="44"/>
      <c r="D432" s="44"/>
      <c r="E432" s="44"/>
      <c r="F432" s="44"/>
      <c r="G432" s="44"/>
      <c r="H432" s="44"/>
      <c r="I432" s="44"/>
      <c r="J432" s="8"/>
      <c r="K432" s="8"/>
    </row>
    <row r="433" spans="1:11" x14ac:dyDescent="0.25">
      <c r="A433" s="44"/>
      <c r="B433" s="44"/>
      <c r="C433" s="44"/>
      <c r="D433" s="44"/>
      <c r="E433" s="44"/>
      <c r="F433" s="44"/>
      <c r="G433" s="44"/>
      <c r="H433" s="44"/>
      <c r="I433" s="44"/>
      <c r="J433" s="8"/>
      <c r="K433" s="8"/>
    </row>
    <row r="434" spans="1:11" x14ac:dyDescent="0.25">
      <c r="A434" s="44"/>
      <c r="B434" s="44"/>
      <c r="C434" s="44"/>
      <c r="D434" s="44"/>
      <c r="E434" s="44"/>
      <c r="F434" s="44"/>
      <c r="G434" s="44"/>
      <c r="H434" s="44"/>
      <c r="I434" s="44"/>
      <c r="J434" s="8"/>
      <c r="K434" s="8"/>
    </row>
    <row r="435" spans="1:11" x14ac:dyDescent="0.25">
      <c r="A435" s="44"/>
      <c r="B435" s="44"/>
      <c r="C435" s="44"/>
      <c r="D435" s="44"/>
      <c r="E435" s="44"/>
      <c r="F435" s="44"/>
      <c r="G435" s="44"/>
      <c r="H435" s="44"/>
      <c r="I435" s="44"/>
      <c r="J435" s="8"/>
      <c r="K435" s="8"/>
    </row>
    <row r="436" spans="1:11" x14ac:dyDescent="0.25">
      <c r="A436" s="44"/>
      <c r="B436" s="44"/>
      <c r="C436" s="44"/>
      <c r="D436" s="44"/>
      <c r="E436" s="44"/>
      <c r="F436" s="44"/>
      <c r="G436" s="44"/>
      <c r="H436" s="44"/>
      <c r="I436" s="44"/>
      <c r="J436" s="8"/>
      <c r="K436" s="8"/>
    </row>
    <row r="437" spans="1:11" x14ac:dyDescent="0.25">
      <c r="A437" s="44"/>
      <c r="B437" s="44"/>
      <c r="C437" s="44"/>
      <c r="D437" s="44"/>
      <c r="E437" s="44"/>
      <c r="F437" s="44"/>
      <c r="G437" s="44"/>
      <c r="H437" s="44"/>
      <c r="I437" s="44"/>
      <c r="J437" s="8"/>
      <c r="K437" s="8"/>
    </row>
    <row r="438" spans="1:11" x14ac:dyDescent="0.25">
      <c r="A438" s="44"/>
      <c r="B438" s="44"/>
      <c r="C438" s="44"/>
      <c r="D438" s="44"/>
      <c r="E438" s="44"/>
      <c r="F438" s="44"/>
      <c r="G438" s="44"/>
      <c r="H438" s="44"/>
      <c r="I438" s="44"/>
      <c r="J438" s="8"/>
      <c r="K438" s="8"/>
    </row>
    <row r="439" spans="1:11" x14ac:dyDescent="0.25">
      <c r="A439" s="44"/>
      <c r="B439" s="44"/>
      <c r="C439" s="44"/>
      <c r="D439" s="44"/>
      <c r="E439" s="44"/>
      <c r="F439" s="44"/>
      <c r="G439" s="44"/>
      <c r="H439" s="44"/>
      <c r="I439" s="44"/>
      <c r="J439" s="8"/>
      <c r="K439" s="8"/>
    </row>
    <row r="440" spans="1:11" x14ac:dyDescent="0.25">
      <c r="A440" s="44"/>
      <c r="B440" s="44"/>
      <c r="C440" s="44"/>
      <c r="D440" s="44"/>
      <c r="E440" s="44"/>
      <c r="F440" s="44"/>
      <c r="G440" s="44"/>
      <c r="H440" s="44"/>
      <c r="I440" s="44"/>
      <c r="J440" s="8"/>
      <c r="K440" s="8"/>
    </row>
    <row r="441" spans="1:11" x14ac:dyDescent="0.25">
      <c r="A441" s="44"/>
      <c r="B441" s="44"/>
      <c r="C441" s="44"/>
      <c r="D441" s="44"/>
      <c r="E441" s="44"/>
      <c r="F441" s="44"/>
      <c r="G441" s="44"/>
      <c r="H441" s="44"/>
      <c r="I441" s="44"/>
      <c r="J441" s="8"/>
      <c r="K441" s="8"/>
    </row>
    <row r="442" spans="1:11" x14ac:dyDescent="0.25">
      <c r="A442" s="44"/>
      <c r="B442" s="44"/>
      <c r="C442" s="44"/>
      <c r="D442" s="44"/>
      <c r="E442" s="44"/>
      <c r="F442" s="44"/>
      <c r="G442" s="44"/>
      <c r="H442" s="44"/>
      <c r="I442" s="44"/>
      <c r="J442" s="8"/>
      <c r="K442" s="8"/>
    </row>
    <row r="443" spans="1:11" x14ac:dyDescent="0.25">
      <c r="A443" s="44"/>
      <c r="B443" s="44"/>
      <c r="C443" s="44"/>
      <c r="D443" s="44"/>
      <c r="E443" s="44"/>
      <c r="F443" s="44"/>
      <c r="G443" s="44"/>
      <c r="H443" s="44"/>
      <c r="I443" s="44"/>
      <c r="J443" s="8"/>
      <c r="K443" s="8"/>
    </row>
    <row r="444" spans="1:11" x14ac:dyDescent="0.25">
      <c r="A444" s="44"/>
      <c r="B444" s="44"/>
      <c r="C444" s="44"/>
      <c r="D444" s="44"/>
      <c r="E444" s="44"/>
      <c r="F444" s="44"/>
      <c r="G444" s="44"/>
      <c r="H444" s="44"/>
      <c r="I444" s="44"/>
      <c r="J444" s="8"/>
      <c r="K444" s="8"/>
    </row>
    <row r="445" spans="1:11" x14ac:dyDescent="0.25">
      <c r="A445" s="44"/>
      <c r="B445" s="44"/>
      <c r="C445" s="44"/>
      <c r="D445" s="44"/>
      <c r="E445" s="44"/>
      <c r="F445" s="44"/>
      <c r="G445" s="44"/>
      <c r="H445" s="44"/>
      <c r="I445" s="44"/>
      <c r="J445" s="8"/>
      <c r="K445" s="8"/>
    </row>
    <row r="446" spans="1:11" x14ac:dyDescent="0.25">
      <c r="A446" s="44"/>
      <c r="B446" s="44"/>
      <c r="C446" s="44"/>
      <c r="D446" s="44"/>
      <c r="E446" s="44"/>
      <c r="F446" s="44"/>
      <c r="G446" s="44"/>
      <c r="H446" s="44"/>
      <c r="I446" s="44"/>
      <c r="J446" s="8"/>
      <c r="K446" s="8"/>
    </row>
    <row r="447" spans="1:11" x14ac:dyDescent="0.25">
      <c r="A447" s="44"/>
      <c r="B447" s="44"/>
      <c r="C447" s="44"/>
      <c r="D447" s="44"/>
      <c r="E447" s="44"/>
      <c r="F447" s="44"/>
      <c r="G447" s="44"/>
      <c r="H447" s="44"/>
      <c r="I447" s="44"/>
      <c r="J447" s="8"/>
      <c r="K447" s="8"/>
    </row>
    <row r="448" spans="1:11" x14ac:dyDescent="0.25">
      <c r="A448" s="44"/>
      <c r="B448" s="44"/>
      <c r="C448" s="44"/>
      <c r="D448" s="44"/>
      <c r="E448" s="44"/>
      <c r="F448" s="44"/>
      <c r="G448" s="44"/>
      <c r="H448" s="44"/>
      <c r="I448" s="44"/>
      <c r="J448" s="8"/>
      <c r="K448" s="8"/>
    </row>
    <row r="449" spans="1:11" x14ac:dyDescent="0.25">
      <c r="A449" s="44"/>
      <c r="B449" s="44"/>
      <c r="C449" s="44"/>
      <c r="D449" s="44"/>
      <c r="E449" s="44"/>
      <c r="F449" s="44"/>
      <c r="G449" s="44"/>
      <c r="H449" s="44"/>
      <c r="I449" s="44"/>
      <c r="J449" s="8"/>
      <c r="K449" s="8"/>
    </row>
    <row r="450" spans="1:11" x14ac:dyDescent="0.25">
      <c r="A450" s="44"/>
      <c r="B450" s="44"/>
      <c r="C450" s="44"/>
      <c r="D450" s="44"/>
      <c r="E450" s="44"/>
      <c r="F450" s="44"/>
      <c r="G450" s="44"/>
      <c r="H450" s="44"/>
      <c r="I450" s="44"/>
      <c r="J450" s="8"/>
      <c r="K450" s="8"/>
    </row>
    <row r="451" spans="1:11" x14ac:dyDescent="0.25">
      <c r="A451" s="44"/>
      <c r="B451" s="44"/>
      <c r="C451" s="44"/>
      <c r="D451" s="44"/>
      <c r="E451" s="44"/>
      <c r="F451" s="44"/>
      <c r="G451" s="44"/>
      <c r="H451" s="44"/>
      <c r="I451" s="44"/>
      <c r="J451" s="8"/>
      <c r="K451" s="8"/>
    </row>
    <row r="452" spans="1:11" x14ac:dyDescent="0.25">
      <c r="A452" s="44"/>
      <c r="B452" s="44"/>
      <c r="C452" s="44"/>
      <c r="D452" s="44"/>
      <c r="E452" s="44"/>
      <c r="F452" s="44"/>
      <c r="G452" s="44"/>
      <c r="H452" s="44"/>
      <c r="I452" s="44"/>
      <c r="J452" s="8"/>
      <c r="K452" s="8"/>
    </row>
    <row r="453" spans="1:11" x14ac:dyDescent="0.25">
      <c r="A453" s="44"/>
      <c r="B453" s="44"/>
      <c r="C453" s="44"/>
      <c r="D453" s="44"/>
      <c r="E453" s="44"/>
      <c r="F453" s="44"/>
      <c r="G453" s="44"/>
      <c r="H453" s="44"/>
      <c r="I453" s="44"/>
      <c r="J453" s="8"/>
      <c r="K453" s="8"/>
    </row>
    <row r="454" spans="1:11" x14ac:dyDescent="0.25">
      <c r="A454" s="44"/>
      <c r="B454" s="44"/>
      <c r="C454" s="44"/>
      <c r="D454" s="44"/>
      <c r="E454" s="44"/>
      <c r="F454" s="44"/>
      <c r="G454" s="44"/>
      <c r="H454" s="44"/>
      <c r="I454" s="44"/>
      <c r="J454" s="8"/>
      <c r="K454" s="8"/>
    </row>
    <row r="455" spans="1:11" x14ac:dyDescent="0.25">
      <c r="A455" s="44"/>
      <c r="B455" s="44"/>
      <c r="C455" s="44"/>
      <c r="D455" s="44"/>
      <c r="E455" s="44"/>
      <c r="F455" s="44"/>
      <c r="G455" s="44"/>
      <c r="H455" s="44"/>
      <c r="I455" s="44"/>
      <c r="J455" s="8"/>
      <c r="K455" s="8"/>
    </row>
    <row r="456" spans="1:11" x14ac:dyDescent="0.25">
      <c r="A456" s="44"/>
      <c r="B456" s="44"/>
      <c r="C456" s="44"/>
      <c r="D456" s="44"/>
      <c r="E456" s="44"/>
      <c r="F456" s="44"/>
      <c r="G456" s="44"/>
      <c r="H456" s="44"/>
      <c r="I456" s="44"/>
      <c r="J456" s="8"/>
      <c r="K456" s="8"/>
    </row>
    <row r="457" spans="1:11" x14ac:dyDescent="0.25">
      <c r="A457" s="44"/>
      <c r="B457" s="44"/>
      <c r="C457" s="44"/>
      <c r="D457" s="44"/>
      <c r="E457" s="44"/>
      <c r="F457" s="44"/>
      <c r="G457" s="44"/>
      <c r="H457" s="44"/>
      <c r="I457" s="44"/>
      <c r="J457" s="8"/>
      <c r="K457" s="8"/>
    </row>
    <row r="458" spans="1:11" x14ac:dyDescent="0.25">
      <c r="A458" s="44"/>
      <c r="B458" s="44"/>
      <c r="C458" s="44"/>
      <c r="D458" s="44"/>
      <c r="E458" s="44"/>
      <c r="F458" s="44"/>
      <c r="G458" s="44"/>
      <c r="H458" s="44"/>
      <c r="I458" s="44"/>
      <c r="J458" s="8"/>
      <c r="K458" s="8"/>
    </row>
    <row r="459" spans="1:11" x14ac:dyDescent="0.25">
      <c r="A459" s="44"/>
      <c r="B459" s="44"/>
      <c r="C459" s="44"/>
      <c r="D459" s="44"/>
      <c r="E459" s="44"/>
      <c r="F459" s="44"/>
      <c r="G459" s="44"/>
      <c r="H459" s="44"/>
      <c r="I459" s="44"/>
      <c r="J459" s="8"/>
      <c r="K459" s="8"/>
    </row>
    <row r="460" spans="1:11" x14ac:dyDescent="0.25">
      <c r="A460" s="44"/>
      <c r="B460" s="44"/>
      <c r="C460" s="44"/>
      <c r="D460" s="44"/>
      <c r="E460" s="44"/>
      <c r="F460" s="44"/>
      <c r="G460" s="44"/>
      <c r="H460" s="44"/>
      <c r="I460" s="44"/>
      <c r="J460" s="8"/>
      <c r="K460" s="8"/>
    </row>
    <row r="461" spans="1:11" x14ac:dyDescent="0.25">
      <c r="A461" s="44"/>
      <c r="B461" s="44"/>
      <c r="C461" s="44"/>
      <c r="D461" s="44"/>
      <c r="E461" s="44"/>
      <c r="F461" s="44"/>
      <c r="G461" s="44"/>
      <c r="H461" s="44"/>
      <c r="I461" s="44"/>
      <c r="J461" s="8"/>
      <c r="K461" s="8"/>
    </row>
    <row r="462" spans="1:11" x14ac:dyDescent="0.25">
      <c r="A462" s="44"/>
      <c r="B462" s="44"/>
      <c r="C462" s="44"/>
      <c r="D462" s="44"/>
      <c r="E462" s="44"/>
      <c r="F462" s="44"/>
      <c r="G462" s="44"/>
      <c r="H462" s="44"/>
      <c r="I462" s="44"/>
      <c r="J462" s="8"/>
      <c r="K462" s="8"/>
    </row>
    <row r="463" spans="1:11" x14ac:dyDescent="0.25">
      <c r="A463" s="44"/>
      <c r="B463" s="44"/>
      <c r="C463" s="44"/>
      <c r="D463" s="44"/>
      <c r="E463" s="44"/>
      <c r="F463" s="44"/>
      <c r="G463" s="44"/>
      <c r="H463" s="44"/>
      <c r="I463" s="44"/>
      <c r="J463" s="8"/>
      <c r="K463" s="8"/>
    </row>
    <row r="464" spans="1:11" x14ac:dyDescent="0.25">
      <c r="A464" s="44"/>
      <c r="B464" s="44"/>
      <c r="C464" s="44"/>
      <c r="D464" s="44"/>
      <c r="E464" s="44"/>
      <c r="F464" s="44"/>
      <c r="G464" s="44"/>
      <c r="H464" s="44"/>
      <c r="I464" s="44"/>
      <c r="J464" s="8"/>
      <c r="K464" s="8"/>
    </row>
    <row r="465" spans="1:11" x14ac:dyDescent="0.25">
      <c r="A465" s="44"/>
      <c r="B465" s="44"/>
      <c r="C465" s="44"/>
      <c r="D465" s="44"/>
      <c r="E465" s="44"/>
      <c r="F465" s="44"/>
      <c r="G465" s="44"/>
      <c r="H465" s="44"/>
      <c r="I465" s="44"/>
      <c r="J465" s="8"/>
      <c r="K465" s="8"/>
    </row>
    <row r="466" spans="1:11" x14ac:dyDescent="0.25">
      <c r="A466" s="44"/>
      <c r="B466" s="44"/>
      <c r="C466" s="44"/>
      <c r="D466" s="44"/>
      <c r="E466" s="44"/>
      <c r="F466" s="44"/>
      <c r="G466" s="44"/>
      <c r="H466" s="44"/>
      <c r="I466" s="44"/>
      <c r="J466" s="8"/>
      <c r="K466" s="8"/>
    </row>
    <row r="467" spans="1:11" x14ac:dyDescent="0.25">
      <c r="A467" s="44"/>
      <c r="B467" s="44"/>
      <c r="C467" s="44"/>
      <c r="D467" s="44"/>
      <c r="E467" s="44"/>
      <c r="F467" s="44"/>
      <c r="G467" s="44"/>
      <c r="H467" s="44"/>
      <c r="I467" s="44"/>
      <c r="J467" s="8"/>
      <c r="K467" s="8"/>
    </row>
    <row r="468" spans="1:11" x14ac:dyDescent="0.25">
      <c r="A468" s="44"/>
      <c r="B468" s="44"/>
      <c r="C468" s="44"/>
      <c r="D468" s="44"/>
      <c r="E468" s="44"/>
      <c r="F468" s="44"/>
      <c r="G468" s="44"/>
      <c r="H468" s="44"/>
      <c r="I468" s="44"/>
      <c r="J468" s="8"/>
      <c r="K468" s="8"/>
    </row>
    <row r="469" spans="1:11" x14ac:dyDescent="0.25">
      <c r="A469" s="44"/>
      <c r="B469" s="44"/>
      <c r="C469" s="44"/>
      <c r="D469" s="44"/>
      <c r="E469" s="44"/>
      <c r="F469" s="44"/>
      <c r="G469" s="44"/>
      <c r="H469" s="44"/>
      <c r="I469" s="44"/>
      <c r="J469" s="8"/>
      <c r="K469" s="8"/>
    </row>
    <row r="470" spans="1:11" x14ac:dyDescent="0.25">
      <c r="A470" s="44"/>
      <c r="B470" s="44"/>
      <c r="C470" s="44"/>
      <c r="D470" s="44"/>
      <c r="E470" s="44"/>
      <c r="F470" s="44"/>
      <c r="G470" s="44"/>
      <c r="H470" s="44"/>
      <c r="I470" s="44"/>
      <c r="J470" s="8"/>
      <c r="K470" s="8"/>
    </row>
    <row r="471" spans="1:11" x14ac:dyDescent="0.25">
      <c r="A471" s="44"/>
      <c r="B471" s="44"/>
      <c r="C471" s="44"/>
      <c r="D471" s="44"/>
      <c r="E471" s="44"/>
      <c r="F471" s="44"/>
      <c r="G471" s="44"/>
      <c r="H471" s="44"/>
      <c r="I471" s="44"/>
      <c r="J471" s="8"/>
      <c r="K471" s="8"/>
    </row>
    <row r="472" spans="1:11" x14ac:dyDescent="0.25">
      <c r="A472" s="44"/>
      <c r="B472" s="44"/>
      <c r="C472" s="44"/>
      <c r="D472" s="44"/>
      <c r="E472" s="44"/>
      <c r="F472" s="44"/>
      <c r="G472" s="44"/>
      <c r="H472" s="44"/>
      <c r="I472" s="44"/>
      <c r="J472" s="8"/>
      <c r="K472" s="8"/>
    </row>
    <row r="473" spans="1:11" x14ac:dyDescent="0.25">
      <c r="A473" s="44"/>
      <c r="B473" s="44"/>
      <c r="C473" s="44"/>
      <c r="D473" s="44"/>
      <c r="E473" s="44"/>
      <c r="F473" s="44"/>
      <c r="G473" s="44"/>
      <c r="H473" s="44"/>
      <c r="I473" s="44"/>
      <c r="J473" s="8"/>
      <c r="K473" s="8"/>
    </row>
    <row r="474" spans="1:11" x14ac:dyDescent="0.25">
      <c r="A474" s="44"/>
      <c r="B474" s="44"/>
      <c r="C474" s="44"/>
      <c r="D474" s="44"/>
      <c r="E474" s="44"/>
      <c r="F474" s="44"/>
      <c r="G474" s="44"/>
      <c r="H474" s="44"/>
      <c r="I474" s="44"/>
      <c r="J474" s="8"/>
      <c r="K474" s="8"/>
    </row>
    <row r="475" spans="1:11" x14ac:dyDescent="0.25">
      <c r="A475" s="44"/>
      <c r="B475" s="44"/>
      <c r="C475" s="44"/>
      <c r="D475" s="44"/>
      <c r="E475" s="44"/>
      <c r="F475" s="44"/>
      <c r="G475" s="44"/>
      <c r="H475" s="44"/>
      <c r="I475" s="44"/>
      <c r="J475" s="8"/>
      <c r="K475" s="8"/>
    </row>
    <row r="476" spans="1:11" x14ac:dyDescent="0.25">
      <c r="A476" s="44"/>
      <c r="B476" s="44"/>
      <c r="C476" s="44"/>
      <c r="D476" s="44"/>
      <c r="E476" s="44"/>
      <c r="F476" s="44"/>
      <c r="G476" s="44"/>
      <c r="H476" s="44"/>
      <c r="I476" s="44"/>
      <c r="J476" s="8"/>
      <c r="K476" s="8"/>
    </row>
    <row r="477" spans="1:11" x14ac:dyDescent="0.25">
      <c r="A477" s="44"/>
      <c r="B477" s="44"/>
      <c r="C477" s="44"/>
      <c r="D477" s="44"/>
      <c r="E477" s="44"/>
      <c r="F477" s="44"/>
      <c r="G477" s="44"/>
      <c r="H477" s="44"/>
      <c r="I477" s="44"/>
      <c r="J477" s="8"/>
      <c r="K477" s="8"/>
    </row>
    <row r="478" spans="1:11" x14ac:dyDescent="0.25">
      <c r="A478" s="44"/>
      <c r="B478" s="44"/>
      <c r="C478" s="44"/>
      <c r="D478" s="44"/>
      <c r="E478" s="44"/>
      <c r="F478" s="44"/>
      <c r="G478" s="44"/>
      <c r="H478" s="44"/>
      <c r="I478" s="44"/>
      <c r="J478" s="8"/>
      <c r="K478" s="8"/>
    </row>
    <row r="479" spans="1:11" x14ac:dyDescent="0.25">
      <c r="A479" s="44"/>
      <c r="B479" s="44"/>
      <c r="C479" s="44"/>
      <c r="D479" s="44"/>
      <c r="E479" s="44"/>
      <c r="F479" s="44"/>
      <c r="G479" s="44"/>
      <c r="H479" s="44"/>
      <c r="I479" s="44"/>
      <c r="J479" s="8"/>
      <c r="K479" s="8"/>
    </row>
    <row r="480" spans="1:11" x14ac:dyDescent="0.25">
      <c r="A480" s="44"/>
      <c r="B480" s="44"/>
      <c r="C480" s="44"/>
      <c r="D480" s="44"/>
      <c r="E480" s="44"/>
      <c r="F480" s="44"/>
      <c r="G480" s="44"/>
      <c r="H480" s="44"/>
      <c r="I480" s="44"/>
      <c r="J480" s="8"/>
      <c r="K480" s="8"/>
    </row>
    <row r="481" spans="1:11" x14ac:dyDescent="0.25">
      <c r="A481" s="44"/>
      <c r="B481" s="44"/>
      <c r="C481" s="44"/>
      <c r="D481" s="44"/>
      <c r="E481" s="44"/>
      <c r="F481" s="44"/>
      <c r="G481" s="44"/>
      <c r="H481" s="44"/>
      <c r="I481" s="44"/>
      <c r="J481" s="8"/>
      <c r="K481" s="8"/>
    </row>
    <row r="482" spans="1:11" x14ac:dyDescent="0.25">
      <c r="A482" s="44"/>
      <c r="B482" s="44"/>
      <c r="C482" s="44"/>
      <c r="D482" s="44"/>
      <c r="E482" s="44"/>
      <c r="F482" s="44"/>
      <c r="G482" s="44"/>
      <c r="H482" s="44"/>
      <c r="I482" s="44"/>
      <c r="J482" s="8"/>
      <c r="K482" s="8"/>
    </row>
    <row r="483" spans="1:11" x14ac:dyDescent="0.25">
      <c r="A483" s="44"/>
      <c r="B483" s="44"/>
      <c r="C483" s="44"/>
      <c r="D483" s="44"/>
      <c r="E483" s="44"/>
      <c r="F483" s="44"/>
      <c r="G483" s="44"/>
      <c r="H483" s="44"/>
      <c r="I483" s="44"/>
      <c r="J483" s="8"/>
      <c r="K483" s="8"/>
    </row>
    <row r="484" spans="1:11" x14ac:dyDescent="0.25">
      <c r="A484" s="44"/>
      <c r="B484" s="44"/>
      <c r="C484" s="44"/>
      <c r="D484" s="44"/>
      <c r="E484" s="44"/>
      <c r="F484" s="44"/>
      <c r="G484" s="44"/>
      <c r="H484" s="44"/>
      <c r="I484" s="44"/>
      <c r="J484" s="8"/>
      <c r="K484" s="8"/>
    </row>
    <row r="485" spans="1:11" x14ac:dyDescent="0.25">
      <c r="A485" s="44"/>
      <c r="B485" s="44"/>
      <c r="C485" s="44"/>
      <c r="D485" s="44"/>
      <c r="E485" s="44"/>
      <c r="F485" s="44"/>
      <c r="G485" s="44"/>
      <c r="H485" s="44"/>
      <c r="I485" s="44"/>
      <c r="J485" s="8"/>
      <c r="K485" s="8"/>
    </row>
    <row r="486" spans="1:11" x14ac:dyDescent="0.25">
      <c r="A486" s="44"/>
      <c r="B486" s="44"/>
      <c r="C486" s="44"/>
      <c r="D486" s="44"/>
      <c r="E486" s="44"/>
      <c r="F486" s="44"/>
      <c r="G486" s="44"/>
      <c r="H486" s="44"/>
      <c r="I486" s="44"/>
      <c r="J486" s="8"/>
      <c r="K486" s="8"/>
    </row>
    <row r="487" spans="1:11" x14ac:dyDescent="0.25">
      <c r="A487" s="44"/>
      <c r="B487" s="44"/>
      <c r="C487" s="44"/>
      <c r="D487" s="44"/>
      <c r="E487" s="44"/>
      <c r="F487" s="44"/>
      <c r="G487" s="44"/>
      <c r="H487" s="44"/>
      <c r="I487" s="44"/>
      <c r="J487" s="8"/>
      <c r="K487" s="8"/>
    </row>
    <row r="488" spans="1:11" x14ac:dyDescent="0.25">
      <c r="A488" s="44"/>
      <c r="B488" s="44"/>
      <c r="C488" s="44"/>
      <c r="D488" s="44"/>
      <c r="E488" s="44"/>
      <c r="F488" s="44"/>
      <c r="G488" s="44"/>
      <c r="H488" s="44"/>
      <c r="I488" s="44"/>
      <c r="J488" s="8"/>
      <c r="K488" s="8"/>
    </row>
    <row r="489" spans="1:11" x14ac:dyDescent="0.25">
      <c r="A489" s="44"/>
      <c r="B489" s="44"/>
      <c r="C489" s="44"/>
      <c r="D489" s="44"/>
      <c r="E489" s="44"/>
      <c r="F489" s="44"/>
      <c r="G489" s="44"/>
      <c r="H489" s="44"/>
      <c r="I489" s="44"/>
      <c r="J489" s="8"/>
      <c r="K489" s="8"/>
    </row>
    <row r="490" spans="1:11" x14ac:dyDescent="0.25">
      <c r="A490" s="44"/>
      <c r="B490" s="44"/>
      <c r="C490" s="44"/>
      <c r="D490" s="44"/>
      <c r="E490" s="44"/>
      <c r="F490" s="44"/>
      <c r="G490" s="44"/>
      <c r="H490" s="44"/>
      <c r="I490" s="44"/>
      <c r="J490" s="8"/>
      <c r="K490" s="8"/>
    </row>
    <row r="491" spans="1:11" x14ac:dyDescent="0.25">
      <c r="A491" s="44"/>
      <c r="B491" s="44"/>
      <c r="C491" s="44"/>
      <c r="D491" s="44"/>
      <c r="E491" s="44"/>
      <c r="F491" s="44"/>
      <c r="G491" s="44"/>
      <c r="H491" s="44"/>
      <c r="I491" s="44"/>
      <c r="J491" s="8"/>
      <c r="K491" s="8"/>
    </row>
    <row r="492" spans="1:11" x14ac:dyDescent="0.25">
      <c r="A492" s="44"/>
      <c r="B492" s="44"/>
      <c r="C492" s="44"/>
      <c r="D492" s="44"/>
      <c r="E492" s="44"/>
      <c r="F492" s="44"/>
      <c r="G492" s="44"/>
      <c r="H492" s="44"/>
      <c r="I492" s="44"/>
      <c r="J492" s="8"/>
      <c r="K492" s="8"/>
    </row>
    <row r="493" spans="1:11" x14ac:dyDescent="0.25">
      <c r="A493" s="44"/>
      <c r="B493" s="44"/>
      <c r="C493" s="44"/>
      <c r="D493" s="44"/>
      <c r="E493" s="44"/>
      <c r="F493" s="44"/>
      <c r="G493" s="44"/>
      <c r="H493" s="44"/>
      <c r="I493" s="44"/>
      <c r="J493" s="8"/>
      <c r="K493" s="8"/>
    </row>
    <row r="494" spans="1:11" x14ac:dyDescent="0.25">
      <c r="A494" s="44"/>
      <c r="B494" s="44"/>
      <c r="C494" s="44"/>
      <c r="D494" s="44"/>
      <c r="E494" s="44"/>
      <c r="F494" s="44"/>
      <c r="G494" s="44"/>
      <c r="H494" s="44"/>
      <c r="I494" s="44"/>
      <c r="J494" s="8"/>
      <c r="K494" s="8"/>
    </row>
    <row r="495" spans="1:11" x14ac:dyDescent="0.25">
      <c r="A495" s="44"/>
      <c r="B495" s="44"/>
      <c r="C495" s="44"/>
      <c r="D495" s="44"/>
      <c r="E495" s="44"/>
      <c r="F495" s="44"/>
      <c r="G495" s="44"/>
      <c r="H495" s="44"/>
      <c r="I495" s="44"/>
      <c r="J495" s="8"/>
      <c r="K495" s="8"/>
    </row>
    <row r="496" spans="1:11" x14ac:dyDescent="0.25">
      <c r="A496" s="44"/>
      <c r="B496" s="44"/>
      <c r="C496" s="44"/>
      <c r="D496" s="44"/>
      <c r="E496" s="44"/>
      <c r="F496" s="44"/>
      <c r="G496" s="44"/>
      <c r="H496" s="44"/>
      <c r="I496" s="44"/>
      <c r="J496" s="8"/>
      <c r="K496" s="8"/>
    </row>
    <row r="497" spans="1:11" x14ac:dyDescent="0.25">
      <c r="A497" s="44"/>
      <c r="B497" s="44"/>
      <c r="C497" s="44"/>
      <c r="D497" s="44"/>
      <c r="E497" s="44"/>
      <c r="F497" s="44"/>
      <c r="G497" s="44"/>
      <c r="H497" s="44"/>
      <c r="I497" s="44"/>
      <c r="J497" s="8"/>
      <c r="K497" s="8"/>
    </row>
    <row r="498" spans="1:11" x14ac:dyDescent="0.25">
      <c r="A498" s="44"/>
      <c r="B498" s="44"/>
      <c r="C498" s="44"/>
      <c r="D498" s="44"/>
      <c r="E498" s="44"/>
      <c r="F498" s="44"/>
      <c r="G498" s="44"/>
      <c r="H498" s="44"/>
      <c r="I498" s="44"/>
      <c r="J498" s="8"/>
      <c r="K498" s="8"/>
    </row>
    <row r="499" spans="1:11" x14ac:dyDescent="0.25">
      <c r="A499" s="44"/>
      <c r="B499" s="44"/>
      <c r="C499" s="44"/>
      <c r="D499" s="44"/>
      <c r="E499" s="44"/>
      <c r="F499" s="44"/>
      <c r="G499" s="44"/>
      <c r="H499" s="44"/>
      <c r="I499" s="44"/>
      <c r="J499" s="8"/>
      <c r="K499" s="8"/>
    </row>
    <row r="500" spans="1:11" x14ac:dyDescent="0.25">
      <c r="A500" s="44"/>
      <c r="B500" s="44"/>
      <c r="C500" s="44"/>
      <c r="D500" s="44"/>
      <c r="E500" s="44"/>
      <c r="F500" s="44"/>
      <c r="G500" s="44"/>
      <c r="H500" s="44"/>
      <c r="I500" s="44"/>
      <c r="J500" s="8"/>
      <c r="K500" s="8"/>
    </row>
    <row r="501" spans="1:11" x14ac:dyDescent="0.25">
      <c r="A501" s="44"/>
      <c r="B501" s="44"/>
      <c r="C501" s="44"/>
      <c r="D501" s="44"/>
      <c r="E501" s="44"/>
      <c r="F501" s="44"/>
      <c r="G501" s="44"/>
      <c r="H501" s="44"/>
      <c r="I501" s="44"/>
      <c r="J501" s="8"/>
      <c r="K501" s="8"/>
    </row>
    <row r="502" spans="1:11" x14ac:dyDescent="0.25">
      <c r="A502" s="44"/>
      <c r="B502" s="44"/>
      <c r="C502" s="44"/>
      <c r="D502" s="44"/>
      <c r="E502" s="44"/>
      <c r="F502" s="44"/>
      <c r="G502" s="44"/>
      <c r="H502" s="44"/>
      <c r="I502" s="44"/>
      <c r="J502" s="8"/>
      <c r="K502" s="8"/>
    </row>
    <row r="503" spans="1:11" x14ac:dyDescent="0.25">
      <c r="A503" s="44"/>
      <c r="B503" s="44"/>
      <c r="C503" s="44"/>
      <c r="D503" s="44"/>
      <c r="E503" s="44"/>
      <c r="F503" s="44"/>
      <c r="G503" s="44"/>
      <c r="H503" s="44"/>
      <c r="I503" s="44"/>
      <c r="J503" s="8"/>
      <c r="K503" s="8"/>
    </row>
    <row r="504" spans="1:11" x14ac:dyDescent="0.25">
      <c r="A504" s="44"/>
      <c r="B504" s="44"/>
      <c r="C504" s="44"/>
      <c r="D504" s="44"/>
      <c r="E504" s="44"/>
      <c r="F504" s="44"/>
      <c r="G504" s="44"/>
      <c r="H504" s="44"/>
      <c r="I504" s="44"/>
      <c r="J504" s="8"/>
      <c r="K504" s="8"/>
    </row>
    <row r="505" spans="1:11" x14ac:dyDescent="0.25">
      <c r="A505" s="44"/>
      <c r="B505" s="44"/>
      <c r="C505" s="44"/>
      <c r="D505" s="44"/>
      <c r="E505" s="44"/>
      <c r="F505" s="44"/>
      <c r="G505" s="44"/>
      <c r="H505" s="44"/>
      <c r="I505" s="44"/>
      <c r="J505" s="8"/>
      <c r="K505" s="8"/>
    </row>
    <row r="506" spans="1:11" x14ac:dyDescent="0.25">
      <c r="A506" s="44"/>
      <c r="B506" s="44"/>
      <c r="C506" s="44"/>
      <c r="D506" s="44"/>
      <c r="E506" s="44"/>
      <c r="F506" s="44"/>
      <c r="G506" s="44"/>
      <c r="H506" s="44"/>
      <c r="I506" s="44"/>
      <c r="J506" s="8"/>
      <c r="K506" s="8"/>
    </row>
    <row r="507" spans="1:11" x14ac:dyDescent="0.25">
      <c r="A507" s="44"/>
      <c r="B507" s="44"/>
      <c r="C507" s="44"/>
      <c r="D507" s="44"/>
      <c r="E507" s="44"/>
      <c r="F507" s="44"/>
      <c r="G507" s="44"/>
      <c r="H507" s="44"/>
      <c r="I507" s="44"/>
      <c r="J507" s="8"/>
      <c r="K507" s="8"/>
    </row>
    <row r="508" spans="1:11" x14ac:dyDescent="0.25">
      <c r="A508" s="44"/>
      <c r="B508" s="44"/>
      <c r="C508" s="44"/>
      <c r="D508" s="44"/>
      <c r="E508" s="44"/>
      <c r="F508" s="44"/>
      <c r="G508" s="44"/>
      <c r="H508" s="44"/>
      <c r="I508" s="44"/>
      <c r="J508" s="8"/>
      <c r="K508" s="8"/>
    </row>
    <row r="509" spans="1:11" x14ac:dyDescent="0.25">
      <c r="A509" s="44"/>
      <c r="B509" s="44"/>
      <c r="C509" s="44"/>
      <c r="D509" s="44"/>
      <c r="E509" s="44"/>
      <c r="F509" s="44"/>
      <c r="G509" s="44"/>
      <c r="H509" s="44"/>
      <c r="I509" s="44"/>
      <c r="J509" s="8"/>
      <c r="K509" s="8"/>
    </row>
    <row r="510" spans="1:11" x14ac:dyDescent="0.25">
      <c r="A510" s="44"/>
      <c r="B510" s="44"/>
      <c r="C510" s="44"/>
      <c r="D510" s="44"/>
      <c r="E510" s="44"/>
      <c r="F510" s="44"/>
      <c r="G510" s="44"/>
      <c r="H510" s="44"/>
      <c r="I510" s="44"/>
      <c r="J510" s="8"/>
      <c r="K510" s="8"/>
    </row>
    <row r="511" spans="1:11" x14ac:dyDescent="0.25">
      <c r="A511" s="44"/>
      <c r="B511" s="44"/>
      <c r="C511" s="44"/>
      <c r="D511" s="44"/>
      <c r="E511" s="44"/>
      <c r="F511" s="44"/>
      <c r="G511" s="44"/>
      <c r="H511" s="44"/>
      <c r="I511" s="44"/>
      <c r="J511" s="8"/>
      <c r="K511" s="8"/>
    </row>
    <row r="512" spans="1:11" x14ac:dyDescent="0.25">
      <c r="A512" s="44"/>
      <c r="B512" s="44"/>
      <c r="C512" s="44"/>
      <c r="D512" s="44"/>
      <c r="E512" s="44"/>
      <c r="F512" s="44"/>
      <c r="G512" s="44"/>
      <c r="H512" s="44"/>
      <c r="I512" s="44"/>
      <c r="J512" s="8"/>
      <c r="K512" s="8"/>
    </row>
    <row r="513" spans="1:11" x14ac:dyDescent="0.25">
      <c r="A513" s="44"/>
      <c r="B513" s="44"/>
      <c r="C513" s="44"/>
      <c r="D513" s="44"/>
      <c r="E513" s="44"/>
      <c r="F513" s="44"/>
      <c r="G513" s="44"/>
      <c r="H513" s="44"/>
      <c r="I513" s="44"/>
      <c r="J513" s="8"/>
      <c r="K513" s="8"/>
    </row>
    <row r="514" spans="1:11" x14ac:dyDescent="0.25">
      <c r="A514" s="44"/>
      <c r="B514" s="44"/>
      <c r="C514" s="44"/>
      <c r="D514" s="44"/>
      <c r="E514" s="44"/>
      <c r="F514" s="44"/>
      <c r="G514" s="44"/>
      <c r="H514" s="44"/>
      <c r="I514" s="44"/>
      <c r="J514" s="8"/>
      <c r="K514" s="8"/>
    </row>
    <row r="515" spans="1:11" x14ac:dyDescent="0.25">
      <c r="A515" s="44"/>
      <c r="B515" s="44"/>
      <c r="C515" s="44"/>
      <c r="D515" s="44"/>
      <c r="E515" s="44"/>
      <c r="F515" s="44"/>
      <c r="G515" s="44"/>
      <c r="H515" s="44"/>
      <c r="I515" s="44"/>
      <c r="J515" s="8"/>
      <c r="K515" s="8"/>
    </row>
    <row r="516" spans="1:11" x14ac:dyDescent="0.25">
      <c r="A516" s="44"/>
      <c r="B516" s="44"/>
      <c r="C516" s="44"/>
      <c r="D516" s="44"/>
      <c r="E516" s="44"/>
      <c r="F516" s="44"/>
      <c r="G516" s="44"/>
      <c r="H516" s="44"/>
      <c r="I516" s="44"/>
      <c r="J516" s="8"/>
      <c r="K516" s="8"/>
    </row>
    <row r="517" spans="1:11" x14ac:dyDescent="0.25">
      <c r="A517" s="44"/>
      <c r="B517" s="44"/>
      <c r="C517" s="44"/>
      <c r="D517" s="44"/>
      <c r="E517" s="44"/>
      <c r="F517" s="44"/>
      <c r="G517" s="44"/>
      <c r="H517" s="44"/>
      <c r="I517" s="44"/>
      <c r="J517" s="8"/>
      <c r="K517" s="8"/>
    </row>
    <row r="518" spans="1:11" x14ac:dyDescent="0.25">
      <c r="A518" s="44"/>
      <c r="B518" s="44"/>
      <c r="C518" s="44"/>
      <c r="D518" s="44"/>
      <c r="E518" s="44"/>
      <c r="F518" s="44"/>
      <c r="G518" s="44"/>
      <c r="H518" s="44"/>
      <c r="I518" s="44"/>
      <c r="J518" s="8"/>
      <c r="K518" s="8"/>
    </row>
    <row r="519" spans="1:11" x14ac:dyDescent="0.25">
      <c r="A519" s="44"/>
      <c r="B519" s="44"/>
      <c r="C519" s="44"/>
      <c r="D519" s="44"/>
      <c r="E519" s="44"/>
      <c r="F519" s="44"/>
      <c r="G519" s="44"/>
      <c r="H519" s="44"/>
      <c r="I519" s="44"/>
      <c r="J519" s="8"/>
      <c r="K519" s="8"/>
    </row>
    <row r="520" spans="1:11" x14ac:dyDescent="0.25">
      <c r="A520" s="44"/>
      <c r="B520" s="44"/>
      <c r="C520" s="44"/>
      <c r="D520" s="44"/>
      <c r="E520" s="44"/>
      <c r="F520" s="44"/>
      <c r="G520" s="44"/>
      <c r="H520" s="44"/>
      <c r="I520" s="44"/>
      <c r="J520" s="8"/>
      <c r="K520" s="8"/>
    </row>
    <row r="521" spans="1:11" x14ac:dyDescent="0.25">
      <c r="A521" s="44"/>
      <c r="B521" s="44"/>
      <c r="C521" s="44"/>
      <c r="D521" s="44"/>
      <c r="E521" s="44"/>
      <c r="F521" s="44"/>
      <c r="G521" s="44"/>
      <c r="H521" s="44"/>
      <c r="I521" s="44"/>
      <c r="J521" s="8"/>
      <c r="K521" s="8"/>
    </row>
    <row r="522" spans="1:11" x14ac:dyDescent="0.25">
      <c r="A522" s="44"/>
      <c r="B522" s="44"/>
      <c r="C522" s="44"/>
      <c r="D522" s="44"/>
      <c r="E522" s="44"/>
      <c r="F522" s="44"/>
      <c r="G522" s="44"/>
      <c r="H522" s="44"/>
      <c r="I522" s="44"/>
      <c r="J522" s="8"/>
      <c r="K522" s="8"/>
    </row>
    <row r="523" spans="1:11" x14ac:dyDescent="0.25">
      <c r="A523" s="44"/>
      <c r="B523" s="44"/>
      <c r="C523" s="44"/>
      <c r="D523" s="44"/>
      <c r="E523" s="44"/>
      <c r="F523" s="44"/>
      <c r="G523" s="44"/>
      <c r="H523" s="44"/>
      <c r="I523" s="44"/>
      <c r="J523" s="8"/>
      <c r="K523" s="8"/>
    </row>
    <row r="524" spans="1:11" x14ac:dyDescent="0.25">
      <c r="A524" s="44"/>
      <c r="B524" s="44"/>
      <c r="C524" s="44"/>
      <c r="D524" s="44"/>
      <c r="E524" s="44"/>
      <c r="F524" s="44"/>
      <c r="G524" s="44"/>
      <c r="H524" s="44"/>
      <c r="I524" s="44"/>
      <c r="J524" s="8"/>
      <c r="K524" s="8"/>
    </row>
    <row r="525" spans="1:11" x14ac:dyDescent="0.25">
      <c r="A525" s="44"/>
      <c r="B525" s="44"/>
      <c r="C525" s="44"/>
      <c r="D525" s="44"/>
      <c r="E525" s="44"/>
      <c r="F525" s="44"/>
      <c r="G525" s="44"/>
      <c r="H525" s="44"/>
      <c r="I525" s="44"/>
      <c r="J525" s="8"/>
      <c r="K525" s="8"/>
    </row>
    <row r="526" spans="1:11" x14ac:dyDescent="0.25">
      <c r="A526" s="44"/>
      <c r="B526" s="44"/>
      <c r="C526" s="44"/>
      <c r="D526" s="44"/>
      <c r="E526" s="44"/>
      <c r="F526" s="44"/>
      <c r="G526" s="44"/>
      <c r="H526" s="44"/>
      <c r="I526" s="44"/>
      <c r="J526" s="8"/>
      <c r="K526" s="8"/>
    </row>
    <row r="527" spans="1:11" x14ac:dyDescent="0.25">
      <c r="A527" s="44"/>
      <c r="B527" s="44"/>
      <c r="C527" s="44"/>
      <c r="D527" s="44"/>
      <c r="E527" s="44"/>
      <c r="F527" s="44"/>
      <c r="G527" s="44"/>
      <c r="H527" s="44"/>
      <c r="I527" s="44"/>
      <c r="J527" s="8"/>
      <c r="K527" s="8"/>
    </row>
    <row r="528" spans="1:11" x14ac:dyDescent="0.25">
      <c r="A528" s="44"/>
      <c r="B528" s="44"/>
      <c r="C528" s="44"/>
      <c r="D528" s="44"/>
      <c r="E528" s="44"/>
      <c r="F528" s="44"/>
      <c r="G528" s="44"/>
      <c r="H528" s="44"/>
      <c r="I528" s="44"/>
      <c r="J528" s="8"/>
      <c r="K528" s="8"/>
    </row>
    <row r="529" spans="1:11" x14ac:dyDescent="0.25">
      <c r="A529" s="44"/>
      <c r="B529" s="44"/>
      <c r="C529" s="44"/>
      <c r="D529" s="44"/>
      <c r="E529" s="44"/>
      <c r="F529" s="44"/>
      <c r="G529" s="44"/>
      <c r="H529" s="44"/>
      <c r="I529" s="44"/>
      <c r="J529" s="8"/>
      <c r="K529" s="8"/>
    </row>
    <row r="530" spans="1:11" x14ac:dyDescent="0.25">
      <c r="A530" s="44"/>
      <c r="B530" s="44"/>
      <c r="C530" s="44"/>
      <c r="D530" s="44"/>
      <c r="E530" s="44"/>
      <c r="F530" s="44"/>
      <c r="G530" s="44"/>
      <c r="H530" s="44"/>
      <c r="I530" s="44"/>
      <c r="J530" s="8"/>
      <c r="K530" s="8"/>
    </row>
    <row r="531" spans="1:11" x14ac:dyDescent="0.25">
      <c r="A531" s="44"/>
      <c r="B531" s="44"/>
      <c r="C531" s="44"/>
      <c r="D531" s="44"/>
      <c r="E531" s="44"/>
      <c r="F531" s="44"/>
      <c r="G531" s="44"/>
      <c r="H531" s="44"/>
      <c r="I531" s="44"/>
      <c r="J531" s="8"/>
      <c r="K531" s="8"/>
    </row>
    <row r="532" spans="1:11" x14ac:dyDescent="0.25">
      <c r="A532" s="44"/>
      <c r="B532" s="44"/>
      <c r="C532" s="44"/>
      <c r="D532" s="44"/>
      <c r="E532" s="44"/>
      <c r="F532" s="44"/>
      <c r="G532" s="44"/>
      <c r="H532" s="44"/>
      <c r="I532" s="44"/>
      <c r="J532" s="8"/>
      <c r="K532" s="8"/>
    </row>
    <row r="533" spans="1:11" x14ac:dyDescent="0.25">
      <c r="A533" s="44"/>
      <c r="B533" s="44"/>
      <c r="C533" s="44"/>
      <c r="D533" s="44"/>
      <c r="E533" s="44"/>
      <c r="F533" s="44"/>
      <c r="G533" s="44"/>
      <c r="H533" s="44"/>
      <c r="I533" s="44"/>
      <c r="J533" s="8"/>
      <c r="K533" s="8"/>
    </row>
    <row r="534" spans="1:11" x14ac:dyDescent="0.25">
      <c r="A534" s="44"/>
      <c r="B534" s="44"/>
      <c r="C534" s="44"/>
      <c r="D534" s="44"/>
      <c r="E534" s="44"/>
      <c r="F534" s="44"/>
      <c r="G534" s="44"/>
      <c r="H534" s="44"/>
      <c r="I534" s="44"/>
      <c r="J534" s="8"/>
      <c r="K534" s="8"/>
    </row>
    <row r="535" spans="1:11" x14ac:dyDescent="0.25">
      <c r="A535" s="44"/>
      <c r="B535" s="44"/>
      <c r="C535" s="44"/>
      <c r="D535" s="44"/>
      <c r="E535" s="44"/>
      <c r="F535" s="44"/>
      <c r="G535" s="44"/>
      <c r="H535" s="44"/>
      <c r="I535" s="44"/>
      <c r="J535" s="8"/>
      <c r="K535" s="8"/>
    </row>
    <row r="536" spans="1:11" x14ac:dyDescent="0.25">
      <c r="A536" s="44"/>
      <c r="B536" s="44"/>
      <c r="C536" s="44"/>
      <c r="D536" s="44"/>
      <c r="E536" s="44"/>
      <c r="F536" s="44"/>
      <c r="G536" s="44"/>
      <c r="H536" s="44"/>
      <c r="I536" s="44"/>
      <c r="J536" s="8"/>
      <c r="K536" s="8"/>
    </row>
    <row r="537" spans="1:11" x14ac:dyDescent="0.25">
      <c r="A537" s="44"/>
      <c r="B537" s="44"/>
      <c r="C537" s="44"/>
      <c r="D537" s="44"/>
      <c r="E537" s="44"/>
      <c r="F537" s="44"/>
      <c r="G537" s="44"/>
      <c r="H537" s="44"/>
      <c r="I537" s="44"/>
      <c r="J537" s="8"/>
      <c r="K537" s="8"/>
    </row>
    <row r="538" spans="1:11" x14ac:dyDescent="0.25">
      <c r="A538" s="44"/>
      <c r="B538" s="44"/>
      <c r="C538" s="44"/>
      <c r="D538" s="44"/>
      <c r="E538" s="44"/>
      <c r="F538" s="44"/>
      <c r="G538" s="44"/>
      <c r="H538" s="44"/>
      <c r="I538" s="44"/>
      <c r="J538" s="8"/>
      <c r="K538" s="8"/>
    </row>
    <row r="539" spans="1:11" x14ac:dyDescent="0.25">
      <c r="A539" s="44"/>
      <c r="B539" s="44"/>
      <c r="C539" s="44"/>
      <c r="D539" s="44"/>
      <c r="E539" s="44"/>
      <c r="F539" s="44"/>
      <c r="G539" s="44"/>
      <c r="H539" s="44"/>
      <c r="I539" s="44"/>
      <c r="J539" s="8"/>
      <c r="K539" s="8"/>
    </row>
    <row r="540" spans="1:11" x14ac:dyDescent="0.25">
      <c r="A540" s="44"/>
      <c r="B540" s="44"/>
      <c r="C540" s="44"/>
      <c r="D540" s="44"/>
      <c r="E540" s="44"/>
      <c r="F540" s="44"/>
      <c r="G540" s="44"/>
      <c r="H540" s="44"/>
      <c r="I540" s="44"/>
      <c r="J540" s="8"/>
      <c r="K540" s="8"/>
    </row>
    <row r="541" spans="1:11" x14ac:dyDescent="0.25">
      <c r="A541" s="44"/>
      <c r="B541" s="44"/>
      <c r="C541" s="44"/>
      <c r="D541" s="44"/>
      <c r="E541" s="44"/>
      <c r="F541" s="44"/>
      <c r="G541" s="44"/>
      <c r="H541" s="44"/>
      <c r="I541" s="44"/>
      <c r="J541" s="8"/>
      <c r="K541" s="8"/>
    </row>
    <row r="542" spans="1:11" x14ac:dyDescent="0.25">
      <c r="A542" s="44"/>
      <c r="B542" s="44"/>
      <c r="C542" s="44"/>
      <c r="D542" s="44"/>
      <c r="E542" s="44"/>
      <c r="F542" s="44"/>
      <c r="G542" s="44"/>
      <c r="H542" s="44"/>
      <c r="I542" s="44"/>
      <c r="J542" s="8"/>
      <c r="K542" s="8"/>
    </row>
    <row r="543" spans="1:11" x14ac:dyDescent="0.25">
      <c r="A543" s="44"/>
      <c r="B543" s="44"/>
      <c r="C543" s="44"/>
      <c r="D543" s="44"/>
      <c r="E543" s="44"/>
      <c r="F543" s="44"/>
      <c r="G543" s="44"/>
      <c r="H543" s="44"/>
      <c r="I543" s="44"/>
      <c r="J543" s="8"/>
      <c r="K543" s="8"/>
    </row>
    <row r="544" spans="1:11" x14ac:dyDescent="0.25">
      <c r="A544" s="44"/>
      <c r="B544" s="44"/>
      <c r="C544" s="44"/>
      <c r="D544" s="44"/>
      <c r="E544" s="44"/>
      <c r="F544" s="44"/>
      <c r="G544" s="44"/>
      <c r="H544" s="44"/>
      <c r="I544" s="44"/>
      <c r="J544" s="8"/>
      <c r="K544" s="8"/>
    </row>
    <row r="545" spans="1:11" x14ac:dyDescent="0.25">
      <c r="A545" s="44"/>
      <c r="B545" s="44"/>
      <c r="C545" s="44"/>
      <c r="D545" s="44"/>
      <c r="E545" s="44"/>
      <c r="F545" s="44"/>
      <c r="G545" s="44"/>
      <c r="H545" s="44"/>
      <c r="I545" s="44"/>
      <c r="J545" s="8"/>
      <c r="K545" s="8"/>
    </row>
    <row r="546" spans="1:11" x14ac:dyDescent="0.25">
      <c r="A546" s="44"/>
      <c r="B546" s="44"/>
      <c r="C546" s="44"/>
      <c r="D546" s="44"/>
      <c r="E546" s="44"/>
      <c r="F546" s="44"/>
      <c r="G546" s="44"/>
      <c r="H546" s="44"/>
      <c r="I546" s="44"/>
      <c r="J546" s="8"/>
      <c r="K546" s="8"/>
    </row>
    <row r="547" spans="1:11" x14ac:dyDescent="0.25">
      <c r="A547" s="44"/>
      <c r="B547" s="44"/>
      <c r="C547" s="44"/>
      <c r="D547" s="44"/>
      <c r="E547" s="44"/>
      <c r="F547" s="44"/>
      <c r="G547" s="44"/>
      <c r="H547" s="44"/>
      <c r="I547" s="44"/>
      <c r="J547" s="8"/>
      <c r="K547" s="8"/>
    </row>
    <row r="548" spans="1:11" x14ac:dyDescent="0.25">
      <c r="A548" s="44"/>
      <c r="B548" s="44"/>
      <c r="C548" s="44"/>
      <c r="D548" s="44"/>
      <c r="E548" s="44"/>
      <c r="F548" s="44"/>
      <c r="G548" s="44"/>
      <c r="H548" s="44"/>
      <c r="I548" s="44"/>
      <c r="J548" s="8"/>
      <c r="K548" s="8"/>
    </row>
    <row r="549" spans="1:11" x14ac:dyDescent="0.25">
      <c r="A549" s="44"/>
      <c r="B549" s="44"/>
      <c r="C549" s="44"/>
      <c r="D549" s="44"/>
      <c r="E549" s="44"/>
      <c r="F549" s="44"/>
      <c r="G549" s="44"/>
      <c r="H549" s="44"/>
      <c r="I549" s="44"/>
      <c r="J549" s="8"/>
      <c r="K549" s="8"/>
    </row>
    <row r="550" spans="1:11" x14ac:dyDescent="0.25">
      <c r="A550" s="44"/>
      <c r="B550" s="44"/>
      <c r="C550" s="44"/>
      <c r="D550" s="44"/>
      <c r="E550" s="44"/>
      <c r="F550" s="44"/>
      <c r="G550" s="44"/>
      <c r="H550" s="44"/>
      <c r="I550" s="44"/>
      <c r="J550" s="8"/>
      <c r="K550" s="8"/>
    </row>
    <row r="551" spans="1:11" x14ac:dyDescent="0.25">
      <c r="A551" s="44"/>
      <c r="B551" s="44"/>
      <c r="C551" s="44"/>
      <c r="D551" s="44"/>
      <c r="E551" s="44"/>
      <c r="F551" s="44"/>
      <c r="G551" s="44"/>
      <c r="H551" s="44"/>
      <c r="I551" s="44"/>
      <c r="J551" s="8"/>
      <c r="K551" s="8"/>
    </row>
    <row r="552" spans="1:11" x14ac:dyDescent="0.25">
      <c r="A552" s="44"/>
      <c r="B552" s="44"/>
      <c r="C552" s="44"/>
      <c r="D552" s="44"/>
      <c r="E552" s="44"/>
      <c r="F552" s="44"/>
      <c r="G552" s="44"/>
      <c r="H552" s="44"/>
      <c r="I552" s="44"/>
      <c r="J552" s="8"/>
      <c r="K552" s="8"/>
    </row>
    <row r="553" spans="1:11" x14ac:dyDescent="0.25">
      <c r="A553" s="44"/>
      <c r="B553" s="44"/>
      <c r="C553" s="44"/>
      <c r="D553" s="44"/>
      <c r="E553" s="44"/>
      <c r="F553" s="44"/>
      <c r="G553" s="44"/>
      <c r="H553" s="44"/>
      <c r="I553" s="44"/>
      <c r="J553" s="8"/>
      <c r="K553" s="8"/>
    </row>
    <row r="554" spans="1:11" x14ac:dyDescent="0.25">
      <c r="A554" s="44"/>
      <c r="B554" s="44"/>
      <c r="C554" s="44"/>
      <c r="D554" s="44"/>
      <c r="E554" s="44"/>
      <c r="F554" s="44"/>
      <c r="G554" s="44"/>
      <c r="H554" s="44"/>
      <c r="I554" s="44"/>
      <c r="J554" s="8"/>
      <c r="K554" s="8"/>
    </row>
    <row r="555" spans="1:11" x14ac:dyDescent="0.25">
      <c r="A555" s="44"/>
      <c r="B555" s="44"/>
      <c r="C555" s="44"/>
      <c r="D555" s="44"/>
      <c r="E555" s="44"/>
      <c r="F555" s="44"/>
      <c r="G555" s="44"/>
      <c r="H555" s="44"/>
      <c r="I555" s="44"/>
      <c r="J555" s="8"/>
      <c r="K555" s="8"/>
    </row>
    <row r="556" spans="1:11" x14ac:dyDescent="0.25">
      <c r="A556" s="44"/>
      <c r="B556" s="44"/>
      <c r="C556" s="44"/>
      <c r="D556" s="44"/>
      <c r="E556" s="44"/>
      <c r="F556" s="44"/>
      <c r="G556" s="44"/>
      <c r="H556" s="44"/>
      <c r="I556" s="44"/>
      <c r="J556" s="8"/>
      <c r="K556" s="8"/>
    </row>
    <row r="557" spans="1:11" x14ac:dyDescent="0.25">
      <c r="A557" s="44"/>
      <c r="B557" s="44"/>
      <c r="C557" s="44"/>
      <c r="D557" s="44"/>
      <c r="E557" s="44"/>
      <c r="F557" s="44"/>
      <c r="G557" s="44"/>
      <c r="H557" s="44"/>
      <c r="I557" s="44"/>
      <c r="J557" s="8"/>
      <c r="K557" s="8"/>
    </row>
    <row r="558" spans="1:11" x14ac:dyDescent="0.25">
      <c r="A558" s="44"/>
      <c r="B558" s="44"/>
      <c r="C558" s="44"/>
      <c r="D558" s="44"/>
      <c r="E558" s="44"/>
      <c r="F558" s="44"/>
      <c r="G558" s="44"/>
      <c r="H558" s="44"/>
      <c r="I558" s="44"/>
      <c r="J558" s="8"/>
      <c r="K558" s="8"/>
    </row>
    <row r="559" spans="1:11" x14ac:dyDescent="0.25">
      <c r="A559" s="44"/>
      <c r="B559" s="44"/>
      <c r="C559" s="44"/>
      <c r="D559" s="44"/>
      <c r="E559" s="44"/>
      <c r="F559" s="44"/>
      <c r="G559" s="44"/>
      <c r="H559" s="44"/>
      <c r="I559" s="44"/>
      <c r="J559" s="8"/>
      <c r="K559" s="8"/>
    </row>
    <row r="560" spans="1:11" x14ac:dyDescent="0.25">
      <c r="A560" s="44"/>
      <c r="B560" s="44"/>
      <c r="C560" s="44"/>
      <c r="D560" s="44"/>
      <c r="E560" s="44"/>
      <c r="F560" s="44"/>
      <c r="G560" s="44"/>
      <c r="H560" s="44"/>
      <c r="I560" s="44"/>
      <c r="J560" s="8"/>
      <c r="K560" s="8"/>
    </row>
    <row r="561" spans="1:11" x14ac:dyDescent="0.25">
      <c r="A561" s="44"/>
      <c r="B561" s="44"/>
      <c r="C561" s="44"/>
      <c r="D561" s="44"/>
      <c r="E561" s="44"/>
      <c r="F561" s="44"/>
      <c r="G561" s="44"/>
      <c r="H561" s="44"/>
      <c r="I561" s="44"/>
      <c r="J561" s="8"/>
      <c r="K561" s="8"/>
    </row>
    <row r="562" spans="1:11" x14ac:dyDescent="0.25">
      <c r="A562" s="44"/>
      <c r="B562" s="44"/>
      <c r="C562" s="44"/>
      <c r="D562" s="44"/>
      <c r="E562" s="44"/>
      <c r="F562" s="44"/>
      <c r="G562" s="44"/>
      <c r="H562" s="44"/>
      <c r="I562" s="44"/>
      <c r="J562" s="8"/>
      <c r="K562" s="8"/>
    </row>
    <row r="563" spans="1:11" x14ac:dyDescent="0.25">
      <c r="A563" s="44"/>
      <c r="B563" s="44"/>
      <c r="C563" s="44"/>
      <c r="D563" s="44"/>
      <c r="E563" s="44"/>
      <c r="F563" s="44"/>
      <c r="G563" s="44"/>
      <c r="H563" s="44"/>
      <c r="I563" s="44"/>
      <c r="J563" s="8"/>
      <c r="K563" s="8"/>
    </row>
    <row r="564" spans="1:11" x14ac:dyDescent="0.25">
      <c r="A564" s="44"/>
      <c r="B564" s="44"/>
      <c r="C564" s="44"/>
      <c r="D564" s="44"/>
      <c r="E564" s="44"/>
      <c r="F564" s="44"/>
      <c r="G564" s="44"/>
      <c r="H564" s="44"/>
      <c r="I564" s="44"/>
      <c r="J564" s="8"/>
      <c r="K564" s="8"/>
    </row>
    <row r="565" spans="1:11" x14ac:dyDescent="0.25">
      <c r="A565" s="44"/>
      <c r="B565" s="44"/>
      <c r="C565" s="44"/>
      <c r="D565" s="44"/>
      <c r="E565" s="44"/>
      <c r="F565" s="44"/>
      <c r="G565" s="44"/>
      <c r="H565" s="44"/>
      <c r="I565" s="44"/>
      <c r="J565" s="8"/>
      <c r="K565" s="8"/>
    </row>
    <row r="566" spans="1:11" x14ac:dyDescent="0.25">
      <c r="A566" s="44"/>
      <c r="B566" s="44"/>
      <c r="C566" s="44"/>
      <c r="D566" s="44"/>
      <c r="E566" s="44"/>
      <c r="F566" s="44"/>
      <c r="G566" s="44"/>
      <c r="H566" s="44"/>
      <c r="I566" s="44"/>
      <c r="J566" s="8"/>
      <c r="K566" s="8"/>
    </row>
    <row r="567" spans="1:11" x14ac:dyDescent="0.25">
      <c r="A567" s="44"/>
      <c r="B567" s="44"/>
      <c r="C567" s="44"/>
      <c r="D567" s="44"/>
      <c r="E567" s="44"/>
      <c r="F567" s="44"/>
      <c r="G567" s="44"/>
      <c r="H567" s="44"/>
      <c r="I567" s="44"/>
      <c r="J567" s="8"/>
      <c r="K567" s="8"/>
    </row>
    <row r="568" spans="1:11" x14ac:dyDescent="0.25">
      <c r="A568" s="44"/>
      <c r="B568" s="44"/>
      <c r="C568" s="44"/>
      <c r="D568" s="44"/>
      <c r="E568" s="44"/>
      <c r="F568" s="44"/>
      <c r="G568" s="44"/>
      <c r="H568" s="44"/>
      <c r="I568" s="44"/>
      <c r="J568" s="8"/>
      <c r="K568" s="8"/>
    </row>
    <row r="569" spans="1:11" x14ac:dyDescent="0.25">
      <c r="A569" s="44"/>
      <c r="B569" s="44"/>
      <c r="C569" s="44"/>
      <c r="D569" s="44"/>
      <c r="E569" s="44"/>
      <c r="F569" s="44"/>
      <c r="G569" s="44"/>
      <c r="H569" s="44"/>
      <c r="I569" s="44"/>
      <c r="J569" s="8"/>
      <c r="K569" s="8"/>
    </row>
    <row r="570" spans="1:11" x14ac:dyDescent="0.25">
      <c r="A570" s="44"/>
      <c r="B570" s="44"/>
      <c r="C570" s="44"/>
      <c r="D570" s="44"/>
      <c r="E570" s="44"/>
      <c r="F570" s="44"/>
      <c r="G570" s="44"/>
      <c r="H570" s="44"/>
      <c r="I570" s="44"/>
      <c r="J570" s="8"/>
      <c r="K570" s="8"/>
    </row>
    <row r="571" spans="1:11" x14ac:dyDescent="0.25">
      <c r="A571" s="44"/>
      <c r="B571" s="44"/>
      <c r="C571" s="44"/>
      <c r="D571" s="44"/>
      <c r="E571" s="44"/>
      <c r="F571" s="44"/>
      <c r="G571" s="44"/>
      <c r="H571" s="44"/>
      <c r="I571" s="44"/>
      <c r="J571" s="8"/>
      <c r="K571" s="8"/>
    </row>
    <row r="572" spans="1:11" x14ac:dyDescent="0.25">
      <c r="A572" s="44"/>
      <c r="B572" s="44"/>
      <c r="C572" s="44"/>
      <c r="D572" s="44"/>
      <c r="E572" s="44"/>
      <c r="F572" s="44"/>
      <c r="G572" s="44"/>
      <c r="H572" s="44"/>
      <c r="I572" s="44"/>
      <c r="J572" s="8"/>
      <c r="K572" s="8"/>
    </row>
    <row r="573" spans="1:11" x14ac:dyDescent="0.25">
      <c r="A573" s="44"/>
      <c r="B573" s="44"/>
      <c r="C573" s="44"/>
      <c r="D573" s="44"/>
      <c r="E573" s="44"/>
      <c r="F573" s="44"/>
      <c r="G573" s="44"/>
      <c r="H573" s="44"/>
      <c r="I573" s="44"/>
      <c r="J573" s="8"/>
      <c r="K573" s="8"/>
    </row>
    <row r="574" spans="1:11" x14ac:dyDescent="0.25">
      <c r="A574" s="44"/>
      <c r="B574" s="44"/>
      <c r="C574" s="44"/>
      <c r="D574" s="44"/>
      <c r="E574" s="44"/>
      <c r="F574" s="44"/>
      <c r="G574" s="44"/>
      <c r="H574" s="44"/>
      <c r="I574" s="44"/>
      <c r="J574" s="8"/>
      <c r="K574" s="8"/>
    </row>
    <row r="575" spans="1:11" x14ac:dyDescent="0.25">
      <c r="A575" s="44"/>
      <c r="B575" s="44"/>
      <c r="C575" s="44"/>
      <c r="D575" s="44"/>
      <c r="E575" s="44"/>
      <c r="F575" s="44"/>
      <c r="G575" s="44"/>
      <c r="H575" s="44"/>
      <c r="I575" s="44"/>
      <c r="J575" s="8"/>
      <c r="K575" s="8"/>
    </row>
    <row r="576" spans="1:11" x14ac:dyDescent="0.25">
      <c r="A576" s="44"/>
      <c r="B576" s="44"/>
      <c r="C576" s="44"/>
      <c r="D576" s="44"/>
      <c r="E576" s="44"/>
      <c r="F576" s="44"/>
      <c r="G576" s="44"/>
      <c r="H576" s="44"/>
      <c r="I576" s="44"/>
      <c r="J576" s="8"/>
      <c r="K576" s="8"/>
    </row>
    <row r="577" spans="1:11" x14ac:dyDescent="0.25">
      <c r="A577" s="44"/>
      <c r="B577" s="44"/>
      <c r="C577" s="44"/>
      <c r="D577" s="44"/>
      <c r="E577" s="44"/>
      <c r="F577" s="44"/>
      <c r="G577" s="44"/>
      <c r="H577" s="44"/>
      <c r="I577" s="44"/>
      <c r="J577" s="8"/>
      <c r="K577" s="8"/>
    </row>
    <row r="578" spans="1:11" x14ac:dyDescent="0.25">
      <c r="A578" s="44"/>
      <c r="B578" s="44"/>
      <c r="C578" s="44"/>
      <c r="D578" s="44"/>
      <c r="E578" s="44"/>
      <c r="F578" s="44"/>
      <c r="G578" s="44"/>
      <c r="H578" s="44"/>
      <c r="I578" s="44"/>
      <c r="J578" s="8"/>
      <c r="K578" s="8"/>
    </row>
    <row r="579" spans="1:11" x14ac:dyDescent="0.25">
      <c r="A579" s="44"/>
      <c r="B579" s="44"/>
      <c r="C579" s="44"/>
      <c r="D579" s="44"/>
      <c r="E579" s="44"/>
      <c r="F579" s="44"/>
      <c r="G579" s="44"/>
      <c r="H579" s="44"/>
      <c r="I579" s="44"/>
      <c r="J579" s="8"/>
      <c r="K579" s="8"/>
    </row>
    <row r="580" spans="1:11" x14ac:dyDescent="0.25">
      <c r="A580" s="44"/>
      <c r="B580" s="44"/>
      <c r="C580" s="44"/>
      <c r="D580" s="44"/>
      <c r="E580" s="44"/>
      <c r="F580" s="44"/>
      <c r="G580" s="44"/>
      <c r="H580" s="44"/>
      <c r="I580" s="44"/>
      <c r="J580" s="8"/>
      <c r="K580" s="8"/>
    </row>
    <row r="581" spans="1:11" x14ac:dyDescent="0.25">
      <c r="A581" s="44"/>
      <c r="B581" s="44"/>
      <c r="C581" s="44"/>
      <c r="D581" s="44"/>
      <c r="E581" s="44"/>
      <c r="F581" s="44"/>
      <c r="G581" s="44"/>
      <c r="H581" s="44"/>
      <c r="I581" s="44"/>
      <c r="J581" s="8"/>
      <c r="K581" s="8"/>
    </row>
    <row r="582" spans="1:11" x14ac:dyDescent="0.25">
      <c r="A582" s="44"/>
      <c r="B582" s="44"/>
      <c r="C582" s="44"/>
      <c r="D582" s="44"/>
      <c r="E582" s="44"/>
      <c r="F582" s="44"/>
      <c r="G582" s="44"/>
      <c r="H582" s="44"/>
      <c r="I582" s="44"/>
      <c r="J582" s="8"/>
      <c r="K582" s="8"/>
    </row>
    <row r="583" spans="1:11" x14ac:dyDescent="0.25">
      <c r="A583" s="44"/>
      <c r="B583" s="44"/>
      <c r="C583" s="44"/>
      <c r="D583" s="44"/>
      <c r="E583" s="44"/>
      <c r="F583" s="44"/>
      <c r="G583" s="44"/>
      <c r="H583" s="44"/>
      <c r="I583" s="44"/>
      <c r="J583" s="8"/>
      <c r="K583" s="8"/>
    </row>
    <row r="584" spans="1:11" x14ac:dyDescent="0.25">
      <c r="A584" s="44"/>
      <c r="B584" s="44"/>
      <c r="C584" s="44"/>
      <c r="D584" s="44"/>
      <c r="E584" s="44"/>
      <c r="F584" s="44"/>
      <c r="G584" s="44"/>
      <c r="H584" s="44"/>
      <c r="I584" s="44"/>
      <c r="J584" s="8"/>
      <c r="K584" s="8"/>
    </row>
    <row r="585" spans="1:11" x14ac:dyDescent="0.25">
      <c r="A585" s="44"/>
      <c r="B585" s="44"/>
      <c r="C585" s="44"/>
      <c r="D585" s="44"/>
      <c r="E585" s="44"/>
      <c r="F585" s="44"/>
      <c r="G585" s="44"/>
      <c r="H585" s="44"/>
      <c r="I585" s="44"/>
      <c r="J585" s="8"/>
      <c r="K585" s="8"/>
    </row>
    <row r="586" spans="1:11" x14ac:dyDescent="0.25">
      <c r="A586" s="44"/>
      <c r="B586" s="44"/>
      <c r="C586" s="44"/>
      <c r="D586" s="44"/>
      <c r="E586" s="44"/>
      <c r="F586" s="44"/>
      <c r="G586" s="44"/>
      <c r="H586" s="44"/>
      <c r="I586" s="44"/>
      <c r="J586" s="8"/>
      <c r="K586" s="8"/>
    </row>
    <row r="587" spans="1:11" x14ac:dyDescent="0.25">
      <c r="A587" s="44"/>
      <c r="B587" s="44"/>
      <c r="C587" s="44"/>
      <c r="D587" s="44"/>
      <c r="E587" s="44"/>
      <c r="F587" s="44"/>
      <c r="G587" s="44"/>
      <c r="H587" s="44"/>
      <c r="I587" s="44"/>
      <c r="J587" s="8"/>
      <c r="K587" s="8"/>
    </row>
    <row r="588" spans="1:11" x14ac:dyDescent="0.25">
      <c r="A588" s="44"/>
      <c r="B588" s="44"/>
      <c r="C588" s="44"/>
      <c r="D588" s="44"/>
      <c r="E588" s="44"/>
      <c r="F588" s="44"/>
      <c r="G588" s="44"/>
      <c r="H588" s="44"/>
      <c r="I588" s="44"/>
      <c r="J588" s="8"/>
      <c r="K588" s="8"/>
    </row>
    <row r="589" spans="1:11" x14ac:dyDescent="0.25">
      <c r="A589" s="44"/>
      <c r="B589" s="44"/>
      <c r="C589" s="44"/>
      <c r="D589" s="44"/>
      <c r="E589" s="44"/>
      <c r="F589" s="44"/>
      <c r="G589" s="44"/>
      <c r="H589" s="44"/>
      <c r="I589" s="44"/>
      <c r="J589" s="8"/>
      <c r="K589" s="8"/>
    </row>
    <row r="590" spans="1:11" x14ac:dyDescent="0.25">
      <c r="A590" s="44"/>
      <c r="B590" s="44"/>
      <c r="C590" s="44"/>
      <c r="D590" s="44"/>
      <c r="E590" s="44"/>
      <c r="F590" s="44"/>
      <c r="G590" s="44"/>
      <c r="H590" s="44"/>
      <c r="I590" s="44"/>
      <c r="J590" s="8"/>
      <c r="K590" s="8"/>
    </row>
    <row r="591" spans="1:11" x14ac:dyDescent="0.25">
      <c r="A591" s="44"/>
      <c r="B591" s="44"/>
      <c r="C591" s="44"/>
      <c r="D591" s="44"/>
      <c r="E591" s="44"/>
      <c r="F591" s="44"/>
      <c r="G591" s="44"/>
      <c r="H591" s="44"/>
      <c r="I591" s="44"/>
      <c r="J591" s="8"/>
      <c r="K591" s="8"/>
    </row>
    <row r="592" spans="1:11" x14ac:dyDescent="0.25">
      <c r="A592" s="44"/>
      <c r="B592" s="44"/>
      <c r="C592" s="44"/>
      <c r="D592" s="44"/>
      <c r="E592" s="44"/>
      <c r="F592" s="44"/>
      <c r="G592" s="44"/>
      <c r="H592" s="44"/>
      <c r="I592" s="44"/>
      <c r="J592" s="8"/>
      <c r="K592" s="8"/>
    </row>
    <row r="593" spans="1:11" x14ac:dyDescent="0.25">
      <c r="A593" s="44"/>
      <c r="B593" s="44"/>
      <c r="C593" s="44"/>
      <c r="D593" s="44"/>
      <c r="E593" s="44"/>
      <c r="F593" s="44"/>
      <c r="G593" s="44"/>
      <c r="H593" s="44"/>
      <c r="I593" s="44"/>
      <c r="J593" s="8"/>
      <c r="K593" s="8"/>
    </row>
    <row r="594" spans="1:11" x14ac:dyDescent="0.25">
      <c r="A594" s="44"/>
      <c r="B594" s="44"/>
      <c r="C594" s="44"/>
      <c r="D594" s="44"/>
      <c r="E594" s="44"/>
      <c r="F594" s="44"/>
      <c r="G594" s="44"/>
      <c r="H594" s="44"/>
      <c r="I594" s="44"/>
      <c r="J594" s="8"/>
      <c r="K594" s="8"/>
    </row>
    <row r="595" spans="1:11" x14ac:dyDescent="0.25">
      <c r="A595" s="44"/>
      <c r="B595" s="44"/>
      <c r="C595" s="44"/>
      <c r="D595" s="44"/>
      <c r="E595" s="44"/>
      <c r="F595" s="44"/>
      <c r="G595" s="44"/>
      <c r="H595" s="44"/>
      <c r="I595" s="44"/>
      <c r="J595" s="8"/>
      <c r="K595" s="8"/>
    </row>
    <row r="596" spans="1:11" x14ac:dyDescent="0.25">
      <c r="A596" s="44"/>
      <c r="B596" s="44"/>
      <c r="C596" s="44"/>
      <c r="D596" s="44"/>
      <c r="E596" s="44"/>
      <c r="F596" s="44"/>
      <c r="G596" s="44"/>
      <c r="H596" s="44"/>
      <c r="I596" s="44"/>
      <c r="J596" s="8"/>
      <c r="K596" s="8"/>
    </row>
    <row r="597" spans="1:11" x14ac:dyDescent="0.25">
      <c r="A597" s="44"/>
      <c r="B597" s="44"/>
      <c r="C597" s="44"/>
      <c r="D597" s="44"/>
      <c r="E597" s="44"/>
      <c r="F597" s="44"/>
      <c r="G597" s="44"/>
      <c r="H597" s="44"/>
      <c r="I597" s="44"/>
      <c r="J597" s="8"/>
      <c r="K597" s="8"/>
    </row>
    <row r="598" spans="1:11" x14ac:dyDescent="0.25">
      <c r="A598" s="44"/>
      <c r="B598" s="44"/>
      <c r="C598" s="44"/>
      <c r="D598" s="44"/>
      <c r="E598" s="44"/>
      <c r="F598" s="44"/>
      <c r="G598" s="44"/>
      <c r="H598" s="44"/>
      <c r="I598" s="44"/>
      <c r="J598" s="8"/>
      <c r="K598" s="8"/>
    </row>
    <row r="599" spans="1:11" x14ac:dyDescent="0.25">
      <c r="A599" s="44"/>
      <c r="B599" s="44"/>
      <c r="C599" s="44"/>
      <c r="D599" s="44"/>
      <c r="E599" s="44"/>
      <c r="F599" s="44"/>
      <c r="G599" s="44"/>
      <c r="H599" s="44"/>
      <c r="I599" s="44"/>
      <c r="J599" s="8"/>
      <c r="K599" s="8"/>
    </row>
    <row r="600" spans="1:11" x14ac:dyDescent="0.25">
      <c r="A600" s="44"/>
      <c r="B600" s="44"/>
      <c r="C600" s="44"/>
      <c r="D600" s="44"/>
      <c r="E600" s="44"/>
      <c r="F600" s="44"/>
      <c r="G600" s="44"/>
      <c r="H600" s="44"/>
      <c r="I600" s="44"/>
      <c r="J600" s="8"/>
      <c r="K600" s="8"/>
    </row>
    <row r="601" spans="1:11" x14ac:dyDescent="0.25">
      <c r="A601" s="44"/>
      <c r="B601" s="44"/>
      <c r="C601" s="44"/>
      <c r="D601" s="44"/>
      <c r="E601" s="44"/>
      <c r="F601" s="44"/>
      <c r="G601" s="44"/>
      <c r="H601" s="44"/>
      <c r="I601" s="44"/>
      <c r="J601" s="8"/>
      <c r="K601" s="8"/>
    </row>
    <row r="602" spans="1:11" x14ac:dyDescent="0.25">
      <c r="A602" s="44"/>
      <c r="B602" s="44"/>
      <c r="C602" s="44"/>
      <c r="D602" s="44"/>
      <c r="E602" s="44"/>
      <c r="F602" s="44"/>
      <c r="G602" s="44"/>
      <c r="H602" s="44"/>
      <c r="I602" s="44"/>
      <c r="J602" s="8"/>
      <c r="K602" s="8"/>
    </row>
    <row r="603" spans="1:11" x14ac:dyDescent="0.25">
      <c r="A603" s="44"/>
      <c r="B603" s="44"/>
      <c r="C603" s="44"/>
      <c r="D603" s="44"/>
      <c r="E603" s="44"/>
      <c r="F603" s="44"/>
      <c r="G603" s="44"/>
      <c r="H603" s="44"/>
      <c r="I603" s="44"/>
      <c r="J603" s="8"/>
      <c r="K603" s="8"/>
    </row>
    <row r="604" spans="1:11" x14ac:dyDescent="0.25">
      <c r="A604" s="44"/>
      <c r="B604" s="44"/>
      <c r="C604" s="44"/>
      <c r="D604" s="44"/>
      <c r="E604" s="44"/>
      <c r="F604" s="44"/>
      <c r="G604" s="44"/>
      <c r="H604" s="44"/>
      <c r="I604" s="44"/>
      <c r="J604" s="8"/>
      <c r="K604" s="8"/>
    </row>
    <row r="605" spans="1:11" x14ac:dyDescent="0.25">
      <c r="A605" s="44"/>
      <c r="B605" s="44"/>
      <c r="C605" s="44"/>
      <c r="D605" s="44"/>
      <c r="E605" s="44"/>
      <c r="F605" s="44"/>
      <c r="G605" s="44"/>
      <c r="H605" s="44"/>
      <c r="I605" s="44"/>
      <c r="J605" s="8"/>
      <c r="K605" s="8"/>
    </row>
    <row r="606" spans="1:11" x14ac:dyDescent="0.25">
      <c r="A606" s="44"/>
      <c r="B606" s="44"/>
      <c r="C606" s="44"/>
      <c r="D606" s="44"/>
      <c r="E606" s="44"/>
      <c r="F606" s="44"/>
      <c r="G606" s="44"/>
      <c r="H606" s="44"/>
      <c r="I606" s="44"/>
      <c r="J606" s="8"/>
      <c r="K606" s="8"/>
    </row>
    <row r="607" spans="1:11" x14ac:dyDescent="0.25">
      <c r="A607" s="44"/>
      <c r="B607" s="44"/>
      <c r="C607" s="44"/>
      <c r="D607" s="44"/>
      <c r="E607" s="44"/>
      <c r="F607" s="44"/>
      <c r="G607" s="44"/>
      <c r="H607" s="44"/>
      <c r="I607" s="44"/>
      <c r="J607" s="8"/>
      <c r="K607" s="8"/>
    </row>
    <row r="608" spans="1:11" x14ac:dyDescent="0.25">
      <c r="A608" s="44"/>
      <c r="B608" s="44"/>
      <c r="C608" s="44"/>
      <c r="D608" s="44"/>
      <c r="E608" s="44"/>
      <c r="F608" s="44"/>
      <c r="G608" s="44"/>
      <c r="H608" s="44"/>
      <c r="I608" s="44"/>
      <c r="J608" s="8"/>
      <c r="K608" s="8"/>
    </row>
    <row r="609" spans="1:11" x14ac:dyDescent="0.25">
      <c r="A609" s="44"/>
      <c r="B609" s="44"/>
      <c r="C609" s="44"/>
      <c r="D609" s="44"/>
      <c r="E609" s="44"/>
      <c r="F609" s="44"/>
      <c r="G609" s="44"/>
      <c r="H609" s="44"/>
      <c r="I609" s="44"/>
      <c r="J609" s="8"/>
      <c r="K609" s="8"/>
    </row>
    <row r="610" spans="1:11" x14ac:dyDescent="0.25">
      <c r="A610" s="44"/>
      <c r="B610" s="44"/>
      <c r="C610" s="44"/>
      <c r="D610" s="44"/>
      <c r="E610" s="44"/>
      <c r="F610" s="44"/>
      <c r="G610" s="44"/>
      <c r="H610" s="44"/>
      <c r="I610" s="44"/>
      <c r="J610" s="8"/>
      <c r="K610" s="8"/>
    </row>
    <row r="611" spans="1:11" x14ac:dyDescent="0.25">
      <c r="A611" s="44"/>
      <c r="B611" s="44"/>
      <c r="C611" s="44"/>
      <c r="D611" s="44"/>
      <c r="E611" s="44"/>
      <c r="F611" s="44"/>
      <c r="G611" s="44"/>
      <c r="H611" s="44"/>
      <c r="I611" s="44"/>
      <c r="J611" s="8"/>
      <c r="K611" s="8"/>
    </row>
    <row r="612" spans="1:11" x14ac:dyDescent="0.25">
      <c r="A612" s="44"/>
      <c r="B612" s="44"/>
      <c r="C612" s="44"/>
      <c r="D612" s="44"/>
      <c r="E612" s="44"/>
      <c r="F612" s="44"/>
      <c r="G612" s="44"/>
      <c r="H612" s="44"/>
      <c r="I612" s="44"/>
      <c r="J612" s="8"/>
      <c r="K612" s="8"/>
    </row>
    <row r="613" spans="1:11" x14ac:dyDescent="0.25">
      <c r="A613" s="44"/>
      <c r="B613" s="44"/>
      <c r="C613" s="44"/>
      <c r="D613" s="44"/>
      <c r="E613" s="44"/>
      <c r="F613" s="44"/>
      <c r="G613" s="44"/>
      <c r="H613" s="44"/>
      <c r="I613" s="44"/>
      <c r="J613" s="8"/>
      <c r="K613" s="8"/>
    </row>
    <row r="614" spans="1:11" x14ac:dyDescent="0.25">
      <c r="A614" s="44"/>
      <c r="B614" s="44"/>
      <c r="C614" s="44"/>
      <c r="D614" s="44"/>
      <c r="E614" s="44"/>
      <c r="F614" s="44"/>
      <c r="G614" s="44"/>
      <c r="H614" s="44"/>
      <c r="I614" s="44"/>
      <c r="J614" s="8"/>
      <c r="K614" s="8"/>
    </row>
    <row r="615" spans="1:11" x14ac:dyDescent="0.25">
      <c r="A615" s="44"/>
      <c r="B615" s="44"/>
      <c r="C615" s="44"/>
      <c r="D615" s="44"/>
      <c r="E615" s="44"/>
      <c r="F615" s="44"/>
      <c r="G615" s="44"/>
      <c r="H615" s="44"/>
      <c r="I615" s="44"/>
      <c r="J615" s="8"/>
      <c r="K615" s="8"/>
    </row>
    <row r="616" spans="1:11" x14ac:dyDescent="0.25">
      <c r="A616" s="44"/>
      <c r="B616" s="44"/>
      <c r="C616" s="44"/>
      <c r="D616" s="44"/>
      <c r="E616" s="44"/>
      <c r="F616" s="44"/>
      <c r="G616" s="44"/>
      <c r="H616" s="44"/>
      <c r="I616" s="44"/>
      <c r="J616" s="8"/>
      <c r="K616" s="8"/>
    </row>
    <row r="617" spans="1:11" x14ac:dyDescent="0.25">
      <c r="A617" s="44"/>
      <c r="B617" s="44"/>
      <c r="C617" s="44"/>
      <c r="D617" s="44"/>
      <c r="E617" s="44"/>
      <c r="F617" s="44"/>
      <c r="G617" s="44"/>
      <c r="H617" s="44"/>
      <c r="I617" s="44"/>
      <c r="J617" s="8"/>
      <c r="K617" s="8"/>
    </row>
    <row r="618" spans="1:11" x14ac:dyDescent="0.25">
      <c r="A618" s="44"/>
      <c r="B618" s="44"/>
      <c r="C618" s="44"/>
      <c r="D618" s="44"/>
      <c r="E618" s="44"/>
      <c r="F618" s="44"/>
      <c r="G618" s="44"/>
      <c r="H618" s="44"/>
      <c r="I618" s="44"/>
      <c r="J618" s="8"/>
      <c r="K618" s="8"/>
    </row>
    <row r="619" spans="1:11" x14ac:dyDescent="0.25">
      <c r="A619" s="44"/>
      <c r="B619" s="44"/>
      <c r="C619" s="44"/>
      <c r="D619" s="44"/>
      <c r="E619" s="44"/>
      <c r="F619" s="44"/>
      <c r="G619" s="44"/>
      <c r="H619" s="44"/>
      <c r="I619" s="44"/>
      <c r="J619" s="8"/>
      <c r="K619" s="8"/>
    </row>
    <row r="620" spans="1:11" x14ac:dyDescent="0.25">
      <c r="A620" s="44"/>
      <c r="B620" s="44"/>
      <c r="C620" s="44"/>
      <c r="D620" s="44"/>
      <c r="E620" s="44"/>
      <c r="F620" s="44"/>
      <c r="G620" s="44"/>
      <c r="H620" s="44"/>
      <c r="I620" s="44"/>
      <c r="J620" s="8"/>
      <c r="K620" s="8"/>
    </row>
    <row r="621" spans="1:11" x14ac:dyDescent="0.25">
      <c r="A621" s="44"/>
      <c r="B621" s="44"/>
      <c r="C621" s="44"/>
      <c r="D621" s="44"/>
      <c r="E621" s="44"/>
      <c r="F621" s="44"/>
      <c r="G621" s="44"/>
      <c r="H621" s="44"/>
      <c r="I621" s="44"/>
      <c r="J621" s="8"/>
      <c r="K621" s="8"/>
    </row>
    <row r="622" spans="1:11" x14ac:dyDescent="0.25">
      <c r="A622" s="44"/>
      <c r="B622" s="44"/>
      <c r="C622" s="44"/>
      <c r="D622" s="44"/>
      <c r="E622" s="44"/>
      <c r="F622" s="44"/>
      <c r="G622" s="44"/>
      <c r="H622" s="44"/>
      <c r="I622" s="44"/>
      <c r="J622" s="8"/>
      <c r="K622" s="8"/>
    </row>
    <row r="623" spans="1:11" x14ac:dyDescent="0.25">
      <c r="A623" s="44"/>
      <c r="B623" s="44"/>
      <c r="C623" s="44"/>
      <c r="D623" s="44"/>
      <c r="E623" s="44"/>
      <c r="F623" s="44"/>
      <c r="G623" s="44"/>
      <c r="H623" s="44"/>
      <c r="I623" s="44"/>
      <c r="J623" s="8"/>
      <c r="K623" s="8"/>
    </row>
    <row r="624" spans="1:11" x14ac:dyDescent="0.25">
      <c r="A624" s="44"/>
      <c r="B624" s="44"/>
      <c r="C624" s="44"/>
      <c r="D624" s="44"/>
      <c r="E624" s="44"/>
      <c r="F624" s="44"/>
      <c r="G624" s="44"/>
      <c r="H624" s="44"/>
      <c r="I624" s="44"/>
      <c r="J624" s="8"/>
      <c r="K624" s="8"/>
    </row>
    <row r="625" spans="1:11" x14ac:dyDescent="0.25">
      <c r="A625" s="44"/>
      <c r="B625" s="44"/>
      <c r="C625" s="44"/>
      <c r="D625" s="44"/>
      <c r="E625" s="44"/>
      <c r="F625" s="44"/>
      <c r="G625" s="44"/>
      <c r="H625" s="44"/>
      <c r="I625" s="44"/>
      <c r="J625" s="8"/>
      <c r="K625" s="8"/>
    </row>
    <row r="626" spans="1:11" x14ac:dyDescent="0.25">
      <c r="A626" s="44"/>
      <c r="B626" s="44"/>
      <c r="C626" s="44"/>
      <c r="D626" s="44"/>
      <c r="E626" s="44"/>
      <c r="F626" s="44"/>
      <c r="G626" s="44"/>
      <c r="H626" s="44"/>
      <c r="I626" s="44"/>
      <c r="J626" s="8"/>
      <c r="K626" s="8"/>
    </row>
    <row r="627" spans="1:11" x14ac:dyDescent="0.25">
      <c r="A627" s="44"/>
      <c r="B627" s="44"/>
      <c r="C627" s="44"/>
      <c r="D627" s="44"/>
      <c r="E627" s="44"/>
      <c r="F627" s="44"/>
      <c r="G627" s="44"/>
      <c r="H627" s="44"/>
      <c r="I627" s="44"/>
      <c r="J627" s="8"/>
      <c r="K627" s="8"/>
    </row>
    <row r="628" spans="1:11" x14ac:dyDescent="0.25">
      <c r="A628" s="44"/>
      <c r="B628" s="44"/>
      <c r="C628" s="44"/>
      <c r="D628" s="44"/>
      <c r="E628" s="44"/>
      <c r="F628" s="44"/>
      <c r="G628" s="44"/>
      <c r="H628" s="44"/>
      <c r="I628" s="44"/>
      <c r="J628" s="8"/>
      <c r="K628" s="8"/>
    </row>
    <row r="629" spans="1:11" x14ac:dyDescent="0.25">
      <c r="A629" s="44"/>
      <c r="B629" s="44"/>
      <c r="C629" s="44"/>
      <c r="D629" s="44"/>
      <c r="E629" s="44"/>
      <c r="F629" s="44"/>
      <c r="G629" s="44"/>
      <c r="H629" s="44"/>
      <c r="I629" s="44"/>
      <c r="J629" s="8"/>
      <c r="K629" s="8"/>
    </row>
    <row r="630" spans="1:11" x14ac:dyDescent="0.25">
      <c r="A630" s="44"/>
      <c r="B630" s="44"/>
      <c r="C630" s="44"/>
      <c r="D630" s="44"/>
      <c r="E630" s="44"/>
      <c r="F630" s="44"/>
      <c r="G630" s="44"/>
      <c r="H630" s="44"/>
      <c r="I630" s="44"/>
      <c r="J630" s="8"/>
      <c r="K630" s="8"/>
    </row>
    <row r="631" spans="1:11" x14ac:dyDescent="0.25">
      <c r="A631" s="44"/>
      <c r="B631" s="44"/>
      <c r="C631" s="44"/>
      <c r="D631" s="44"/>
      <c r="E631" s="44"/>
      <c r="F631" s="44"/>
      <c r="G631" s="44"/>
      <c r="H631" s="44"/>
      <c r="I631" s="44"/>
      <c r="J631" s="8"/>
      <c r="K631" s="8"/>
    </row>
    <row r="632" spans="1:11" x14ac:dyDescent="0.25">
      <c r="A632" s="44"/>
      <c r="B632" s="44"/>
      <c r="C632" s="44"/>
      <c r="D632" s="44"/>
      <c r="E632" s="44"/>
      <c r="F632" s="44"/>
      <c r="G632" s="44"/>
      <c r="H632" s="44"/>
      <c r="I632" s="44"/>
      <c r="J632" s="8"/>
      <c r="K632" s="8"/>
    </row>
    <row r="633" spans="1:11" x14ac:dyDescent="0.25">
      <c r="A633" s="44"/>
      <c r="B633" s="44"/>
      <c r="C633" s="44"/>
      <c r="D633" s="44"/>
      <c r="E633" s="44"/>
      <c r="F633" s="44"/>
      <c r="G633" s="44"/>
      <c r="H633" s="44"/>
      <c r="I633" s="44"/>
      <c r="J633" s="8"/>
      <c r="K633" s="8"/>
    </row>
    <row r="634" spans="1:11" x14ac:dyDescent="0.25">
      <c r="A634" s="44"/>
      <c r="B634" s="44"/>
      <c r="C634" s="44"/>
      <c r="D634" s="44"/>
      <c r="E634" s="44"/>
      <c r="F634" s="44"/>
      <c r="G634" s="44"/>
      <c r="H634" s="44"/>
      <c r="I634" s="44"/>
      <c r="J634" s="8"/>
      <c r="K634" s="8"/>
    </row>
    <row r="635" spans="1:11" x14ac:dyDescent="0.25">
      <c r="A635" s="44"/>
      <c r="B635" s="44"/>
      <c r="C635" s="44"/>
      <c r="D635" s="44"/>
      <c r="E635" s="44"/>
      <c r="F635" s="44"/>
      <c r="G635" s="44"/>
      <c r="H635" s="44"/>
      <c r="I635" s="44"/>
      <c r="J635" s="8"/>
      <c r="K635" s="8"/>
    </row>
    <row r="636" spans="1:11" x14ac:dyDescent="0.25">
      <c r="A636" s="44"/>
      <c r="B636" s="44"/>
      <c r="C636" s="44"/>
      <c r="D636" s="44"/>
      <c r="E636" s="44"/>
      <c r="F636" s="44"/>
      <c r="G636" s="44"/>
      <c r="H636" s="44"/>
      <c r="I636" s="44"/>
      <c r="J636" s="8"/>
      <c r="K636" s="8"/>
    </row>
    <row r="637" spans="1:11" x14ac:dyDescent="0.25">
      <c r="A637" s="44"/>
      <c r="B637" s="44"/>
      <c r="C637" s="44"/>
      <c r="D637" s="44"/>
      <c r="E637" s="44"/>
      <c r="F637" s="44"/>
      <c r="G637" s="44"/>
      <c r="H637" s="44"/>
      <c r="I637" s="44"/>
      <c r="J637" s="8"/>
      <c r="K637" s="8"/>
    </row>
    <row r="638" spans="1:11" x14ac:dyDescent="0.25">
      <c r="A638" s="44"/>
      <c r="B638" s="44"/>
      <c r="C638" s="44"/>
      <c r="D638" s="44"/>
      <c r="E638" s="44"/>
      <c r="F638" s="44"/>
      <c r="G638" s="44"/>
      <c r="H638" s="44"/>
      <c r="I638" s="44"/>
      <c r="J638" s="8"/>
      <c r="K638" s="8"/>
    </row>
    <row r="639" spans="1:11" x14ac:dyDescent="0.25">
      <c r="A639" s="44"/>
      <c r="B639" s="44"/>
      <c r="C639" s="44"/>
      <c r="D639" s="44"/>
      <c r="E639" s="44"/>
      <c r="F639" s="44"/>
      <c r="G639" s="44"/>
      <c r="H639" s="44"/>
      <c r="I639" s="44"/>
      <c r="J639" s="8"/>
      <c r="K639" s="8"/>
    </row>
    <row r="640" spans="1:11" x14ac:dyDescent="0.25">
      <c r="A640" s="44"/>
      <c r="B640" s="44"/>
      <c r="C640" s="44"/>
      <c r="D640" s="44"/>
      <c r="E640" s="44"/>
      <c r="F640" s="44"/>
      <c r="G640" s="44"/>
      <c r="H640" s="44"/>
      <c r="I640" s="44"/>
      <c r="J640" s="8"/>
      <c r="K640" s="8"/>
    </row>
    <row r="641" spans="1:11" x14ac:dyDescent="0.25">
      <c r="A641" s="44"/>
      <c r="B641" s="44"/>
      <c r="C641" s="44"/>
      <c r="D641" s="44"/>
      <c r="E641" s="44"/>
      <c r="F641" s="44"/>
      <c r="G641" s="44"/>
      <c r="H641" s="44"/>
      <c r="I641" s="44"/>
      <c r="J641" s="8"/>
      <c r="K641" s="8"/>
    </row>
    <row r="642" spans="1:11" x14ac:dyDescent="0.25">
      <c r="A642" s="44"/>
      <c r="B642" s="44"/>
      <c r="C642" s="44"/>
      <c r="D642" s="44"/>
      <c r="E642" s="44"/>
      <c r="F642" s="44"/>
      <c r="G642" s="44"/>
      <c r="H642" s="44"/>
      <c r="I642" s="44"/>
      <c r="J642" s="8"/>
      <c r="K642" s="8"/>
    </row>
    <row r="643" spans="1:11" x14ac:dyDescent="0.25">
      <c r="A643" s="44"/>
      <c r="B643" s="44"/>
      <c r="C643" s="44"/>
      <c r="D643" s="44"/>
      <c r="E643" s="44"/>
      <c r="F643" s="44"/>
      <c r="G643" s="44"/>
      <c r="H643" s="44"/>
      <c r="I643" s="44"/>
      <c r="J643" s="8"/>
      <c r="K643" s="8"/>
    </row>
    <row r="644" spans="1:11" x14ac:dyDescent="0.25">
      <c r="A644" s="44"/>
      <c r="B644" s="44"/>
      <c r="C644" s="44"/>
      <c r="D644" s="44"/>
      <c r="E644" s="44"/>
      <c r="F644" s="44"/>
      <c r="G644" s="44"/>
      <c r="H644" s="44"/>
      <c r="I644" s="44"/>
      <c r="J644" s="8"/>
      <c r="K644" s="8"/>
    </row>
    <row r="645" spans="1:11" x14ac:dyDescent="0.25">
      <c r="A645" s="44"/>
      <c r="B645" s="44"/>
      <c r="C645" s="44"/>
      <c r="D645" s="44"/>
      <c r="E645" s="44"/>
      <c r="F645" s="44"/>
      <c r="G645" s="44"/>
      <c r="H645" s="44"/>
      <c r="I645" s="44"/>
      <c r="J645" s="8"/>
      <c r="K645" s="8"/>
    </row>
    <row r="646" spans="1:11" x14ac:dyDescent="0.25">
      <c r="A646" s="44"/>
      <c r="B646" s="44"/>
      <c r="C646" s="44"/>
      <c r="D646" s="44"/>
      <c r="E646" s="44"/>
      <c r="F646" s="44"/>
      <c r="G646" s="44"/>
      <c r="H646" s="44"/>
      <c r="I646" s="44"/>
      <c r="J646" s="8"/>
      <c r="K646" s="8"/>
    </row>
    <row r="647" spans="1:11" x14ac:dyDescent="0.25">
      <c r="A647" s="44"/>
      <c r="B647" s="44"/>
      <c r="C647" s="44"/>
      <c r="D647" s="44"/>
      <c r="E647" s="44"/>
      <c r="F647" s="44"/>
      <c r="G647" s="44"/>
      <c r="H647" s="44"/>
      <c r="I647" s="44"/>
      <c r="J647" s="8"/>
      <c r="K647" s="8"/>
    </row>
    <row r="648" spans="1:11" x14ac:dyDescent="0.25">
      <c r="A648" s="44"/>
      <c r="B648" s="44"/>
      <c r="C648" s="44"/>
      <c r="D648" s="44"/>
      <c r="E648" s="44"/>
      <c r="F648" s="44"/>
      <c r="G648" s="44"/>
      <c r="H648" s="44"/>
      <c r="I648" s="44"/>
      <c r="J648" s="8"/>
      <c r="K648" s="8"/>
    </row>
    <row r="649" spans="1:11" x14ac:dyDescent="0.25">
      <c r="A649" s="44"/>
      <c r="B649" s="44"/>
      <c r="C649" s="44"/>
      <c r="D649" s="44"/>
      <c r="E649" s="44"/>
      <c r="F649" s="44"/>
      <c r="G649" s="44"/>
      <c r="H649" s="44"/>
      <c r="I649" s="44"/>
      <c r="J649" s="8"/>
      <c r="K649" s="8"/>
    </row>
    <row r="650" spans="1:11" x14ac:dyDescent="0.25">
      <c r="A650" s="44"/>
      <c r="B650" s="44"/>
      <c r="C650" s="44"/>
      <c r="D650" s="44"/>
      <c r="E650" s="44"/>
      <c r="F650" s="44"/>
      <c r="G650" s="44"/>
      <c r="H650" s="44"/>
      <c r="I650" s="44"/>
      <c r="J650" s="8"/>
      <c r="K650" s="8"/>
    </row>
    <row r="651" spans="1:11" x14ac:dyDescent="0.25">
      <c r="A651" s="44"/>
      <c r="B651" s="44"/>
      <c r="C651" s="44"/>
      <c r="D651" s="44"/>
      <c r="E651" s="44"/>
      <c r="F651" s="44"/>
      <c r="G651" s="44"/>
      <c r="H651" s="44"/>
      <c r="I651" s="44"/>
      <c r="J651" s="8"/>
      <c r="K651" s="8"/>
    </row>
    <row r="652" spans="1:11" x14ac:dyDescent="0.25">
      <c r="A652" s="44"/>
      <c r="B652" s="44"/>
      <c r="C652" s="44"/>
      <c r="D652" s="44"/>
      <c r="E652" s="44"/>
      <c r="F652" s="44"/>
      <c r="G652" s="44"/>
      <c r="H652" s="44"/>
      <c r="I652" s="44"/>
      <c r="J652" s="8"/>
      <c r="K652" s="8"/>
    </row>
    <row r="653" spans="1:11" x14ac:dyDescent="0.25">
      <c r="A653" s="44"/>
      <c r="B653" s="44"/>
      <c r="C653" s="44"/>
      <c r="D653" s="44"/>
      <c r="E653" s="44"/>
      <c r="F653" s="44"/>
      <c r="G653" s="44"/>
      <c r="H653" s="44"/>
      <c r="I653" s="44"/>
      <c r="J653" s="8"/>
      <c r="K653" s="8"/>
    </row>
    <row r="654" spans="1:11" x14ac:dyDescent="0.25">
      <c r="A654" s="44"/>
      <c r="B654" s="44"/>
      <c r="C654" s="44"/>
      <c r="D654" s="44"/>
      <c r="E654" s="44"/>
      <c r="F654" s="44"/>
      <c r="G654" s="44"/>
      <c r="H654" s="44"/>
      <c r="I654" s="44"/>
      <c r="J654" s="8"/>
      <c r="K654" s="8"/>
    </row>
    <row r="655" spans="1:11" x14ac:dyDescent="0.25">
      <c r="A655" s="44"/>
      <c r="B655" s="44"/>
      <c r="C655" s="44"/>
      <c r="D655" s="44"/>
      <c r="E655" s="44"/>
      <c r="F655" s="44"/>
      <c r="G655" s="44"/>
      <c r="H655" s="44"/>
      <c r="I655" s="44"/>
      <c r="J655" s="8"/>
      <c r="K655" s="8"/>
    </row>
    <row r="656" spans="1:11" x14ac:dyDescent="0.25">
      <c r="A656" s="44"/>
      <c r="B656" s="44"/>
      <c r="C656" s="44"/>
      <c r="D656" s="44"/>
      <c r="E656" s="44"/>
      <c r="F656" s="44"/>
      <c r="G656" s="44"/>
      <c r="H656" s="44"/>
      <c r="I656" s="44"/>
      <c r="J656" s="8"/>
      <c r="K656" s="8"/>
    </row>
    <row r="657" spans="1:11" x14ac:dyDescent="0.25">
      <c r="A657" s="44"/>
      <c r="B657" s="44"/>
      <c r="C657" s="44"/>
      <c r="D657" s="44"/>
      <c r="E657" s="44"/>
      <c r="F657" s="44"/>
      <c r="G657" s="44"/>
      <c r="H657" s="44"/>
      <c r="I657" s="44"/>
      <c r="J657" s="8"/>
      <c r="K657" s="8"/>
    </row>
    <row r="658" spans="1:11" x14ac:dyDescent="0.25">
      <c r="A658" s="44"/>
      <c r="B658" s="44"/>
      <c r="C658" s="44"/>
      <c r="D658" s="44"/>
      <c r="E658" s="44"/>
      <c r="F658" s="44"/>
      <c r="G658" s="44"/>
      <c r="H658" s="44"/>
      <c r="I658" s="44"/>
      <c r="J658" s="8"/>
      <c r="K658" s="8"/>
    </row>
    <row r="659" spans="1:11" x14ac:dyDescent="0.25">
      <c r="A659" s="44"/>
      <c r="B659" s="44"/>
      <c r="C659" s="44"/>
      <c r="D659" s="44"/>
      <c r="E659" s="44"/>
      <c r="F659" s="44"/>
      <c r="G659" s="44"/>
      <c r="H659" s="44"/>
      <c r="I659" s="44"/>
      <c r="J659" s="8"/>
      <c r="K659" s="8"/>
    </row>
    <row r="660" spans="1:11" x14ac:dyDescent="0.25">
      <c r="A660" s="44"/>
      <c r="B660" s="44"/>
      <c r="C660" s="44"/>
      <c r="D660" s="44"/>
      <c r="E660" s="44"/>
      <c r="F660" s="44"/>
      <c r="G660" s="44"/>
      <c r="H660" s="44"/>
      <c r="I660" s="44"/>
      <c r="J660" s="8"/>
      <c r="K660" s="8"/>
    </row>
    <row r="661" spans="1:11" x14ac:dyDescent="0.25">
      <c r="A661" s="44"/>
      <c r="B661" s="44"/>
      <c r="C661" s="44"/>
      <c r="D661" s="44"/>
      <c r="E661" s="44"/>
      <c r="F661" s="44"/>
      <c r="G661" s="44"/>
      <c r="H661" s="44"/>
      <c r="I661" s="44"/>
      <c r="J661" s="8"/>
      <c r="K661" s="8"/>
    </row>
    <row r="662" spans="1:11" x14ac:dyDescent="0.25">
      <c r="A662" s="44"/>
      <c r="B662" s="44"/>
      <c r="C662" s="44"/>
      <c r="D662" s="44"/>
      <c r="E662" s="44"/>
      <c r="F662" s="44"/>
      <c r="G662" s="44"/>
      <c r="H662" s="44"/>
      <c r="I662" s="44"/>
      <c r="J662" s="8"/>
      <c r="K662" s="8"/>
    </row>
    <row r="663" spans="1:11" x14ac:dyDescent="0.25">
      <c r="A663" s="44"/>
      <c r="B663" s="44"/>
      <c r="C663" s="44"/>
      <c r="D663" s="44"/>
      <c r="E663" s="44"/>
      <c r="F663" s="44"/>
      <c r="G663" s="44"/>
      <c r="H663" s="44"/>
      <c r="I663" s="44"/>
      <c r="J663" s="8"/>
      <c r="K663" s="8"/>
    </row>
    <row r="664" spans="1:11" x14ac:dyDescent="0.25">
      <c r="A664" s="44"/>
      <c r="B664" s="44"/>
      <c r="C664" s="44"/>
      <c r="D664" s="44"/>
      <c r="E664" s="44"/>
      <c r="F664" s="44"/>
      <c r="G664" s="44"/>
      <c r="H664" s="44"/>
      <c r="I664" s="44"/>
      <c r="J664" s="8"/>
      <c r="K664" s="8"/>
    </row>
    <row r="665" spans="1:11" x14ac:dyDescent="0.25">
      <c r="A665" s="44"/>
      <c r="B665" s="44"/>
      <c r="C665" s="44"/>
      <c r="D665" s="44"/>
      <c r="E665" s="44"/>
      <c r="F665" s="44"/>
      <c r="G665" s="44"/>
      <c r="H665" s="44"/>
      <c r="I665" s="44"/>
      <c r="J665" s="8"/>
      <c r="K665" s="8"/>
    </row>
    <row r="666" spans="1:11" x14ac:dyDescent="0.25">
      <c r="A666" s="44"/>
      <c r="B666" s="44"/>
      <c r="C666" s="44"/>
      <c r="D666" s="44"/>
      <c r="E666" s="44"/>
      <c r="F666" s="44"/>
      <c r="G666" s="44"/>
      <c r="H666" s="44"/>
      <c r="I666" s="44"/>
      <c r="J666" s="8"/>
      <c r="K666" s="8"/>
    </row>
    <row r="667" spans="1:11" x14ac:dyDescent="0.25">
      <c r="A667" s="44"/>
      <c r="B667" s="44"/>
      <c r="C667" s="44"/>
      <c r="D667" s="44"/>
      <c r="E667" s="44"/>
      <c r="F667" s="44"/>
      <c r="G667" s="44"/>
      <c r="H667" s="44"/>
      <c r="I667" s="44"/>
      <c r="J667" s="8"/>
      <c r="K667" s="8"/>
    </row>
    <row r="668" spans="1:11" x14ac:dyDescent="0.25">
      <c r="A668" s="44"/>
      <c r="B668" s="44"/>
      <c r="C668" s="44"/>
      <c r="D668" s="44"/>
      <c r="E668" s="44"/>
      <c r="F668" s="44"/>
      <c r="G668" s="44"/>
      <c r="H668" s="44"/>
      <c r="I668" s="44"/>
      <c r="J668" s="8"/>
      <c r="K668" s="8"/>
    </row>
    <row r="669" spans="1:11" x14ac:dyDescent="0.25">
      <c r="A669" s="44"/>
      <c r="B669" s="44"/>
      <c r="C669" s="44"/>
      <c r="D669" s="44"/>
      <c r="E669" s="44"/>
      <c r="F669" s="44"/>
      <c r="G669" s="44"/>
      <c r="H669" s="44"/>
      <c r="I669" s="44"/>
      <c r="J669" s="8"/>
      <c r="K669" s="8"/>
    </row>
    <row r="670" spans="1:11" x14ac:dyDescent="0.25">
      <c r="A670" s="44"/>
      <c r="B670" s="44"/>
      <c r="C670" s="44"/>
      <c r="D670" s="44"/>
      <c r="E670" s="44"/>
      <c r="F670" s="44"/>
      <c r="G670" s="44"/>
      <c r="H670" s="44"/>
      <c r="I670" s="44"/>
      <c r="J670" s="8"/>
      <c r="K670" s="8"/>
    </row>
    <row r="671" spans="1:11" x14ac:dyDescent="0.25">
      <c r="A671" s="44"/>
      <c r="B671" s="44"/>
      <c r="C671" s="44"/>
      <c r="D671" s="44"/>
      <c r="E671" s="44"/>
      <c r="F671" s="44"/>
      <c r="G671" s="44"/>
      <c r="H671" s="44"/>
      <c r="I671" s="44"/>
      <c r="J671" s="8"/>
      <c r="K671" s="8"/>
    </row>
    <row r="672" spans="1:11" x14ac:dyDescent="0.25">
      <c r="A672" s="44"/>
      <c r="B672" s="44"/>
      <c r="C672" s="44"/>
      <c r="D672" s="44"/>
      <c r="E672" s="44"/>
      <c r="F672" s="44"/>
      <c r="G672" s="44"/>
      <c r="H672" s="44"/>
      <c r="I672" s="44"/>
      <c r="J672" s="8"/>
      <c r="K672" s="8"/>
    </row>
    <row r="673" spans="1:11" x14ac:dyDescent="0.25">
      <c r="A673" s="44"/>
      <c r="B673" s="44"/>
      <c r="C673" s="44"/>
      <c r="D673" s="44"/>
      <c r="E673" s="44"/>
      <c r="F673" s="44"/>
      <c r="G673" s="44"/>
      <c r="H673" s="44"/>
      <c r="I673" s="44"/>
      <c r="J673" s="8"/>
      <c r="K673" s="8"/>
    </row>
    <row r="674" spans="1:11" x14ac:dyDescent="0.25">
      <c r="A674" s="44"/>
      <c r="B674" s="44"/>
      <c r="C674" s="44"/>
      <c r="D674" s="44"/>
      <c r="E674" s="44"/>
      <c r="F674" s="44"/>
      <c r="G674" s="44"/>
      <c r="H674" s="44"/>
      <c r="I674" s="44"/>
      <c r="J674" s="8"/>
      <c r="K674" s="8"/>
    </row>
    <row r="675" spans="1:11" x14ac:dyDescent="0.25">
      <c r="A675" s="44"/>
      <c r="B675" s="44"/>
      <c r="C675" s="44"/>
      <c r="D675" s="44"/>
      <c r="E675" s="44"/>
      <c r="F675" s="44"/>
      <c r="G675" s="44"/>
      <c r="H675" s="44"/>
      <c r="I675" s="44"/>
      <c r="J675" s="8"/>
      <c r="K675" s="8"/>
    </row>
    <row r="676" spans="1:11" x14ac:dyDescent="0.25">
      <c r="A676" s="44"/>
      <c r="B676" s="44"/>
      <c r="C676" s="44"/>
      <c r="D676" s="44"/>
      <c r="E676" s="44"/>
      <c r="F676" s="44"/>
      <c r="G676" s="44"/>
      <c r="H676" s="44"/>
      <c r="I676" s="44"/>
      <c r="J676" s="8"/>
      <c r="K676" s="8"/>
    </row>
    <row r="677" spans="1:11" x14ac:dyDescent="0.25">
      <c r="A677" s="44"/>
      <c r="B677" s="44"/>
      <c r="C677" s="44"/>
      <c r="D677" s="44"/>
      <c r="E677" s="44"/>
      <c r="F677" s="44"/>
      <c r="G677" s="44"/>
      <c r="H677" s="44"/>
      <c r="I677" s="44"/>
      <c r="J677" s="8"/>
      <c r="K677" s="8"/>
    </row>
    <row r="678" spans="1:11" x14ac:dyDescent="0.25">
      <c r="A678" s="44"/>
      <c r="B678" s="44"/>
      <c r="C678" s="44"/>
      <c r="D678" s="44"/>
      <c r="E678" s="44"/>
      <c r="F678" s="44"/>
      <c r="G678" s="44"/>
      <c r="H678" s="44"/>
      <c r="I678" s="44"/>
      <c r="J678" s="8"/>
      <c r="K678" s="8"/>
    </row>
    <row r="679" spans="1:11" x14ac:dyDescent="0.25">
      <c r="A679" s="44"/>
      <c r="B679" s="44"/>
      <c r="C679" s="44"/>
      <c r="D679" s="44"/>
      <c r="E679" s="44"/>
      <c r="F679" s="44"/>
      <c r="G679" s="44"/>
      <c r="H679" s="44"/>
      <c r="I679" s="44"/>
      <c r="J679" s="8"/>
      <c r="K679" s="8"/>
    </row>
    <row r="680" spans="1:11" x14ac:dyDescent="0.25">
      <c r="A680" s="44"/>
      <c r="B680" s="44"/>
      <c r="C680" s="44"/>
      <c r="D680" s="44"/>
      <c r="E680" s="44"/>
      <c r="F680" s="44"/>
      <c r="G680" s="44"/>
      <c r="H680" s="44"/>
      <c r="I680" s="44"/>
      <c r="J680" s="8"/>
      <c r="K680" s="8"/>
    </row>
    <row r="681" spans="1:11" x14ac:dyDescent="0.25">
      <c r="A681" s="44"/>
      <c r="B681" s="44"/>
      <c r="C681" s="44"/>
      <c r="D681" s="44"/>
      <c r="E681" s="44"/>
      <c r="F681" s="44"/>
      <c r="G681" s="44"/>
      <c r="H681" s="44"/>
      <c r="I681" s="44"/>
      <c r="J681" s="8"/>
      <c r="K681" s="8"/>
    </row>
    <row r="682" spans="1:11" x14ac:dyDescent="0.25">
      <c r="A682" s="44"/>
      <c r="B682" s="44"/>
      <c r="C682" s="44"/>
      <c r="D682" s="44"/>
      <c r="E682" s="44"/>
      <c r="F682" s="44"/>
      <c r="G682" s="44"/>
      <c r="H682" s="44"/>
      <c r="I682" s="44"/>
      <c r="J682" s="8"/>
      <c r="K682" s="8"/>
    </row>
    <row r="683" spans="1:11" x14ac:dyDescent="0.25">
      <c r="A683" s="44"/>
      <c r="B683" s="44"/>
      <c r="C683" s="44"/>
      <c r="D683" s="44"/>
      <c r="E683" s="44"/>
      <c r="F683" s="44"/>
      <c r="G683" s="44"/>
      <c r="H683" s="44"/>
      <c r="I683" s="44"/>
      <c r="J683" s="8"/>
      <c r="K683" s="8"/>
    </row>
    <row r="684" spans="1:11" x14ac:dyDescent="0.25">
      <c r="A684" s="44"/>
      <c r="B684" s="44"/>
      <c r="C684" s="44"/>
      <c r="D684" s="44"/>
      <c r="E684" s="44"/>
      <c r="F684" s="44"/>
      <c r="G684" s="44"/>
      <c r="H684" s="44"/>
      <c r="I684" s="44"/>
      <c r="J684" s="8"/>
      <c r="K684" s="8"/>
    </row>
    <row r="685" spans="1:11" x14ac:dyDescent="0.25">
      <c r="A685" s="44"/>
      <c r="B685" s="44"/>
      <c r="C685" s="44"/>
      <c r="D685" s="44"/>
      <c r="E685" s="44"/>
      <c r="F685" s="44"/>
      <c r="G685" s="44"/>
      <c r="H685" s="44"/>
      <c r="I685" s="44"/>
      <c r="J685" s="8"/>
      <c r="K685" s="8"/>
    </row>
    <row r="686" spans="1:11" x14ac:dyDescent="0.25">
      <c r="A686" s="44"/>
      <c r="B686" s="44"/>
      <c r="C686" s="44"/>
      <c r="D686" s="44"/>
      <c r="E686" s="44"/>
      <c r="F686" s="44"/>
      <c r="G686" s="44"/>
      <c r="H686" s="44"/>
      <c r="I686" s="44"/>
      <c r="J686" s="8"/>
      <c r="K686" s="8"/>
    </row>
    <row r="687" spans="1:11" x14ac:dyDescent="0.25">
      <c r="A687" s="44"/>
      <c r="B687" s="44"/>
      <c r="C687" s="44"/>
      <c r="D687" s="44"/>
      <c r="E687" s="44"/>
      <c r="F687" s="44"/>
      <c r="G687" s="44"/>
      <c r="H687" s="44"/>
      <c r="I687" s="44"/>
      <c r="J687" s="8"/>
      <c r="K687" s="8"/>
    </row>
    <row r="688" spans="1:11" x14ac:dyDescent="0.25">
      <c r="A688" s="44"/>
      <c r="B688" s="44"/>
      <c r="C688" s="44"/>
      <c r="D688" s="44"/>
      <c r="E688" s="44"/>
      <c r="F688" s="44"/>
      <c r="G688" s="44"/>
      <c r="H688" s="44"/>
      <c r="I688" s="44"/>
      <c r="J688" s="8"/>
      <c r="K688" s="8"/>
    </row>
    <row r="689" spans="1:11" x14ac:dyDescent="0.25">
      <c r="A689" s="44"/>
      <c r="B689" s="44"/>
      <c r="C689" s="44"/>
      <c r="D689" s="44"/>
      <c r="E689" s="44"/>
      <c r="F689" s="44"/>
      <c r="G689" s="44"/>
      <c r="H689" s="44"/>
      <c r="I689" s="44"/>
      <c r="J689" s="8"/>
      <c r="K689" s="8"/>
    </row>
    <row r="690" spans="1:11" x14ac:dyDescent="0.25">
      <c r="A690" s="44"/>
      <c r="B690" s="44"/>
      <c r="C690" s="44"/>
      <c r="D690" s="44"/>
      <c r="E690" s="44"/>
      <c r="F690" s="44"/>
      <c r="G690" s="44"/>
      <c r="H690" s="44"/>
      <c r="I690" s="44"/>
      <c r="J690" s="8"/>
      <c r="K690" s="8"/>
    </row>
    <row r="691" spans="1:11" x14ac:dyDescent="0.25">
      <c r="A691" s="44"/>
      <c r="B691" s="44"/>
      <c r="C691" s="44"/>
      <c r="D691" s="44"/>
      <c r="E691" s="44"/>
      <c r="F691" s="44"/>
      <c r="G691" s="44"/>
      <c r="H691" s="44"/>
      <c r="I691" s="44"/>
      <c r="J691" s="8"/>
      <c r="K691" s="8"/>
    </row>
    <row r="692" spans="1:11" x14ac:dyDescent="0.25">
      <c r="A692" s="44"/>
      <c r="B692" s="44"/>
      <c r="C692" s="44"/>
      <c r="D692" s="44"/>
      <c r="E692" s="44"/>
      <c r="F692" s="44"/>
      <c r="G692" s="44"/>
      <c r="H692" s="44"/>
      <c r="I692" s="44"/>
      <c r="J692" s="8"/>
      <c r="K692" s="8"/>
    </row>
    <row r="693" spans="1:11" x14ac:dyDescent="0.25">
      <c r="A693" s="44"/>
      <c r="B693" s="44"/>
      <c r="C693" s="44"/>
      <c r="D693" s="44"/>
      <c r="E693" s="44"/>
      <c r="F693" s="44"/>
      <c r="G693" s="44"/>
      <c r="H693" s="44"/>
      <c r="I693" s="44"/>
      <c r="J693" s="8"/>
      <c r="K693" s="8"/>
    </row>
    <row r="694" spans="1:11" x14ac:dyDescent="0.25">
      <c r="A694" s="44"/>
      <c r="B694" s="44"/>
      <c r="C694" s="44"/>
      <c r="D694" s="44"/>
      <c r="E694" s="44"/>
      <c r="F694" s="44"/>
      <c r="G694" s="44"/>
      <c r="H694" s="44"/>
      <c r="I694" s="44"/>
      <c r="J694" s="8"/>
      <c r="K694" s="8"/>
    </row>
    <row r="695" spans="1:11" x14ac:dyDescent="0.25">
      <c r="A695" s="44"/>
      <c r="B695" s="44"/>
      <c r="C695" s="44"/>
      <c r="D695" s="44"/>
      <c r="E695" s="44"/>
      <c r="F695" s="44"/>
      <c r="G695" s="44"/>
      <c r="H695" s="44"/>
      <c r="I695" s="44"/>
      <c r="J695" s="8"/>
      <c r="K695" s="8"/>
    </row>
    <row r="696" spans="1:11" x14ac:dyDescent="0.25">
      <c r="A696" s="44"/>
      <c r="B696" s="44"/>
      <c r="C696" s="44"/>
      <c r="D696" s="44"/>
      <c r="E696" s="44"/>
      <c r="F696" s="44"/>
      <c r="G696" s="44"/>
      <c r="H696" s="44"/>
      <c r="I696" s="44"/>
      <c r="J696" s="8"/>
      <c r="K696" s="8"/>
    </row>
    <row r="697" spans="1:11" x14ac:dyDescent="0.25">
      <c r="A697" s="44"/>
      <c r="B697" s="44"/>
      <c r="C697" s="44"/>
      <c r="D697" s="44"/>
      <c r="E697" s="44"/>
      <c r="F697" s="44"/>
      <c r="G697" s="44"/>
      <c r="H697" s="44"/>
      <c r="I697" s="44"/>
      <c r="J697" s="8"/>
      <c r="K697" s="8"/>
    </row>
    <row r="698" spans="1:11" x14ac:dyDescent="0.25">
      <c r="A698" s="44"/>
      <c r="B698" s="44"/>
      <c r="C698" s="44"/>
      <c r="D698" s="44"/>
      <c r="E698" s="44"/>
      <c r="F698" s="44"/>
      <c r="G698" s="44"/>
      <c r="H698" s="44"/>
      <c r="I698" s="44"/>
      <c r="J698" s="8"/>
      <c r="K698" s="8"/>
    </row>
    <row r="699" spans="1:11" x14ac:dyDescent="0.25">
      <c r="A699" s="44"/>
      <c r="B699" s="44"/>
      <c r="C699" s="44"/>
      <c r="D699" s="44"/>
      <c r="E699" s="44"/>
      <c r="F699" s="44"/>
      <c r="G699" s="44"/>
      <c r="H699" s="44"/>
      <c r="I699" s="44"/>
      <c r="J699" s="8"/>
      <c r="K699" s="8"/>
    </row>
    <row r="700" spans="1:11" x14ac:dyDescent="0.25">
      <c r="A700" s="44"/>
      <c r="B700" s="44"/>
      <c r="C700" s="44"/>
      <c r="D700" s="44"/>
      <c r="E700" s="44"/>
      <c r="F700" s="44"/>
      <c r="G700" s="44"/>
      <c r="H700" s="44"/>
      <c r="I700" s="44"/>
      <c r="J700" s="8"/>
      <c r="K700" s="8"/>
    </row>
    <row r="701" spans="1:11" x14ac:dyDescent="0.25">
      <c r="A701" s="44"/>
      <c r="B701" s="44"/>
      <c r="C701" s="44"/>
      <c r="D701" s="44"/>
      <c r="E701" s="44"/>
      <c r="F701" s="44"/>
      <c r="G701" s="44"/>
      <c r="H701" s="44"/>
      <c r="I701" s="44"/>
      <c r="J701" s="8"/>
      <c r="K701" s="8"/>
    </row>
    <row r="702" spans="1:11" x14ac:dyDescent="0.25">
      <c r="A702" s="44"/>
      <c r="B702" s="44"/>
      <c r="C702" s="44"/>
      <c r="D702" s="44"/>
      <c r="E702" s="44"/>
      <c r="F702" s="44"/>
      <c r="G702" s="44"/>
      <c r="H702" s="44"/>
      <c r="I702" s="44"/>
      <c r="J702" s="8"/>
      <c r="K702" s="8"/>
    </row>
    <row r="703" spans="1:11" x14ac:dyDescent="0.25">
      <c r="A703" s="44"/>
      <c r="B703" s="44"/>
      <c r="C703" s="44"/>
      <c r="D703" s="44"/>
      <c r="E703" s="44"/>
      <c r="F703" s="44"/>
      <c r="G703" s="44"/>
      <c r="H703" s="44"/>
      <c r="I703" s="44"/>
      <c r="J703" s="8"/>
      <c r="K703" s="8"/>
    </row>
    <row r="704" spans="1:11" x14ac:dyDescent="0.25">
      <c r="A704" s="44"/>
      <c r="B704" s="44"/>
      <c r="C704" s="44"/>
      <c r="D704" s="44"/>
      <c r="E704" s="44"/>
      <c r="F704" s="44"/>
      <c r="G704" s="44"/>
      <c r="H704" s="44"/>
      <c r="I704" s="44"/>
      <c r="J704" s="8"/>
      <c r="K704" s="8"/>
    </row>
    <row r="705" spans="1:11" x14ac:dyDescent="0.25">
      <c r="A705" s="44"/>
      <c r="B705" s="44"/>
      <c r="C705" s="44"/>
      <c r="D705" s="44"/>
      <c r="E705" s="44"/>
      <c r="F705" s="44"/>
      <c r="G705" s="44"/>
      <c r="H705" s="44"/>
      <c r="I705" s="44"/>
      <c r="J705" s="8"/>
      <c r="K705" s="8"/>
    </row>
    <row r="706" spans="1:11" x14ac:dyDescent="0.25">
      <c r="A706" s="44"/>
      <c r="B706" s="44"/>
      <c r="C706" s="44"/>
      <c r="D706" s="44"/>
      <c r="E706" s="44"/>
      <c r="F706" s="44"/>
      <c r="G706" s="44"/>
      <c r="H706" s="44"/>
      <c r="I706" s="44"/>
      <c r="J706" s="8"/>
      <c r="K706" s="8"/>
    </row>
    <row r="707" spans="1:11" x14ac:dyDescent="0.25">
      <c r="A707" s="44"/>
      <c r="B707" s="44"/>
      <c r="C707" s="44"/>
      <c r="D707" s="44"/>
      <c r="E707" s="44"/>
      <c r="F707" s="44"/>
      <c r="G707" s="44"/>
      <c r="H707" s="44"/>
      <c r="I707" s="44"/>
      <c r="J707" s="8"/>
      <c r="K707" s="8"/>
    </row>
    <row r="708" spans="1:11" x14ac:dyDescent="0.25">
      <c r="A708" s="44"/>
      <c r="B708" s="44"/>
      <c r="C708" s="44"/>
      <c r="D708" s="44"/>
      <c r="E708" s="44"/>
      <c r="F708" s="44"/>
      <c r="G708" s="44"/>
      <c r="H708" s="44"/>
      <c r="I708" s="44"/>
      <c r="J708" s="8"/>
      <c r="K708" s="8"/>
    </row>
    <row r="709" spans="1:11" x14ac:dyDescent="0.25">
      <c r="A709" s="44"/>
      <c r="B709" s="44"/>
      <c r="C709" s="44"/>
      <c r="D709" s="44"/>
      <c r="E709" s="44"/>
      <c r="F709" s="44"/>
      <c r="G709" s="44"/>
      <c r="H709" s="44"/>
      <c r="I709" s="44"/>
      <c r="J709" s="8"/>
      <c r="K709" s="8"/>
    </row>
    <row r="710" spans="1:11" x14ac:dyDescent="0.25">
      <c r="A710" s="44"/>
      <c r="B710" s="44"/>
      <c r="C710" s="44"/>
      <c r="D710" s="44"/>
      <c r="E710" s="44"/>
      <c r="F710" s="44"/>
      <c r="G710" s="44"/>
      <c r="H710" s="44"/>
      <c r="I710" s="44"/>
      <c r="J710" s="8"/>
      <c r="K710" s="8"/>
    </row>
    <row r="711" spans="1:11" x14ac:dyDescent="0.25">
      <c r="A711" s="44"/>
      <c r="B711" s="44"/>
      <c r="C711" s="44"/>
      <c r="D711" s="44"/>
      <c r="E711" s="44"/>
      <c r="F711" s="44"/>
      <c r="G711" s="44"/>
      <c r="H711" s="44"/>
      <c r="I711" s="44"/>
      <c r="J711" s="8"/>
      <c r="K711" s="8"/>
    </row>
    <row r="712" spans="1:11" x14ac:dyDescent="0.25">
      <c r="A712" s="44"/>
      <c r="B712" s="44"/>
      <c r="C712" s="44"/>
      <c r="D712" s="44"/>
      <c r="E712" s="44"/>
      <c r="F712" s="44"/>
      <c r="G712" s="44"/>
      <c r="H712" s="44"/>
      <c r="I712" s="44"/>
      <c r="J712" s="8"/>
      <c r="K712" s="8"/>
    </row>
    <row r="713" spans="1:11" x14ac:dyDescent="0.25">
      <c r="A713" s="44"/>
      <c r="B713" s="44"/>
      <c r="C713" s="44"/>
      <c r="D713" s="44"/>
      <c r="E713" s="44"/>
      <c r="F713" s="44"/>
      <c r="G713" s="44"/>
      <c r="H713" s="44"/>
      <c r="I713" s="44"/>
      <c r="J713" s="8"/>
      <c r="K713" s="8"/>
    </row>
    <row r="714" spans="1:11" x14ac:dyDescent="0.25">
      <c r="A714" s="44"/>
      <c r="B714" s="44"/>
      <c r="C714" s="44"/>
      <c r="D714" s="44"/>
      <c r="E714" s="44"/>
      <c r="F714" s="44"/>
      <c r="G714" s="44"/>
      <c r="H714" s="44"/>
      <c r="I714" s="44"/>
      <c r="J714" s="8"/>
      <c r="K714" s="8"/>
    </row>
    <row r="715" spans="1:11" x14ac:dyDescent="0.25">
      <c r="A715" s="44"/>
      <c r="B715" s="44"/>
      <c r="C715" s="44"/>
      <c r="D715" s="44"/>
      <c r="E715" s="44"/>
      <c r="F715" s="44"/>
      <c r="G715" s="44"/>
      <c r="H715" s="44"/>
      <c r="I715" s="44"/>
      <c r="J715" s="8"/>
      <c r="K715" s="8"/>
    </row>
    <row r="716" spans="1:11" x14ac:dyDescent="0.25">
      <c r="A716" s="44"/>
      <c r="B716" s="44"/>
      <c r="C716" s="44"/>
      <c r="D716" s="44"/>
      <c r="E716" s="44"/>
      <c r="F716" s="44"/>
      <c r="G716" s="44"/>
      <c r="H716" s="44"/>
      <c r="I716" s="44"/>
      <c r="J716" s="8"/>
      <c r="K716" s="8"/>
    </row>
    <row r="717" spans="1:11" x14ac:dyDescent="0.25">
      <c r="A717" s="44"/>
      <c r="B717" s="44"/>
      <c r="C717" s="44"/>
      <c r="D717" s="44"/>
      <c r="E717" s="44"/>
      <c r="F717" s="44"/>
      <c r="G717" s="44"/>
      <c r="H717" s="44"/>
      <c r="I717" s="44"/>
      <c r="J717" s="8"/>
      <c r="K717" s="8"/>
    </row>
    <row r="718" spans="1:11" x14ac:dyDescent="0.25">
      <c r="A718" s="44"/>
      <c r="B718" s="44"/>
      <c r="C718" s="44"/>
      <c r="D718" s="44"/>
      <c r="E718" s="44"/>
      <c r="F718" s="44"/>
      <c r="G718" s="44"/>
      <c r="H718" s="44"/>
      <c r="I718" s="44"/>
      <c r="J718" s="8"/>
      <c r="K718" s="8"/>
    </row>
    <row r="719" spans="1:11" x14ac:dyDescent="0.25">
      <c r="A719" s="44"/>
      <c r="B719" s="44"/>
      <c r="C719" s="44"/>
      <c r="D719" s="44"/>
      <c r="E719" s="44"/>
      <c r="F719" s="44"/>
      <c r="G719" s="44"/>
      <c r="H719" s="44"/>
      <c r="I719" s="44"/>
      <c r="J719" s="8"/>
      <c r="K719" s="8"/>
    </row>
    <row r="720" spans="1:11" x14ac:dyDescent="0.25">
      <c r="A720" s="44"/>
      <c r="B720" s="44"/>
      <c r="C720" s="44"/>
      <c r="D720" s="44"/>
      <c r="E720" s="44"/>
      <c r="F720" s="44"/>
      <c r="G720" s="44"/>
      <c r="H720" s="44"/>
      <c r="I720" s="44"/>
      <c r="J720" s="8"/>
      <c r="K720" s="8"/>
    </row>
    <row r="721" spans="1:11" x14ac:dyDescent="0.25">
      <c r="A721" s="44"/>
      <c r="B721" s="44"/>
      <c r="C721" s="44"/>
      <c r="D721" s="44"/>
      <c r="E721" s="44"/>
      <c r="F721" s="44"/>
      <c r="G721" s="44"/>
      <c r="H721" s="44"/>
      <c r="I721" s="44"/>
      <c r="J721" s="8"/>
      <c r="K721" s="8"/>
    </row>
    <row r="722" spans="1:11" x14ac:dyDescent="0.25">
      <c r="A722" s="44"/>
      <c r="B722" s="44"/>
      <c r="C722" s="44"/>
      <c r="D722" s="44"/>
      <c r="E722" s="44"/>
      <c r="F722" s="44"/>
      <c r="G722" s="44"/>
      <c r="H722" s="44"/>
      <c r="I722" s="44"/>
      <c r="J722" s="8"/>
      <c r="K722" s="8"/>
    </row>
    <row r="723" spans="1:11" x14ac:dyDescent="0.25">
      <c r="A723" s="44"/>
      <c r="B723" s="44"/>
      <c r="C723" s="44"/>
      <c r="D723" s="44"/>
      <c r="E723" s="44"/>
      <c r="F723" s="44"/>
      <c r="G723" s="44"/>
      <c r="H723" s="44"/>
      <c r="I723" s="44"/>
      <c r="J723" s="8"/>
      <c r="K723" s="8"/>
    </row>
    <row r="724" spans="1:11" x14ac:dyDescent="0.25">
      <c r="A724" s="44"/>
      <c r="B724" s="44"/>
      <c r="C724" s="44"/>
      <c r="D724" s="44"/>
      <c r="E724" s="44"/>
      <c r="F724" s="44"/>
      <c r="G724" s="44"/>
      <c r="H724" s="44"/>
      <c r="I724" s="44"/>
      <c r="J724" s="8"/>
      <c r="K724" s="8"/>
    </row>
    <row r="725" spans="1:11" x14ac:dyDescent="0.25">
      <c r="A725" s="44"/>
      <c r="B725" s="44"/>
      <c r="C725" s="44"/>
      <c r="D725" s="44"/>
      <c r="E725" s="44"/>
      <c r="F725" s="44"/>
      <c r="G725" s="44"/>
      <c r="H725" s="44"/>
      <c r="I725" s="44"/>
      <c r="J725" s="8"/>
      <c r="K725" s="8"/>
    </row>
    <row r="726" spans="1:11" x14ac:dyDescent="0.25">
      <c r="A726" s="44"/>
      <c r="B726" s="44"/>
      <c r="C726" s="44"/>
      <c r="D726" s="44"/>
      <c r="E726" s="44"/>
      <c r="F726" s="44"/>
      <c r="G726" s="44"/>
      <c r="H726" s="44"/>
      <c r="I726" s="44"/>
      <c r="J726" s="8"/>
      <c r="K726" s="8"/>
    </row>
    <row r="727" spans="1:11" x14ac:dyDescent="0.25">
      <c r="A727" s="44"/>
      <c r="B727" s="44"/>
      <c r="C727" s="44"/>
      <c r="D727" s="44"/>
      <c r="E727" s="44"/>
      <c r="F727" s="44"/>
      <c r="G727" s="44"/>
      <c r="H727" s="44"/>
      <c r="I727" s="44"/>
      <c r="J727" s="8"/>
      <c r="K727" s="8"/>
    </row>
    <row r="728" spans="1:11" x14ac:dyDescent="0.25">
      <c r="A728" s="44"/>
      <c r="B728" s="44"/>
      <c r="C728" s="44"/>
      <c r="D728" s="44"/>
      <c r="E728" s="44"/>
      <c r="F728" s="44"/>
      <c r="G728" s="44"/>
      <c r="H728" s="44"/>
      <c r="I728" s="44"/>
      <c r="J728" s="8"/>
      <c r="K728" s="8"/>
    </row>
    <row r="729" spans="1:11" x14ac:dyDescent="0.25">
      <c r="A729" s="44"/>
      <c r="B729" s="44"/>
      <c r="C729" s="44"/>
      <c r="D729" s="44"/>
      <c r="E729" s="44"/>
      <c r="F729" s="44"/>
      <c r="G729" s="44"/>
      <c r="H729" s="44"/>
      <c r="I729" s="44"/>
      <c r="J729" s="8"/>
      <c r="K729" s="8"/>
    </row>
    <row r="730" spans="1:11" x14ac:dyDescent="0.25">
      <c r="A730" s="44"/>
      <c r="B730" s="44"/>
      <c r="C730" s="44"/>
      <c r="D730" s="44"/>
      <c r="E730" s="44"/>
      <c r="F730" s="44"/>
      <c r="G730" s="44"/>
      <c r="H730" s="44"/>
      <c r="I730" s="44"/>
      <c r="J730" s="8"/>
      <c r="K730" s="8"/>
    </row>
    <row r="731" spans="1:11" x14ac:dyDescent="0.25">
      <c r="A731" s="44"/>
      <c r="B731" s="44"/>
      <c r="C731" s="44"/>
      <c r="D731" s="44"/>
      <c r="E731" s="44"/>
      <c r="F731" s="44"/>
      <c r="G731" s="44"/>
      <c r="H731" s="44"/>
      <c r="I731" s="44"/>
      <c r="J731" s="8"/>
      <c r="K731" s="8"/>
    </row>
    <row r="732" spans="1:11" x14ac:dyDescent="0.25">
      <c r="A732" s="44"/>
      <c r="B732" s="44"/>
      <c r="C732" s="44"/>
      <c r="D732" s="44"/>
      <c r="E732" s="44"/>
      <c r="F732" s="44"/>
      <c r="G732" s="44"/>
      <c r="H732" s="44"/>
      <c r="I732" s="44"/>
      <c r="J732" s="8"/>
      <c r="K732" s="8"/>
    </row>
    <row r="733" spans="1:11" x14ac:dyDescent="0.25">
      <c r="A733" s="44"/>
      <c r="B733" s="44"/>
      <c r="C733" s="44"/>
      <c r="D733" s="44"/>
      <c r="E733" s="44"/>
      <c r="F733" s="44"/>
      <c r="G733" s="44"/>
      <c r="H733" s="44"/>
      <c r="I733" s="44"/>
      <c r="J733" s="8"/>
      <c r="K733" s="8"/>
    </row>
    <row r="734" spans="1:11" x14ac:dyDescent="0.25">
      <c r="A734" s="44"/>
      <c r="B734" s="44"/>
      <c r="C734" s="44"/>
      <c r="D734" s="44"/>
      <c r="E734" s="44"/>
      <c r="F734" s="44"/>
      <c r="G734" s="44"/>
      <c r="H734" s="44"/>
      <c r="I734" s="44"/>
      <c r="J734" s="8"/>
      <c r="K734" s="8"/>
    </row>
    <row r="735" spans="1:11" x14ac:dyDescent="0.25">
      <c r="A735" s="44"/>
      <c r="B735" s="44"/>
      <c r="C735" s="44"/>
      <c r="D735" s="44"/>
      <c r="E735" s="44"/>
      <c r="F735" s="44"/>
      <c r="G735" s="44"/>
      <c r="H735" s="44"/>
      <c r="I735" s="44"/>
      <c r="J735" s="8"/>
      <c r="K735" s="8"/>
    </row>
    <row r="736" spans="1:11" x14ac:dyDescent="0.25">
      <c r="A736" s="44"/>
      <c r="B736" s="44"/>
      <c r="C736" s="44"/>
      <c r="D736" s="44"/>
      <c r="E736" s="44"/>
      <c r="F736" s="44"/>
      <c r="G736" s="44"/>
      <c r="H736" s="44"/>
      <c r="I736" s="44"/>
      <c r="J736" s="8"/>
      <c r="K736" s="8"/>
    </row>
    <row r="737" spans="1:11" x14ac:dyDescent="0.25">
      <c r="A737" s="44"/>
      <c r="B737" s="44"/>
      <c r="C737" s="44"/>
      <c r="D737" s="44"/>
      <c r="E737" s="44"/>
      <c r="F737" s="44"/>
      <c r="G737" s="44"/>
      <c r="H737" s="44"/>
      <c r="I737" s="44"/>
      <c r="J737" s="8"/>
      <c r="K737" s="8"/>
    </row>
    <row r="738" spans="1:11" x14ac:dyDescent="0.25">
      <c r="A738" s="44"/>
      <c r="B738" s="44"/>
      <c r="C738" s="44"/>
      <c r="D738" s="44"/>
      <c r="E738" s="44"/>
      <c r="F738" s="44"/>
      <c r="G738" s="44"/>
      <c r="H738" s="44"/>
      <c r="I738" s="44"/>
      <c r="J738" s="8"/>
      <c r="K738" s="8"/>
    </row>
    <row r="739" spans="1:11" x14ac:dyDescent="0.25">
      <c r="A739" s="44"/>
      <c r="B739" s="44"/>
      <c r="C739" s="44"/>
      <c r="D739" s="44"/>
      <c r="E739" s="44"/>
      <c r="F739" s="44"/>
      <c r="G739" s="44"/>
      <c r="H739" s="44"/>
      <c r="I739" s="44"/>
      <c r="J739" s="8"/>
      <c r="K739" s="8"/>
    </row>
    <row r="740" spans="1:11" x14ac:dyDescent="0.25">
      <c r="A740" s="44"/>
      <c r="B740" s="44"/>
      <c r="C740" s="44"/>
      <c r="D740" s="44"/>
      <c r="E740" s="44"/>
      <c r="F740" s="44"/>
      <c r="G740" s="44"/>
      <c r="H740" s="44"/>
      <c r="I740" s="44"/>
      <c r="J740" s="8"/>
      <c r="K740" s="8"/>
    </row>
    <row r="741" spans="1:11" x14ac:dyDescent="0.25">
      <c r="A741" s="44"/>
      <c r="B741" s="44"/>
      <c r="C741" s="44"/>
      <c r="D741" s="44"/>
      <c r="E741" s="44"/>
      <c r="F741" s="44"/>
      <c r="G741" s="44"/>
      <c r="H741" s="44"/>
      <c r="I741" s="44"/>
      <c r="J741" s="8"/>
      <c r="K741" s="8"/>
    </row>
    <row r="742" spans="1:11" x14ac:dyDescent="0.25">
      <c r="A742" s="44"/>
      <c r="B742" s="44"/>
      <c r="C742" s="44"/>
      <c r="D742" s="44"/>
      <c r="E742" s="44"/>
      <c r="F742" s="44"/>
      <c r="G742" s="44"/>
      <c r="H742" s="44"/>
      <c r="I742" s="44"/>
      <c r="J742" s="8"/>
      <c r="K742" s="8"/>
    </row>
    <row r="743" spans="1:11" x14ac:dyDescent="0.25">
      <c r="A743" s="44"/>
      <c r="B743" s="44"/>
      <c r="C743" s="44"/>
      <c r="D743" s="44"/>
      <c r="E743" s="44"/>
      <c r="F743" s="44"/>
      <c r="G743" s="44"/>
      <c r="H743" s="44"/>
      <c r="I743" s="44"/>
      <c r="J743" s="8"/>
      <c r="K743" s="8"/>
    </row>
    <row r="744" spans="1:11" x14ac:dyDescent="0.25">
      <c r="A744" s="44"/>
      <c r="B744" s="44"/>
      <c r="C744" s="44"/>
      <c r="D744" s="44"/>
      <c r="E744" s="44"/>
      <c r="F744" s="44"/>
      <c r="G744" s="44"/>
      <c r="H744" s="44"/>
      <c r="I744" s="44"/>
      <c r="J744" s="8"/>
      <c r="K744" s="8"/>
    </row>
    <row r="745" spans="1:11" x14ac:dyDescent="0.25">
      <c r="A745" s="44"/>
      <c r="B745" s="44"/>
      <c r="C745" s="44"/>
      <c r="D745" s="44"/>
      <c r="E745" s="44"/>
      <c r="F745" s="44"/>
      <c r="G745" s="44"/>
      <c r="H745" s="44"/>
      <c r="I745" s="44"/>
      <c r="J745" s="8"/>
      <c r="K745" s="8"/>
    </row>
    <row r="746" spans="1:11" x14ac:dyDescent="0.25">
      <c r="A746" s="44"/>
      <c r="B746" s="44"/>
      <c r="C746" s="44"/>
      <c r="D746" s="44"/>
      <c r="E746" s="44"/>
      <c r="F746" s="44"/>
      <c r="G746" s="44"/>
      <c r="H746" s="44"/>
      <c r="I746" s="44"/>
      <c r="J746" s="8"/>
      <c r="K746" s="8"/>
    </row>
    <row r="747" spans="1:11" x14ac:dyDescent="0.25">
      <c r="A747" s="44"/>
      <c r="B747" s="44"/>
      <c r="C747" s="44"/>
      <c r="D747" s="44"/>
      <c r="E747" s="44"/>
      <c r="F747" s="44"/>
      <c r="G747" s="44"/>
      <c r="H747" s="44"/>
      <c r="I747" s="44"/>
      <c r="J747" s="8"/>
      <c r="K747" s="8"/>
    </row>
    <row r="748" spans="1:11" x14ac:dyDescent="0.25">
      <c r="A748" s="44"/>
      <c r="B748" s="44"/>
      <c r="C748" s="44"/>
      <c r="D748" s="44"/>
      <c r="E748" s="44"/>
      <c r="F748" s="44"/>
      <c r="G748" s="44"/>
      <c r="H748" s="44"/>
      <c r="I748" s="44"/>
      <c r="J748" s="8"/>
      <c r="K748" s="8"/>
    </row>
    <row r="749" spans="1:11" x14ac:dyDescent="0.25">
      <c r="A749" s="44"/>
      <c r="B749" s="44"/>
      <c r="C749" s="44"/>
      <c r="D749" s="44"/>
      <c r="E749" s="44"/>
      <c r="F749" s="44"/>
      <c r="G749" s="44"/>
      <c r="H749" s="44"/>
      <c r="I749" s="44"/>
      <c r="J749" s="8"/>
      <c r="K749" s="8"/>
    </row>
    <row r="750" spans="1:11" x14ac:dyDescent="0.25">
      <c r="A750" s="44"/>
      <c r="B750" s="44"/>
      <c r="C750" s="44"/>
      <c r="D750" s="44"/>
      <c r="E750" s="44"/>
      <c r="F750" s="44"/>
      <c r="G750" s="44"/>
      <c r="H750" s="44"/>
      <c r="I750" s="44"/>
      <c r="J750" s="8"/>
      <c r="K750" s="8"/>
    </row>
    <row r="751" spans="1:11" x14ac:dyDescent="0.25">
      <c r="A751" s="44"/>
      <c r="B751" s="44"/>
      <c r="C751" s="44"/>
      <c r="D751" s="44"/>
      <c r="E751" s="44"/>
      <c r="F751" s="44"/>
      <c r="G751" s="44"/>
      <c r="H751" s="44"/>
      <c r="I751" s="44"/>
      <c r="J751" s="8"/>
      <c r="K751" s="8"/>
    </row>
    <row r="752" spans="1:11" x14ac:dyDescent="0.25">
      <c r="A752" s="44"/>
      <c r="B752" s="44"/>
      <c r="C752" s="44"/>
      <c r="D752" s="44"/>
      <c r="E752" s="44"/>
      <c r="F752" s="44"/>
      <c r="G752" s="44"/>
      <c r="H752" s="44"/>
      <c r="I752" s="44"/>
      <c r="J752" s="8"/>
      <c r="K752" s="8"/>
    </row>
    <row r="753" spans="1:11" x14ac:dyDescent="0.25">
      <c r="A753" s="44"/>
      <c r="B753" s="44"/>
      <c r="C753" s="44"/>
      <c r="D753" s="44"/>
      <c r="E753" s="44"/>
      <c r="F753" s="44"/>
      <c r="G753" s="44"/>
      <c r="H753" s="44"/>
      <c r="I753" s="44"/>
      <c r="J753" s="8"/>
      <c r="K753" s="8"/>
    </row>
    <row r="754" spans="1:11" x14ac:dyDescent="0.25">
      <c r="A754" s="44"/>
      <c r="B754" s="44"/>
      <c r="C754" s="44"/>
      <c r="D754" s="44"/>
      <c r="E754" s="44"/>
      <c r="F754" s="44"/>
      <c r="G754" s="44"/>
      <c r="H754" s="44"/>
      <c r="I754" s="44"/>
      <c r="J754" s="8"/>
      <c r="K754" s="8"/>
    </row>
    <row r="755" spans="1:11" x14ac:dyDescent="0.25">
      <c r="A755" s="44"/>
      <c r="B755" s="44"/>
      <c r="C755" s="44"/>
      <c r="D755" s="44"/>
      <c r="E755" s="44"/>
      <c r="F755" s="44"/>
      <c r="G755" s="44"/>
      <c r="H755" s="44"/>
      <c r="I755" s="44"/>
      <c r="J755" s="8"/>
      <c r="K755" s="8"/>
    </row>
    <row r="756" spans="1:11" x14ac:dyDescent="0.25">
      <c r="A756" s="44"/>
      <c r="B756" s="44"/>
      <c r="C756" s="44"/>
      <c r="D756" s="44"/>
      <c r="E756" s="44"/>
      <c r="F756" s="44"/>
      <c r="G756" s="44"/>
      <c r="H756" s="44"/>
      <c r="I756" s="44"/>
      <c r="J756" s="8"/>
      <c r="K756" s="8"/>
    </row>
    <row r="757" spans="1:11" x14ac:dyDescent="0.25">
      <c r="A757" s="44"/>
      <c r="B757" s="44"/>
      <c r="C757" s="44"/>
      <c r="D757" s="44"/>
      <c r="E757" s="44"/>
      <c r="F757" s="44"/>
      <c r="G757" s="44"/>
      <c r="H757" s="44"/>
      <c r="I757" s="44"/>
      <c r="J757" s="8"/>
      <c r="K757" s="8"/>
    </row>
    <row r="758" spans="1:11" x14ac:dyDescent="0.25">
      <c r="A758" s="44"/>
      <c r="B758" s="44"/>
      <c r="C758" s="44"/>
      <c r="D758" s="44"/>
      <c r="E758" s="44"/>
      <c r="F758" s="44"/>
      <c r="G758" s="44"/>
      <c r="H758" s="44"/>
      <c r="I758" s="44"/>
      <c r="J758" s="8"/>
      <c r="K758" s="8"/>
    </row>
    <row r="759" spans="1:11" x14ac:dyDescent="0.25">
      <c r="A759" s="44"/>
      <c r="B759" s="44"/>
      <c r="C759" s="44"/>
      <c r="D759" s="44"/>
      <c r="E759" s="44"/>
      <c r="F759" s="44"/>
      <c r="G759" s="44"/>
      <c r="H759" s="44"/>
      <c r="I759" s="44"/>
      <c r="J759" s="8"/>
      <c r="K759" s="8"/>
    </row>
    <row r="760" spans="1:11" x14ac:dyDescent="0.25">
      <c r="A760" s="44"/>
      <c r="B760" s="44"/>
      <c r="C760" s="44"/>
      <c r="D760" s="44"/>
      <c r="E760" s="44"/>
      <c r="F760" s="44"/>
      <c r="G760" s="44"/>
      <c r="H760" s="44"/>
      <c r="I760" s="44"/>
      <c r="J760" s="8"/>
      <c r="K760" s="8"/>
    </row>
    <row r="761" spans="1:11" x14ac:dyDescent="0.25">
      <c r="A761" s="44"/>
      <c r="B761" s="44"/>
      <c r="C761" s="44"/>
      <c r="D761" s="44"/>
      <c r="E761" s="44"/>
      <c r="F761" s="44"/>
      <c r="G761" s="44"/>
      <c r="H761" s="44"/>
      <c r="I761" s="44"/>
      <c r="J761" s="8"/>
      <c r="K761" s="8"/>
    </row>
    <row r="762" spans="1:11" x14ac:dyDescent="0.25">
      <c r="A762" s="44"/>
      <c r="B762" s="44"/>
      <c r="C762" s="44"/>
      <c r="D762" s="44"/>
      <c r="E762" s="44"/>
      <c r="F762" s="44"/>
      <c r="G762" s="44"/>
      <c r="H762" s="44"/>
      <c r="I762" s="44"/>
      <c r="J762" s="8"/>
      <c r="K762" s="8"/>
    </row>
    <row r="763" spans="1:11" x14ac:dyDescent="0.25">
      <c r="A763" s="44"/>
      <c r="B763" s="44"/>
      <c r="C763" s="44"/>
      <c r="D763" s="44"/>
      <c r="E763" s="44"/>
      <c r="F763" s="44"/>
      <c r="G763" s="44"/>
      <c r="H763" s="44"/>
      <c r="I763" s="44"/>
      <c r="J763" s="8"/>
      <c r="K763" s="8"/>
    </row>
    <row r="764" spans="1:11" x14ac:dyDescent="0.25">
      <c r="A764" s="44"/>
      <c r="B764" s="44"/>
      <c r="C764" s="44"/>
      <c r="D764" s="44"/>
      <c r="E764" s="44"/>
      <c r="F764" s="44"/>
      <c r="G764" s="44"/>
      <c r="H764" s="44"/>
      <c r="I764" s="44"/>
      <c r="J764" s="8"/>
      <c r="K764" s="8"/>
    </row>
    <row r="765" spans="1:11" x14ac:dyDescent="0.25">
      <c r="A765" s="44"/>
      <c r="B765" s="44"/>
      <c r="C765" s="44"/>
      <c r="D765" s="44"/>
      <c r="E765" s="44"/>
      <c r="F765" s="44"/>
      <c r="G765" s="44"/>
      <c r="H765" s="44"/>
      <c r="I765" s="44"/>
      <c r="J765" s="8"/>
      <c r="K765" s="8"/>
    </row>
    <row r="766" spans="1:11" x14ac:dyDescent="0.25">
      <c r="A766" s="44"/>
      <c r="B766" s="44"/>
      <c r="C766" s="44"/>
      <c r="D766" s="44"/>
      <c r="E766" s="44"/>
      <c r="F766" s="44"/>
      <c r="G766" s="44"/>
      <c r="H766" s="44"/>
      <c r="I766" s="44"/>
      <c r="J766" s="8"/>
      <c r="K766" s="8"/>
    </row>
    <row r="767" spans="1:11" x14ac:dyDescent="0.25">
      <c r="A767" s="44"/>
      <c r="B767" s="44"/>
      <c r="C767" s="44"/>
      <c r="D767" s="44"/>
      <c r="E767" s="44"/>
      <c r="F767" s="44"/>
      <c r="G767" s="44"/>
      <c r="H767" s="44"/>
      <c r="I767" s="44"/>
      <c r="J767" s="8"/>
      <c r="K767" s="8"/>
    </row>
    <row r="768" spans="1:11" x14ac:dyDescent="0.25">
      <c r="A768" s="44"/>
      <c r="B768" s="44"/>
      <c r="C768" s="44"/>
      <c r="D768" s="44"/>
      <c r="E768" s="44"/>
      <c r="F768" s="44"/>
      <c r="G768" s="44"/>
      <c r="H768" s="44"/>
      <c r="I768" s="44"/>
      <c r="J768" s="8"/>
      <c r="K768" s="8"/>
    </row>
    <row r="769" spans="1:11" x14ac:dyDescent="0.25">
      <c r="A769" s="44"/>
      <c r="B769" s="44"/>
      <c r="C769" s="44"/>
      <c r="D769" s="44"/>
      <c r="E769" s="44"/>
      <c r="F769" s="44"/>
      <c r="G769" s="44"/>
      <c r="H769" s="44"/>
      <c r="I769" s="44"/>
      <c r="J769" s="8"/>
      <c r="K769" s="8"/>
    </row>
    <row r="770" spans="1:11" x14ac:dyDescent="0.25">
      <c r="A770" s="44"/>
      <c r="B770" s="44"/>
      <c r="C770" s="44"/>
      <c r="D770" s="44"/>
      <c r="E770" s="44"/>
      <c r="F770" s="44"/>
      <c r="G770" s="44"/>
      <c r="H770" s="44"/>
      <c r="I770" s="44"/>
      <c r="J770" s="8"/>
      <c r="K770" s="8"/>
    </row>
    <row r="771" spans="1:11" x14ac:dyDescent="0.25">
      <c r="A771" s="44"/>
      <c r="B771" s="44"/>
      <c r="C771" s="44"/>
      <c r="D771" s="44"/>
      <c r="E771" s="44"/>
      <c r="F771" s="44"/>
      <c r="G771" s="44"/>
      <c r="H771" s="44"/>
      <c r="I771" s="44"/>
      <c r="J771" s="8"/>
      <c r="K771" s="8"/>
    </row>
    <row r="772" spans="1:11" x14ac:dyDescent="0.25">
      <c r="A772" s="44"/>
      <c r="B772" s="44"/>
      <c r="C772" s="44"/>
      <c r="D772" s="44"/>
      <c r="E772" s="44"/>
      <c r="F772" s="44"/>
      <c r="G772" s="44"/>
      <c r="H772" s="44"/>
      <c r="I772" s="44"/>
      <c r="J772" s="8"/>
      <c r="K772" s="8"/>
    </row>
    <row r="773" spans="1:11" x14ac:dyDescent="0.25">
      <c r="A773" s="44"/>
      <c r="B773" s="44"/>
      <c r="C773" s="44"/>
      <c r="D773" s="44"/>
      <c r="E773" s="44"/>
      <c r="F773" s="44"/>
      <c r="G773" s="44"/>
      <c r="H773" s="44"/>
      <c r="I773" s="44"/>
      <c r="J773" s="8"/>
      <c r="K773" s="8"/>
    </row>
    <row r="774" spans="1:11" x14ac:dyDescent="0.25">
      <c r="A774" s="44"/>
      <c r="B774" s="44"/>
      <c r="C774" s="44"/>
      <c r="D774" s="44"/>
      <c r="E774" s="44"/>
      <c r="F774" s="44"/>
      <c r="G774" s="44"/>
      <c r="H774" s="44"/>
      <c r="I774" s="44"/>
      <c r="J774" s="8"/>
      <c r="K774" s="8"/>
    </row>
    <row r="775" spans="1:11" x14ac:dyDescent="0.25">
      <c r="A775" s="44"/>
      <c r="B775" s="44"/>
      <c r="C775" s="44"/>
      <c r="D775" s="44"/>
      <c r="E775" s="44"/>
      <c r="F775" s="44"/>
      <c r="G775" s="44"/>
      <c r="H775" s="44"/>
      <c r="I775" s="44"/>
      <c r="J775" s="8"/>
      <c r="K775" s="8"/>
    </row>
    <row r="776" spans="1:11" x14ac:dyDescent="0.25">
      <c r="A776" s="44"/>
      <c r="B776" s="44"/>
      <c r="C776" s="44"/>
      <c r="D776" s="44"/>
      <c r="E776" s="44"/>
      <c r="F776" s="44"/>
      <c r="G776" s="44"/>
      <c r="H776" s="44"/>
      <c r="I776" s="44"/>
      <c r="J776" s="8"/>
      <c r="K776" s="8"/>
    </row>
    <row r="777" spans="1:11" x14ac:dyDescent="0.25">
      <c r="A777" s="44"/>
      <c r="B777" s="44"/>
      <c r="C777" s="44"/>
      <c r="D777" s="44"/>
      <c r="E777" s="44"/>
      <c r="F777" s="44"/>
      <c r="G777" s="44"/>
      <c r="H777" s="44"/>
      <c r="I777" s="44"/>
      <c r="J777" s="8"/>
      <c r="K777" s="8"/>
    </row>
    <row r="778" spans="1:11" x14ac:dyDescent="0.25">
      <c r="A778" s="44"/>
      <c r="B778" s="44"/>
      <c r="C778" s="44"/>
      <c r="D778" s="44"/>
      <c r="E778" s="44"/>
      <c r="F778" s="44"/>
      <c r="G778" s="44"/>
      <c r="H778" s="44"/>
      <c r="I778" s="44"/>
      <c r="J778" s="8"/>
      <c r="K778" s="8"/>
    </row>
    <row r="779" spans="1:11" x14ac:dyDescent="0.25">
      <c r="A779" s="44"/>
      <c r="B779" s="44"/>
      <c r="C779" s="44"/>
      <c r="D779" s="44"/>
      <c r="E779" s="44"/>
      <c r="F779" s="44"/>
      <c r="G779" s="44"/>
      <c r="H779" s="44"/>
      <c r="I779" s="44"/>
      <c r="J779" s="8"/>
      <c r="K779" s="8"/>
    </row>
    <row r="780" spans="1:11" x14ac:dyDescent="0.25">
      <c r="A780" s="44"/>
      <c r="B780" s="44"/>
      <c r="C780" s="44"/>
      <c r="D780" s="44"/>
      <c r="E780" s="44"/>
      <c r="F780" s="44"/>
      <c r="G780" s="44"/>
      <c r="H780" s="44"/>
      <c r="I780" s="44"/>
      <c r="J780" s="8"/>
      <c r="K780" s="8"/>
    </row>
    <row r="781" spans="1:11" x14ac:dyDescent="0.25">
      <c r="A781" s="44"/>
      <c r="B781" s="44"/>
      <c r="C781" s="44"/>
      <c r="D781" s="44"/>
      <c r="E781" s="44"/>
      <c r="F781" s="44"/>
      <c r="G781" s="44"/>
      <c r="H781" s="44"/>
      <c r="I781" s="44"/>
      <c r="J781" s="8"/>
      <c r="K781" s="8"/>
    </row>
    <row r="782" spans="1:11" x14ac:dyDescent="0.25">
      <c r="A782" s="44"/>
      <c r="B782" s="44"/>
      <c r="C782" s="44"/>
      <c r="D782" s="44"/>
      <c r="E782" s="44"/>
      <c r="F782" s="44"/>
      <c r="G782" s="44"/>
      <c r="H782" s="44"/>
      <c r="I782" s="44"/>
      <c r="J782" s="8"/>
      <c r="K782" s="8"/>
    </row>
    <row r="783" spans="1:11" x14ac:dyDescent="0.25">
      <c r="A783" s="44"/>
      <c r="B783" s="44"/>
      <c r="C783" s="44"/>
      <c r="D783" s="44"/>
      <c r="E783" s="44"/>
      <c r="F783" s="44"/>
      <c r="G783" s="44"/>
      <c r="H783" s="44"/>
      <c r="I783" s="44"/>
      <c r="J783" s="8"/>
      <c r="K783" s="8"/>
    </row>
    <row r="784" spans="1:11" x14ac:dyDescent="0.25">
      <c r="A784" s="44"/>
      <c r="B784" s="44"/>
      <c r="C784" s="44"/>
      <c r="D784" s="44"/>
      <c r="E784" s="44"/>
      <c r="F784" s="44"/>
      <c r="G784" s="44"/>
      <c r="H784" s="44"/>
      <c r="I784" s="44"/>
      <c r="J784" s="8"/>
      <c r="K784" s="8"/>
    </row>
    <row r="785" spans="1:11" x14ac:dyDescent="0.25">
      <c r="A785" s="44"/>
      <c r="B785" s="44"/>
      <c r="C785" s="44"/>
      <c r="D785" s="44"/>
      <c r="E785" s="44"/>
      <c r="F785" s="44"/>
      <c r="G785" s="44"/>
      <c r="H785" s="44"/>
      <c r="I785" s="44"/>
      <c r="J785" s="8"/>
      <c r="K785" s="8"/>
    </row>
    <row r="786" spans="1:11" x14ac:dyDescent="0.25">
      <c r="A786" s="44"/>
      <c r="B786" s="44"/>
      <c r="C786" s="44"/>
      <c r="D786" s="44"/>
      <c r="E786" s="44"/>
      <c r="F786" s="44"/>
      <c r="G786" s="44"/>
      <c r="H786" s="44"/>
      <c r="I786" s="44"/>
      <c r="J786" s="8"/>
      <c r="K786" s="8"/>
    </row>
    <row r="787" spans="1:11" x14ac:dyDescent="0.25">
      <c r="A787" s="44"/>
      <c r="B787" s="44"/>
      <c r="C787" s="44"/>
      <c r="D787" s="44"/>
      <c r="E787" s="44"/>
      <c r="F787" s="44"/>
      <c r="G787" s="44"/>
      <c r="H787" s="44"/>
      <c r="I787" s="44"/>
      <c r="J787" s="8"/>
      <c r="K787" s="8"/>
    </row>
    <row r="788" spans="1:11" x14ac:dyDescent="0.25">
      <c r="A788" s="44"/>
      <c r="B788" s="44"/>
      <c r="C788" s="44"/>
      <c r="D788" s="44"/>
      <c r="E788" s="44"/>
      <c r="F788" s="44"/>
      <c r="G788" s="44"/>
      <c r="H788" s="44"/>
      <c r="I788" s="44"/>
      <c r="J788" s="8"/>
      <c r="K788" s="8"/>
    </row>
    <row r="789" spans="1:11" x14ac:dyDescent="0.25">
      <c r="A789" s="44"/>
      <c r="B789" s="44"/>
      <c r="C789" s="44"/>
      <c r="D789" s="44"/>
      <c r="E789" s="44"/>
      <c r="F789" s="44"/>
      <c r="G789" s="44"/>
      <c r="H789" s="44"/>
      <c r="I789" s="44"/>
      <c r="J789" s="8"/>
      <c r="K789" s="8"/>
    </row>
    <row r="790" spans="1:11" x14ac:dyDescent="0.25">
      <c r="A790" s="44"/>
      <c r="B790" s="44"/>
      <c r="C790" s="44"/>
      <c r="D790" s="44"/>
      <c r="E790" s="44"/>
      <c r="F790" s="44"/>
      <c r="G790" s="44"/>
      <c r="H790" s="44"/>
      <c r="I790" s="44"/>
      <c r="J790" s="8"/>
      <c r="K790" s="8"/>
    </row>
    <row r="791" spans="1:11" x14ac:dyDescent="0.25">
      <c r="A791" s="44"/>
      <c r="B791" s="44"/>
      <c r="C791" s="44"/>
      <c r="D791" s="44"/>
      <c r="E791" s="44"/>
      <c r="F791" s="44"/>
      <c r="G791" s="44"/>
      <c r="H791" s="44"/>
      <c r="I791" s="44"/>
      <c r="J791" s="8"/>
      <c r="K791" s="8"/>
    </row>
    <row r="792" spans="1:11" x14ac:dyDescent="0.25">
      <c r="A792" s="44"/>
      <c r="B792" s="44"/>
      <c r="C792" s="44"/>
      <c r="D792" s="44"/>
      <c r="E792" s="44"/>
      <c r="F792" s="44"/>
      <c r="G792" s="44"/>
      <c r="H792" s="44"/>
      <c r="I792" s="44"/>
      <c r="J792" s="8"/>
      <c r="K792" s="8"/>
    </row>
    <row r="793" spans="1:11" x14ac:dyDescent="0.25">
      <c r="A793" s="44"/>
      <c r="B793" s="44"/>
      <c r="C793" s="44"/>
      <c r="D793" s="44"/>
      <c r="E793" s="44"/>
      <c r="F793" s="44"/>
      <c r="G793" s="44"/>
      <c r="H793" s="44"/>
      <c r="I793" s="44"/>
      <c r="J793" s="8"/>
      <c r="K793" s="8"/>
    </row>
    <row r="794" spans="1:11" x14ac:dyDescent="0.25">
      <c r="A794" s="44"/>
      <c r="B794" s="44"/>
      <c r="C794" s="44"/>
      <c r="D794" s="44"/>
      <c r="E794" s="44"/>
      <c r="F794" s="44"/>
      <c r="G794" s="44"/>
      <c r="H794" s="44"/>
      <c r="I794" s="44"/>
      <c r="J794" s="8"/>
      <c r="K794" s="8"/>
    </row>
    <row r="795" spans="1:11" x14ac:dyDescent="0.25">
      <c r="A795" s="44"/>
      <c r="B795" s="44"/>
      <c r="C795" s="44"/>
      <c r="D795" s="44"/>
      <c r="E795" s="44"/>
      <c r="F795" s="44"/>
      <c r="G795" s="44"/>
      <c r="H795" s="44"/>
      <c r="I795" s="44"/>
      <c r="J795" s="8"/>
      <c r="K795" s="8"/>
    </row>
    <row r="796" spans="1:11" x14ac:dyDescent="0.25">
      <c r="A796" s="44"/>
      <c r="B796" s="44"/>
      <c r="C796" s="44"/>
      <c r="D796" s="44"/>
      <c r="E796" s="44"/>
      <c r="F796" s="44"/>
      <c r="G796" s="44"/>
      <c r="H796" s="44"/>
      <c r="I796" s="44"/>
      <c r="J796" s="8"/>
      <c r="K796" s="8"/>
    </row>
    <row r="797" spans="1:11" x14ac:dyDescent="0.25">
      <c r="A797" s="44"/>
      <c r="B797" s="44"/>
      <c r="C797" s="44"/>
      <c r="D797" s="44"/>
      <c r="E797" s="44"/>
      <c r="F797" s="44"/>
      <c r="G797" s="44"/>
      <c r="H797" s="44"/>
      <c r="I797" s="44"/>
      <c r="J797" s="8"/>
      <c r="K797" s="8"/>
    </row>
    <row r="798" spans="1:11" x14ac:dyDescent="0.25">
      <c r="A798" s="44"/>
      <c r="B798" s="44"/>
      <c r="C798" s="44"/>
      <c r="D798" s="44"/>
      <c r="E798" s="44"/>
      <c r="F798" s="44"/>
      <c r="G798" s="44"/>
      <c r="H798" s="44"/>
      <c r="I798" s="44"/>
      <c r="J798" s="8"/>
      <c r="K798" s="8"/>
    </row>
    <row r="799" spans="1:11" x14ac:dyDescent="0.25">
      <c r="A799" s="44"/>
      <c r="B799" s="44"/>
      <c r="C799" s="44"/>
      <c r="D799" s="44"/>
      <c r="E799" s="44"/>
      <c r="F799" s="44"/>
      <c r="G799" s="44"/>
      <c r="H799" s="44"/>
      <c r="I799" s="44"/>
      <c r="J799" s="8"/>
      <c r="K799" s="8"/>
    </row>
    <row r="800" spans="1:11" x14ac:dyDescent="0.25">
      <c r="A800" s="44"/>
      <c r="B800" s="44"/>
      <c r="C800" s="44"/>
      <c r="D800" s="44"/>
      <c r="E800" s="44"/>
      <c r="F800" s="44"/>
      <c r="G800" s="44"/>
      <c r="H800" s="44"/>
      <c r="I800" s="44"/>
      <c r="J800" s="8"/>
      <c r="K800" s="8"/>
    </row>
    <row r="801" spans="1:11" x14ac:dyDescent="0.25">
      <c r="A801" s="44"/>
      <c r="B801" s="44"/>
      <c r="C801" s="44"/>
      <c r="D801" s="44"/>
      <c r="E801" s="44"/>
      <c r="F801" s="44"/>
      <c r="G801" s="44"/>
      <c r="H801" s="44"/>
      <c r="I801" s="44"/>
      <c r="J801" s="8"/>
      <c r="K801" s="8"/>
    </row>
    <row r="802" spans="1:11" x14ac:dyDescent="0.25">
      <c r="A802" s="44"/>
      <c r="B802" s="44"/>
      <c r="C802" s="44"/>
      <c r="D802" s="44"/>
      <c r="E802" s="44"/>
      <c r="F802" s="44"/>
      <c r="G802" s="44"/>
      <c r="H802" s="44"/>
      <c r="I802" s="44"/>
      <c r="J802" s="8"/>
      <c r="K802" s="8"/>
    </row>
    <row r="803" spans="1:11" x14ac:dyDescent="0.25">
      <c r="A803" s="44"/>
      <c r="B803" s="44"/>
      <c r="C803" s="44"/>
      <c r="D803" s="44"/>
      <c r="E803" s="44"/>
      <c r="F803" s="44"/>
      <c r="G803" s="44"/>
      <c r="H803" s="44"/>
      <c r="I803" s="44"/>
      <c r="J803" s="8"/>
      <c r="K803" s="8"/>
    </row>
    <row r="804" spans="1:11" x14ac:dyDescent="0.25">
      <c r="A804" s="44"/>
      <c r="B804" s="44"/>
      <c r="C804" s="44"/>
      <c r="D804" s="44"/>
      <c r="E804" s="44"/>
      <c r="F804" s="44"/>
      <c r="G804" s="44"/>
      <c r="H804" s="44"/>
      <c r="I804" s="44"/>
      <c r="J804" s="8"/>
      <c r="K804" s="8"/>
    </row>
    <row r="805" spans="1:11" x14ac:dyDescent="0.25">
      <c r="A805" s="44"/>
      <c r="B805" s="44"/>
      <c r="C805" s="44"/>
      <c r="D805" s="44"/>
      <c r="E805" s="44"/>
      <c r="F805" s="44"/>
      <c r="G805" s="44"/>
      <c r="H805" s="44"/>
      <c r="I805" s="44"/>
      <c r="J805" s="8"/>
      <c r="K805" s="8"/>
    </row>
    <row r="806" spans="1:11" x14ac:dyDescent="0.25">
      <c r="A806" s="44"/>
      <c r="B806" s="44"/>
      <c r="C806" s="44"/>
      <c r="D806" s="44"/>
      <c r="E806" s="44"/>
      <c r="F806" s="44"/>
      <c r="G806" s="44"/>
      <c r="H806" s="44"/>
      <c r="I806" s="44"/>
      <c r="J806" s="8"/>
      <c r="K806" s="8"/>
    </row>
    <row r="807" spans="1:11" x14ac:dyDescent="0.25">
      <c r="A807" s="44"/>
      <c r="B807" s="44"/>
      <c r="C807" s="44"/>
      <c r="D807" s="44"/>
      <c r="E807" s="44"/>
      <c r="F807" s="44"/>
      <c r="G807" s="44"/>
      <c r="H807" s="44"/>
      <c r="I807" s="44"/>
      <c r="J807" s="8"/>
      <c r="K807" s="8"/>
    </row>
    <row r="808" spans="1:11" x14ac:dyDescent="0.25">
      <c r="A808" s="44"/>
      <c r="B808" s="44"/>
      <c r="C808" s="44"/>
      <c r="D808" s="44"/>
      <c r="E808" s="44"/>
      <c r="F808" s="44"/>
      <c r="G808" s="44"/>
      <c r="H808" s="44"/>
      <c r="I808" s="44"/>
      <c r="J808" s="8"/>
      <c r="K808" s="8"/>
    </row>
    <row r="809" spans="1:11" x14ac:dyDescent="0.25">
      <c r="A809" s="44"/>
      <c r="B809" s="44"/>
      <c r="C809" s="44"/>
      <c r="D809" s="44"/>
      <c r="E809" s="44"/>
      <c r="F809" s="44"/>
      <c r="G809" s="44"/>
      <c r="H809" s="44"/>
      <c r="I809" s="44"/>
      <c r="J809" s="8"/>
      <c r="K809" s="8"/>
    </row>
    <row r="810" spans="1:11" x14ac:dyDescent="0.25">
      <c r="A810" s="44"/>
      <c r="B810" s="44"/>
      <c r="C810" s="44"/>
      <c r="D810" s="44"/>
      <c r="E810" s="44"/>
      <c r="F810" s="44"/>
      <c r="G810" s="44"/>
      <c r="H810" s="44"/>
      <c r="I810" s="44"/>
      <c r="J810" s="8"/>
      <c r="K810" s="8"/>
    </row>
    <row r="811" spans="1:11" x14ac:dyDescent="0.25">
      <c r="A811" s="44"/>
      <c r="B811" s="44"/>
      <c r="C811" s="44"/>
      <c r="D811" s="44"/>
      <c r="E811" s="44"/>
      <c r="F811" s="44"/>
      <c r="G811" s="44"/>
      <c r="H811" s="44"/>
      <c r="I811" s="44"/>
      <c r="J811" s="8"/>
      <c r="K811" s="8"/>
    </row>
    <row r="812" spans="1:11" x14ac:dyDescent="0.25">
      <c r="A812" s="44"/>
      <c r="B812" s="44"/>
      <c r="C812" s="44"/>
      <c r="D812" s="44"/>
      <c r="E812" s="44"/>
      <c r="F812" s="44"/>
      <c r="G812" s="44"/>
      <c r="H812" s="44"/>
      <c r="I812" s="44"/>
      <c r="J812" s="8"/>
      <c r="K812" s="8"/>
    </row>
    <row r="813" spans="1:11" x14ac:dyDescent="0.25">
      <c r="A813" s="44"/>
      <c r="B813" s="44"/>
      <c r="C813" s="44"/>
      <c r="D813" s="44"/>
      <c r="E813" s="44"/>
      <c r="F813" s="44"/>
      <c r="G813" s="44"/>
      <c r="H813" s="44"/>
      <c r="I813" s="44"/>
      <c r="J813" s="8"/>
      <c r="K813" s="8"/>
    </row>
    <row r="814" spans="1:11" x14ac:dyDescent="0.25">
      <c r="A814" s="44"/>
      <c r="B814" s="44"/>
      <c r="C814" s="44"/>
      <c r="D814" s="44"/>
      <c r="E814" s="44"/>
      <c r="F814" s="44"/>
      <c r="G814" s="44"/>
      <c r="H814" s="44"/>
      <c r="I814" s="44"/>
      <c r="J814" s="8"/>
      <c r="K814" s="8"/>
    </row>
    <row r="815" spans="1:11" x14ac:dyDescent="0.25">
      <c r="A815" s="44"/>
      <c r="B815" s="44"/>
      <c r="C815" s="44"/>
      <c r="D815" s="44"/>
      <c r="E815" s="44"/>
      <c r="F815" s="44"/>
      <c r="G815" s="44"/>
      <c r="H815" s="44"/>
      <c r="I815" s="44"/>
      <c r="J815" s="8"/>
      <c r="K815" s="8"/>
    </row>
    <row r="816" spans="1:11" x14ac:dyDescent="0.25">
      <c r="A816" s="44"/>
      <c r="B816" s="44"/>
      <c r="C816" s="44"/>
      <c r="D816" s="44"/>
      <c r="E816" s="44"/>
      <c r="F816" s="44"/>
      <c r="G816" s="44"/>
      <c r="H816" s="44"/>
      <c r="I816" s="44"/>
      <c r="J816" s="8"/>
      <c r="K816" s="8"/>
    </row>
    <row r="817" spans="1:11" x14ac:dyDescent="0.25">
      <c r="A817" s="44"/>
      <c r="B817" s="44"/>
      <c r="C817" s="44"/>
      <c r="D817" s="44"/>
      <c r="E817" s="44"/>
      <c r="F817" s="44"/>
      <c r="G817" s="44"/>
      <c r="H817" s="44"/>
      <c r="I817" s="44"/>
      <c r="J817" s="8"/>
      <c r="K817" s="8"/>
    </row>
    <row r="818" spans="1:11" x14ac:dyDescent="0.25">
      <c r="A818" s="44"/>
      <c r="B818" s="44"/>
      <c r="C818" s="44"/>
      <c r="D818" s="44"/>
      <c r="E818" s="44"/>
      <c r="F818" s="44"/>
      <c r="G818" s="44"/>
      <c r="H818" s="44"/>
      <c r="I818" s="44"/>
      <c r="J818" s="8"/>
      <c r="K818" s="8"/>
    </row>
    <row r="819" spans="1:11" x14ac:dyDescent="0.25">
      <c r="A819" s="44"/>
      <c r="B819" s="44"/>
      <c r="C819" s="44"/>
      <c r="D819" s="44"/>
      <c r="E819" s="44"/>
      <c r="F819" s="44"/>
      <c r="G819" s="44"/>
      <c r="H819" s="44"/>
      <c r="I819" s="44"/>
      <c r="J819" s="8"/>
      <c r="K819" s="8"/>
    </row>
    <row r="820" spans="1:11" x14ac:dyDescent="0.25">
      <c r="A820" s="44"/>
      <c r="B820" s="44"/>
      <c r="C820" s="44"/>
      <c r="D820" s="44"/>
      <c r="E820" s="44"/>
      <c r="F820" s="44"/>
      <c r="G820" s="44"/>
      <c r="H820" s="44"/>
      <c r="I820" s="44"/>
      <c r="J820" s="8"/>
      <c r="K820" s="8"/>
    </row>
    <row r="821" spans="1:11" x14ac:dyDescent="0.25">
      <c r="A821" s="44"/>
      <c r="B821" s="44"/>
      <c r="C821" s="44"/>
      <c r="D821" s="44"/>
      <c r="E821" s="44"/>
      <c r="F821" s="44"/>
      <c r="G821" s="44"/>
      <c r="H821" s="44"/>
      <c r="I821" s="44"/>
      <c r="J821" s="8"/>
      <c r="K821" s="8"/>
    </row>
    <row r="822" spans="1:11" x14ac:dyDescent="0.25">
      <c r="A822" s="44"/>
      <c r="B822" s="44"/>
      <c r="C822" s="44"/>
      <c r="D822" s="44"/>
      <c r="E822" s="44"/>
      <c r="F822" s="44"/>
      <c r="G822" s="44"/>
      <c r="H822" s="44"/>
      <c r="I822" s="44"/>
      <c r="J822" s="8"/>
      <c r="K822" s="8"/>
    </row>
    <row r="823" spans="1:11" x14ac:dyDescent="0.25">
      <c r="A823" s="44"/>
      <c r="B823" s="44"/>
      <c r="C823" s="44"/>
      <c r="D823" s="44"/>
      <c r="E823" s="44"/>
      <c r="F823" s="44"/>
      <c r="G823" s="44"/>
      <c r="H823" s="44"/>
      <c r="I823" s="44"/>
      <c r="J823" s="8"/>
      <c r="K823" s="8"/>
    </row>
    <row r="824" spans="1:11" x14ac:dyDescent="0.25">
      <c r="A824" s="44"/>
      <c r="B824" s="44"/>
      <c r="C824" s="44"/>
      <c r="D824" s="44"/>
      <c r="E824" s="44"/>
      <c r="F824" s="44"/>
      <c r="G824" s="44"/>
      <c r="H824" s="44"/>
      <c r="I824" s="44"/>
      <c r="J824" s="8"/>
      <c r="K824" s="8"/>
    </row>
    <row r="825" spans="1:11" x14ac:dyDescent="0.25">
      <c r="A825" s="44"/>
      <c r="B825" s="44"/>
      <c r="C825" s="44"/>
      <c r="D825" s="44"/>
      <c r="E825" s="44"/>
      <c r="F825" s="44"/>
      <c r="G825" s="44"/>
      <c r="H825" s="44"/>
      <c r="I825" s="44"/>
      <c r="J825" s="8"/>
      <c r="K825" s="8"/>
    </row>
    <row r="826" spans="1:11" x14ac:dyDescent="0.25">
      <c r="A826" s="44"/>
      <c r="B826" s="44"/>
      <c r="C826" s="44"/>
      <c r="D826" s="44"/>
      <c r="E826" s="44"/>
      <c r="F826" s="44"/>
      <c r="G826" s="44"/>
      <c r="H826" s="44"/>
      <c r="I826" s="44"/>
      <c r="J826" s="8"/>
      <c r="K826" s="8"/>
    </row>
    <row r="827" spans="1:11" x14ac:dyDescent="0.25">
      <c r="A827" s="44"/>
      <c r="B827" s="44"/>
      <c r="C827" s="44"/>
      <c r="D827" s="44"/>
      <c r="E827" s="44"/>
      <c r="F827" s="44"/>
      <c r="G827" s="44"/>
      <c r="H827" s="44"/>
      <c r="I827" s="44"/>
      <c r="J827" s="8"/>
      <c r="K827" s="8"/>
    </row>
    <row r="828" spans="1:11" x14ac:dyDescent="0.25">
      <c r="A828" s="44"/>
      <c r="B828" s="44"/>
      <c r="C828" s="44"/>
      <c r="D828" s="44"/>
      <c r="E828" s="44"/>
      <c r="F828" s="44"/>
      <c r="G828" s="44"/>
      <c r="H828" s="44"/>
      <c r="I828" s="44"/>
      <c r="J828" s="8"/>
      <c r="K828" s="8"/>
    </row>
    <row r="829" spans="1:11" x14ac:dyDescent="0.25">
      <c r="A829" s="44"/>
      <c r="B829" s="44"/>
      <c r="C829" s="44"/>
      <c r="D829" s="44"/>
      <c r="E829" s="44"/>
      <c r="F829" s="44"/>
      <c r="G829" s="44"/>
      <c r="H829" s="44"/>
      <c r="I829" s="44"/>
      <c r="J829" s="8"/>
      <c r="K829" s="8"/>
    </row>
    <row r="830" spans="1:11" x14ac:dyDescent="0.25">
      <c r="A830" s="44"/>
      <c r="B830" s="44"/>
      <c r="C830" s="44"/>
      <c r="D830" s="44"/>
      <c r="E830" s="44"/>
      <c r="F830" s="44"/>
      <c r="G830" s="44"/>
      <c r="H830" s="44"/>
      <c r="I830" s="44"/>
      <c r="J830" s="8"/>
      <c r="K830" s="8"/>
    </row>
    <row r="831" spans="1:11" x14ac:dyDescent="0.25">
      <c r="A831" s="44"/>
      <c r="B831" s="44"/>
      <c r="C831" s="44"/>
      <c r="D831" s="44"/>
      <c r="E831" s="44"/>
      <c r="F831" s="44"/>
      <c r="G831" s="44"/>
      <c r="H831" s="44"/>
      <c r="I831" s="44"/>
      <c r="J831" s="8"/>
      <c r="K831" s="8"/>
    </row>
    <row r="832" spans="1:11" x14ac:dyDescent="0.25">
      <c r="A832" s="44"/>
      <c r="B832" s="44"/>
      <c r="C832" s="44"/>
      <c r="D832" s="44"/>
      <c r="E832" s="44"/>
      <c r="F832" s="44"/>
      <c r="G832" s="44"/>
      <c r="H832" s="44"/>
      <c r="I832" s="44"/>
      <c r="J832" s="8"/>
      <c r="K832" s="8"/>
    </row>
    <row r="833" spans="1:11" x14ac:dyDescent="0.25">
      <c r="A833" s="44"/>
      <c r="B833" s="44"/>
      <c r="C833" s="44"/>
      <c r="D833" s="44"/>
      <c r="E833" s="44"/>
      <c r="F833" s="44"/>
      <c r="G833" s="44"/>
      <c r="H833" s="44"/>
      <c r="I833" s="44"/>
      <c r="J833" s="8"/>
      <c r="K833" s="8"/>
    </row>
    <row r="834" spans="1:11" x14ac:dyDescent="0.25">
      <c r="A834" s="44"/>
      <c r="B834" s="44"/>
      <c r="C834" s="44"/>
      <c r="D834" s="44"/>
      <c r="E834" s="44"/>
      <c r="F834" s="44"/>
      <c r="G834" s="44"/>
      <c r="H834" s="44"/>
      <c r="I834" s="44"/>
      <c r="J834" s="8"/>
      <c r="K834" s="8"/>
    </row>
    <row r="835" spans="1:11" x14ac:dyDescent="0.25">
      <c r="A835" s="44"/>
      <c r="B835" s="44"/>
      <c r="C835" s="44"/>
      <c r="D835" s="44"/>
      <c r="E835" s="44"/>
      <c r="F835" s="44"/>
      <c r="G835" s="44"/>
      <c r="H835" s="44"/>
      <c r="I835" s="44"/>
      <c r="J835" s="8"/>
      <c r="K835" s="8"/>
    </row>
    <row r="836" spans="1:11" x14ac:dyDescent="0.25">
      <c r="A836" s="44"/>
      <c r="B836" s="44"/>
      <c r="C836" s="44"/>
      <c r="D836" s="44"/>
      <c r="E836" s="44"/>
      <c r="F836" s="44"/>
      <c r="G836" s="44"/>
      <c r="H836" s="44"/>
      <c r="I836" s="44"/>
      <c r="J836" s="8"/>
      <c r="K836" s="8"/>
    </row>
    <row r="837" spans="1:11" x14ac:dyDescent="0.25">
      <c r="A837" s="44"/>
      <c r="B837" s="44"/>
      <c r="C837" s="44"/>
      <c r="D837" s="44"/>
      <c r="E837" s="44"/>
      <c r="F837" s="44"/>
      <c r="G837" s="44"/>
      <c r="H837" s="44"/>
      <c r="I837" s="44"/>
      <c r="J837" s="8"/>
      <c r="K837" s="8"/>
    </row>
    <row r="838" spans="1:11" x14ac:dyDescent="0.25">
      <c r="A838" s="44"/>
      <c r="B838" s="44"/>
      <c r="C838" s="44"/>
      <c r="D838" s="44"/>
      <c r="E838" s="44"/>
      <c r="F838" s="44"/>
      <c r="G838" s="44"/>
      <c r="H838" s="44"/>
      <c r="I838" s="44"/>
      <c r="J838" s="8"/>
      <c r="K838" s="8"/>
    </row>
    <row r="839" spans="1:11" x14ac:dyDescent="0.25">
      <c r="A839" s="44"/>
      <c r="B839" s="44"/>
      <c r="C839" s="44"/>
      <c r="D839" s="44"/>
      <c r="E839" s="44"/>
      <c r="F839" s="44"/>
      <c r="G839" s="44"/>
      <c r="H839" s="44"/>
      <c r="I839" s="44"/>
      <c r="J839" s="8"/>
      <c r="K839" s="8"/>
    </row>
    <row r="840" spans="1:11" x14ac:dyDescent="0.25">
      <c r="A840" s="44"/>
      <c r="B840" s="44"/>
      <c r="C840" s="44"/>
      <c r="D840" s="44"/>
      <c r="E840" s="44"/>
      <c r="F840" s="44"/>
      <c r="G840" s="44"/>
      <c r="H840" s="44"/>
      <c r="I840" s="44"/>
      <c r="J840" s="8"/>
      <c r="K840" s="8"/>
    </row>
    <row r="841" spans="1:11" x14ac:dyDescent="0.25">
      <c r="A841" s="44"/>
      <c r="B841" s="44"/>
      <c r="C841" s="44"/>
      <c r="D841" s="44"/>
      <c r="E841" s="44"/>
      <c r="F841" s="44"/>
      <c r="G841" s="44"/>
      <c r="H841" s="44"/>
      <c r="I841" s="44"/>
      <c r="J841" s="8"/>
      <c r="K841" s="8"/>
    </row>
    <row r="842" spans="1:11" x14ac:dyDescent="0.25">
      <c r="A842" s="44"/>
      <c r="B842" s="44"/>
      <c r="C842" s="44"/>
      <c r="D842" s="44"/>
      <c r="E842" s="44"/>
      <c r="F842" s="44"/>
      <c r="G842" s="44"/>
      <c r="H842" s="44"/>
      <c r="I842" s="44"/>
      <c r="J842" s="8"/>
      <c r="K842" s="8"/>
    </row>
    <row r="843" spans="1:11" x14ac:dyDescent="0.25">
      <c r="A843" s="44"/>
      <c r="B843" s="44"/>
      <c r="C843" s="44"/>
      <c r="D843" s="44"/>
      <c r="E843" s="44"/>
      <c r="F843" s="44"/>
      <c r="G843" s="44"/>
      <c r="H843" s="44"/>
      <c r="I843" s="44"/>
      <c r="J843" s="8"/>
      <c r="K843" s="8"/>
    </row>
    <row r="844" spans="1:11" x14ac:dyDescent="0.25">
      <c r="A844" s="44"/>
      <c r="B844" s="44"/>
      <c r="C844" s="44"/>
      <c r="D844" s="44"/>
      <c r="E844" s="44"/>
      <c r="F844" s="44"/>
      <c r="G844" s="44"/>
      <c r="H844" s="44"/>
      <c r="I844" s="44"/>
      <c r="J844" s="8"/>
      <c r="K844" s="8"/>
    </row>
    <row r="845" spans="1:11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8"/>
      <c r="K845" s="8"/>
    </row>
    <row r="846" spans="1:11" x14ac:dyDescent="0.25">
      <c r="A846" s="44"/>
      <c r="B846" s="44"/>
      <c r="C846" s="44"/>
      <c r="D846" s="44"/>
      <c r="E846" s="44"/>
      <c r="F846" s="44"/>
      <c r="G846" s="44"/>
      <c r="H846" s="44"/>
      <c r="I846" s="44"/>
      <c r="J846" s="8"/>
      <c r="K846" s="8"/>
    </row>
    <row r="847" spans="1:11" x14ac:dyDescent="0.25">
      <c r="A847" s="44"/>
      <c r="B847" s="44"/>
      <c r="C847" s="44"/>
      <c r="D847" s="44"/>
      <c r="E847" s="44"/>
      <c r="F847" s="44"/>
      <c r="G847" s="44"/>
      <c r="H847" s="44"/>
      <c r="I847" s="44"/>
      <c r="J847" s="8"/>
      <c r="K847" s="8"/>
    </row>
    <row r="848" spans="1:11" x14ac:dyDescent="0.25">
      <c r="A848" s="44"/>
      <c r="B848" s="44"/>
      <c r="C848" s="44"/>
      <c r="D848" s="44"/>
      <c r="E848" s="44"/>
      <c r="F848" s="44"/>
      <c r="G848" s="44"/>
      <c r="H848" s="44"/>
      <c r="I848" s="44"/>
      <c r="J848" s="8"/>
      <c r="K848" s="8"/>
    </row>
    <row r="849" spans="1:11" x14ac:dyDescent="0.25">
      <c r="A849" s="44"/>
      <c r="B849" s="44"/>
      <c r="C849" s="44"/>
      <c r="D849" s="44"/>
      <c r="E849" s="44"/>
      <c r="F849" s="44"/>
      <c r="G849" s="44"/>
      <c r="H849" s="44"/>
      <c r="I849" s="44"/>
      <c r="J849" s="8"/>
      <c r="K849" s="8"/>
    </row>
    <row r="850" spans="1:11" x14ac:dyDescent="0.25">
      <c r="A850" s="44"/>
      <c r="B850" s="44"/>
      <c r="C850" s="44"/>
      <c r="D850" s="44"/>
      <c r="E850" s="44"/>
      <c r="F850" s="44"/>
      <c r="G850" s="44"/>
      <c r="H850" s="44"/>
      <c r="I850" s="44"/>
      <c r="J850" s="8"/>
      <c r="K850" s="8"/>
    </row>
    <row r="851" spans="1:11" x14ac:dyDescent="0.25">
      <c r="A851" s="44"/>
      <c r="B851" s="44"/>
      <c r="C851" s="44"/>
      <c r="D851" s="44"/>
      <c r="E851" s="44"/>
      <c r="F851" s="44"/>
      <c r="G851" s="44"/>
      <c r="H851" s="44"/>
      <c r="I851" s="44"/>
      <c r="J851" s="8"/>
      <c r="K851" s="8"/>
    </row>
    <row r="852" spans="1:11" x14ac:dyDescent="0.25">
      <c r="A852" s="44"/>
      <c r="B852" s="44"/>
      <c r="C852" s="44"/>
      <c r="D852" s="44"/>
      <c r="E852" s="44"/>
      <c r="F852" s="44"/>
      <c r="G852" s="44"/>
      <c r="H852" s="44"/>
      <c r="I852" s="44"/>
      <c r="J852" s="8"/>
      <c r="K852" s="8"/>
    </row>
    <row r="853" spans="1:11" x14ac:dyDescent="0.25">
      <c r="A853" s="44"/>
      <c r="B853" s="44"/>
      <c r="C853" s="44"/>
      <c r="D853" s="44"/>
      <c r="E853" s="44"/>
      <c r="F853" s="44"/>
      <c r="G853" s="44"/>
      <c r="H853" s="44"/>
      <c r="I853" s="44"/>
      <c r="J853" s="8"/>
      <c r="K853" s="8"/>
    </row>
    <row r="854" spans="1:11" x14ac:dyDescent="0.25">
      <c r="A854" s="44"/>
      <c r="B854" s="44"/>
      <c r="C854" s="44"/>
      <c r="D854" s="44"/>
      <c r="E854" s="44"/>
      <c r="F854" s="44"/>
      <c r="G854" s="44"/>
      <c r="H854" s="44"/>
      <c r="I854" s="44"/>
      <c r="J854" s="8"/>
      <c r="K854" s="8"/>
    </row>
    <row r="855" spans="1:11" x14ac:dyDescent="0.25">
      <c r="A855" s="44"/>
      <c r="B855" s="44"/>
      <c r="C855" s="44"/>
      <c r="D855" s="44"/>
      <c r="E855" s="44"/>
      <c r="F855" s="44"/>
      <c r="G855" s="44"/>
      <c r="H855" s="44"/>
      <c r="I855" s="44"/>
      <c r="J855" s="8"/>
      <c r="K855" s="8"/>
    </row>
    <row r="856" spans="1:11" x14ac:dyDescent="0.25">
      <c r="A856" s="44"/>
      <c r="B856" s="44"/>
      <c r="C856" s="44"/>
      <c r="D856" s="44"/>
      <c r="E856" s="44"/>
      <c r="F856" s="44"/>
      <c r="G856" s="44"/>
      <c r="H856" s="44"/>
      <c r="I856" s="44"/>
      <c r="J856" s="8"/>
      <c r="K856" s="8"/>
    </row>
    <row r="857" spans="1:11" x14ac:dyDescent="0.25">
      <c r="A857" s="44"/>
      <c r="B857" s="44"/>
      <c r="C857" s="44"/>
      <c r="D857" s="44"/>
      <c r="E857" s="44"/>
      <c r="F857" s="44"/>
      <c r="G857" s="44"/>
      <c r="H857" s="44"/>
      <c r="I857" s="44"/>
      <c r="J857" s="8"/>
      <c r="K857" s="8"/>
    </row>
    <row r="858" spans="1:11" x14ac:dyDescent="0.25">
      <c r="A858" s="44"/>
      <c r="B858" s="44"/>
      <c r="C858" s="44"/>
      <c r="D858" s="44"/>
      <c r="E858" s="44"/>
      <c r="F858" s="44"/>
      <c r="G858" s="44"/>
      <c r="H858" s="44"/>
      <c r="I858" s="44"/>
      <c r="J858" s="8"/>
      <c r="K858" s="8"/>
    </row>
    <row r="859" spans="1:11" x14ac:dyDescent="0.25">
      <c r="A859" s="44"/>
      <c r="B859" s="44"/>
      <c r="C859" s="44"/>
      <c r="D859" s="44"/>
      <c r="E859" s="44"/>
      <c r="F859" s="44"/>
      <c r="G859" s="44"/>
      <c r="H859" s="44"/>
      <c r="I859" s="44"/>
      <c r="J859" s="8"/>
      <c r="K859" s="8"/>
    </row>
    <row r="860" spans="1:11" x14ac:dyDescent="0.25">
      <c r="A860" s="44"/>
      <c r="B860" s="44"/>
      <c r="C860" s="44"/>
      <c r="D860" s="44"/>
      <c r="E860" s="44"/>
      <c r="F860" s="44"/>
      <c r="G860" s="44"/>
      <c r="H860" s="44"/>
      <c r="I860" s="44"/>
      <c r="J860" s="8"/>
      <c r="K860" s="8"/>
    </row>
    <row r="861" spans="1:11" x14ac:dyDescent="0.25">
      <c r="A861" s="44"/>
      <c r="B861" s="44"/>
      <c r="C861" s="44"/>
      <c r="D861" s="44"/>
      <c r="E861" s="44"/>
      <c r="F861" s="44"/>
      <c r="G861" s="44"/>
      <c r="H861" s="44"/>
      <c r="I861" s="44"/>
      <c r="J861" s="8"/>
      <c r="K861" s="8"/>
    </row>
    <row r="862" spans="1:11" x14ac:dyDescent="0.25">
      <c r="A862" s="44"/>
      <c r="B862" s="44"/>
      <c r="C862" s="44"/>
      <c r="D862" s="44"/>
      <c r="E862" s="44"/>
      <c r="F862" s="44"/>
      <c r="G862" s="44"/>
      <c r="H862" s="44"/>
      <c r="I862" s="44"/>
      <c r="J862" s="8"/>
      <c r="K862" s="8"/>
    </row>
    <row r="863" spans="1:11" x14ac:dyDescent="0.25">
      <c r="A863" s="44"/>
      <c r="B863" s="44"/>
      <c r="C863" s="44"/>
      <c r="D863" s="44"/>
      <c r="E863" s="44"/>
      <c r="F863" s="44"/>
      <c r="G863" s="44"/>
      <c r="H863" s="44"/>
      <c r="I863" s="44"/>
      <c r="J863" s="8"/>
      <c r="K863" s="8"/>
    </row>
    <row r="864" spans="1:11" x14ac:dyDescent="0.25">
      <c r="A864" s="44"/>
      <c r="B864" s="44"/>
      <c r="C864" s="44"/>
      <c r="D864" s="44"/>
      <c r="E864" s="44"/>
      <c r="F864" s="44"/>
      <c r="G864" s="44"/>
      <c r="H864" s="44"/>
      <c r="I864" s="44"/>
      <c r="J864" s="8"/>
      <c r="K864" s="8"/>
    </row>
    <row r="865" spans="1:11" x14ac:dyDescent="0.25">
      <c r="A865" s="44"/>
      <c r="B865" s="44"/>
      <c r="C865" s="44"/>
      <c r="D865" s="44"/>
      <c r="E865" s="44"/>
      <c r="F865" s="44"/>
      <c r="G865" s="44"/>
      <c r="H865" s="44"/>
      <c r="I865" s="44"/>
      <c r="J865" s="8"/>
      <c r="K865" s="8"/>
    </row>
    <row r="866" spans="1:11" x14ac:dyDescent="0.25">
      <c r="A866" s="44"/>
      <c r="B866" s="44"/>
      <c r="C866" s="44"/>
      <c r="D866" s="44"/>
      <c r="E866" s="44"/>
      <c r="F866" s="44"/>
      <c r="G866" s="44"/>
      <c r="H866" s="44"/>
      <c r="I866" s="44"/>
      <c r="J866" s="8"/>
      <c r="K866" s="8"/>
    </row>
    <row r="867" spans="1:11" x14ac:dyDescent="0.25">
      <c r="A867" s="44"/>
      <c r="B867" s="44"/>
      <c r="C867" s="44"/>
      <c r="D867" s="44"/>
      <c r="E867" s="44"/>
      <c r="F867" s="44"/>
      <c r="G867" s="44"/>
      <c r="H867" s="44"/>
      <c r="I867" s="44"/>
      <c r="J867" s="8"/>
      <c r="K867" s="8"/>
    </row>
    <row r="868" spans="1:11" x14ac:dyDescent="0.25">
      <c r="A868" s="44"/>
      <c r="B868" s="44"/>
      <c r="C868" s="44"/>
      <c r="D868" s="44"/>
      <c r="E868" s="44"/>
      <c r="F868" s="44"/>
      <c r="G868" s="44"/>
      <c r="H868" s="44"/>
      <c r="I868" s="44"/>
      <c r="J868" s="8"/>
      <c r="K868" s="8"/>
    </row>
    <row r="869" spans="1:11" x14ac:dyDescent="0.25">
      <c r="A869" s="44"/>
      <c r="B869" s="44"/>
      <c r="C869" s="44"/>
      <c r="D869" s="44"/>
      <c r="E869" s="44"/>
      <c r="F869" s="44"/>
      <c r="G869" s="44"/>
      <c r="H869" s="44"/>
      <c r="I869" s="44"/>
      <c r="J869" s="8"/>
      <c r="K869" s="8"/>
    </row>
    <row r="870" spans="1:11" x14ac:dyDescent="0.25">
      <c r="A870" s="44"/>
      <c r="B870" s="44"/>
      <c r="C870" s="44"/>
      <c r="D870" s="44"/>
      <c r="E870" s="44"/>
      <c r="F870" s="44"/>
      <c r="G870" s="44"/>
      <c r="H870" s="44"/>
      <c r="I870" s="44"/>
      <c r="J870" s="8"/>
      <c r="K870" s="8"/>
    </row>
    <row r="871" spans="1:11" x14ac:dyDescent="0.25">
      <c r="A871" s="44"/>
      <c r="B871" s="44"/>
      <c r="C871" s="44"/>
      <c r="D871" s="44"/>
      <c r="E871" s="44"/>
      <c r="F871" s="44"/>
      <c r="G871" s="44"/>
      <c r="H871" s="44"/>
      <c r="I871" s="44"/>
      <c r="J871" s="8"/>
      <c r="K871" s="8"/>
    </row>
    <row r="872" spans="1:11" x14ac:dyDescent="0.25">
      <c r="A872" s="44"/>
      <c r="B872" s="44"/>
      <c r="C872" s="44"/>
      <c r="D872" s="44"/>
      <c r="E872" s="44"/>
      <c r="F872" s="44"/>
      <c r="G872" s="44"/>
      <c r="H872" s="44"/>
      <c r="I872" s="44"/>
      <c r="J872" s="8"/>
      <c r="K872" s="8"/>
    </row>
    <row r="873" spans="1:11" x14ac:dyDescent="0.25">
      <c r="A873" s="44"/>
      <c r="B873" s="44"/>
      <c r="C873" s="44"/>
      <c r="D873" s="44"/>
      <c r="E873" s="44"/>
      <c r="F873" s="44"/>
      <c r="G873" s="44"/>
      <c r="H873" s="44"/>
      <c r="I873" s="44"/>
      <c r="J873" s="8"/>
      <c r="K873" s="8"/>
    </row>
    <row r="874" spans="1:11" x14ac:dyDescent="0.25">
      <c r="A874" s="44"/>
      <c r="B874" s="44"/>
      <c r="C874" s="44"/>
      <c r="D874" s="44"/>
      <c r="E874" s="44"/>
      <c r="F874" s="44"/>
      <c r="G874" s="44"/>
      <c r="H874" s="44"/>
      <c r="I874" s="44"/>
      <c r="J874" s="8"/>
      <c r="K874" s="8"/>
    </row>
    <row r="875" spans="1:11" x14ac:dyDescent="0.25">
      <c r="A875" s="44"/>
      <c r="B875" s="44"/>
      <c r="C875" s="44"/>
      <c r="D875" s="44"/>
      <c r="E875" s="44"/>
      <c r="F875" s="44"/>
      <c r="G875" s="44"/>
      <c r="H875" s="44"/>
      <c r="I875" s="44"/>
      <c r="J875" s="8"/>
      <c r="K875" s="8"/>
    </row>
    <row r="876" spans="1:11" x14ac:dyDescent="0.25">
      <c r="A876" s="44"/>
      <c r="B876" s="44"/>
      <c r="C876" s="44"/>
      <c r="D876" s="44"/>
      <c r="E876" s="44"/>
      <c r="F876" s="44"/>
      <c r="G876" s="44"/>
      <c r="H876" s="44"/>
      <c r="I876" s="44"/>
      <c r="J876" s="8"/>
      <c r="K876" s="8"/>
    </row>
    <row r="877" spans="1:11" x14ac:dyDescent="0.25">
      <c r="A877" s="44"/>
      <c r="B877" s="44"/>
      <c r="C877" s="44"/>
      <c r="D877" s="44"/>
      <c r="E877" s="44"/>
      <c r="F877" s="44"/>
      <c r="G877" s="44"/>
      <c r="H877" s="44"/>
      <c r="I877" s="44"/>
      <c r="J877" s="8"/>
      <c r="K877" s="8"/>
    </row>
    <row r="878" spans="1:11" x14ac:dyDescent="0.25">
      <c r="A878" s="44"/>
      <c r="B878" s="44"/>
      <c r="C878" s="44"/>
      <c r="D878" s="44"/>
      <c r="E878" s="44"/>
      <c r="F878" s="44"/>
      <c r="G878" s="44"/>
      <c r="H878" s="44"/>
      <c r="I878" s="44"/>
      <c r="J878" s="8"/>
      <c r="K878" s="8"/>
    </row>
    <row r="879" spans="1:11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8"/>
      <c r="K879" s="8"/>
    </row>
    <row r="880" spans="1:11" x14ac:dyDescent="0.25">
      <c r="A880" s="44"/>
      <c r="B880" s="44"/>
      <c r="C880" s="44"/>
      <c r="D880" s="44"/>
      <c r="E880" s="44"/>
      <c r="F880" s="44"/>
      <c r="G880" s="44"/>
      <c r="H880" s="44"/>
      <c r="I880" s="44"/>
      <c r="J880" s="8"/>
      <c r="K880" s="8"/>
    </row>
    <row r="881" spans="1:11" x14ac:dyDescent="0.25">
      <c r="A881" s="44"/>
      <c r="B881" s="44"/>
      <c r="C881" s="44"/>
      <c r="D881" s="44"/>
      <c r="E881" s="44"/>
      <c r="F881" s="44"/>
      <c r="G881" s="44"/>
      <c r="H881" s="44"/>
      <c r="I881" s="44"/>
      <c r="J881" s="8"/>
      <c r="K881" s="8"/>
    </row>
    <row r="882" spans="1:11" x14ac:dyDescent="0.25">
      <c r="A882" s="44"/>
      <c r="B882" s="44"/>
      <c r="C882" s="44"/>
      <c r="D882" s="44"/>
      <c r="E882" s="44"/>
      <c r="F882" s="44"/>
      <c r="G882" s="44"/>
      <c r="H882" s="44"/>
      <c r="I882" s="44"/>
      <c r="J882" s="8"/>
      <c r="K882" s="8"/>
    </row>
    <row r="883" spans="1:11" x14ac:dyDescent="0.25">
      <c r="A883" s="44"/>
      <c r="B883" s="44"/>
      <c r="C883" s="44"/>
      <c r="D883" s="44"/>
      <c r="E883" s="44"/>
      <c r="F883" s="44"/>
      <c r="G883" s="44"/>
      <c r="H883" s="44"/>
      <c r="I883" s="44"/>
      <c r="J883" s="8"/>
      <c r="K883" s="8"/>
    </row>
    <row r="884" spans="1:11" x14ac:dyDescent="0.25">
      <c r="A884" s="44"/>
      <c r="B884" s="44"/>
      <c r="C884" s="44"/>
      <c r="D884" s="44"/>
      <c r="E884" s="44"/>
      <c r="F884" s="44"/>
      <c r="G884" s="44"/>
      <c r="H884" s="44"/>
      <c r="I884" s="44"/>
      <c r="J884" s="8"/>
      <c r="K884" s="8"/>
    </row>
    <row r="885" spans="1:11" x14ac:dyDescent="0.25">
      <c r="A885" s="44"/>
      <c r="B885" s="44"/>
      <c r="C885" s="44"/>
      <c r="D885" s="44"/>
      <c r="E885" s="44"/>
      <c r="F885" s="44"/>
      <c r="G885" s="44"/>
      <c r="H885" s="44"/>
      <c r="I885" s="44"/>
      <c r="J885" s="8"/>
      <c r="K885" s="8"/>
    </row>
    <row r="886" spans="1:11" x14ac:dyDescent="0.25">
      <c r="A886" s="44"/>
      <c r="B886" s="44"/>
      <c r="C886" s="44"/>
      <c r="D886" s="44"/>
      <c r="E886" s="44"/>
      <c r="F886" s="44"/>
      <c r="G886" s="44"/>
      <c r="H886" s="44"/>
      <c r="I886" s="44"/>
      <c r="J886" s="8"/>
      <c r="K886" s="8"/>
    </row>
    <row r="887" spans="1:11" x14ac:dyDescent="0.25">
      <c r="A887" s="44"/>
      <c r="B887" s="44"/>
      <c r="C887" s="44"/>
      <c r="D887" s="44"/>
      <c r="E887" s="44"/>
      <c r="F887" s="44"/>
      <c r="G887" s="44"/>
      <c r="H887" s="44"/>
      <c r="I887" s="44"/>
      <c r="J887" s="8"/>
      <c r="K887" s="8"/>
    </row>
    <row r="888" spans="1:11" x14ac:dyDescent="0.25">
      <c r="A888" s="44"/>
      <c r="B888" s="44"/>
      <c r="C888" s="44"/>
      <c r="D888" s="44"/>
      <c r="E888" s="44"/>
      <c r="F888" s="44"/>
      <c r="G888" s="44"/>
      <c r="H888" s="44"/>
      <c r="I888" s="44"/>
      <c r="J888" s="8"/>
      <c r="K888" s="8"/>
    </row>
    <row r="889" spans="1:11" x14ac:dyDescent="0.25">
      <c r="A889" s="44"/>
      <c r="B889" s="44"/>
      <c r="C889" s="44"/>
      <c r="D889" s="44"/>
      <c r="E889" s="44"/>
      <c r="F889" s="44"/>
      <c r="G889" s="44"/>
      <c r="H889" s="44"/>
      <c r="I889" s="44"/>
      <c r="J889" s="8"/>
      <c r="K889" s="8"/>
    </row>
    <row r="890" spans="1:11" x14ac:dyDescent="0.25">
      <c r="A890" s="44"/>
      <c r="B890" s="44"/>
      <c r="C890" s="44"/>
      <c r="D890" s="44"/>
      <c r="E890" s="44"/>
      <c r="F890" s="44"/>
      <c r="G890" s="44"/>
      <c r="H890" s="44"/>
      <c r="I890" s="44"/>
      <c r="J890" s="8"/>
      <c r="K890" s="8"/>
    </row>
    <row r="891" spans="1:11" x14ac:dyDescent="0.25">
      <c r="A891" s="44"/>
      <c r="B891" s="44"/>
      <c r="C891" s="44"/>
      <c r="D891" s="44"/>
      <c r="E891" s="44"/>
      <c r="F891" s="44"/>
      <c r="G891" s="44"/>
      <c r="H891" s="44"/>
      <c r="I891" s="44"/>
      <c r="J891" s="8"/>
      <c r="K891" s="8"/>
    </row>
    <row r="892" spans="1:11" x14ac:dyDescent="0.25">
      <c r="A892" s="44"/>
      <c r="B892" s="44"/>
      <c r="C892" s="44"/>
      <c r="D892" s="44"/>
      <c r="E892" s="44"/>
      <c r="F892" s="44"/>
      <c r="G892" s="44"/>
      <c r="H892" s="44"/>
      <c r="I892" s="44"/>
      <c r="J892" s="8"/>
      <c r="K892" s="8"/>
    </row>
    <row r="893" spans="1:11" x14ac:dyDescent="0.25">
      <c r="A893" s="44"/>
      <c r="B893" s="44"/>
      <c r="C893" s="44"/>
      <c r="D893" s="44"/>
      <c r="E893" s="44"/>
      <c r="F893" s="44"/>
      <c r="G893" s="44"/>
      <c r="H893" s="44"/>
      <c r="I893" s="44"/>
      <c r="J893" s="8"/>
      <c r="K893" s="8"/>
    </row>
    <row r="894" spans="1:11" x14ac:dyDescent="0.25">
      <c r="A894" s="44"/>
      <c r="B894" s="44"/>
      <c r="C894" s="44"/>
      <c r="D894" s="44"/>
      <c r="E894" s="44"/>
      <c r="F894" s="44"/>
      <c r="G894" s="44"/>
      <c r="H894" s="44"/>
      <c r="I894" s="44"/>
      <c r="J894" s="8"/>
      <c r="K894" s="8"/>
    </row>
    <row r="895" spans="1:11" x14ac:dyDescent="0.25">
      <c r="A895" s="44"/>
      <c r="B895" s="44"/>
      <c r="C895" s="44"/>
      <c r="D895" s="44"/>
      <c r="E895" s="44"/>
      <c r="F895" s="44"/>
      <c r="G895" s="44"/>
      <c r="H895" s="44"/>
      <c r="I895" s="44"/>
      <c r="J895" s="8"/>
      <c r="K895" s="8"/>
    </row>
    <row r="896" spans="1:11" x14ac:dyDescent="0.25">
      <c r="A896" s="44"/>
      <c r="B896" s="44"/>
      <c r="C896" s="44"/>
      <c r="D896" s="44"/>
      <c r="E896" s="44"/>
      <c r="F896" s="44"/>
      <c r="G896" s="44"/>
      <c r="H896" s="44"/>
      <c r="I896" s="44"/>
      <c r="J896" s="8"/>
      <c r="K896" s="8"/>
    </row>
    <row r="897" spans="1:11" x14ac:dyDescent="0.25">
      <c r="A897" s="44"/>
      <c r="B897" s="44"/>
      <c r="C897" s="44"/>
      <c r="D897" s="44"/>
      <c r="E897" s="44"/>
      <c r="F897" s="44"/>
      <c r="G897" s="44"/>
      <c r="H897" s="44"/>
      <c r="I897" s="44"/>
      <c r="J897" s="8"/>
      <c r="K897" s="8"/>
    </row>
    <row r="898" spans="1:11" x14ac:dyDescent="0.25">
      <c r="A898" s="44"/>
      <c r="B898" s="44"/>
      <c r="C898" s="44"/>
      <c r="D898" s="44"/>
      <c r="E898" s="44"/>
      <c r="F898" s="44"/>
      <c r="G898" s="44"/>
      <c r="H898" s="44"/>
      <c r="I898" s="44"/>
      <c r="J898" s="8"/>
      <c r="K898" s="8"/>
    </row>
    <row r="899" spans="1:11" x14ac:dyDescent="0.25">
      <c r="A899" s="44"/>
      <c r="B899" s="44"/>
      <c r="C899" s="44"/>
      <c r="D899" s="44"/>
      <c r="E899" s="44"/>
      <c r="F899" s="44"/>
      <c r="G899" s="44"/>
      <c r="H899" s="44"/>
      <c r="I899" s="44"/>
      <c r="J899" s="8"/>
      <c r="K899" s="8"/>
    </row>
    <row r="900" spans="1:11" x14ac:dyDescent="0.25">
      <c r="A900" s="44"/>
      <c r="B900" s="44"/>
      <c r="C900" s="44"/>
      <c r="D900" s="44"/>
      <c r="E900" s="44"/>
      <c r="F900" s="44"/>
      <c r="G900" s="44"/>
      <c r="H900" s="44"/>
      <c r="I900" s="44"/>
      <c r="J900" s="8"/>
      <c r="K900" s="8"/>
    </row>
    <row r="901" spans="1:11" x14ac:dyDescent="0.25">
      <c r="A901" s="44"/>
      <c r="B901" s="44"/>
      <c r="C901" s="44"/>
      <c r="D901" s="44"/>
      <c r="E901" s="44"/>
      <c r="F901" s="44"/>
      <c r="G901" s="44"/>
      <c r="H901" s="44"/>
      <c r="I901" s="44"/>
      <c r="J901" s="8"/>
      <c r="K901" s="8"/>
    </row>
    <row r="902" spans="1:11" x14ac:dyDescent="0.25">
      <c r="A902" s="44"/>
      <c r="B902" s="44"/>
      <c r="C902" s="44"/>
      <c r="D902" s="44"/>
      <c r="E902" s="44"/>
      <c r="F902" s="44"/>
      <c r="G902" s="44"/>
      <c r="H902" s="44"/>
      <c r="I902" s="44"/>
      <c r="J902" s="8"/>
      <c r="K902" s="8"/>
    </row>
    <row r="903" spans="1:11" x14ac:dyDescent="0.25">
      <c r="A903" s="44"/>
      <c r="B903" s="44"/>
      <c r="C903" s="44"/>
      <c r="D903" s="44"/>
      <c r="E903" s="44"/>
      <c r="F903" s="44"/>
      <c r="G903" s="44"/>
      <c r="H903" s="44"/>
      <c r="I903" s="44"/>
      <c r="J903" s="8"/>
      <c r="K903" s="8"/>
    </row>
    <row r="904" spans="1:11" x14ac:dyDescent="0.25">
      <c r="A904" s="44"/>
      <c r="B904" s="44"/>
      <c r="C904" s="44"/>
      <c r="D904" s="44"/>
      <c r="E904" s="44"/>
      <c r="F904" s="44"/>
      <c r="G904" s="44"/>
      <c r="H904" s="44"/>
      <c r="I904" s="44"/>
      <c r="J904" s="8"/>
      <c r="K904" s="8"/>
    </row>
    <row r="905" spans="1:11" x14ac:dyDescent="0.25">
      <c r="A905" s="44"/>
      <c r="B905" s="44"/>
      <c r="C905" s="44"/>
      <c r="D905" s="44"/>
      <c r="E905" s="44"/>
      <c r="F905" s="44"/>
      <c r="G905" s="44"/>
      <c r="H905" s="44"/>
      <c r="I905" s="44"/>
      <c r="J905" s="8"/>
      <c r="K905" s="8"/>
    </row>
    <row r="906" spans="1:11" x14ac:dyDescent="0.25">
      <c r="A906" s="44"/>
      <c r="B906" s="44"/>
      <c r="C906" s="44"/>
      <c r="D906" s="44"/>
      <c r="E906" s="44"/>
      <c r="F906" s="44"/>
      <c r="G906" s="44"/>
      <c r="H906" s="44"/>
      <c r="I906" s="44"/>
      <c r="J906" s="8"/>
      <c r="K906" s="8"/>
    </row>
    <row r="907" spans="1:11" x14ac:dyDescent="0.25">
      <c r="A907" s="44"/>
      <c r="B907" s="44"/>
      <c r="C907" s="44"/>
      <c r="D907" s="44"/>
      <c r="E907" s="44"/>
      <c r="F907" s="44"/>
      <c r="G907" s="44"/>
      <c r="H907" s="44"/>
      <c r="I907" s="44"/>
      <c r="J907" s="8"/>
      <c r="K907" s="8"/>
    </row>
    <row r="908" spans="1:11" x14ac:dyDescent="0.25">
      <c r="A908" s="44"/>
      <c r="B908" s="44"/>
      <c r="C908" s="44"/>
      <c r="D908" s="44"/>
      <c r="E908" s="44"/>
      <c r="F908" s="44"/>
      <c r="G908" s="44"/>
      <c r="H908" s="44"/>
      <c r="I908" s="44"/>
      <c r="J908" s="8"/>
      <c r="K908" s="8"/>
    </row>
    <row r="909" spans="1:11" x14ac:dyDescent="0.25">
      <c r="A909" s="44"/>
      <c r="B909" s="44"/>
      <c r="C909" s="44"/>
      <c r="D909" s="44"/>
      <c r="E909" s="44"/>
      <c r="F909" s="44"/>
      <c r="G909" s="44"/>
      <c r="H909" s="44"/>
      <c r="I909" s="44"/>
      <c r="J909" s="8"/>
      <c r="K909" s="8"/>
    </row>
    <row r="910" spans="1:11" x14ac:dyDescent="0.25">
      <c r="A910" s="44"/>
      <c r="B910" s="44"/>
      <c r="C910" s="44"/>
      <c r="D910" s="44"/>
      <c r="E910" s="44"/>
      <c r="F910" s="44"/>
      <c r="G910" s="44"/>
      <c r="H910" s="44"/>
      <c r="I910" s="44"/>
      <c r="J910" s="8"/>
      <c r="K910" s="8"/>
    </row>
    <row r="911" spans="1:11" x14ac:dyDescent="0.25">
      <c r="A911" s="44"/>
      <c r="B911" s="44"/>
      <c r="C911" s="44"/>
      <c r="D911" s="44"/>
      <c r="E911" s="44"/>
      <c r="F911" s="44"/>
      <c r="G911" s="44"/>
      <c r="H911" s="44"/>
      <c r="I911" s="44"/>
      <c r="J911" s="8"/>
      <c r="K911" s="8"/>
    </row>
    <row r="912" spans="1:11" x14ac:dyDescent="0.25">
      <c r="A912" s="44"/>
      <c r="B912" s="44"/>
      <c r="C912" s="44"/>
      <c r="D912" s="44"/>
      <c r="E912" s="44"/>
      <c r="F912" s="44"/>
      <c r="G912" s="44"/>
      <c r="H912" s="44"/>
      <c r="I912" s="44"/>
      <c r="J912" s="8"/>
      <c r="K912" s="8"/>
    </row>
    <row r="913" spans="1:11" x14ac:dyDescent="0.25">
      <c r="A913" s="44"/>
      <c r="B913" s="44"/>
      <c r="C913" s="44"/>
      <c r="D913" s="44"/>
      <c r="E913" s="44"/>
      <c r="F913" s="44"/>
      <c r="G913" s="44"/>
      <c r="H913" s="44"/>
      <c r="I913" s="44"/>
      <c r="J913" s="8"/>
      <c r="K913" s="8"/>
    </row>
    <row r="914" spans="1:11" x14ac:dyDescent="0.25">
      <c r="A914" s="44"/>
      <c r="B914" s="44"/>
      <c r="C914" s="44"/>
      <c r="D914" s="44"/>
      <c r="E914" s="44"/>
      <c r="F914" s="44"/>
      <c r="G914" s="44"/>
      <c r="H914" s="44"/>
      <c r="I914" s="44"/>
      <c r="J914" s="8"/>
      <c r="K914" s="8"/>
    </row>
    <row r="915" spans="1:11" x14ac:dyDescent="0.25">
      <c r="A915" s="44"/>
      <c r="B915" s="44"/>
      <c r="C915" s="44"/>
      <c r="D915" s="44"/>
      <c r="E915" s="44"/>
      <c r="F915" s="44"/>
      <c r="G915" s="44"/>
      <c r="H915" s="44"/>
      <c r="I915" s="44"/>
      <c r="J915" s="8"/>
      <c r="K915" s="8"/>
    </row>
    <row r="916" spans="1:11" x14ac:dyDescent="0.25">
      <c r="A916" s="44"/>
      <c r="B916" s="44"/>
      <c r="C916" s="44"/>
      <c r="D916" s="44"/>
      <c r="E916" s="44"/>
      <c r="F916" s="44"/>
      <c r="G916" s="44"/>
      <c r="H916" s="44"/>
      <c r="I916" s="44"/>
      <c r="J916" s="8"/>
      <c r="K916" s="8"/>
    </row>
    <row r="917" spans="1:11" x14ac:dyDescent="0.25">
      <c r="A917" s="44"/>
      <c r="B917" s="44"/>
      <c r="C917" s="44"/>
      <c r="D917" s="44"/>
      <c r="E917" s="44"/>
      <c r="F917" s="44"/>
      <c r="G917" s="44"/>
      <c r="H917" s="44"/>
      <c r="I917" s="44"/>
      <c r="J917" s="8"/>
      <c r="K917" s="8"/>
    </row>
    <row r="918" spans="1:11" x14ac:dyDescent="0.25">
      <c r="A918" s="44"/>
      <c r="B918" s="44"/>
      <c r="C918" s="44"/>
      <c r="D918" s="44"/>
      <c r="E918" s="44"/>
      <c r="F918" s="44"/>
      <c r="G918" s="44"/>
      <c r="H918" s="44"/>
      <c r="I918" s="44"/>
      <c r="J918" s="8"/>
      <c r="K918" s="8"/>
    </row>
    <row r="919" spans="1:11" x14ac:dyDescent="0.25">
      <c r="A919" s="44"/>
      <c r="B919" s="44"/>
      <c r="C919" s="44"/>
      <c r="D919" s="44"/>
      <c r="E919" s="44"/>
      <c r="F919" s="44"/>
      <c r="G919" s="44"/>
      <c r="H919" s="44"/>
      <c r="I919" s="44"/>
      <c r="J919" s="8"/>
      <c r="K919" s="8"/>
    </row>
    <row r="920" spans="1:11" x14ac:dyDescent="0.25">
      <c r="A920" s="44"/>
      <c r="B920" s="44"/>
      <c r="C920" s="44"/>
      <c r="D920" s="44"/>
      <c r="E920" s="44"/>
      <c r="F920" s="44"/>
      <c r="G920" s="44"/>
      <c r="H920" s="44"/>
      <c r="I920" s="44"/>
      <c r="J920" s="8"/>
      <c r="K920" s="8"/>
    </row>
    <row r="921" spans="1:11" x14ac:dyDescent="0.25">
      <c r="A921" s="44"/>
      <c r="B921" s="44"/>
      <c r="C921" s="44"/>
      <c r="D921" s="44"/>
      <c r="E921" s="44"/>
      <c r="F921" s="44"/>
      <c r="G921" s="44"/>
      <c r="H921" s="44"/>
      <c r="I921" s="44"/>
      <c r="J921" s="8"/>
      <c r="K921" s="8"/>
    </row>
    <row r="922" spans="1:11" x14ac:dyDescent="0.25">
      <c r="A922" s="44"/>
      <c r="B922" s="44"/>
      <c r="C922" s="44"/>
      <c r="D922" s="44"/>
      <c r="E922" s="44"/>
      <c r="F922" s="44"/>
      <c r="G922" s="44"/>
      <c r="H922" s="44"/>
      <c r="I922" s="44"/>
      <c r="J922" s="8"/>
      <c r="K922" s="8"/>
    </row>
    <row r="923" spans="1:11" x14ac:dyDescent="0.25">
      <c r="A923" s="44"/>
      <c r="B923" s="44"/>
      <c r="C923" s="44"/>
      <c r="D923" s="44"/>
      <c r="E923" s="44"/>
      <c r="F923" s="44"/>
      <c r="G923" s="44"/>
      <c r="H923" s="44"/>
      <c r="I923" s="44"/>
      <c r="J923" s="8"/>
      <c r="K923" s="8"/>
    </row>
    <row r="924" spans="1:11" x14ac:dyDescent="0.25">
      <c r="A924" s="44"/>
      <c r="B924" s="44"/>
      <c r="C924" s="44"/>
      <c r="D924" s="44"/>
      <c r="E924" s="44"/>
      <c r="F924" s="44"/>
      <c r="G924" s="44"/>
      <c r="H924" s="44"/>
      <c r="I924" s="44"/>
      <c r="J924" s="8"/>
      <c r="K924" s="8"/>
    </row>
    <row r="925" spans="1:11" x14ac:dyDescent="0.25">
      <c r="A925" s="44"/>
      <c r="B925" s="44"/>
      <c r="C925" s="44"/>
      <c r="D925" s="44"/>
      <c r="E925" s="44"/>
      <c r="F925" s="44"/>
      <c r="G925" s="44"/>
      <c r="H925" s="44"/>
      <c r="I925" s="44"/>
      <c r="J925" s="8"/>
      <c r="K925" s="8"/>
    </row>
    <row r="926" spans="1:11" x14ac:dyDescent="0.25">
      <c r="A926" s="44"/>
      <c r="B926" s="44"/>
      <c r="C926" s="44"/>
      <c r="D926" s="44"/>
      <c r="E926" s="44"/>
      <c r="F926" s="44"/>
      <c r="G926" s="44"/>
      <c r="H926" s="44"/>
      <c r="I926" s="44"/>
      <c r="J926" s="8"/>
      <c r="K926" s="8"/>
    </row>
    <row r="927" spans="1:11" x14ac:dyDescent="0.25">
      <c r="A927" s="44"/>
      <c r="B927" s="44"/>
      <c r="C927" s="44"/>
      <c r="D927" s="44"/>
      <c r="E927" s="44"/>
      <c r="F927" s="44"/>
      <c r="G927" s="44"/>
      <c r="H927" s="44"/>
      <c r="I927" s="44"/>
      <c r="J927" s="8"/>
      <c r="K927" s="8"/>
    </row>
    <row r="928" spans="1:11" x14ac:dyDescent="0.25">
      <c r="A928" s="44"/>
      <c r="B928" s="44"/>
      <c r="C928" s="44"/>
      <c r="D928" s="44"/>
      <c r="E928" s="44"/>
      <c r="F928" s="44"/>
      <c r="G928" s="44"/>
      <c r="H928" s="44"/>
      <c r="I928" s="44"/>
      <c r="J928" s="8"/>
      <c r="K928" s="8"/>
    </row>
    <row r="929" spans="1:11" x14ac:dyDescent="0.25">
      <c r="A929" s="44"/>
      <c r="B929" s="44"/>
      <c r="C929" s="44"/>
      <c r="D929" s="44"/>
      <c r="E929" s="44"/>
      <c r="F929" s="44"/>
      <c r="G929" s="44"/>
      <c r="H929" s="44"/>
      <c r="I929" s="44"/>
      <c r="J929" s="8"/>
      <c r="K929" s="8"/>
    </row>
    <row r="930" spans="1:11" x14ac:dyDescent="0.25">
      <c r="A930" s="44"/>
      <c r="B930" s="44"/>
      <c r="C930" s="44"/>
      <c r="D930" s="44"/>
      <c r="E930" s="44"/>
      <c r="F930" s="44"/>
      <c r="G930" s="44"/>
      <c r="H930" s="44"/>
      <c r="I930" s="44"/>
      <c r="J930" s="8"/>
      <c r="K930" s="8"/>
    </row>
    <row r="931" spans="1:11" x14ac:dyDescent="0.25">
      <c r="A931" s="44"/>
      <c r="B931" s="44"/>
      <c r="C931" s="44"/>
      <c r="D931" s="44"/>
      <c r="E931" s="44"/>
      <c r="F931" s="44"/>
      <c r="G931" s="44"/>
      <c r="H931" s="44"/>
      <c r="I931" s="44"/>
      <c r="J931" s="8"/>
      <c r="K931" s="8"/>
    </row>
    <row r="932" spans="1:11" x14ac:dyDescent="0.25">
      <c r="A932" s="44"/>
      <c r="B932" s="44"/>
      <c r="C932" s="44"/>
      <c r="D932" s="44"/>
      <c r="E932" s="44"/>
      <c r="F932" s="44"/>
      <c r="G932" s="44"/>
      <c r="H932" s="44"/>
      <c r="I932" s="44"/>
      <c r="J932" s="8"/>
      <c r="K932" s="8"/>
    </row>
    <row r="933" spans="1:11" x14ac:dyDescent="0.25">
      <c r="A933" s="44"/>
      <c r="B933" s="44"/>
      <c r="C933" s="44"/>
      <c r="D933" s="44"/>
      <c r="E933" s="44"/>
      <c r="F933" s="44"/>
      <c r="G933" s="44"/>
      <c r="H933" s="44"/>
      <c r="I933" s="44"/>
      <c r="J933" s="8"/>
      <c r="K933" s="8"/>
    </row>
    <row r="934" spans="1:11" x14ac:dyDescent="0.25">
      <c r="A934" s="44"/>
      <c r="B934" s="44"/>
      <c r="C934" s="44"/>
      <c r="D934" s="44"/>
      <c r="E934" s="44"/>
      <c r="F934" s="44"/>
      <c r="G934" s="44"/>
      <c r="H934" s="44"/>
      <c r="I934" s="44"/>
      <c r="J934" s="8"/>
      <c r="K934" s="8"/>
    </row>
    <row r="935" spans="1:11" x14ac:dyDescent="0.25">
      <c r="A935" s="44"/>
      <c r="B935" s="44"/>
      <c r="C935" s="44"/>
      <c r="D935" s="44"/>
      <c r="E935" s="44"/>
      <c r="F935" s="44"/>
      <c r="G935" s="44"/>
      <c r="H935" s="44"/>
      <c r="I935" s="44"/>
      <c r="J935" s="8"/>
      <c r="K935" s="8"/>
    </row>
    <row r="936" spans="1:11" x14ac:dyDescent="0.25">
      <c r="A936" s="44"/>
      <c r="B936" s="44"/>
      <c r="C936" s="44"/>
      <c r="D936" s="44"/>
      <c r="E936" s="44"/>
      <c r="F936" s="44"/>
      <c r="G936" s="44"/>
      <c r="H936" s="44"/>
      <c r="I936" s="44"/>
      <c r="J936" s="8"/>
      <c r="K936" s="8"/>
    </row>
    <row r="937" spans="1:11" x14ac:dyDescent="0.25">
      <c r="A937" s="44"/>
      <c r="B937" s="44"/>
      <c r="C937" s="44"/>
      <c r="D937" s="44"/>
      <c r="E937" s="44"/>
      <c r="F937" s="44"/>
      <c r="G937" s="44"/>
      <c r="H937" s="44"/>
      <c r="I937" s="44"/>
      <c r="J937" s="8"/>
      <c r="K937" s="8"/>
    </row>
    <row r="938" spans="1:11" x14ac:dyDescent="0.25">
      <c r="A938" s="44"/>
      <c r="B938" s="44"/>
      <c r="C938" s="44"/>
      <c r="D938" s="44"/>
      <c r="E938" s="44"/>
      <c r="F938" s="44"/>
      <c r="G938" s="44"/>
      <c r="H938" s="44"/>
      <c r="I938" s="44"/>
      <c r="J938" s="8"/>
      <c r="K938" s="8"/>
    </row>
    <row r="939" spans="1:11" x14ac:dyDescent="0.25">
      <c r="A939" s="44"/>
      <c r="B939" s="44"/>
      <c r="C939" s="44"/>
      <c r="D939" s="44"/>
      <c r="E939" s="44"/>
      <c r="F939" s="44"/>
      <c r="G939" s="44"/>
      <c r="H939" s="44"/>
      <c r="I939" s="44"/>
      <c r="J939" s="8"/>
      <c r="K939" s="8"/>
    </row>
    <row r="940" spans="1:11" x14ac:dyDescent="0.25">
      <c r="A940" s="44"/>
      <c r="B940" s="44"/>
      <c r="C940" s="44"/>
      <c r="D940" s="44"/>
      <c r="E940" s="44"/>
      <c r="F940" s="44"/>
      <c r="G940" s="44"/>
      <c r="H940" s="44"/>
      <c r="I940" s="44"/>
      <c r="J940" s="8"/>
      <c r="K940" s="8"/>
    </row>
    <row r="941" spans="1:11" x14ac:dyDescent="0.25">
      <c r="A941" s="44"/>
      <c r="B941" s="44"/>
      <c r="C941" s="44"/>
      <c r="D941" s="44"/>
      <c r="E941" s="44"/>
      <c r="F941" s="44"/>
      <c r="G941" s="44"/>
      <c r="H941" s="44"/>
      <c r="I941" s="44"/>
      <c r="J941" s="8"/>
      <c r="K941" s="8"/>
    </row>
    <row r="942" spans="1:11" x14ac:dyDescent="0.25">
      <c r="A942" s="44"/>
      <c r="B942" s="44"/>
      <c r="C942" s="44"/>
      <c r="D942" s="44"/>
      <c r="E942" s="44"/>
      <c r="F942" s="44"/>
      <c r="G942" s="44"/>
      <c r="H942" s="44"/>
      <c r="I942" s="44"/>
      <c r="J942" s="8"/>
      <c r="K942" s="8"/>
    </row>
    <row r="943" spans="1:11" x14ac:dyDescent="0.25">
      <c r="A943" s="44"/>
      <c r="B943" s="44"/>
      <c r="C943" s="44"/>
      <c r="D943" s="44"/>
      <c r="E943" s="44"/>
      <c r="F943" s="44"/>
      <c r="G943" s="44"/>
      <c r="H943" s="44"/>
      <c r="I943" s="44"/>
      <c r="J943" s="8"/>
      <c r="K943" s="8"/>
    </row>
    <row r="944" spans="1:11" x14ac:dyDescent="0.25">
      <c r="A944" s="44"/>
      <c r="B944" s="44"/>
      <c r="C944" s="44"/>
      <c r="D944" s="44"/>
      <c r="E944" s="44"/>
      <c r="F944" s="44"/>
      <c r="G944" s="44"/>
      <c r="H944" s="44"/>
      <c r="I944" s="44"/>
      <c r="J944" s="8"/>
      <c r="K944" s="8"/>
    </row>
    <row r="945" spans="1:11" x14ac:dyDescent="0.25">
      <c r="A945" s="44"/>
      <c r="B945" s="44"/>
      <c r="C945" s="44"/>
      <c r="D945" s="44"/>
      <c r="E945" s="44"/>
      <c r="F945" s="44"/>
      <c r="G945" s="44"/>
      <c r="H945" s="44"/>
      <c r="I945" s="44"/>
      <c r="J945" s="8"/>
      <c r="K945" s="8"/>
    </row>
    <row r="946" spans="1:11" x14ac:dyDescent="0.25">
      <c r="A946" s="44"/>
      <c r="B946" s="44"/>
      <c r="C946" s="44"/>
      <c r="D946" s="44"/>
      <c r="E946" s="44"/>
      <c r="F946" s="44"/>
      <c r="G946" s="44"/>
      <c r="H946" s="44"/>
      <c r="I946" s="44"/>
      <c r="J946" s="8"/>
      <c r="K946" s="8"/>
    </row>
    <row r="947" spans="1:11" x14ac:dyDescent="0.25">
      <c r="A947" s="44"/>
      <c r="B947" s="44"/>
      <c r="C947" s="44"/>
      <c r="D947" s="44"/>
      <c r="E947" s="44"/>
      <c r="F947" s="44"/>
      <c r="G947" s="44"/>
      <c r="H947" s="44"/>
      <c r="I947" s="44"/>
      <c r="J947" s="8"/>
      <c r="K947" s="8"/>
    </row>
    <row r="948" spans="1:11" x14ac:dyDescent="0.25">
      <c r="A948" s="44"/>
      <c r="B948" s="44"/>
      <c r="C948" s="44"/>
      <c r="D948" s="44"/>
      <c r="E948" s="44"/>
      <c r="F948" s="44"/>
      <c r="G948" s="44"/>
      <c r="H948" s="44"/>
      <c r="I948" s="44"/>
      <c r="J948" s="8"/>
      <c r="K948" s="8"/>
    </row>
    <row r="949" spans="1:11" x14ac:dyDescent="0.25">
      <c r="A949" s="44"/>
      <c r="B949" s="44"/>
      <c r="C949" s="44"/>
      <c r="D949" s="44"/>
      <c r="E949" s="44"/>
      <c r="F949" s="44"/>
      <c r="G949" s="44"/>
      <c r="H949" s="44"/>
      <c r="I949" s="44"/>
      <c r="J949" s="8"/>
      <c r="K949" s="8"/>
    </row>
    <row r="950" spans="1:11" x14ac:dyDescent="0.25">
      <c r="A950" s="44"/>
      <c r="B950" s="44"/>
      <c r="C950" s="44"/>
      <c r="D950" s="44"/>
      <c r="E950" s="44"/>
      <c r="F950" s="44"/>
      <c r="G950" s="44"/>
      <c r="H950" s="44"/>
      <c r="I950" s="44"/>
      <c r="J950" s="8"/>
      <c r="K950" s="8"/>
    </row>
    <row r="951" spans="1:11" x14ac:dyDescent="0.25">
      <c r="A951" s="44"/>
      <c r="B951" s="44"/>
      <c r="C951" s="44"/>
      <c r="D951" s="44"/>
      <c r="E951" s="44"/>
      <c r="F951" s="44"/>
      <c r="G951" s="44"/>
      <c r="H951" s="44"/>
      <c r="I951" s="44"/>
      <c r="J951" s="8"/>
      <c r="K951" s="8"/>
    </row>
    <row r="952" spans="1:11" x14ac:dyDescent="0.25">
      <c r="A952" s="44"/>
      <c r="B952" s="44"/>
      <c r="C952" s="44"/>
      <c r="D952" s="44"/>
      <c r="E952" s="44"/>
      <c r="F952" s="44"/>
      <c r="G952" s="44"/>
      <c r="H952" s="44"/>
      <c r="I952" s="44"/>
      <c r="J952" s="8"/>
      <c r="K952" s="8"/>
    </row>
    <row r="953" spans="1:11" x14ac:dyDescent="0.25">
      <c r="A953" s="44"/>
      <c r="B953" s="44"/>
      <c r="C953" s="44"/>
      <c r="D953" s="44"/>
      <c r="E953" s="44"/>
      <c r="F953" s="44"/>
      <c r="G953" s="44"/>
      <c r="H953" s="44"/>
      <c r="I953" s="44"/>
      <c r="J953" s="8"/>
      <c r="K953" s="8"/>
    </row>
    <row r="954" spans="1:11" x14ac:dyDescent="0.25">
      <c r="A954" s="44"/>
      <c r="B954" s="44"/>
      <c r="C954" s="44"/>
      <c r="D954" s="44"/>
      <c r="E954" s="44"/>
      <c r="F954" s="44"/>
      <c r="G954" s="44"/>
      <c r="H954" s="44"/>
      <c r="I954" s="44"/>
      <c r="J954" s="8"/>
      <c r="K954" s="8"/>
    </row>
    <row r="955" spans="1:11" x14ac:dyDescent="0.25">
      <c r="A955" s="44"/>
      <c r="B955" s="44"/>
      <c r="C955" s="44"/>
      <c r="D955" s="44"/>
      <c r="E955" s="44"/>
      <c r="F955" s="44"/>
      <c r="G955" s="44"/>
      <c r="H955" s="44"/>
      <c r="I955" s="44"/>
      <c r="J955" s="8"/>
      <c r="K955" s="8"/>
    </row>
    <row r="956" spans="1:11" x14ac:dyDescent="0.25">
      <c r="A956" s="44"/>
      <c r="B956" s="44"/>
      <c r="C956" s="44"/>
      <c r="D956" s="44"/>
      <c r="E956" s="44"/>
      <c r="F956" s="44"/>
      <c r="G956" s="44"/>
      <c r="H956" s="44"/>
      <c r="I956" s="44"/>
      <c r="J956" s="8"/>
      <c r="K956" s="8"/>
    </row>
    <row r="957" spans="1:11" x14ac:dyDescent="0.25">
      <c r="A957" s="44"/>
      <c r="B957" s="44"/>
      <c r="C957" s="44"/>
      <c r="D957" s="44"/>
      <c r="E957" s="44"/>
      <c r="F957" s="44"/>
      <c r="G957" s="44"/>
      <c r="H957" s="44"/>
      <c r="I957" s="44"/>
      <c r="J957" s="8"/>
      <c r="K957" s="8"/>
    </row>
    <row r="958" spans="1:11" x14ac:dyDescent="0.25">
      <c r="A958" s="44"/>
      <c r="B958" s="44"/>
      <c r="C958" s="44"/>
      <c r="D958" s="44"/>
      <c r="E958" s="44"/>
      <c r="F958" s="44"/>
      <c r="G958" s="44"/>
      <c r="H958" s="44"/>
      <c r="I958" s="44"/>
      <c r="J958" s="8"/>
      <c r="K958" s="8"/>
    </row>
    <row r="959" spans="1:11" x14ac:dyDescent="0.25">
      <c r="A959" s="44"/>
      <c r="B959" s="44"/>
      <c r="C959" s="44"/>
      <c r="D959" s="44"/>
      <c r="E959" s="44"/>
      <c r="F959" s="44"/>
      <c r="G959" s="44"/>
      <c r="H959" s="44"/>
      <c r="I959" s="44"/>
      <c r="J959" s="8"/>
      <c r="K959" s="8"/>
    </row>
    <row r="960" spans="1:11" x14ac:dyDescent="0.25">
      <c r="A960" s="44"/>
      <c r="B960" s="44"/>
      <c r="C960" s="44"/>
      <c r="D960" s="44"/>
      <c r="E960" s="44"/>
      <c r="F960" s="44"/>
      <c r="G960" s="44"/>
      <c r="H960" s="44"/>
      <c r="I960" s="44"/>
      <c r="J960" s="8"/>
      <c r="K960" s="8"/>
    </row>
    <row r="961" spans="1:11" x14ac:dyDescent="0.25">
      <c r="A961" s="44"/>
      <c r="B961" s="44"/>
      <c r="C961" s="44"/>
      <c r="D961" s="44"/>
      <c r="E961" s="44"/>
      <c r="F961" s="44"/>
      <c r="G961" s="44"/>
      <c r="H961" s="44"/>
      <c r="I961" s="44"/>
      <c r="J961" s="8"/>
      <c r="K961" s="8"/>
    </row>
    <row r="962" spans="1:11" x14ac:dyDescent="0.25">
      <c r="A962" s="44"/>
      <c r="B962" s="44"/>
      <c r="C962" s="44"/>
      <c r="D962" s="44"/>
      <c r="E962" s="44"/>
      <c r="F962" s="44"/>
      <c r="G962" s="44"/>
      <c r="H962" s="44"/>
      <c r="I962" s="44"/>
      <c r="J962" s="8"/>
      <c r="K962" s="8"/>
    </row>
    <row r="963" spans="1:11" x14ac:dyDescent="0.25">
      <c r="A963" s="44"/>
      <c r="B963" s="44"/>
      <c r="C963" s="44"/>
      <c r="D963" s="44"/>
      <c r="E963" s="44"/>
      <c r="F963" s="44"/>
      <c r="G963" s="44"/>
      <c r="H963" s="44"/>
      <c r="I963" s="44"/>
      <c r="J963" s="8"/>
      <c r="K963" s="8"/>
    </row>
    <row r="964" spans="1:11" x14ac:dyDescent="0.25">
      <c r="A964" s="44"/>
      <c r="B964" s="44"/>
      <c r="C964" s="44"/>
      <c r="D964" s="44"/>
      <c r="E964" s="44"/>
      <c r="F964" s="44"/>
      <c r="G964" s="44"/>
      <c r="H964" s="44"/>
      <c r="I964" s="44"/>
      <c r="J964" s="8"/>
      <c r="K964" s="8"/>
    </row>
    <row r="965" spans="1:11" x14ac:dyDescent="0.25">
      <c r="A965" s="44"/>
      <c r="B965" s="44"/>
      <c r="C965" s="44"/>
      <c r="D965" s="44"/>
      <c r="E965" s="44"/>
      <c r="F965" s="44"/>
      <c r="G965" s="44"/>
      <c r="H965" s="44"/>
      <c r="I965" s="44"/>
      <c r="J965" s="8"/>
      <c r="K965" s="8"/>
    </row>
    <row r="966" spans="1:11" x14ac:dyDescent="0.25">
      <c r="A966" s="44"/>
      <c r="B966" s="44"/>
      <c r="C966" s="44"/>
      <c r="D966" s="44"/>
      <c r="E966" s="44"/>
      <c r="F966" s="44"/>
      <c r="G966" s="44"/>
      <c r="H966" s="44"/>
      <c r="I966" s="44"/>
      <c r="J966" s="8"/>
      <c r="K966" s="8"/>
    </row>
    <row r="967" spans="1:11" x14ac:dyDescent="0.25">
      <c r="A967" s="44"/>
      <c r="B967" s="44"/>
      <c r="C967" s="44"/>
      <c r="D967" s="44"/>
      <c r="E967" s="44"/>
      <c r="F967" s="44"/>
      <c r="G967" s="44"/>
      <c r="H967" s="44"/>
      <c r="I967" s="44"/>
      <c r="J967" s="8"/>
      <c r="K967" s="8"/>
    </row>
    <row r="968" spans="1:11" x14ac:dyDescent="0.25">
      <c r="A968" s="44"/>
      <c r="B968" s="44"/>
      <c r="C968" s="44"/>
      <c r="D968" s="44"/>
      <c r="E968" s="44"/>
      <c r="F968" s="44"/>
      <c r="G968" s="44"/>
      <c r="H968" s="44"/>
      <c r="I968" s="44"/>
      <c r="J968" s="8"/>
      <c r="K968" s="8"/>
    </row>
    <row r="969" spans="1:11" x14ac:dyDescent="0.25">
      <c r="A969" s="44"/>
      <c r="B969" s="44"/>
      <c r="C969" s="44"/>
      <c r="D969" s="44"/>
      <c r="E969" s="44"/>
      <c r="F969" s="44"/>
      <c r="G969" s="44"/>
      <c r="H969" s="44"/>
      <c r="I969" s="44"/>
      <c r="J969" s="8"/>
      <c r="K969" s="8"/>
    </row>
    <row r="970" spans="1:11" x14ac:dyDescent="0.25">
      <c r="A970" s="44"/>
      <c r="B970" s="44"/>
      <c r="C970" s="44"/>
      <c r="D970" s="44"/>
      <c r="E970" s="44"/>
      <c r="F970" s="44"/>
      <c r="G970" s="44"/>
      <c r="H970" s="44"/>
      <c r="I970" s="44"/>
      <c r="J970" s="8"/>
      <c r="K970" s="8"/>
    </row>
    <row r="971" spans="1:11" x14ac:dyDescent="0.25">
      <c r="A971" s="44"/>
      <c r="B971" s="44"/>
      <c r="C971" s="44"/>
      <c r="D971" s="44"/>
      <c r="E971" s="44"/>
      <c r="F971" s="44"/>
      <c r="G971" s="44"/>
      <c r="H971" s="44"/>
      <c r="I971" s="44"/>
      <c r="J971" s="8"/>
      <c r="K971" s="8"/>
    </row>
    <row r="972" spans="1:11" x14ac:dyDescent="0.25">
      <c r="A972" s="44"/>
      <c r="B972" s="44"/>
      <c r="C972" s="44"/>
      <c r="D972" s="44"/>
      <c r="E972" s="44"/>
      <c r="F972" s="44"/>
      <c r="G972" s="44"/>
      <c r="H972" s="44"/>
      <c r="I972" s="44"/>
      <c r="J972" s="8"/>
      <c r="K972" s="8"/>
    </row>
    <row r="973" spans="1:11" x14ac:dyDescent="0.25">
      <c r="A973" s="44"/>
      <c r="B973" s="44"/>
      <c r="C973" s="44"/>
      <c r="D973" s="44"/>
      <c r="E973" s="44"/>
      <c r="F973" s="44"/>
      <c r="G973" s="44"/>
      <c r="H973" s="44"/>
      <c r="I973" s="44"/>
      <c r="J973" s="8"/>
      <c r="K973" s="8"/>
    </row>
    <row r="974" spans="1:11" x14ac:dyDescent="0.25">
      <c r="A974" s="44"/>
      <c r="B974" s="44"/>
      <c r="C974" s="44"/>
      <c r="D974" s="44"/>
      <c r="E974" s="44"/>
      <c r="F974" s="44"/>
      <c r="G974" s="44"/>
      <c r="H974" s="44"/>
      <c r="I974" s="44"/>
      <c r="J974" s="8"/>
      <c r="K974" s="8"/>
    </row>
    <row r="975" spans="1:11" x14ac:dyDescent="0.25">
      <c r="A975" s="44"/>
      <c r="B975" s="44"/>
      <c r="C975" s="44"/>
      <c r="D975" s="44"/>
      <c r="E975" s="44"/>
      <c r="F975" s="44"/>
      <c r="G975" s="44"/>
      <c r="H975" s="44"/>
      <c r="I975" s="44"/>
      <c r="J975" s="8"/>
      <c r="K975" s="8"/>
    </row>
    <row r="976" spans="1:11" x14ac:dyDescent="0.25">
      <c r="A976" s="44"/>
      <c r="B976" s="44"/>
      <c r="C976" s="44"/>
      <c r="D976" s="44"/>
      <c r="E976" s="44"/>
      <c r="F976" s="44"/>
      <c r="G976" s="44"/>
      <c r="H976" s="44"/>
      <c r="I976" s="44"/>
      <c r="J976" s="8"/>
      <c r="K976" s="8"/>
    </row>
    <row r="977" spans="1:11" x14ac:dyDescent="0.25">
      <c r="A977" s="44"/>
      <c r="B977" s="44"/>
      <c r="C977" s="44"/>
      <c r="D977" s="44"/>
      <c r="E977" s="44"/>
      <c r="F977" s="44"/>
      <c r="G977" s="44"/>
      <c r="H977" s="44"/>
      <c r="I977" s="44"/>
      <c r="J977" s="8"/>
      <c r="K977" s="8"/>
    </row>
    <row r="978" spans="1:11" x14ac:dyDescent="0.25">
      <c r="A978" s="44"/>
      <c r="B978" s="44"/>
      <c r="C978" s="44"/>
      <c r="D978" s="44"/>
      <c r="E978" s="44"/>
      <c r="F978" s="44"/>
      <c r="G978" s="44"/>
      <c r="H978" s="44"/>
      <c r="I978" s="44"/>
      <c r="J978" s="8"/>
      <c r="K978" s="8"/>
    </row>
    <row r="979" spans="1:11" x14ac:dyDescent="0.25">
      <c r="A979" s="44"/>
      <c r="B979" s="44"/>
      <c r="C979" s="44"/>
      <c r="D979" s="44"/>
      <c r="E979" s="44"/>
      <c r="F979" s="44"/>
      <c r="G979" s="44"/>
      <c r="H979" s="44"/>
      <c r="I979" s="44"/>
      <c r="J979" s="8"/>
      <c r="K979" s="8"/>
    </row>
    <row r="980" spans="1:11" x14ac:dyDescent="0.25">
      <c r="A980" s="44"/>
      <c r="B980" s="44"/>
      <c r="C980" s="44"/>
      <c r="D980" s="44"/>
      <c r="E980" s="44"/>
      <c r="F980" s="44"/>
      <c r="G980" s="44"/>
      <c r="H980" s="44"/>
      <c r="I980" s="44"/>
      <c r="J980" s="8"/>
      <c r="K980" s="8"/>
    </row>
    <row r="981" spans="1:11" x14ac:dyDescent="0.25">
      <c r="A981" s="44"/>
      <c r="B981" s="44"/>
      <c r="C981" s="44"/>
      <c r="D981" s="44"/>
      <c r="E981" s="44"/>
      <c r="F981" s="44"/>
      <c r="G981" s="44"/>
      <c r="H981" s="44"/>
      <c r="I981" s="44"/>
      <c r="J981" s="8"/>
      <c r="K981" s="8"/>
    </row>
    <row r="982" spans="1:11" x14ac:dyDescent="0.25">
      <c r="A982" s="44"/>
      <c r="B982" s="44"/>
      <c r="C982" s="44"/>
      <c r="D982" s="44"/>
      <c r="E982" s="44"/>
      <c r="F982" s="44"/>
      <c r="G982" s="44"/>
      <c r="H982" s="44"/>
      <c r="I982" s="44"/>
      <c r="J982" s="8"/>
      <c r="K982" s="8"/>
    </row>
    <row r="983" spans="1:11" x14ac:dyDescent="0.25">
      <c r="A983" s="44"/>
      <c r="B983" s="44"/>
      <c r="C983" s="44"/>
      <c r="D983" s="44"/>
      <c r="E983" s="44"/>
      <c r="F983" s="44"/>
      <c r="G983" s="44"/>
      <c r="H983" s="44"/>
      <c r="I983" s="44"/>
      <c r="J983" s="8"/>
      <c r="K983" s="8"/>
    </row>
    <row r="984" spans="1:11" x14ac:dyDescent="0.25">
      <c r="A984" s="44"/>
      <c r="B984" s="44"/>
      <c r="C984" s="44"/>
      <c r="D984" s="44"/>
      <c r="E984" s="44"/>
      <c r="F984" s="44"/>
      <c r="G984" s="44"/>
      <c r="H984" s="44"/>
      <c r="I984" s="44"/>
      <c r="J984" s="8"/>
      <c r="K984" s="8"/>
    </row>
    <row r="985" spans="1:11" x14ac:dyDescent="0.25">
      <c r="A985" s="44"/>
      <c r="B985" s="44"/>
      <c r="C985" s="44"/>
      <c r="D985" s="44"/>
      <c r="E985" s="44"/>
      <c r="F985" s="44"/>
      <c r="G985" s="44"/>
      <c r="H985" s="44"/>
      <c r="I985" s="44"/>
      <c r="J985" s="8"/>
      <c r="K985" s="8"/>
    </row>
    <row r="986" spans="1:11" x14ac:dyDescent="0.25">
      <c r="A986" s="44"/>
      <c r="B986" s="44"/>
      <c r="C986" s="44"/>
      <c r="D986" s="44"/>
      <c r="E986" s="44"/>
      <c r="F986" s="44"/>
      <c r="G986" s="44"/>
      <c r="H986" s="44"/>
      <c r="I986" s="44"/>
      <c r="J986" s="8"/>
      <c r="K986" s="8"/>
    </row>
    <row r="987" spans="1:11" x14ac:dyDescent="0.25">
      <c r="A987" s="44"/>
      <c r="B987" s="44"/>
      <c r="C987" s="44"/>
      <c r="D987" s="44"/>
      <c r="E987" s="44"/>
      <c r="F987" s="44"/>
      <c r="G987" s="44"/>
      <c r="H987" s="44"/>
      <c r="I987" s="44"/>
      <c r="J987" s="8"/>
      <c r="K987" s="8"/>
    </row>
    <row r="988" spans="1:11" x14ac:dyDescent="0.25">
      <c r="A988" s="44"/>
      <c r="B988" s="44"/>
      <c r="C988" s="44"/>
      <c r="D988" s="44"/>
      <c r="E988" s="44"/>
      <c r="F988" s="44"/>
      <c r="G988" s="44"/>
      <c r="H988" s="44"/>
      <c r="I988" s="44"/>
      <c r="J988" s="8"/>
      <c r="K988" s="8"/>
    </row>
    <row r="989" spans="1:11" x14ac:dyDescent="0.25">
      <c r="A989" s="44"/>
      <c r="B989" s="44"/>
      <c r="C989" s="44"/>
      <c r="D989" s="44"/>
      <c r="E989" s="44"/>
      <c r="F989" s="44"/>
      <c r="G989" s="44"/>
      <c r="H989" s="44"/>
      <c r="I989" s="44"/>
      <c r="J989" s="8"/>
      <c r="K989" s="8"/>
    </row>
    <row r="990" spans="1:11" x14ac:dyDescent="0.25">
      <c r="A990" s="44"/>
      <c r="B990" s="44"/>
      <c r="C990" s="44"/>
      <c r="D990" s="44"/>
      <c r="E990" s="44"/>
      <c r="F990" s="44"/>
      <c r="G990" s="44"/>
      <c r="H990" s="44"/>
      <c r="I990" s="44"/>
      <c r="J990" s="8"/>
      <c r="K990" s="8"/>
    </row>
    <row r="991" spans="1:11" x14ac:dyDescent="0.25">
      <c r="A991" s="44"/>
      <c r="B991" s="44"/>
      <c r="C991" s="44"/>
      <c r="D991" s="44"/>
      <c r="E991" s="44"/>
      <c r="F991" s="44"/>
      <c r="G991" s="44"/>
      <c r="H991" s="44"/>
      <c r="I991" s="44"/>
      <c r="J991" s="8"/>
      <c r="K991" s="8"/>
    </row>
    <row r="992" spans="1:11" x14ac:dyDescent="0.25">
      <c r="A992" s="44"/>
      <c r="B992" s="44"/>
      <c r="C992" s="44"/>
      <c r="D992" s="44"/>
      <c r="E992" s="44"/>
      <c r="F992" s="44"/>
      <c r="G992" s="44"/>
      <c r="H992" s="44"/>
      <c r="I992" s="44"/>
      <c r="J992" s="8"/>
      <c r="K992" s="8"/>
    </row>
    <row r="993" spans="1:11" x14ac:dyDescent="0.25">
      <c r="A993" s="44"/>
      <c r="B993" s="44"/>
      <c r="C993" s="44"/>
      <c r="D993" s="44"/>
      <c r="E993" s="44"/>
      <c r="F993" s="44"/>
      <c r="G993" s="44"/>
      <c r="H993" s="44"/>
      <c r="I993" s="44"/>
      <c r="J993" s="8"/>
      <c r="K993" s="8"/>
    </row>
    <row r="994" spans="1:11" x14ac:dyDescent="0.25">
      <c r="A994" s="44"/>
      <c r="B994" s="44"/>
      <c r="C994" s="44"/>
      <c r="D994" s="44"/>
      <c r="E994" s="44"/>
      <c r="F994" s="44"/>
      <c r="G994" s="44"/>
      <c r="H994" s="44"/>
      <c r="I994" s="44"/>
      <c r="J994" s="8"/>
      <c r="K994" s="8"/>
    </row>
    <row r="995" spans="1:11" x14ac:dyDescent="0.25">
      <c r="A995" s="44"/>
      <c r="B995" s="44"/>
      <c r="C995" s="44"/>
      <c r="D995" s="44"/>
      <c r="E995" s="44"/>
      <c r="F995" s="44"/>
      <c r="G995" s="44"/>
      <c r="H995" s="44"/>
      <c r="I995" s="44"/>
      <c r="J995" s="8"/>
      <c r="K995" s="8"/>
    </row>
    <row r="996" spans="1:11" x14ac:dyDescent="0.25">
      <c r="A996" s="44"/>
      <c r="B996" s="44"/>
      <c r="C996" s="44"/>
      <c r="D996" s="44"/>
      <c r="E996" s="44"/>
      <c r="F996" s="44"/>
      <c r="G996" s="44"/>
      <c r="H996" s="44"/>
      <c r="I996" s="44"/>
      <c r="J996" s="8"/>
      <c r="K996" s="8"/>
    </row>
    <row r="997" spans="1:11" x14ac:dyDescent="0.25">
      <c r="A997" s="44"/>
      <c r="B997" s="44"/>
      <c r="C997" s="44"/>
      <c r="D997" s="44"/>
      <c r="E997" s="44"/>
      <c r="F997" s="44"/>
      <c r="G997" s="44"/>
      <c r="H997" s="44"/>
      <c r="I997" s="44"/>
      <c r="J997" s="8"/>
      <c r="K997" s="8"/>
    </row>
    <row r="998" spans="1:11" x14ac:dyDescent="0.25">
      <c r="A998" s="44"/>
      <c r="B998" s="44"/>
      <c r="C998" s="44"/>
      <c r="D998" s="44"/>
      <c r="E998" s="44"/>
      <c r="F998" s="44"/>
      <c r="G998" s="44"/>
      <c r="H998" s="44"/>
      <c r="I998" s="44"/>
      <c r="J998" s="8"/>
      <c r="K998" s="8"/>
    </row>
    <row r="999" spans="1:11" x14ac:dyDescent="0.25">
      <c r="A999" s="44"/>
      <c r="B999" s="44"/>
      <c r="C999" s="44"/>
      <c r="D999" s="44"/>
      <c r="E999" s="44"/>
      <c r="F999" s="44"/>
      <c r="G999" s="44"/>
      <c r="H999" s="44"/>
      <c r="I999" s="44"/>
      <c r="J999" s="8"/>
      <c r="K999" s="8"/>
    </row>
    <row r="1000" spans="1:11" x14ac:dyDescent="0.25">
      <c r="A1000" s="44"/>
      <c r="B1000" s="44"/>
      <c r="C1000" s="44"/>
      <c r="D1000" s="44"/>
      <c r="E1000" s="44"/>
      <c r="F1000" s="44"/>
      <c r="G1000" s="44"/>
      <c r="H1000" s="44"/>
      <c r="I1000" s="44"/>
      <c r="J1000" s="8"/>
      <c r="K1000" s="8"/>
    </row>
    <row r="1001" spans="1:11" x14ac:dyDescent="0.25">
      <c r="A1001" s="44"/>
      <c r="B1001" s="44"/>
      <c r="C1001" s="44"/>
      <c r="D1001" s="44"/>
      <c r="E1001" s="44"/>
      <c r="F1001" s="44"/>
      <c r="G1001" s="44"/>
      <c r="H1001" s="44"/>
      <c r="I1001" s="44"/>
      <c r="J1001" s="8"/>
      <c r="K1001" s="8"/>
    </row>
    <row r="1002" spans="1:11" x14ac:dyDescent="0.25">
      <c r="A1002" s="44"/>
      <c r="B1002" s="44"/>
      <c r="C1002" s="44"/>
      <c r="D1002" s="44"/>
      <c r="E1002" s="44"/>
      <c r="F1002" s="44"/>
      <c r="G1002" s="44"/>
      <c r="H1002" s="44"/>
      <c r="I1002" s="44"/>
      <c r="J1002" s="8"/>
      <c r="K1002" s="8"/>
    </row>
  </sheetData>
  <mergeCells count="1">
    <mergeCell ref="J159:K15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W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3" x14ac:dyDescent="0.25">
      <c r="A1" s="50" t="s">
        <v>0</v>
      </c>
      <c r="B1" s="50" t="s">
        <v>4354</v>
      </c>
      <c r="C1" s="50" t="s">
        <v>4355</v>
      </c>
      <c r="D1" s="50" t="s">
        <v>6</v>
      </c>
      <c r="E1" s="38" t="s">
        <v>4356</v>
      </c>
      <c r="F1" s="38" t="s">
        <v>4357</v>
      </c>
      <c r="G1" s="38" t="s">
        <v>4358</v>
      </c>
      <c r="H1" s="38" t="s">
        <v>4359</v>
      </c>
      <c r="I1" s="38" t="s">
        <v>4360</v>
      </c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</row>
    <row r="2" spans="1:23" x14ac:dyDescent="0.25">
      <c r="A2" s="44" t="s">
        <v>4245</v>
      </c>
      <c r="B2" s="44">
        <v>314655000</v>
      </c>
      <c r="C2" s="44">
        <v>453584999.99999994</v>
      </c>
      <c r="D2" s="44">
        <f t="shared" ref="D2:D186" si="0">((C2-B2)/B2)*100</f>
        <v>44.153120083901399</v>
      </c>
      <c r="E2" s="8">
        <v>1</v>
      </c>
      <c r="F2" s="8">
        <v>0</v>
      </c>
      <c r="G2" s="8">
        <v>0</v>
      </c>
      <c r="H2" s="8">
        <f t="shared" ref="H2:H186" si="1">(E2/(E2+F2+G2))*100</f>
        <v>100</v>
      </c>
      <c r="I2" s="8">
        <f t="shared" ref="I2:I186" si="2">(F2/(E2+F2+G2))*100</f>
        <v>0</v>
      </c>
      <c r="J2" s="69" t="s">
        <v>4443</v>
      </c>
      <c r="K2" s="67"/>
      <c r="L2" s="67"/>
    </row>
    <row r="3" spans="1:23" x14ac:dyDescent="0.25">
      <c r="A3" s="44" t="s">
        <v>4128</v>
      </c>
      <c r="B3" s="44">
        <v>22922075000</v>
      </c>
      <c r="C3" s="44">
        <v>30305000000</v>
      </c>
      <c r="D3" s="44">
        <f t="shared" si="0"/>
        <v>32.208798723501253</v>
      </c>
      <c r="E3" s="39">
        <v>1</v>
      </c>
      <c r="F3" s="39">
        <v>0</v>
      </c>
      <c r="G3" s="39">
        <v>0</v>
      </c>
      <c r="H3" s="8">
        <f t="shared" si="1"/>
        <v>100</v>
      </c>
      <c r="I3" s="8">
        <f t="shared" si="2"/>
        <v>0</v>
      </c>
      <c r="J3" s="8"/>
      <c r="K3" s="8"/>
    </row>
    <row r="4" spans="1:23" x14ac:dyDescent="0.25">
      <c r="A4" s="44" t="s">
        <v>4210</v>
      </c>
      <c r="B4" s="44">
        <v>22573446077.700001</v>
      </c>
      <c r="C4" s="44">
        <v>28066852450.200001</v>
      </c>
      <c r="D4" s="44">
        <f t="shared" si="0"/>
        <v>24.33570113128124</v>
      </c>
      <c r="E4" s="39">
        <v>1</v>
      </c>
      <c r="F4" s="39">
        <v>0</v>
      </c>
      <c r="G4" s="39">
        <v>0</v>
      </c>
      <c r="H4" s="8">
        <f t="shared" si="1"/>
        <v>100</v>
      </c>
      <c r="I4" s="8">
        <f t="shared" si="2"/>
        <v>0</v>
      </c>
      <c r="J4" s="8"/>
      <c r="K4" s="8"/>
    </row>
    <row r="5" spans="1:23" x14ac:dyDescent="0.25">
      <c r="A5" s="44" t="s">
        <v>4068</v>
      </c>
      <c r="B5" s="44">
        <v>27325909504.799999</v>
      </c>
      <c r="C5" s="44">
        <v>33845785090.399998</v>
      </c>
      <c r="D5" s="44">
        <f t="shared" si="0"/>
        <v>23.859683735155215</v>
      </c>
      <c r="E5" s="39">
        <v>2</v>
      </c>
      <c r="F5" s="39">
        <v>0</v>
      </c>
      <c r="G5" s="39">
        <v>0</v>
      </c>
      <c r="H5" s="8">
        <f t="shared" si="1"/>
        <v>100</v>
      </c>
      <c r="I5" s="8">
        <f t="shared" si="2"/>
        <v>0</v>
      </c>
      <c r="J5" s="8"/>
      <c r="K5" s="8"/>
    </row>
    <row r="6" spans="1:23" x14ac:dyDescent="0.25">
      <c r="A6" s="44" t="s">
        <v>4177</v>
      </c>
      <c r="B6" s="44">
        <v>43225932219.25</v>
      </c>
      <c r="C6" s="44">
        <v>52151878413.75</v>
      </c>
      <c r="D6" s="44">
        <f t="shared" si="0"/>
        <v>20.649516936328716</v>
      </c>
      <c r="E6" s="39">
        <v>1</v>
      </c>
      <c r="F6" s="39">
        <v>0</v>
      </c>
      <c r="G6" s="39">
        <v>0</v>
      </c>
      <c r="H6" s="8">
        <f t="shared" si="1"/>
        <v>100</v>
      </c>
      <c r="I6" s="8">
        <f t="shared" si="2"/>
        <v>0</v>
      </c>
      <c r="J6" s="8"/>
      <c r="K6" s="8"/>
    </row>
    <row r="7" spans="1:23" x14ac:dyDescent="0.25">
      <c r="A7" s="44" t="s">
        <v>4235</v>
      </c>
      <c r="B7" s="44">
        <v>376190500</v>
      </c>
      <c r="C7" s="44">
        <v>432801740</v>
      </c>
      <c r="D7" s="44">
        <f t="shared" si="0"/>
        <v>15.048556515914143</v>
      </c>
      <c r="E7" s="8">
        <v>2</v>
      </c>
      <c r="F7" s="8">
        <v>0</v>
      </c>
      <c r="G7" s="8">
        <v>0</v>
      </c>
      <c r="H7" s="8">
        <f t="shared" si="1"/>
        <v>100</v>
      </c>
      <c r="I7" s="8">
        <f t="shared" si="2"/>
        <v>0</v>
      </c>
      <c r="J7" s="69" t="s">
        <v>4444</v>
      </c>
      <c r="K7" s="67"/>
      <c r="L7" s="67"/>
      <c r="M7" s="67"/>
    </row>
    <row r="8" spans="1:23" x14ac:dyDescent="0.25">
      <c r="A8" s="44" t="s">
        <v>2321</v>
      </c>
      <c r="B8" s="44">
        <v>114253566567.94998</v>
      </c>
      <c r="C8" s="44">
        <v>130852407542.14999</v>
      </c>
      <c r="D8" s="44">
        <f t="shared" si="0"/>
        <v>14.528072490698301</v>
      </c>
      <c r="E8" s="39">
        <v>6</v>
      </c>
      <c r="F8" s="39">
        <v>0</v>
      </c>
      <c r="G8" s="39">
        <v>0</v>
      </c>
      <c r="H8" s="8">
        <f t="shared" si="1"/>
        <v>100</v>
      </c>
      <c r="I8" s="8">
        <f t="shared" si="2"/>
        <v>0</v>
      </c>
      <c r="J8" s="8"/>
      <c r="K8" s="8"/>
    </row>
    <row r="9" spans="1:23" x14ac:dyDescent="0.25">
      <c r="A9" s="44" t="s">
        <v>3663</v>
      </c>
      <c r="B9" s="44">
        <v>86064916661.799988</v>
      </c>
      <c r="C9" s="44">
        <v>97118286810.700012</v>
      </c>
      <c r="D9" s="44">
        <f t="shared" si="0"/>
        <v>12.843061467584127</v>
      </c>
      <c r="E9" s="39">
        <v>2</v>
      </c>
      <c r="F9" s="39">
        <v>0</v>
      </c>
      <c r="G9" s="39">
        <v>0</v>
      </c>
      <c r="H9" s="8">
        <f t="shared" si="1"/>
        <v>100</v>
      </c>
      <c r="I9" s="8">
        <f t="shared" si="2"/>
        <v>0</v>
      </c>
      <c r="J9" s="8"/>
      <c r="K9" s="8"/>
    </row>
    <row r="10" spans="1:23" x14ac:dyDescent="0.25">
      <c r="A10" s="44" t="s">
        <v>4194</v>
      </c>
      <c r="B10" s="44">
        <v>2404528376</v>
      </c>
      <c r="C10" s="44">
        <v>2686591380</v>
      </c>
      <c r="D10" s="44">
        <f t="shared" si="0"/>
        <v>11.730491801025018</v>
      </c>
      <c r="E10" s="39">
        <v>3</v>
      </c>
      <c r="F10" s="39">
        <v>0</v>
      </c>
      <c r="G10" s="39">
        <v>0</v>
      </c>
      <c r="H10" s="8">
        <f t="shared" si="1"/>
        <v>100</v>
      </c>
      <c r="I10" s="8">
        <f t="shared" si="2"/>
        <v>0</v>
      </c>
      <c r="J10" s="8"/>
      <c r="K10" s="8"/>
    </row>
    <row r="11" spans="1:23" x14ac:dyDescent="0.25">
      <c r="A11" s="44" t="s">
        <v>2749</v>
      </c>
      <c r="B11" s="44">
        <v>13062615479.1</v>
      </c>
      <c r="C11" s="44">
        <v>14588142059.24</v>
      </c>
      <c r="D11" s="44">
        <f t="shared" si="0"/>
        <v>11.678569139394943</v>
      </c>
      <c r="E11" s="39">
        <v>2</v>
      </c>
      <c r="F11" s="39">
        <v>0</v>
      </c>
      <c r="G11" s="39">
        <v>0</v>
      </c>
      <c r="H11" s="8">
        <f t="shared" si="1"/>
        <v>100</v>
      </c>
      <c r="I11" s="8">
        <f t="shared" si="2"/>
        <v>0</v>
      </c>
      <c r="J11" s="8"/>
      <c r="K11" s="8"/>
    </row>
    <row r="12" spans="1:23" x14ac:dyDescent="0.25">
      <c r="A12" s="44" t="s">
        <v>815</v>
      </c>
      <c r="B12" s="44">
        <v>28981318325.099998</v>
      </c>
      <c r="C12" s="44">
        <v>32312975818.599998</v>
      </c>
      <c r="D12" s="44">
        <f t="shared" si="0"/>
        <v>11.495879711636633</v>
      </c>
      <c r="E12" s="39">
        <v>4</v>
      </c>
      <c r="F12" s="39">
        <v>0</v>
      </c>
      <c r="G12" s="39">
        <v>0</v>
      </c>
      <c r="H12" s="8">
        <f t="shared" si="1"/>
        <v>100</v>
      </c>
      <c r="I12" s="8">
        <f t="shared" si="2"/>
        <v>0</v>
      </c>
      <c r="J12" s="8"/>
      <c r="K12" s="8"/>
    </row>
    <row r="13" spans="1:23" x14ac:dyDescent="0.25">
      <c r="A13" s="44" t="s">
        <v>2816</v>
      </c>
      <c r="B13" s="44">
        <v>281521305821</v>
      </c>
      <c r="C13" s="44">
        <v>310986430523</v>
      </c>
      <c r="D13" s="44">
        <f t="shared" si="0"/>
        <v>10.466392451566293</v>
      </c>
      <c r="E13" s="39">
        <v>2</v>
      </c>
      <c r="F13" s="39">
        <v>0</v>
      </c>
      <c r="G13" s="39">
        <v>0</v>
      </c>
      <c r="H13" s="8">
        <f t="shared" si="1"/>
        <v>100</v>
      </c>
      <c r="I13" s="8">
        <f t="shared" si="2"/>
        <v>0</v>
      </c>
      <c r="J13" s="8"/>
      <c r="K13" s="8"/>
    </row>
    <row r="14" spans="1:23" x14ac:dyDescent="0.25">
      <c r="A14" s="44" t="s">
        <v>3183</v>
      </c>
      <c r="B14" s="44">
        <v>3735280198635.2002</v>
      </c>
      <c r="C14" s="44">
        <v>4104450851006.6997</v>
      </c>
      <c r="D14" s="44">
        <f t="shared" si="0"/>
        <v>9.8833456324477993</v>
      </c>
      <c r="E14" s="39">
        <v>6</v>
      </c>
      <c r="F14" s="39">
        <v>0</v>
      </c>
      <c r="G14" s="39">
        <v>0</v>
      </c>
      <c r="H14" s="8">
        <f t="shared" si="1"/>
        <v>100</v>
      </c>
      <c r="I14" s="8">
        <f t="shared" si="2"/>
        <v>0</v>
      </c>
      <c r="J14" s="8"/>
      <c r="K14" s="8"/>
    </row>
    <row r="15" spans="1:23" x14ac:dyDescent="0.25">
      <c r="A15" s="44" t="s">
        <v>1333</v>
      </c>
      <c r="B15" s="44">
        <v>71193215506.759995</v>
      </c>
      <c r="C15" s="44">
        <v>77569825663.669998</v>
      </c>
      <c r="D15" s="44">
        <f t="shared" si="0"/>
        <v>8.9567666125496554</v>
      </c>
      <c r="E15" s="39">
        <v>4</v>
      </c>
      <c r="F15" s="39">
        <v>0</v>
      </c>
      <c r="G15" s="39">
        <v>0</v>
      </c>
      <c r="H15" s="8">
        <f t="shared" si="1"/>
        <v>100</v>
      </c>
      <c r="I15" s="8">
        <f t="shared" si="2"/>
        <v>0</v>
      </c>
      <c r="J15" s="8"/>
      <c r="K15" s="8"/>
    </row>
    <row r="16" spans="1:23" x14ac:dyDescent="0.25">
      <c r="A16" s="44" t="s">
        <v>3085</v>
      </c>
      <c r="B16" s="44">
        <v>7038174011830</v>
      </c>
      <c r="C16" s="44">
        <v>7565438234297.1494</v>
      </c>
      <c r="D16" s="44">
        <f t="shared" si="0"/>
        <v>7.4914917076631795</v>
      </c>
      <c r="E16" s="39">
        <v>6</v>
      </c>
      <c r="F16" s="39">
        <v>0</v>
      </c>
      <c r="G16" s="39">
        <v>0</v>
      </c>
      <c r="H16" s="8">
        <f t="shared" si="1"/>
        <v>100</v>
      </c>
      <c r="I16" s="8">
        <f t="shared" si="2"/>
        <v>0</v>
      </c>
      <c r="J16" s="8"/>
      <c r="K16" s="8"/>
    </row>
    <row r="17" spans="1:12" x14ac:dyDescent="0.25">
      <c r="A17" s="44" t="s">
        <v>41</v>
      </c>
      <c r="B17" s="44">
        <v>435051443455.40002</v>
      </c>
      <c r="C17" s="44">
        <v>466608535479.20001</v>
      </c>
      <c r="D17" s="44">
        <f t="shared" si="0"/>
        <v>7.2536460914041561</v>
      </c>
      <c r="E17" s="39">
        <v>3</v>
      </c>
      <c r="F17" s="39">
        <v>0</v>
      </c>
      <c r="G17" s="39">
        <v>0</v>
      </c>
      <c r="H17" s="8">
        <f t="shared" si="1"/>
        <v>100</v>
      </c>
      <c r="I17" s="8">
        <f t="shared" si="2"/>
        <v>0</v>
      </c>
      <c r="J17" s="8"/>
      <c r="K17" s="8"/>
    </row>
    <row r="18" spans="1:12" x14ac:dyDescent="0.25">
      <c r="A18" s="44" t="s">
        <v>4051</v>
      </c>
      <c r="B18" s="44">
        <v>26769993681.599998</v>
      </c>
      <c r="C18" s="44">
        <v>28497459085.84</v>
      </c>
      <c r="D18" s="44">
        <f t="shared" si="0"/>
        <v>6.4529914529914594</v>
      </c>
      <c r="E18" s="39">
        <v>1</v>
      </c>
      <c r="F18" s="39">
        <v>0</v>
      </c>
      <c r="G18" s="39">
        <v>0</v>
      </c>
      <c r="H18" s="8">
        <f t="shared" si="1"/>
        <v>100</v>
      </c>
      <c r="I18" s="8">
        <f t="shared" si="2"/>
        <v>0</v>
      </c>
      <c r="J18" s="8"/>
      <c r="K18" s="8"/>
      <c r="L18" s="8"/>
    </row>
    <row r="19" spans="1:12" x14ac:dyDescent="0.25">
      <c r="A19" s="44" t="s">
        <v>659</v>
      </c>
      <c r="B19" s="44">
        <v>87468574022.700012</v>
      </c>
      <c r="C19" s="44">
        <v>91336636209.950012</v>
      </c>
      <c r="D19" s="44">
        <f t="shared" si="0"/>
        <v>4.4222307616975129</v>
      </c>
      <c r="E19" s="39">
        <v>2</v>
      </c>
      <c r="F19" s="39">
        <v>0</v>
      </c>
      <c r="G19" s="39">
        <v>0</v>
      </c>
      <c r="H19" s="8">
        <f t="shared" si="1"/>
        <v>100</v>
      </c>
      <c r="I19" s="8">
        <f t="shared" si="2"/>
        <v>0</v>
      </c>
      <c r="J19" s="8"/>
      <c r="K19" s="8"/>
    </row>
    <row r="20" spans="1:12" x14ac:dyDescent="0.25">
      <c r="A20" s="44" t="s">
        <v>1616</v>
      </c>
      <c r="B20" s="44">
        <v>483563134676</v>
      </c>
      <c r="C20" s="44">
        <v>501762671198.5</v>
      </c>
      <c r="D20" s="44">
        <f t="shared" si="0"/>
        <v>3.7636319267171112</v>
      </c>
      <c r="E20" s="39">
        <v>4</v>
      </c>
      <c r="F20" s="39">
        <v>0</v>
      </c>
      <c r="G20" s="39">
        <v>0</v>
      </c>
      <c r="H20" s="8">
        <f t="shared" si="1"/>
        <v>100</v>
      </c>
      <c r="I20" s="8">
        <f t="shared" si="2"/>
        <v>0</v>
      </c>
      <c r="J20" s="8"/>
      <c r="K20" s="8"/>
    </row>
    <row r="21" spans="1:12" x14ac:dyDescent="0.25">
      <c r="A21" s="44" t="s">
        <v>758</v>
      </c>
      <c r="B21" s="44">
        <v>64997471437.600006</v>
      </c>
      <c r="C21" s="44">
        <v>66746112934.400002</v>
      </c>
      <c r="D21" s="44">
        <f t="shared" si="0"/>
        <v>2.6903223435064803</v>
      </c>
      <c r="E21" s="39">
        <v>2</v>
      </c>
      <c r="F21" s="39">
        <v>0</v>
      </c>
      <c r="G21" s="39">
        <v>0</v>
      </c>
      <c r="H21" s="8">
        <f t="shared" si="1"/>
        <v>100</v>
      </c>
      <c r="I21" s="8">
        <f t="shared" si="2"/>
        <v>0</v>
      </c>
      <c r="J21" s="8"/>
      <c r="K21" s="8"/>
    </row>
    <row r="22" spans="1:12" x14ac:dyDescent="0.25">
      <c r="A22" s="44" t="s">
        <v>3402</v>
      </c>
      <c r="B22" s="44">
        <v>5966238143518.5596</v>
      </c>
      <c r="C22" s="44">
        <v>6423913184526.4102</v>
      </c>
      <c r="D22" s="44">
        <f t="shared" si="0"/>
        <v>7.6710823470070038</v>
      </c>
      <c r="E22" s="39">
        <v>6</v>
      </c>
      <c r="F22" s="39">
        <v>1</v>
      </c>
      <c r="G22" s="39">
        <v>0</v>
      </c>
      <c r="H22" s="8">
        <f t="shared" si="1"/>
        <v>85.714285714285708</v>
      </c>
      <c r="I22" s="8">
        <f t="shared" si="2"/>
        <v>14.285714285714285</v>
      </c>
      <c r="J22" s="8"/>
      <c r="K22" s="8"/>
    </row>
    <row r="23" spans="1:12" x14ac:dyDescent="0.25">
      <c r="A23" s="44" t="s">
        <v>9</v>
      </c>
      <c r="B23" s="44">
        <v>3194395926336.8599</v>
      </c>
      <c r="C23" s="44">
        <v>3417318414055.4897</v>
      </c>
      <c r="D23" s="44">
        <f t="shared" si="0"/>
        <v>6.9785490859382584</v>
      </c>
      <c r="E23" s="39">
        <v>6</v>
      </c>
      <c r="F23" s="39">
        <v>1</v>
      </c>
      <c r="G23" s="39">
        <v>0</v>
      </c>
      <c r="H23" s="8">
        <f t="shared" si="1"/>
        <v>85.714285714285708</v>
      </c>
      <c r="I23" s="8">
        <f t="shared" si="2"/>
        <v>14.285714285714285</v>
      </c>
      <c r="J23" s="8"/>
      <c r="K23" s="8"/>
    </row>
    <row r="24" spans="1:12" x14ac:dyDescent="0.25">
      <c r="A24" s="44" t="s">
        <v>1970</v>
      </c>
      <c r="B24" s="44">
        <v>733217163622.8501</v>
      </c>
      <c r="C24" s="44">
        <v>771258379959.80005</v>
      </c>
      <c r="D24" s="44">
        <f t="shared" si="0"/>
        <v>5.1882604805630912</v>
      </c>
      <c r="E24" s="39">
        <v>6</v>
      </c>
      <c r="F24" s="39">
        <v>1</v>
      </c>
      <c r="G24" s="39">
        <v>0</v>
      </c>
      <c r="H24" s="8">
        <f t="shared" si="1"/>
        <v>85.714285714285708</v>
      </c>
      <c r="I24" s="8">
        <f t="shared" si="2"/>
        <v>14.285714285714285</v>
      </c>
      <c r="J24" s="8"/>
      <c r="K24" s="8"/>
    </row>
    <row r="25" spans="1:12" x14ac:dyDescent="0.25">
      <c r="A25" s="44" t="s">
        <v>985</v>
      </c>
      <c r="B25" s="44">
        <v>2016507745549.8999</v>
      </c>
      <c r="C25" s="44">
        <v>2212080712539.5601</v>
      </c>
      <c r="D25" s="44">
        <f t="shared" si="0"/>
        <v>9.698597360771732</v>
      </c>
      <c r="E25" s="39">
        <v>17</v>
      </c>
      <c r="F25" s="39">
        <v>3</v>
      </c>
      <c r="G25" s="39">
        <v>0</v>
      </c>
      <c r="H25" s="8">
        <f t="shared" si="1"/>
        <v>85</v>
      </c>
      <c r="I25" s="8">
        <f t="shared" si="2"/>
        <v>15</v>
      </c>
      <c r="J25" s="8"/>
      <c r="K25" s="8"/>
    </row>
    <row r="26" spans="1:12" x14ac:dyDescent="0.25">
      <c r="A26" s="44" t="s">
        <v>831</v>
      </c>
      <c r="B26" s="44">
        <v>153011276827.45001</v>
      </c>
      <c r="C26" s="44">
        <v>172878049400.04999</v>
      </c>
      <c r="D26" s="44">
        <f t="shared" si="0"/>
        <v>12.98386170256172</v>
      </c>
      <c r="E26" s="39">
        <v>5</v>
      </c>
      <c r="F26" s="39">
        <v>1</v>
      </c>
      <c r="G26" s="39">
        <v>0</v>
      </c>
      <c r="H26" s="8">
        <f t="shared" si="1"/>
        <v>83.333333333333343</v>
      </c>
      <c r="I26" s="8">
        <f t="shared" si="2"/>
        <v>16.666666666666664</v>
      </c>
      <c r="J26" s="8"/>
      <c r="K26" s="8"/>
    </row>
    <row r="27" spans="1:12" x14ac:dyDescent="0.25">
      <c r="A27" s="44" t="s">
        <v>350</v>
      </c>
      <c r="B27" s="44">
        <v>718771456110.94995</v>
      </c>
      <c r="C27" s="44">
        <v>770694094796.83997</v>
      </c>
      <c r="D27" s="44">
        <f t="shared" si="0"/>
        <v>7.2238036505828092</v>
      </c>
      <c r="E27" s="39">
        <v>5</v>
      </c>
      <c r="F27" s="39">
        <v>1</v>
      </c>
      <c r="G27" s="39">
        <v>0</v>
      </c>
      <c r="H27" s="8">
        <f t="shared" si="1"/>
        <v>83.333333333333343</v>
      </c>
      <c r="I27" s="8">
        <f t="shared" si="2"/>
        <v>16.666666666666664</v>
      </c>
      <c r="J27" s="8"/>
      <c r="K27" s="8"/>
    </row>
    <row r="28" spans="1:12" x14ac:dyDescent="0.25">
      <c r="A28" s="44" t="s">
        <v>3793</v>
      </c>
      <c r="B28" s="44">
        <v>920838132097</v>
      </c>
      <c r="C28" s="44">
        <v>1101111554980.02</v>
      </c>
      <c r="D28" s="44">
        <f t="shared" si="0"/>
        <v>19.577102272305794</v>
      </c>
      <c r="E28" s="39">
        <v>4</v>
      </c>
      <c r="F28" s="39">
        <v>1</v>
      </c>
      <c r="G28" s="39">
        <v>0</v>
      </c>
      <c r="H28" s="8">
        <f t="shared" si="1"/>
        <v>80</v>
      </c>
      <c r="I28" s="8">
        <f t="shared" si="2"/>
        <v>20</v>
      </c>
      <c r="J28" s="8"/>
      <c r="K28" s="8"/>
    </row>
    <row r="29" spans="1:12" x14ac:dyDescent="0.25">
      <c r="A29" s="44" t="s">
        <v>3772</v>
      </c>
      <c r="B29" s="44">
        <v>597523031624.40002</v>
      </c>
      <c r="C29" s="44">
        <v>694311337548.77002</v>
      </c>
      <c r="D29" s="44">
        <f t="shared" si="0"/>
        <v>16.198255264110159</v>
      </c>
      <c r="E29" s="39">
        <v>4</v>
      </c>
      <c r="F29" s="39">
        <v>1</v>
      </c>
      <c r="G29" s="39">
        <v>0</v>
      </c>
      <c r="H29" s="8">
        <f t="shared" si="1"/>
        <v>80</v>
      </c>
      <c r="I29" s="8">
        <f t="shared" si="2"/>
        <v>20</v>
      </c>
      <c r="J29" s="8"/>
      <c r="K29" s="8"/>
    </row>
    <row r="30" spans="1:12" x14ac:dyDescent="0.25">
      <c r="A30" s="44" t="s">
        <v>1563</v>
      </c>
      <c r="B30" s="44">
        <v>40706085441.700005</v>
      </c>
      <c r="C30" s="44">
        <v>44242915473.550003</v>
      </c>
      <c r="D30" s="44">
        <f t="shared" si="0"/>
        <v>8.6887009484503501</v>
      </c>
      <c r="E30" s="39">
        <v>4</v>
      </c>
      <c r="F30" s="39">
        <v>1</v>
      </c>
      <c r="G30" s="39">
        <v>0</v>
      </c>
      <c r="H30" s="8">
        <f t="shared" si="1"/>
        <v>80</v>
      </c>
      <c r="I30" s="8">
        <f t="shared" si="2"/>
        <v>20</v>
      </c>
      <c r="J30" s="8"/>
      <c r="K30" s="8"/>
    </row>
    <row r="31" spans="1:12" x14ac:dyDescent="0.25">
      <c r="A31" s="44" t="s">
        <v>3618</v>
      </c>
      <c r="B31" s="44">
        <v>123685474813.85001</v>
      </c>
      <c r="C31" s="44">
        <v>133002444494</v>
      </c>
      <c r="D31" s="44">
        <f t="shared" si="0"/>
        <v>7.5327921036583199</v>
      </c>
      <c r="E31" s="39">
        <v>4</v>
      </c>
      <c r="F31" s="39">
        <v>1</v>
      </c>
      <c r="G31" s="39">
        <v>0</v>
      </c>
      <c r="H31" s="8">
        <f t="shared" si="1"/>
        <v>80</v>
      </c>
      <c r="I31" s="8">
        <f t="shared" si="2"/>
        <v>20</v>
      </c>
      <c r="J31" s="8"/>
      <c r="K31" s="8"/>
    </row>
    <row r="32" spans="1:12" x14ac:dyDescent="0.25">
      <c r="A32" s="44" t="s">
        <v>2757</v>
      </c>
      <c r="B32" s="44">
        <v>544534430356.98993</v>
      </c>
      <c r="C32" s="44">
        <v>542616326922.70996</v>
      </c>
      <c r="D32" s="44">
        <f t="shared" si="0"/>
        <v>-0.35224649303120903</v>
      </c>
      <c r="E32" s="39">
        <v>4</v>
      </c>
      <c r="F32" s="39">
        <v>1</v>
      </c>
      <c r="G32" s="39">
        <v>0</v>
      </c>
      <c r="H32" s="8">
        <f t="shared" si="1"/>
        <v>80</v>
      </c>
      <c r="I32" s="8">
        <f t="shared" si="2"/>
        <v>20</v>
      </c>
      <c r="J32" s="8"/>
      <c r="K32" s="8"/>
    </row>
    <row r="33" spans="1:13" x14ac:dyDescent="0.25">
      <c r="A33" s="44" t="s">
        <v>108</v>
      </c>
      <c r="B33" s="39">
        <v>2278284207041.7998</v>
      </c>
      <c r="C33" s="39">
        <v>2419986634140.4004</v>
      </c>
      <c r="D33" s="44">
        <f t="shared" si="0"/>
        <v>6.2196993097095534</v>
      </c>
      <c r="E33" s="39">
        <v>11</v>
      </c>
      <c r="F33" s="39">
        <v>3</v>
      </c>
      <c r="G33" s="39">
        <v>0</v>
      </c>
      <c r="H33" s="8">
        <f t="shared" si="1"/>
        <v>78.571428571428569</v>
      </c>
      <c r="I33" s="8">
        <f t="shared" si="2"/>
        <v>21.428571428571427</v>
      </c>
      <c r="J33" s="8"/>
      <c r="K33" s="8"/>
    </row>
    <row r="34" spans="1:13" x14ac:dyDescent="0.25">
      <c r="A34" s="44" t="s">
        <v>1453</v>
      </c>
      <c r="B34" s="44">
        <v>373484918799.75</v>
      </c>
      <c r="C34" s="44">
        <v>432408977742.01001</v>
      </c>
      <c r="D34" s="44">
        <f t="shared" si="0"/>
        <v>15.776824170470213</v>
      </c>
      <c r="E34" s="39">
        <v>7</v>
      </c>
      <c r="F34" s="39">
        <v>2</v>
      </c>
      <c r="G34" s="39">
        <v>0</v>
      </c>
      <c r="H34" s="8">
        <f t="shared" si="1"/>
        <v>77.777777777777786</v>
      </c>
      <c r="I34" s="8">
        <f t="shared" si="2"/>
        <v>22.222222222222221</v>
      </c>
      <c r="J34" s="8"/>
      <c r="K34" s="8"/>
      <c r="L34" s="8"/>
      <c r="M34" s="8"/>
    </row>
    <row r="35" spans="1:13" x14ac:dyDescent="0.25">
      <c r="A35" s="44" t="s">
        <v>3976</v>
      </c>
      <c r="B35" s="44">
        <v>1122100628816.9001</v>
      </c>
      <c r="C35" s="20">
        <v>1232830581591.0398</v>
      </c>
      <c r="D35" s="44">
        <f t="shared" si="0"/>
        <v>9.8680947083051773</v>
      </c>
      <c r="E35" s="39">
        <v>14</v>
      </c>
      <c r="F35" s="39">
        <v>2</v>
      </c>
      <c r="G35" s="39">
        <v>2</v>
      </c>
      <c r="H35" s="8">
        <f t="shared" si="1"/>
        <v>77.777777777777786</v>
      </c>
      <c r="I35" s="8">
        <f t="shared" si="2"/>
        <v>11.111111111111111</v>
      </c>
      <c r="J35" s="8"/>
      <c r="K35" s="8"/>
    </row>
    <row r="36" spans="1:13" x14ac:dyDescent="0.25">
      <c r="A36" s="44" t="s">
        <v>1501</v>
      </c>
      <c r="B36" s="44">
        <v>681721108976.97998</v>
      </c>
      <c r="C36" s="44">
        <v>731047414734.8999</v>
      </c>
      <c r="D36" s="44">
        <f t="shared" si="0"/>
        <v>7.2355549957872221</v>
      </c>
      <c r="E36" s="39">
        <v>7</v>
      </c>
      <c r="F36" s="39">
        <v>2</v>
      </c>
      <c r="G36" s="39">
        <v>0</v>
      </c>
      <c r="H36" s="8">
        <f t="shared" si="1"/>
        <v>77.777777777777786</v>
      </c>
      <c r="I36" s="8">
        <f t="shared" si="2"/>
        <v>22.222222222222221</v>
      </c>
      <c r="J36" s="8"/>
      <c r="K36" s="8"/>
    </row>
    <row r="37" spans="1:13" x14ac:dyDescent="0.25">
      <c r="A37" s="44" t="s">
        <v>1606</v>
      </c>
      <c r="B37" s="44">
        <v>176270480184.69</v>
      </c>
      <c r="C37" s="44">
        <v>179297284636.47</v>
      </c>
      <c r="D37" s="44">
        <f t="shared" si="0"/>
        <v>1.7171363285608685</v>
      </c>
      <c r="E37" s="39">
        <v>7</v>
      </c>
      <c r="F37" s="39">
        <v>1</v>
      </c>
      <c r="G37" s="39">
        <v>1</v>
      </c>
      <c r="H37" s="8">
        <f t="shared" si="1"/>
        <v>77.777777777777786</v>
      </c>
      <c r="I37" s="8">
        <f t="shared" si="2"/>
        <v>11.111111111111111</v>
      </c>
      <c r="J37" s="8"/>
      <c r="K37" s="8"/>
    </row>
    <row r="38" spans="1:13" x14ac:dyDescent="0.25">
      <c r="A38" s="44" t="s">
        <v>935</v>
      </c>
      <c r="B38" s="44">
        <v>3136729632100</v>
      </c>
      <c r="C38" s="44">
        <v>3355825196427.3696</v>
      </c>
      <c r="D38" s="44">
        <f t="shared" si="0"/>
        <v>6.9848405831741376</v>
      </c>
      <c r="E38" s="39">
        <v>10</v>
      </c>
      <c r="F38" s="39">
        <v>3</v>
      </c>
      <c r="G38" s="39">
        <v>0</v>
      </c>
      <c r="H38" s="8">
        <f t="shared" si="1"/>
        <v>76.923076923076934</v>
      </c>
      <c r="I38" s="8">
        <f t="shared" si="2"/>
        <v>23.076923076923077</v>
      </c>
      <c r="J38" s="8"/>
      <c r="K38" s="8"/>
    </row>
    <row r="39" spans="1:13" x14ac:dyDescent="0.25">
      <c r="A39" s="44" t="s">
        <v>2671</v>
      </c>
      <c r="B39" s="44">
        <v>220972807207.53</v>
      </c>
      <c r="C39" s="44">
        <v>244061606502.26001</v>
      </c>
      <c r="D39" s="44">
        <f t="shared" si="0"/>
        <v>10.448706149189576</v>
      </c>
      <c r="E39" s="39">
        <v>9</v>
      </c>
      <c r="F39" s="39">
        <v>3</v>
      </c>
      <c r="G39" s="39">
        <v>0</v>
      </c>
      <c r="H39" s="8">
        <f t="shared" si="1"/>
        <v>75</v>
      </c>
      <c r="I39" s="8">
        <f t="shared" si="2"/>
        <v>25</v>
      </c>
      <c r="J39" s="8"/>
      <c r="K39" s="8"/>
    </row>
    <row r="40" spans="1:13" x14ac:dyDescent="0.25">
      <c r="A40" s="44" t="s">
        <v>1935</v>
      </c>
      <c r="B40" s="44">
        <v>399367490000.75</v>
      </c>
      <c r="C40" s="44">
        <v>435582203176.94995</v>
      </c>
      <c r="D40" s="44">
        <f t="shared" si="0"/>
        <v>9.0680173231256092</v>
      </c>
      <c r="E40" s="39">
        <v>6</v>
      </c>
      <c r="F40" s="39">
        <v>1</v>
      </c>
      <c r="G40" s="39">
        <v>1</v>
      </c>
      <c r="H40" s="8">
        <f t="shared" si="1"/>
        <v>75</v>
      </c>
      <c r="I40" s="8">
        <f t="shared" si="2"/>
        <v>12.5</v>
      </c>
      <c r="J40" s="8"/>
      <c r="K40" s="8"/>
    </row>
    <row r="41" spans="1:13" x14ac:dyDescent="0.25">
      <c r="A41" s="51" t="s">
        <v>2577</v>
      </c>
      <c r="B41" s="44">
        <v>546805298522.95001</v>
      </c>
      <c r="C41" s="44">
        <v>595708179995.1001</v>
      </c>
      <c r="D41" s="44">
        <f t="shared" si="0"/>
        <v>8.9433810543256076</v>
      </c>
      <c r="E41" s="39">
        <v>3</v>
      </c>
      <c r="F41" s="39">
        <v>1</v>
      </c>
      <c r="G41" s="39">
        <v>0</v>
      </c>
      <c r="H41" s="8">
        <f t="shared" si="1"/>
        <v>75</v>
      </c>
      <c r="I41" s="8">
        <f t="shared" si="2"/>
        <v>25</v>
      </c>
      <c r="J41" s="8"/>
      <c r="K41" s="8"/>
    </row>
    <row r="42" spans="1:13" x14ac:dyDescent="0.25">
      <c r="A42" s="44" t="s">
        <v>4016</v>
      </c>
      <c r="B42" s="44">
        <v>1494238543696.46</v>
      </c>
      <c r="C42" s="44">
        <v>1609582068043.2898</v>
      </c>
      <c r="D42" s="44">
        <f t="shared" si="0"/>
        <v>7.7192175796437459</v>
      </c>
      <c r="E42" s="39">
        <v>3</v>
      </c>
      <c r="F42" s="39">
        <v>1</v>
      </c>
      <c r="G42" s="39">
        <v>0</v>
      </c>
      <c r="H42" s="8">
        <f t="shared" si="1"/>
        <v>75</v>
      </c>
      <c r="I42" s="8">
        <f t="shared" si="2"/>
        <v>25</v>
      </c>
      <c r="J42" s="8"/>
      <c r="K42" s="8"/>
    </row>
    <row r="43" spans="1:13" x14ac:dyDescent="0.25">
      <c r="A43" s="44" t="s">
        <v>642</v>
      </c>
      <c r="B43" s="44">
        <v>1339553382015.2</v>
      </c>
      <c r="C43" s="44">
        <v>1413194476505.3999</v>
      </c>
      <c r="D43" s="44">
        <f t="shared" si="0"/>
        <v>5.4974363454941688</v>
      </c>
      <c r="E43" s="39">
        <v>3</v>
      </c>
      <c r="F43" s="39">
        <v>1</v>
      </c>
      <c r="G43" s="39">
        <v>0</v>
      </c>
      <c r="H43" s="8">
        <f t="shared" si="1"/>
        <v>75</v>
      </c>
      <c r="I43" s="8">
        <f t="shared" si="2"/>
        <v>25</v>
      </c>
      <c r="J43" s="8"/>
      <c r="K43" s="8"/>
    </row>
    <row r="44" spans="1:13" x14ac:dyDescent="0.25">
      <c r="A44" s="44" t="s">
        <v>3501</v>
      </c>
      <c r="B44" s="44">
        <v>22939528776.849998</v>
      </c>
      <c r="C44" s="44">
        <v>23504734125</v>
      </c>
      <c r="D44" s="44">
        <f t="shared" si="0"/>
        <v>2.4638925831832812</v>
      </c>
      <c r="E44" s="39">
        <v>3</v>
      </c>
      <c r="F44" s="39">
        <v>1</v>
      </c>
      <c r="G44" s="39">
        <v>0</v>
      </c>
      <c r="H44" s="8">
        <f t="shared" si="1"/>
        <v>75</v>
      </c>
      <c r="I44" s="8">
        <f t="shared" si="2"/>
        <v>25</v>
      </c>
      <c r="J44" s="8"/>
      <c r="K44" s="8"/>
    </row>
    <row r="45" spans="1:13" x14ac:dyDescent="0.25">
      <c r="A45" s="44" t="s">
        <v>807</v>
      </c>
      <c r="B45" s="44">
        <v>3659293588257.9902</v>
      </c>
      <c r="C45" s="44">
        <v>4075168406019.3394</v>
      </c>
      <c r="D45" s="44">
        <f t="shared" si="0"/>
        <v>11.364893461836898</v>
      </c>
      <c r="E45" s="39">
        <v>22</v>
      </c>
      <c r="F45" s="39">
        <v>8</v>
      </c>
      <c r="G45" s="39">
        <v>0</v>
      </c>
      <c r="H45" s="8">
        <f t="shared" si="1"/>
        <v>73.333333333333329</v>
      </c>
      <c r="I45" s="8">
        <f t="shared" si="2"/>
        <v>26.666666666666668</v>
      </c>
      <c r="J45" s="8"/>
      <c r="K45" s="8"/>
    </row>
    <row r="46" spans="1:13" x14ac:dyDescent="0.25">
      <c r="A46" s="44" t="s">
        <v>893</v>
      </c>
      <c r="B46" s="44">
        <v>1206475948821.25</v>
      </c>
      <c r="C46" s="44">
        <v>1308424425156.6299</v>
      </c>
      <c r="D46" s="44">
        <f t="shared" si="0"/>
        <v>8.4501043253274535</v>
      </c>
      <c r="E46" s="39">
        <v>11</v>
      </c>
      <c r="F46" s="39">
        <v>4</v>
      </c>
      <c r="G46" s="39">
        <v>0</v>
      </c>
      <c r="H46" s="8">
        <f t="shared" si="1"/>
        <v>73.333333333333329</v>
      </c>
      <c r="I46" s="8">
        <f t="shared" si="2"/>
        <v>26.666666666666668</v>
      </c>
      <c r="J46" s="8"/>
      <c r="K46" s="8"/>
    </row>
    <row r="47" spans="1:13" x14ac:dyDescent="0.25">
      <c r="A47" s="44" t="s">
        <v>1695</v>
      </c>
      <c r="B47" s="44">
        <v>127671240147.76001</v>
      </c>
      <c r="C47" s="44">
        <v>135625123587.39999</v>
      </c>
      <c r="D47" s="44">
        <f t="shared" si="0"/>
        <v>6.2299727255994188</v>
      </c>
      <c r="E47" s="39">
        <v>13</v>
      </c>
      <c r="F47" s="39">
        <v>5</v>
      </c>
      <c r="G47" s="39">
        <v>0</v>
      </c>
      <c r="H47" s="8">
        <f t="shared" si="1"/>
        <v>72.222222222222214</v>
      </c>
      <c r="I47" s="8">
        <f t="shared" si="2"/>
        <v>27.777777777777779</v>
      </c>
      <c r="J47" s="8"/>
      <c r="K47" s="8"/>
    </row>
    <row r="48" spans="1:13" x14ac:dyDescent="0.25">
      <c r="A48" s="44" t="s">
        <v>3369</v>
      </c>
      <c r="B48" s="44">
        <v>89903490698.360001</v>
      </c>
      <c r="C48" s="44">
        <v>104521618891.68999</v>
      </c>
      <c r="D48" s="44">
        <f t="shared" si="0"/>
        <v>16.25980045911237</v>
      </c>
      <c r="E48" s="39">
        <v>14</v>
      </c>
      <c r="F48" s="39">
        <v>6</v>
      </c>
      <c r="G48" s="39">
        <v>0</v>
      </c>
      <c r="H48" s="8">
        <f t="shared" si="1"/>
        <v>70</v>
      </c>
      <c r="I48" s="8">
        <f t="shared" si="2"/>
        <v>30</v>
      </c>
      <c r="J48" s="8"/>
      <c r="K48" s="8"/>
    </row>
    <row r="49" spans="1:11" x14ac:dyDescent="0.25">
      <c r="A49" s="44" t="s">
        <v>1478</v>
      </c>
      <c r="B49" s="44">
        <v>381877105139.60999</v>
      </c>
      <c r="C49" s="44">
        <v>428340666552.20007</v>
      </c>
      <c r="D49" s="44">
        <f t="shared" si="0"/>
        <v>12.167150318059401</v>
      </c>
      <c r="E49" s="39">
        <v>31</v>
      </c>
      <c r="F49" s="39">
        <v>14</v>
      </c>
      <c r="G49" s="39">
        <v>1</v>
      </c>
      <c r="H49" s="8">
        <f t="shared" si="1"/>
        <v>67.391304347826093</v>
      </c>
      <c r="I49" s="8">
        <f t="shared" si="2"/>
        <v>30.434782608695656</v>
      </c>
      <c r="J49" s="8"/>
      <c r="K49" s="8"/>
    </row>
    <row r="50" spans="1:11" x14ac:dyDescent="0.25">
      <c r="A50" s="44" t="s">
        <v>96</v>
      </c>
      <c r="B50" s="44">
        <v>21009706680.099998</v>
      </c>
      <c r="C50" s="44">
        <v>28258134014.099998</v>
      </c>
      <c r="D50" s="44">
        <f t="shared" si="0"/>
        <v>34.500373776591445</v>
      </c>
      <c r="E50" s="39">
        <v>2</v>
      </c>
      <c r="F50" s="39">
        <v>1</v>
      </c>
      <c r="G50" s="39">
        <v>0</v>
      </c>
      <c r="H50" s="8">
        <f t="shared" si="1"/>
        <v>66.666666666666657</v>
      </c>
      <c r="I50" s="8">
        <f t="shared" si="2"/>
        <v>33.333333333333329</v>
      </c>
      <c r="J50" s="8"/>
      <c r="K50" s="8"/>
    </row>
    <row r="51" spans="1:11" x14ac:dyDescent="0.25">
      <c r="A51" s="44" t="s">
        <v>3639</v>
      </c>
      <c r="B51" s="44">
        <v>2881438336.8000002</v>
      </c>
      <c r="C51" s="44">
        <v>3349021955.5300002</v>
      </c>
      <c r="D51" s="44">
        <f t="shared" si="0"/>
        <v>16.227437969374627</v>
      </c>
      <c r="E51" s="39">
        <v>2</v>
      </c>
      <c r="F51" s="39">
        <v>1</v>
      </c>
      <c r="G51" s="39">
        <v>0</v>
      </c>
      <c r="H51" s="8">
        <f t="shared" si="1"/>
        <v>66.666666666666657</v>
      </c>
      <c r="I51" s="8">
        <f t="shared" si="2"/>
        <v>33.333333333333329</v>
      </c>
      <c r="J51" s="8"/>
      <c r="K51" s="8"/>
    </row>
    <row r="52" spans="1:11" x14ac:dyDescent="0.25">
      <c r="A52" s="44" t="s">
        <v>850</v>
      </c>
      <c r="B52" s="44">
        <v>436331992815.5</v>
      </c>
      <c r="C52" s="44">
        <v>483180900634.59998</v>
      </c>
      <c r="D52" s="44">
        <f t="shared" si="0"/>
        <v>10.736986650188109</v>
      </c>
      <c r="E52" s="39">
        <v>4</v>
      </c>
      <c r="F52" s="39">
        <v>2</v>
      </c>
      <c r="G52" s="39">
        <v>0</v>
      </c>
      <c r="H52" s="8">
        <f t="shared" si="1"/>
        <v>66.666666666666657</v>
      </c>
      <c r="I52" s="8">
        <f t="shared" si="2"/>
        <v>33.333333333333329</v>
      </c>
      <c r="J52" s="8"/>
      <c r="K52" s="8"/>
    </row>
    <row r="53" spans="1:11" x14ac:dyDescent="0.25">
      <c r="A53" s="51" t="s">
        <v>2567</v>
      </c>
      <c r="B53" s="44">
        <v>153097326146.60001</v>
      </c>
      <c r="C53" s="44">
        <v>166517036088.34998</v>
      </c>
      <c r="D53" s="44">
        <f t="shared" si="0"/>
        <v>8.7654763669091</v>
      </c>
      <c r="E53" s="39">
        <v>2</v>
      </c>
      <c r="F53" s="39">
        <v>1</v>
      </c>
      <c r="G53" s="39">
        <v>0</v>
      </c>
      <c r="H53" s="8">
        <f t="shared" si="1"/>
        <v>66.666666666666657</v>
      </c>
      <c r="I53" s="8">
        <f t="shared" si="2"/>
        <v>33.333333333333329</v>
      </c>
      <c r="J53" s="8"/>
      <c r="K53" s="8"/>
    </row>
    <row r="54" spans="1:11" x14ac:dyDescent="0.25">
      <c r="A54" s="44" t="s">
        <v>56</v>
      </c>
      <c r="B54" s="44">
        <v>15124709887.340002</v>
      </c>
      <c r="C54" s="44">
        <v>16384851501.970001</v>
      </c>
      <c r="D54" s="44">
        <f t="shared" si="0"/>
        <v>8.3316746173411822</v>
      </c>
      <c r="E54" s="39">
        <v>8</v>
      </c>
      <c r="F54" s="39">
        <v>4</v>
      </c>
      <c r="G54" s="39">
        <v>0</v>
      </c>
      <c r="H54" s="8">
        <f t="shared" si="1"/>
        <v>66.666666666666657</v>
      </c>
      <c r="I54" s="8">
        <f t="shared" si="2"/>
        <v>33.333333333333329</v>
      </c>
      <c r="J54" s="8"/>
      <c r="K54" s="8"/>
    </row>
    <row r="55" spans="1:11" x14ac:dyDescent="0.25">
      <c r="A55" s="44" t="s">
        <v>3118</v>
      </c>
      <c r="B55" s="44">
        <v>10261376812050.5</v>
      </c>
      <c r="C55" s="44">
        <v>10968575946865.602</v>
      </c>
      <c r="D55" s="44">
        <f t="shared" si="0"/>
        <v>6.8918542586273475</v>
      </c>
      <c r="E55" s="39">
        <v>2</v>
      </c>
      <c r="F55" s="39">
        <v>1</v>
      </c>
      <c r="G55" s="39">
        <v>0</v>
      </c>
      <c r="H55" s="8">
        <f t="shared" si="1"/>
        <v>66.666666666666657</v>
      </c>
      <c r="I55" s="8">
        <f t="shared" si="2"/>
        <v>33.333333333333329</v>
      </c>
      <c r="J55" s="8"/>
      <c r="K55" s="8"/>
    </row>
    <row r="56" spans="1:11" x14ac:dyDescent="0.25">
      <c r="A56" s="44" t="s">
        <v>52</v>
      </c>
      <c r="B56" s="44">
        <v>695400951790.44995</v>
      </c>
      <c r="C56" s="44">
        <v>722236898826.52991</v>
      </c>
      <c r="D56" s="44">
        <f t="shared" si="0"/>
        <v>3.8590610160922849</v>
      </c>
      <c r="E56" s="39">
        <v>2</v>
      </c>
      <c r="F56" s="39">
        <v>1</v>
      </c>
      <c r="G56" s="39">
        <v>0</v>
      </c>
      <c r="H56" s="8">
        <f t="shared" si="1"/>
        <v>66.666666666666657</v>
      </c>
      <c r="I56" s="8">
        <f t="shared" si="2"/>
        <v>33.333333333333329</v>
      </c>
      <c r="J56" s="8"/>
      <c r="K56" s="8"/>
    </row>
    <row r="57" spans="1:11" x14ac:dyDescent="0.25">
      <c r="A57" s="44" t="s">
        <v>342</v>
      </c>
      <c r="B57" s="44">
        <v>1194922273308.7</v>
      </c>
      <c r="C57" s="44">
        <v>1205944903650.2002</v>
      </c>
      <c r="D57" s="44">
        <f t="shared" si="0"/>
        <v>0.9224558440089119</v>
      </c>
      <c r="E57" s="39">
        <v>2</v>
      </c>
      <c r="F57" s="39">
        <v>1</v>
      </c>
      <c r="G57" s="39">
        <v>0</v>
      </c>
      <c r="H57" s="8">
        <f t="shared" si="1"/>
        <v>66.666666666666657</v>
      </c>
      <c r="I57" s="8">
        <f t="shared" si="2"/>
        <v>33.333333333333329</v>
      </c>
      <c r="J57" s="8"/>
      <c r="K57" s="8"/>
    </row>
    <row r="58" spans="1:11" x14ac:dyDescent="0.25">
      <c r="A58" s="44" t="s">
        <v>1672</v>
      </c>
      <c r="B58" s="44">
        <v>346272140026.80005</v>
      </c>
      <c r="C58" s="44">
        <v>346946808892.73004</v>
      </c>
      <c r="D58" s="44">
        <f t="shared" si="0"/>
        <v>0.19483775560972824</v>
      </c>
      <c r="E58" s="39">
        <v>2</v>
      </c>
      <c r="F58" s="39">
        <v>1</v>
      </c>
      <c r="G58" s="39">
        <v>0</v>
      </c>
      <c r="H58" s="8">
        <f t="shared" si="1"/>
        <v>66.666666666666657</v>
      </c>
      <c r="I58" s="8">
        <f t="shared" si="2"/>
        <v>33.333333333333329</v>
      </c>
      <c r="J58" s="8"/>
      <c r="K58" s="8"/>
    </row>
    <row r="59" spans="1:11" x14ac:dyDescent="0.25">
      <c r="A59" s="44" t="s">
        <v>680</v>
      </c>
      <c r="B59" s="44">
        <v>25670583043311.445</v>
      </c>
      <c r="C59" s="44">
        <v>25917610212033.316</v>
      </c>
      <c r="D59" s="44">
        <f t="shared" si="0"/>
        <v>0.96229668140021007</v>
      </c>
      <c r="E59" s="39">
        <v>13</v>
      </c>
      <c r="F59" s="39">
        <v>7</v>
      </c>
      <c r="G59" s="39">
        <v>0</v>
      </c>
      <c r="H59" s="8">
        <f t="shared" si="1"/>
        <v>65</v>
      </c>
      <c r="I59" s="8">
        <f t="shared" si="2"/>
        <v>35</v>
      </c>
      <c r="J59" s="8"/>
      <c r="K59" s="8"/>
    </row>
    <row r="60" spans="1:11" x14ac:dyDescent="0.25">
      <c r="A60" s="44" t="s">
        <v>1685</v>
      </c>
      <c r="B60" s="44">
        <v>241143009479.49994</v>
      </c>
      <c r="C60" s="44">
        <v>253212939350.86996</v>
      </c>
      <c r="D60" s="44">
        <f t="shared" si="0"/>
        <v>5.0052995097899009</v>
      </c>
      <c r="E60" s="39">
        <v>35</v>
      </c>
      <c r="F60" s="39">
        <v>16</v>
      </c>
      <c r="G60" s="39">
        <v>3</v>
      </c>
      <c r="H60" s="8">
        <f t="shared" si="1"/>
        <v>64.81481481481481</v>
      </c>
      <c r="I60" s="8">
        <f t="shared" si="2"/>
        <v>29.629629629629626</v>
      </c>
      <c r="J60" s="8"/>
      <c r="K60" s="8"/>
    </row>
    <row r="61" spans="1:11" x14ac:dyDescent="0.25">
      <c r="A61" s="44" t="s">
        <v>788</v>
      </c>
      <c r="B61" s="44">
        <v>18819181073647.59</v>
      </c>
      <c r="C61" s="44">
        <v>19197354103307.469</v>
      </c>
      <c r="D61" s="44">
        <f t="shared" si="0"/>
        <v>2.0095084274917405</v>
      </c>
      <c r="E61" s="39">
        <v>7</v>
      </c>
      <c r="F61" s="39">
        <v>4</v>
      </c>
      <c r="G61" s="39">
        <v>0</v>
      </c>
      <c r="H61" s="8">
        <f t="shared" si="1"/>
        <v>63.636363636363633</v>
      </c>
      <c r="I61" s="8">
        <f t="shared" si="2"/>
        <v>36.363636363636367</v>
      </c>
      <c r="J61" s="69" t="s">
        <v>4445</v>
      </c>
      <c r="K61" s="67"/>
    </row>
    <row r="62" spans="1:11" x14ac:dyDescent="0.25">
      <c r="A62" s="44" t="s">
        <v>3906</v>
      </c>
      <c r="B62" s="44">
        <v>281644143079.63995</v>
      </c>
      <c r="C62" s="44">
        <v>284799420748.93005</v>
      </c>
      <c r="D62" s="44">
        <f t="shared" si="0"/>
        <v>1.12030650976395</v>
      </c>
      <c r="E62" s="39">
        <v>28</v>
      </c>
      <c r="F62" s="39">
        <v>14</v>
      </c>
      <c r="G62" s="39">
        <v>2</v>
      </c>
      <c r="H62" s="8">
        <f t="shared" si="1"/>
        <v>63.636363636363633</v>
      </c>
      <c r="I62" s="8">
        <f t="shared" si="2"/>
        <v>31.818181818181817</v>
      </c>
      <c r="J62" s="69" t="s">
        <v>4446</v>
      </c>
      <c r="K62" s="67"/>
    </row>
    <row r="63" spans="1:11" x14ac:dyDescent="0.25">
      <c r="A63" s="44" t="s">
        <v>3475</v>
      </c>
      <c r="B63" s="44">
        <v>6495435141297.999</v>
      </c>
      <c r="C63" s="44">
        <v>6587970042019.3701</v>
      </c>
      <c r="D63" s="44">
        <f t="shared" si="0"/>
        <v>1.4246143438956673</v>
      </c>
      <c r="E63" s="39">
        <v>22</v>
      </c>
      <c r="F63" s="39">
        <v>12</v>
      </c>
      <c r="G63" s="39">
        <v>1</v>
      </c>
      <c r="H63" s="8">
        <f t="shared" si="1"/>
        <v>62.857142857142854</v>
      </c>
      <c r="I63" s="8">
        <f t="shared" si="2"/>
        <v>34.285714285714285</v>
      </c>
      <c r="J63" s="8"/>
      <c r="K63" s="8"/>
    </row>
    <row r="64" spans="1:11" x14ac:dyDescent="0.25">
      <c r="A64" s="44" t="s">
        <v>1064</v>
      </c>
      <c r="B64" s="44">
        <v>1071942913805.03</v>
      </c>
      <c r="C64" s="44">
        <v>1163168454685.0701</v>
      </c>
      <c r="D64" s="44">
        <f t="shared" si="0"/>
        <v>8.5102984221632312</v>
      </c>
      <c r="E64" s="39">
        <v>32</v>
      </c>
      <c r="F64" s="39">
        <v>18</v>
      </c>
      <c r="G64" s="39">
        <v>1</v>
      </c>
      <c r="H64" s="8">
        <f t="shared" si="1"/>
        <v>62.745098039215684</v>
      </c>
      <c r="I64" s="8">
        <f t="shared" si="2"/>
        <v>35.294117647058826</v>
      </c>
      <c r="J64" s="8"/>
      <c r="K64" s="8"/>
    </row>
    <row r="65" spans="1:11" x14ac:dyDescent="0.25">
      <c r="A65" s="44" t="s">
        <v>2753</v>
      </c>
      <c r="B65" s="44">
        <v>1092559289999.9299</v>
      </c>
      <c r="C65" s="44">
        <v>1177806927425.5198</v>
      </c>
      <c r="D65" s="44">
        <f t="shared" si="0"/>
        <v>7.8025639620523766</v>
      </c>
      <c r="E65" s="39">
        <v>37</v>
      </c>
      <c r="F65" s="39">
        <v>22</v>
      </c>
      <c r="G65" s="39">
        <v>0</v>
      </c>
      <c r="H65" s="8">
        <f t="shared" si="1"/>
        <v>62.711864406779661</v>
      </c>
      <c r="I65" s="8">
        <f t="shared" si="2"/>
        <v>37.288135593220339</v>
      </c>
      <c r="J65" s="69" t="s">
        <v>4447</v>
      </c>
      <c r="K65" s="67"/>
    </row>
    <row r="66" spans="1:11" x14ac:dyDescent="0.25">
      <c r="A66" s="44" t="s">
        <v>1968</v>
      </c>
      <c r="B66" s="44">
        <v>26898573893558.68</v>
      </c>
      <c r="C66" s="44">
        <v>28100708342254.977</v>
      </c>
      <c r="D66" s="44">
        <f t="shared" si="0"/>
        <v>4.4691382281205936</v>
      </c>
      <c r="E66" s="39">
        <v>44</v>
      </c>
      <c r="F66" s="39">
        <v>24</v>
      </c>
      <c r="G66" s="39">
        <v>4</v>
      </c>
      <c r="H66" s="8">
        <f t="shared" si="1"/>
        <v>61.111111111111114</v>
      </c>
      <c r="I66" s="8">
        <f t="shared" si="2"/>
        <v>33.333333333333329</v>
      </c>
      <c r="J66" s="8"/>
      <c r="K66" s="8"/>
    </row>
    <row r="67" spans="1:11" x14ac:dyDescent="0.25">
      <c r="A67" s="44" t="s">
        <v>2265</v>
      </c>
      <c r="B67" s="44">
        <v>18049104670.889999</v>
      </c>
      <c r="C67" s="44">
        <v>23480091894.260002</v>
      </c>
      <c r="D67" s="44">
        <f t="shared" si="0"/>
        <v>30.090064423689782</v>
      </c>
      <c r="E67" s="39">
        <v>3</v>
      </c>
      <c r="F67" s="39">
        <v>2</v>
      </c>
      <c r="G67" s="39">
        <v>0</v>
      </c>
      <c r="H67" s="8">
        <f t="shared" si="1"/>
        <v>60</v>
      </c>
      <c r="I67" s="8">
        <f t="shared" si="2"/>
        <v>40</v>
      </c>
      <c r="J67" s="8"/>
      <c r="K67" s="8"/>
    </row>
    <row r="68" spans="1:11" x14ac:dyDescent="0.25">
      <c r="A68" s="44" t="s">
        <v>3454</v>
      </c>
      <c r="B68" s="44">
        <v>24859030816.57</v>
      </c>
      <c r="C68" s="44">
        <v>29243444257.57</v>
      </c>
      <c r="D68" s="44">
        <f t="shared" si="0"/>
        <v>17.63710529727302</v>
      </c>
      <c r="E68" s="39">
        <v>3</v>
      </c>
      <c r="F68" s="39">
        <v>2</v>
      </c>
      <c r="G68" s="39">
        <v>0</v>
      </c>
      <c r="H68" s="8">
        <f t="shared" si="1"/>
        <v>60</v>
      </c>
      <c r="I68" s="8">
        <f t="shared" si="2"/>
        <v>40</v>
      </c>
      <c r="J68" s="8"/>
      <c r="K68" s="8"/>
    </row>
    <row r="69" spans="1:11" x14ac:dyDescent="0.25">
      <c r="A69" s="44" t="s">
        <v>959</v>
      </c>
      <c r="B69" s="44">
        <v>186156396626.30002</v>
      </c>
      <c r="C69" s="44">
        <v>209302198069.17999</v>
      </c>
      <c r="D69" s="44">
        <f t="shared" si="0"/>
        <v>12.433524639684585</v>
      </c>
      <c r="E69" s="39">
        <v>6</v>
      </c>
      <c r="F69" s="39">
        <v>3</v>
      </c>
      <c r="G69" s="39">
        <v>1</v>
      </c>
      <c r="H69" s="8">
        <f t="shared" si="1"/>
        <v>60</v>
      </c>
      <c r="I69" s="8">
        <f t="shared" si="2"/>
        <v>30</v>
      </c>
      <c r="J69" s="8"/>
      <c r="K69" s="8"/>
    </row>
    <row r="70" spans="1:11" x14ac:dyDescent="0.25">
      <c r="A70" s="44" t="s">
        <v>3974</v>
      </c>
      <c r="B70" s="44">
        <v>215930915165.89001</v>
      </c>
      <c r="C70" s="44">
        <v>235916800048.75</v>
      </c>
      <c r="D70" s="44">
        <f t="shared" si="0"/>
        <v>9.2556847950677792</v>
      </c>
      <c r="E70" s="39">
        <v>6</v>
      </c>
      <c r="F70" s="39">
        <v>4</v>
      </c>
      <c r="G70" s="39">
        <v>0</v>
      </c>
      <c r="H70" s="8">
        <f t="shared" si="1"/>
        <v>60</v>
      </c>
      <c r="I70" s="8">
        <f t="shared" si="2"/>
        <v>40</v>
      </c>
      <c r="J70" s="8"/>
      <c r="K70" s="8"/>
    </row>
    <row r="71" spans="1:11" x14ac:dyDescent="0.25">
      <c r="A71" s="44" t="s">
        <v>3707</v>
      </c>
      <c r="B71" s="44">
        <v>181135803980.5</v>
      </c>
      <c r="C71" s="44">
        <v>191238645497.29999</v>
      </c>
      <c r="D71" s="44">
        <f t="shared" si="0"/>
        <v>5.5774956109105851</v>
      </c>
      <c r="E71" s="39">
        <v>6</v>
      </c>
      <c r="F71" s="39">
        <v>4</v>
      </c>
      <c r="G71" s="39">
        <v>0</v>
      </c>
      <c r="H71" s="8">
        <f t="shared" si="1"/>
        <v>60</v>
      </c>
      <c r="I71" s="8">
        <f t="shared" si="2"/>
        <v>40</v>
      </c>
      <c r="J71" s="8"/>
      <c r="K71" s="8"/>
    </row>
    <row r="72" spans="1:11" x14ac:dyDescent="0.25">
      <c r="A72" s="44" t="s">
        <v>1046</v>
      </c>
      <c r="B72" s="44">
        <v>775926885033.6499</v>
      </c>
      <c r="C72" s="44">
        <v>813592323277.86011</v>
      </c>
      <c r="D72" s="44">
        <f t="shared" si="0"/>
        <v>4.8542509572376469</v>
      </c>
      <c r="E72" s="39">
        <v>13</v>
      </c>
      <c r="F72" s="39">
        <v>9</v>
      </c>
      <c r="G72" s="39">
        <v>0</v>
      </c>
      <c r="H72" s="8">
        <f t="shared" si="1"/>
        <v>59.090909090909093</v>
      </c>
      <c r="I72" s="8">
        <f t="shared" si="2"/>
        <v>40.909090909090914</v>
      </c>
      <c r="J72" s="8"/>
      <c r="K72" s="8"/>
    </row>
    <row r="73" spans="1:11" x14ac:dyDescent="0.25">
      <c r="A73" s="44" t="s">
        <v>3312</v>
      </c>
      <c r="B73" s="44">
        <v>163058084329.19</v>
      </c>
      <c r="C73" s="44">
        <v>170992343448.06</v>
      </c>
      <c r="D73" s="44">
        <f t="shared" si="0"/>
        <v>4.8659096858098172</v>
      </c>
      <c r="E73" s="39">
        <v>7</v>
      </c>
      <c r="F73" s="39">
        <v>4</v>
      </c>
      <c r="G73" s="39">
        <v>1</v>
      </c>
      <c r="H73" s="8">
        <f t="shared" si="1"/>
        <v>58.333333333333336</v>
      </c>
      <c r="I73" s="8">
        <f t="shared" si="2"/>
        <v>33.333333333333329</v>
      </c>
      <c r="J73" s="8"/>
      <c r="K73" s="8"/>
    </row>
    <row r="74" spans="1:11" x14ac:dyDescent="0.25">
      <c r="A74" s="44" t="s">
        <v>376</v>
      </c>
      <c r="B74" s="44">
        <v>4337123451286.5308</v>
      </c>
      <c r="C74" s="44">
        <v>4532107620054.0107</v>
      </c>
      <c r="D74" s="44">
        <f t="shared" si="0"/>
        <v>4.4957025308938663</v>
      </c>
      <c r="E74" s="39">
        <v>63</v>
      </c>
      <c r="F74" s="39">
        <v>44</v>
      </c>
      <c r="G74" s="39">
        <v>1</v>
      </c>
      <c r="H74" s="8">
        <f t="shared" si="1"/>
        <v>58.333333333333336</v>
      </c>
      <c r="I74" s="8">
        <f t="shared" si="2"/>
        <v>40.74074074074074</v>
      </c>
      <c r="J74" s="8"/>
      <c r="K74" s="8"/>
    </row>
    <row r="75" spans="1:11" x14ac:dyDescent="0.25">
      <c r="A75" s="44" t="s">
        <v>3744</v>
      </c>
      <c r="B75" s="44">
        <v>1076611819492.8301</v>
      </c>
      <c r="C75" s="44">
        <v>1193243673581.7703</v>
      </c>
      <c r="D75" s="44">
        <f t="shared" si="0"/>
        <v>10.83323180901758</v>
      </c>
      <c r="E75" s="39">
        <v>32</v>
      </c>
      <c r="F75" s="39">
        <v>20</v>
      </c>
      <c r="G75" s="39">
        <v>3</v>
      </c>
      <c r="H75" s="8">
        <f t="shared" si="1"/>
        <v>58.18181818181818</v>
      </c>
      <c r="I75" s="8">
        <f t="shared" si="2"/>
        <v>36.363636363636367</v>
      </c>
      <c r="J75" s="69" t="s">
        <v>4448</v>
      </c>
      <c r="K75" s="67"/>
    </row>
    <row r="76" spans="1:11" x14ac:dyDescent="0.25">
      <c r="A76" s="44" t="s">
        <v>1376</v>
      </c>
      <c r="B76" s="44">
        <v>5783334541718.7793</v>
      </c>
      <c r="C76" s="44">
        <v>5549287524024.0088</v>
      </c>
      <c r="D76" s="44">
        <f t="shared" si="0"/>
        <v>-4.0469216505883274</v>
      </c>
      <c r="E76" s="39">
        <v>11</v>
      </c>
      <c r="F76" s="39">
        <v>6</v>
      </c>
      <c r="G76" s="39">
        <v>2</v>
      </c>
      <c r="H76" s="8">
        <f t="shared" si="1"/>
        <v>57.894736842105267</v>
      </c>
      <c r="I76" s="8">
        <f t="shared" si="2"/>
        <v>31.578947368421051</v>
      </c>
      <c r="J76" s="8"/>
      <c r="K76" s="8"/>
    </row>
    <row r="77" spans="1:11" x14ac:dyDescent="0.25">
      <c r="A77" s="44" t="s">
        <v>2444</v>
      </c>
      <c r="B77" s="44">
        <v>1107569501912.3499</v>
      </c>
      <c r="C77" s="44">
        <v>1215425518282.6199</v>
      </c>
      <c r="D77" s="44">
        <f t="shared" si="0"/>
        <v>9.7380811031762651</v>
      </c>
      <c r="E77" s="39">
        <v>8</v>
      </c>
      <c r="F77" s="39">
        <v>6</v>
      </c>
      <c r="G77" s="39">
        <v>0</v>
      </c>
      <c r="H77" s="8">
        <f t="shared" si="1"/>
        <v>57.142857142857139</v>
      </c>
      <c r="I77" s="8">
        <f t="shared" si="2"/>
        <v>42.857142857142854</v>
      </c>
      <c r="J77" s="8"/>
      <c r="K77" s="8"/>
    </row>
    <row r="78" spans="1:11" x14ac:dyDescent="0.25">
      <c r="A78" s="44" t="s">
        <v>4111</v>
      </c>
      <c r="B78" s="44">
        <v>38410163866.739998</v>
      </c>
      <c r="C78" s="44">
        <v>42071167695.529999</v>
      </c>
      <c r="D78" s="44">
        <f t="shared" si="0"/>
        <v>9.5313413436388004</v>
      </c>
      <c r="E78" s="39">
        <v>4</v>
      </c>
      <c r="F78" s="39">
        <v>2</v>
      </c>
      <c r="G78" s="39">
        <v>1</v>
      </c>
      <c r="H78" s="8">
        <f t="shared" si="1"/>
        <v>57.142857142857139</v>
      </c>
      <c r="I78" s="8">
        <f t="shared" si="2"/>
        <v>28.571428571428569</v>
      </c>
      <c r="J78" s="8"/>
      <c r="K78" s="8"/>
    </row>
    <row r="79" spans="1:11" x14ac:dyDescent="0.25">
      <c r="A79" s="44" t="s">
        <v>3652</v>
      </c>
      <c r="B79" s="44">
        <v>100049763472.09001</v>
      </c>
      <c r="C79" s="44">
        <v>106900163629.28001</v>
      </c>
      <c r="D79" s="44">
        <f t="shared" si="0"/>
        <v>6.8469928558111963</v>
      </c>
      <c r="E79" s="39">
        <v>4</v>
      </c>
      <c r="F79" s="39">
        <v>3</v>
      </c>
      <c r="G79" s="39">
        <v>0</v>
      </c>
      <c r="H79" s="8">
        <f t="shared" si="1"/>
        <v>57.142857142857139</v>
      </c>
      <c r="I79" s="8">
        <f t="shared" si="2"/>
        <v>42.857142857142854</v>
      </c>
      <c r="J79" s="8"/>
      <c r="K79" s="8"/>
    </row>
    <row r="80" spans="1:11" x14ac:dyDescent="0.25">
      <c r="A80" s="44" t="s">
        <v>67</v>
      </c>
      <c r="B80" s="44">
        <v>765132134618.30005</v>
      </c>
      <c r="C80" s="44">
        <v>791035303398.40015</v>
      </c>
      <c r="D80" s="44">
        <f t="shared" si="0"/>
        <v>3.3854503827658942</v>
      </c>
      <c r="E80" s="39">
        <v>4</v>
      </c>
      <c r="F80" s="39">
        <v>3</v>
      </c>
      <c r="G80" s="39">
        <v>0</v>
      </c>
      <c r="H80" s="8">
        <f t="shared" si="1"/>
        <v>57.142857142857139</v>
      </c>
      <c r="I80" s="8">
        <f t="shared" si="2"/>
        <v>42.857142857142854</v>
      </c>
      <c r="J80" s="8"/>
      <c r="K80" s="8"/>
    </row>
    <row r="81" spans="1:11" x14ac:dyDescent="0.25">
      <c r="A81" s="44" t="s">
        <v>1136</v>
      </c>
      <c r="B81" s="44">
        <v>6591137376858.749</v>
      </c>
      <c r="C81" s="44">
        <v>6894214986079.8604</v>
      </c>
      <c r="D81" s="44">
        <f t="shared" si="0"/>
        <v>4.5982596309584771</v>
      </c>
      <c r="E81" s="39">
        <v>25</v>
      </c>
      <c r="F81" s="39">
        <v>16</v>
      </c>
      <c r="G81" s="39">
        <v>3</v>
      </c>
      <c r="H81" s="8">
        <f t="shared" si="1"/>
        <v>56.81818181818182</v>
      </c>
      <c r="I81" s="8">
        <f t="shared" si="2"/>
        <v>36.363636363636367</v>
      </c>
      <c r="J81" s="8"/>
      <c r="K81" s="8"/>
    </row>
    <row r="82" spans="1:11" x14ac:dyDescent="0.25">
      <c r="A82" s="44" t="s">
        <v>711</v>
      </c>
      <c r="B82" s="44">
        <v>318368386015.94995</v>
      </c>
      <c r="C82" s="44">
        <v>330057213021.36993</v>
      </c>
      <c r="D82" s="44">
        <f t="shared" si="0"/>
        <v>3.6714785508993293</v>
      </c>
      <c r="E82" s="39">
        <v>13</v>
      </c>
      <c r="F82" s="39">
        <v>9</v>
      </c>
      <c r="G82" s="39">
        <v>1</v>
      </c>
      <c r="H82" s="8">
        <f t="shared" si="1"/>
        <v>56.521739130434781</v>
      </c>
      <c r="I82" s="8">
        <f t="shared" si="2"/>
        <v>39.130434782608695</v>
      </c>
      <c r="J82" s="8"/>
      <c r="K82" s="8"/>
    </row>
    <row r="83" spans="1:11" x14ac:dyDescent="0.25">
      <c r="A83" s="44" t="s">
        <v>1760</v>
      </c>
      <c r="B83" s="44">
        <v>199179358427.87</v>
      </c>
      <c r="C83" s="44">
        <v>203793295714.73999</v>
      </c>
      <c r="D83" s="44">
        <f t="shared" si="0"/>
        <v>2.3164736161859203</v>
      </c>
      <c r="E83" s="39">
        <v>5</v>
      </c>
      <c r="F83" s="39">
        <v>4</v>
      </c>
      <c r="G83" s="39">
        <v>0</v>
      </c>
      <c r="H83" s="8">
        <f t="shared" si="1"/>
        <v>55.555555555555557</v>
      </c>
      <c r="I83" s="8">
        <f t="shared" si="2"/>
        <v>44.444444444444443</v>
      </c>
      <c r="J83" s="8"/>
      <c r="K83" s="8"/>
    </row>
    <row r="84" spans="1:11" x14ac:dyDescent="0.25">
      <c r="A84" s="44" t="s">
        <v>3361</v>
      </c>
      <c r="B84" s="44">
        <v>133563421067.3</v>
      </c>
      <c r="C84" s="44">
        <v>133065384287.55</v>
      </c>
      <c r="D84" s="44">
        <f t="shared" si="0"/>
        <v>-0.37288411435571794</v>
      </c>
      <c r="E84" s="39">
        <v>5</v>
      </c>
      <c r="F84" s="39">
        <v>4</v>
      </c>
      <c r="G84" s="39">
        <v>0</v>
      </c>
      <c r="H84" s="8">
        <f t="shared" si="1"/>
        <v>55.555555555555557</v>
      </c>
      <c r="I84" s="8">
        <f t="shared" si="2"/>
        <v>44.444444444444443</v>
      </c>
      <c r="J84" s="8"/>
      <c r="K84" s="8"/>
    </row>
    <row r="85" spans="1:11" x14ac:dyDescent="0.25">
      <c r="A85" s="44" t="s">
        <v>1001</v>
      </c>
      <c r="B85" s="44">
        <v>821336496634.22998</v>
      </c>
      <c r="C85" s="44">
        <v>845402215997.90002</v>
      </c>
      <c r="D85" s="44">
        <f t="shared" si="0"/>
        <v>2.9300681830515751</v>
      </c>
      <c r="E85" s="39">
        <v>6</v>
      </c>
      <c r="F85" s="39">
        <v>5</v>
      </c>
      <c r="G85" s="39">
        <v>0</v>
      </c>
      <c r="H85" s="8">
        <f t="shared" si="1"/>
        <v>54.54545454545454</v>
      </c>
      <c r="I85" s="8">
        <f t="shared" si="2"/>
        <v>45.454545454545453</v>
      </c>
      <c r="J85" s="8"/>
      <c r="K85" s="8"/>
    </row>
    <row r="86" spans="1:11" x14ac:dyDescent="0.25">
      <c r="A86" s="44" t="s">
        <v>4094</v>
      </c>
      <c r="B86" s="44">
        <v>30336735569.000004</v>
      </c>
      <c r="C86" s="44">
        <v>37566480711.389999</v>
      </c>
      <c r="D86" s="44">
        <f t="shared" si="0"/>
        <v>23.831651648695541</v>
      </c>
      <c r="E86" s="39">
        <v>11</v>
      </c>
      <c r="F86" s="39">
        <v>8</v>
      </c>
      <c r="G86" s="39">
        <v>2</v>
      </c>
      <c r="H86" s="8">
        <f t="shared" si="1"/>
        <v>52.380952380952387</v>
      </c>
      <c r="I86" s="8">
        <f t="shared" si="2"/>
        <v>38.095238095238095</v>
      </c>
      <c r="J86" s="8"/>
      <c r="K86" s="8"/>
    </row>
    <row r="87" spans="1:11" x14ac:dyDescent="0.25">
      <c r="A87" s="44" t="s">
        <v>3683</v>
      </c>
      <c r="B87" s="44">
        <v>4357567812726.6904</v>
      </c>
      <c r="C87" s="44">
        <v>4153554066513.5996</v>
      </c>
      <c r="D87" s="44">
        <f t="shared" si="0"/>
        <v>-4.6818260777778216</v>
      </c>
      <c r="E87" s="39">
        <v>20</v>
      </c>
      <c r="F87" s="39">
        <v>18</v>
      </c>
      <c r="G87" s="39">
        <v>1</v>
      </c>
      <c r="H87" s="8">
        <f t="shared" si="1"/>
        <v>51.282051282051277</v>
      </c>
      <c r="I87" s="8">
        <f t="shared" si="2"/>
        <v>46.153846153846153</v>
      </c>
      <c r="J87" s="8"/>
      <c r="K87" s="8"/>
    </row>
    <row r="88" spans="1:11" x14ac:dyDescent="0.25">
      <c r="A88" s="44" t="s">
        <v>2755</v>
      </c>
      <c r="B88" s="44">
        <v>3592633724911.6206</v>
      </c>
      <c r="C88" s="44">
        <v>3648825862979.2598</v>
      </c>
      <c r="D88" s="44">
        <f t="shared" si="0"/>
        <v>1.5640931519959358</v>
      </c>
      <c r="E88" s="39">
        <v>21</v>
      </c>
      <c r="F88" s="39">
        <v>19</v>
      </c>
      <c r="G88" s="39">
        <v>1</v>
      </c>
      <c r="H88" s="8">
        <f t="shared" si="1"/>
        <v>51.219512195121951</v>
      </c>
      <c r="I88" s="8">
        <f t="shared" si="2"/>
        <v>46.341463414634148</v>
      </c>
      <c r="J88" s="8"/>
      <c r="K88" s="8"/>
    </row>
    <row r="89" spans="1:11" x14ac:dyDescent="0.25">
      <c r="A89" s="44" t="s">
        <v>15</v>
      </c>
      <c r="B89" s="44">
        <v>10892152801320.602</v>
      </c>
      <c r="C89" s="44">
        <v>11048047963172.629</v>
      </c>
      <c r="D89" s="44">
        <f t="shared" si="0"/>
        <v>1.4312612455558471</v>
      </c>
      <c r="E89" s="39">
        <v>81</v>
      </c>
      <c r="F89" s="39">
        <v>78</v>
      </c>
      <c r="G89" s="39">
        <v>2</v>
      </c>
      <c r="H89" s="8">
        <f t="shared" si="1"/>
        <v>50.310559006211179</v>
      </c>
      <c r="I89" s="8">
        <f t="shared" si="2"/>
        <v>48.447204968944099</v>
      </c>
      <c r="J89" s="8"/>
      <c r="K89" s="8"/>
    </row>
    <row r="90" spans="1:11" x14ac:dyDescent="0.25">
      <c r="A90" s="44" t="s">
        <v>4200</v>
      </c>
      <c r="B90" s="44">
        <v>80069880033</v>
      </c>
      <c r="C90" s="44">
        <v>105963171449.40001</v>
      </c>
      <c r="D90" s="44">
        <f t="shared" si="0"/>
        <v>32.338366693853352</v>
      </c>
      <c r="E90" s="39">
        <v>1</v>
      </c>
      <c r="F90" s="39">
        <v>1</v>
      </c>
      <c r="G90" s="39">
        <v>0</v>
      </c>
      <c r="H90" s="8">
        <f t="shared" si="1"/>
        <v>50</v>
      </c>
      <c r="I90" s="8">
        <f t="shared" si="2"/>
        <v>50</v>
      </c>
      <c r="J90" s="8"/>
      <c r="K90" s="8"/>
    </row>
    <row r="91" spans="1:11" x14ac:dyDescent="0.25">
      <c r="A91" s="44" t="s">
        <v>2825</v>
      </c>
      <c r="B91" s="44">
        <v>1528726101.9000001</v>
      </c>
      <c r="C91" s="44">
        <v>1695178267.3</v>
      </c>
      <c r="D91" s="44">
        <f t="shared" si="0"/>
        <v>10.888292231886556</v>
      </c>
      <c r="E91" s="39">
        <v>1</v>
      </c>
      <c r="F91" s="39">
        <v>1</v>
      </c>
      <c r="G91" s="39">
        <v>0</v>
      </c>
      <c r="H91" s="8">
        <f t="shared" si="1"/>
        <v>50</v>
      </c>
      <c r="I91" s="8">
        <f t="shared" si="2"/>
        <v>50</v>
      </c>
      <c r="J91" s="8"/>
      <c r="K91" s="8"/>
    </row>
    <row r="92" spans="1:11" x14ac:dyDescent="0.25">
      <c r="A92" s="44" t="s">
        <v>3068</v>
      </c>
      <c r="B92" s="44">
        <v>3297797961.0700002</v>
      </c>
      <c r="C92" s="44">
        <v>3561298980.3600001</v>
      </c>
      <c r="D92" s="44">
        <f t="shared" si="0"/>
        <v>7.9902111166478091</v>
      </c>
      <c r="E92" s="39">
        <v>2</v>
      </c>
      <c r="F92" s="39">
        <v>2</v>
      </c>
      <c r="G92" s="39">
        <v>0</v>
      </c>
      <c r="H92" s="8">
        <f t="shared" si="1"/>
        <v>50</v>
      </c>
      <c r="I92" s="8">
        <f t="shared" si="2"/>
        <v>50</v>
      </c>
      <c r="J92" s="8"/>
      <c r="K92" s="8"/>
    </row>
    <row r="93" spans="1:11" x14ac:dyDescent="0.25">
      <c r="A93" s="44" t="s">
        <v>3814</v>
      </c>
      <c r="B93" s="44">
        <v>2885426595.6999998</v>
      </c>
      <c r="C93" s="44">
        <v>3085209791.3600001</v>
      </c>
      <c r="D93" s="44">
        <f t="shared" si="0"/>
        <v>6.9238703198246929</v>
      </c>
      <c r="E93" s="39">
        <v>2</v>
      </c>
      <c r="F93" s="39">
        <v>2</v>
      </c>
      <c r="G93" s="39">
        <v>0</v>
      </c>
      <c r="H93" s="8">
        <f t="shared" si="1"/>
        <v>50</v>
      </c>
      <c r="I93" s="8">
        <f t="shared" si="2"/>
        <v>50</v>
      </c>
      <c r="J93" s="8"/>
      <c r="K93" s="8"/>
    </row>
    <row r="94" spans="1:11" x14ac:dyDescent="0.25">
      <c r="A94" s="44" t="s">
        <v>262</v>
      </c>
      <c r="B94" s="44">
        <v>11433899349.299999</v>
      </c>
      <c r="C94" s="44">
        <v>12190864519.57</v>
      </c>
      <c r="D94" s="44">
        <f t="shared" si="0"/>
        <v>6.6203588744756878</v>
      </c>
      <c r="E94" s="39">
        <v>4</v>
      </c>
      <c r="F94" s="39">
        <v>4</v>
      </c>
      <c r="G94" s="39">
        <v>0</v>
      </c>
      <c r="H94" s="8">
        <f t="shared" si="1"/>
        <v>50</v>
      </c>
      <c r="I94" s="8">
        <f t="shared" si="2"/>
        <v>50</v>
      </c>
      <c r="J94" s="8"/>
      <c r="K94" s="8"/>
    </row>
    <row r="95" spans="1:11" x14ac:dyDescent="0.25">
      <c r="A95" s="44" t="s">
        <v>833</v>
      </c>
      <c r="B95" s="44">
        <v>263893903159.64001</v>
      </c>
      <c r="C95" s="44">
        <v>280255800202.98004</v>
      </c>
      <c r="D95" s="44">
        <f t="shared" si="0"/>
        <v>6.2001800145576151</v>
      </c>
      <c r="E95" s="39">
        <v>2</v>
      </c>
      <c r="F95" s="39">
        <v>2</v>
      </c>
      <c r="G95" s="39">
        <v>0</v>
      </c>
      <c r="H95" s="8">
        <f t="shared" si="1"/>
        <v>50</v>
      </c>
      <c r="I95" s="8">
        <f t="shared" si="2"/>
        <v>50</v>
      </c>
      <c r="J95" s="8"/>
      <c r="K95" s="8"/>
    </row>
    <row r="96" spans="1:11" x14ac:dyDescent="0.25">
      <c r="A96" s="44" t="s">
        <v>1271</v>
      </c>
      <c r="B96" s="44">
        <v>866144356036.5</v>
      </c>
      <c r="C96" s="44">
        <v>917564210870.95007</v>
      </c>
      <c r="D96" s="44">
        <f t="shared" si="0"/>
        <v>5.9366379837361896</v>
      </c>
      <c r="E96" s="39">
        <v>8</v>
      </c>
      <c r="F96" s="39">
        <v>8</v>
      </c>
      <c r="G96" s="39">
        <v>0</v>
      </c>
      <c r="H96" s="8">
        <f t="shared" si="1"/>
        <v>50</v>
      </c>
      <c r="I96" s="8">
        <f t="shared" si="2"/>
        <v>50</v>
      </c>
      <c r="J96" s="8"/>
      <c r="K96" s="8"/>
    </row>
    <row r="97" spans="1:12" x14ac:dyDescent="0.25">
      <c r="A97" s="44" t="s">
        <v>668</v>
      </c>
      <c r="B97" s="44">
        <v>68367688380.899994</v>
      </c>
      <c r="C97" s="44">
        <v>72305914105.549988</v>
      </c>
      <c r="D97" s="44">
        <f t="shared" si="0"/>
        <v>5.7603610973487633</v>
      </c>
      <c r="E97" s="39">
        <v>1</v>
      </c>
      <c r="F97" s="39">
        <v>1</v>
      </c>
      <c r="G97" s="39">
        <v>0</v>
      </c>
      <c r="H97" s="8">
        <f t="shared" si="1"/>
        <v>50</v>
      </c>
      <c r="I97" s="8">
        <f t="shared" si="2"/>
        <v>50</v>
      </c>
      <c r="J97" s="8"/>
      <c r="K97" s="8"/>
    </row>
    <row r="98" spans="1:12" x14ac:dyDescent="0.25">
      <c r="A98" s="44" t="s">
        <v>3690</v>
      </c>
      <c r="B98" s="44">
        <v>87863156342.399994</v>
      </c>
      <c r="C98" s="44">
        <v>92487795846.149994</v>
      </c>
      <c r="D98" s="44">
        <f t="shared" si="0"/>
        <v>5.2634570578456383</v>
      </c>
      <c r="E98" s="39">
        <v>2</v>
      </c>
      <c r="F98" s="39">
        <v>1</v>
      </c>
      <c r="G98" s="39">
        <v>1</v>
      </c>
      <c r="H98" s="8">
        <f t="shared" si="1"/>
        <v>50</v>
      </c>
      <c r="I98" s="8">
        <f t="shared" si="2"/>
        <v>25</v>
      </c>
      <c r="J98" s="8"/>
      <c r="K98" s="8"/>
    </row>
    <row r="99" spans="1:12" x14ac:dyDescent="0.25">
      <c r="A99" s="44" t="s">
        <v>3900</v>
      </c>
      <c r="B99" s="44">
        <v>234336516160.24997</v>
      </c>
      <c r="C99" s="44">
        <v>245693954289.92999</v>
      </c>
      <c r="D99" s="44">
        <f t="shared" si="0"/>
        <v>4.8466360752386066</v>
      </c>
      <c r="E99" s="39">
        <v>2</v>
      </c>
      <c r="F99" s="39">
        <v>2</v>
      </c>
      <c r="G99" s="39">
        <v>0</v>
      </c>
      <c r="H99" s="8">
        <f t="shared" si="1"/>
        <v>50</v>
      </c>
      <c r="I99" s="8">
        <f t="shared" si="2"/>
        <v>50</v>
      </c>
      <c r="J99" s="8"/>
      <c r="K99" s="8"/>
    </row>
    <row r="100" spans="1:12" x14ac:dyDescent="0.25">
      <c r="A100" s="44" t="s">
        <v>324</v>
      </c>
      <c r="B100" s="44">
        <v>288222003229.25</v>
      </c>
      <c r="C100" s="44">
        <v>299084289586.75</v>
      </c>
      <c r="D100" s="44">
        <f t="shared" si="0"/>
        <v>3.7687221085824611</v>
      </c>
      <c r="E100" s="39">
        <v>3</v>
      </c>
      <c r="F100" s="39">
        <v>3</v>
      </c>
      <c r="G100" s="39">
        <v>0</v>
      </c>
      <c r="H100" s="8">
        <f t="shared" si="1"/>
        <v>50</v>
      </c>
      <c r="I100" s="8">
        <f t="shared" si="2"/>
        <v>50</v>
      </c>
      <c r="J100" s="8"/>
      <c r="K100" s="8"/>
    </row>
    <row r="101" spans="1:12" x14ac:dyDescent="0.25">
      <c r="A101" s="44" t="s">
        <v>1807</v>
      </c>
      <c r="B101" s="44">
        <v>1176694884788.5601</v>
      </c>
      <c r="C101" s="44">
        <v>1220061630772.6602</v>
      </c>
      <c r="D101" s="44">
        <f t="shared" si="0"/>
        <v>3.6854707660170254</v>
      </c>
      <c r="E101" s="39">
        <v>9</v>
      </c>
      <c r="F101" s="39">
        <v>9</v>
      </c>
      <c r="G101" s="39">
        <v>0</v>
      </c>
      <c r="H101" s="8">
        <f t="shared" si="1"/>
        <v>50</v>
      </c>
      <c r="I101" s="8">
        <f t="shared" si="2"/>
        <v>50</v>
      </c>
      <c r="J101" s="8"/>
      <c r="K101" s="8"/>
    </row>
    <row r="102" spans="1:12" x14ac:dyDescent="0.25">
      <c r="A102" s="44" t="s">
        <v>3672</v>
      </c>
      <c r="B102" s="44">
        <v>8108944473.3999996</v>
      </c>
      <c r="C102" s="44">
        <v>8402173867.6900005</v>
      </c>
      <c r="D102" s="44">
        <f t="shared" si="0"/>
        <v>3.6161228536203396</v>
      </c>
      <c r="E102" s="39">
        <v>2</v>
      </c>
      <c r="F102" s="39">
        <v>2</v>
      </c>
      <c r="G102" s="39">
        <v>0</v>
      </c>
      <c r="H102" s="8">
        <f t="shared" si="1"/>
        <v>50</v>
      </c>
      <c r="I102" s="8">
        <f t="shared" si="2"/>
        <v>50</v>
      </c>
      <c r="J102" s="8"/>
      <c r="K102" s="8"/>
    </row>
    <row r="103" spans="1:12" x14ac:dyDescent="0.25">
      <c r="A103" s="44" t="s">
        <v>4168</v>
      </c>
      <c r="B103" s="44">
        <v>72377011090</v>
      </c>
      <c r="C103" s="44">
        <v>74170589156.399994</v>
      </c>
      <c r="D103" s="44">
        <f t="shared" si="0"/>
        <v>2.4781046348676927</v>
      </c>
      <c r="E103" s="39">
        <v>2</v>
      </c>
      <c r="F103" s="39">
        <v>2</v>
      </c>
      <c r="G103" s="39">
        <v>0</v>
      </c>
      <c r="H103" s="8">
        <f t="shared" si="1"/>
        <v>50</v>
      </c>
      <c r="I103" s="8">
        <f t="shared" si="2"/>
        <v>50</v>
      </c>
      <c r="J103" s="69" t="s">
        <v>4449</v>
      </c>
      <c r="K103" s="67"/>
      <c r="L103" s="67"/>
    </row>
    <row r="104" spans="1:12" x14ac:dyDescent="0.25">
      <c r="A104" s="44" t="s">
        <v>166</v>
      </c>
      <c r="B104" s="44">
        <v>494076351058.75</v>
      </c>
      <c r="C104" s="44">
        <v>503674590809.04999</v>
      </c>
      <c r="D104" s="44">
        <f t="shared" si="0"/>
        <v>1.9426632603912413</v>
      </c>
      <c r="E104" s="39">
        <v>2</v>
      </c>
      <c r="F104" s="39">
        <v>2</v>
      </c>
      <c r="G104" s="39">
        <v>0</v>
      </c>
      <c r="H104" s="8">
        <f t="shared" si="1"/>
        <v>50</v>
      </c>
      <c r="I104" s="8">
        <f t="shared" si="2"/>
        <v>50</v>
      </c>
      <c r="J104" s="8"/>
      <c r="K104" s="8"/>
    </row>
    <row r="105" spans="1:12" x14ac:dyDescent="0.25">
      <c r="A105" s="44" t="s">
        <v>3874</v>
      </c>
      <c r="B105" s="44">
        <v>210312501638.25</v>
      </c>
      <c r="C105" s="44">
        <v>211570182651.09998</v>
      </c>
      <c r="D105" s="44">
        <f t="shared" si="0"/>
        <v>0.59800582611739439</v>
      </c>
      <c r="E105" s="39">
        <v>1</v>
      </c>
      <c r="F105" s="39">
        <v>1</v>
      </c>
      <c r="G105" s="39">
        <v>0</v>
      </c>
      <c r="H105" s="8">
        <f t="shared" si="1"/>
        <v>50</v>
      </c>
      <c r="I105" s="8">
        <f t="shared" si="2"/>
        <v>50</v>
      </c>
      <c r="J105" s="8"/>
      <c r="K105" s="8"/>
    </row>
    <row r="106" spans="1:12" x14ac:dyDescent="0.25">
      <c r="A106" s="44" t="s">
        <v>2594</v>
      </c>
      <c r="B106" s="44">
        <v>3170729683.5</v>
      </c>
      <c r="C106" s="44">
        <v>3128057990.6999998</v>
      </c>
      <c r="D106" s="44">
        <f t="shared" si="0"/>
        <v>-1.3458004011523674</v>
      </c>
      <c r="E106" s="39">
        <v>4</v>
      </c>
      <c r="F106" s="39">
        <v>3</v>
      </c>
      <c r="G106" s="39">
        <v>1</v>
      </c>
      <c r="H106" s="8">
        <f t="shared" si="1"/>
        <v>50</v>
      </c>
      <c r="I106" s="8">
        <f t="shared" si="2"/>
        <v>37.5</v>
      </c>
      <c r="J106" s="8"/>
      <c r="K106" s="8"/>
    </row>
    <row r="107" spans="1:12" x14ac:dyDescent="0.25">
      <c r="A107" s="44" t="s">
        <v>3883</v>
      </c>
      <c r="B107" s="44">
        <v>369063765455.84998</v>
      </c>
      <c r="C107" s="44">
        <v>360060941772.75</v>
      </c>
      <c r="D107" s="44">
        <f t="shared" si="0"/>
        <v>-2.4393680782994553</v>
      </c>
      <c r="E107" s="39">
        <v>2</v>
      </c>
      <c r="F107" s="39">
        <v>2</v>
      </c>
      <c r="G107" s="39">
        <v>0</v>
      </c>
      <c r="H107" s="8">
        <f t="shared" si="1"/>
        <v>50</v>
      </c>
      <c r="I107" s="8">
        <f t="shared" si="2"/>
        <v>50</v>
      </c>
      <c r="J107" s="8"/>
      <c r="K107" s="8"/>
    </row>
    <row r="108" spans="1:12" x14ac:dyDescent="0.25">
      <c r="A108" s="44" t="s">
        <v>4082</v>
      </c>
      <c r="B108" s="44">
        <v>1331624308376.5</v>
      </c>
      <c r="C108" s="44">
        <v>1293199585871</v>
      </c>
      <c r="D108" s="44">
        <f t="shared" si="0"/>
        <v>-2.8855527992235999</v>
      </c>
      <c r="E108" s="39">
        <v>1</v>
      </c>
      <c r="F108" s="39">
        <v>1</v>
      </c>
      <c r="G108" s="39">
        <v>0</v>
      </c>
      <c r="H108" s="8">
        <f t="shared" si="1"/>
        <v>50</v>
      </c>
      <c r="I108" s="8">
        <f t="shared" si="2"/>
        <v>50</v>
      </c>
      <c r="J108" s="8"/>
      <c r="K108" s="8"/>
    </row>
    <row r="109" spans="1:12" x14ac:dyDescent="0.25">
      <c r="A109" s="44" t="s">
        <v>3519</v>
      </c>
      <c r="B109" s="44">
        <v>7307161059.1000004</v>
      </c>
      <c r="C109" s="44">
        <v>7027601991.04</v>
      </c>
      <c r="D109" s="44">
        <f t="shared" si="0"/>
        <v>-3.8258232684203737</v>
      </c>
      <c r="E109" s="39">
        <v>2</v>
      </c>
      <c r="F109" s="39">
        <v>2</v>
      </c>
      <c r="G109" s="39">
        <v>0</v>
      </c>
      <c r="H109" s="8">
        <f t="shared" si="1"/>
        <v>50</v>
      </c>
      <c r="I109" s="8">
        <f t="shared" si="2"/>
        <v>50</v>
      </c>
      <c r="J109" s="8"/>
      <c r="K109" s="8"/>
    </row>
    <row r="110" spans="1:12" x14ac:dyDescent="0.25">
      <c r="A110" s="44" t="s">
        <v>3287</v>
      </c>
      <c r="B110" s="44">
        <v>193435127719.63</v>
      </c>
      <c r="C110" s="44">
        <v>185325755207.07999</v>
      </c>
      <c r="D110" s="44">
        <f t="shared" si="0"/>
        <v>-4.1922956849409259</v>
      </c>
      <c r="E110" s="39">
        <v>3</v>
      </c>
      <c r="F110" s="39">
        <v>3</v>
      </c>
      <c r="G110" s="39">
        <v>0</v>
      </c>
      <c r="H110" s="8">
        <f t="shared" si="1"/>
        <v>50</v>
      </c>
      <c r="I110" s="8">
        <f t="shared" si="2"/>
        <v>50</v>
      </c>
      <c r="J110" s="8"/>
      <c r="K110" s="8"/>
    </row>
    <row r="111" spans="1:12" x14ac:dyDescent="0.25">
      <c r="A111" s="44" t="s">
        <v>206</v>
      </c>
      <c r="B111" s="44">
        <v>1038275360770.0399</v>
      </c>
      <c r="C111" s="44">
        <v>1023610755206.16</v>
      </c>
      <c r="D111" s="44">
        <f t="shared" si="0"/>
        <v>-1.4124004207326883</v>
      </c>
      <c r="E111" s="39">
        <v>16</v>
      </c>
      <c r="F111" s="39">
        <v>17</v>
      </c>
      <c r="G111" s="39">
        <v>0</v>
      </c>
      <c r="H111" s="8">
        <f t="shared" si="1"/>
        <v>48.484848484848484</v>
      </c>
      <c r="I111" s="8">
        <f t="shared" si="2"/>
        <v>51.515151515151516</v>
      </c>
      <c r="J111" s="8"/>
      <c r="K111" s="8"/>
    </row>
    <row r="112" spans="1:12" x14ac:dyDescent="0.25">
      <c r="A112" s="44" t="s">
        <v>1337</v>
      </c>
      <c r="B112" s="44">
        <v>943887754470.29993</v>
      </c>
      <c r="C112" s="44">
        <v>990965355786.70984</v>
      </c>
      <c r="D112" s="44">
        <f t="shared" si="0"/>
        <v>4.9876270873785602</v>
      </c>
      <c r="E112" s="39">
        <v>31</v>
      </c>
      <c r="F112" s="39">
        <v>25</v>
      </c>
      <c r="G112" s="39">
        <v>8</v>
      </c>
      <c r="H112" s="8">
        <f t="shared" si="1"/>
        <v>48.4375</v>
      </c>
      <c r="I112" s="8">
        <f t="shared" si="2"/>
        <v>39.0625</v>
      </c>
      <c r="J112" s="69" t="s">
        <v>4450</v>
      </c>
      <c r="K112" s="67"/>
    </row>
    <row r="113" spans="1:12" x14ac:dyDescent="0.25">
      <c r="A113" s="44" t="s">
        <v>3232</v>
      </c>
      <c r="B113" s="44">
        <v>946688929028.43005</v>
      </c>
      <c r="C113" s="44">
        <v>1013885268276.7297</v>
      </c>
      <c r="D113" s="44">
        <f t="shared" si="0"/>
        <v>7.0980379286004842</v>
      </c>
      <c r="E113" s="39">
        <v>16</v>
      </c>
      <c r="F113" s="39">
        <v>15</v>
      </c>
      <c r="G113" s="39">
        <v>3</v>
      </c>
      <c r="H113" s="8">
        <f t="shared" si="1"/>
        <v>47.058823529411761</v>
      </c>
      <c r="I113" s="8">
        <f t="shared" si="2"/>
        <v>44.117647058823529</v>
      </c>
      <c r="J113" s="69" t="s">
        <v>4451</v>
      </c>
      <c r="K113" s="67"/>
      <c r="L113" s="8"/>
    </row>
    <row r="114" spans="1:12" x14ac:dyDescent="0.25">
      <c r="A114" s="44" t="s">
        <v>3431</v>
      </c>
      <c r="B114" s="44">
        <v>3768998300274.3203</v>
      </c>
      <c r="C114" s="44">
        <v>3991090335499.5303</v>
      </c>
      <c r="D114" s="44">
        <f t="shared" si="0"/>
        <v>5.8926010979905552</v>
      </c>
      <c r="E114" s="39">
        <v>8</v>
      </c>
      <c r="F114" s="39">
        <v>9</v>
      </c>
      <c r="G114" s="39">
        <v>0</v>
      </c>
      <c r="H114" s="8">
        <f t="shared" si="1"/>
        <v>47.058823529411761</v>
      </c>
      <c r="I114" s="8">
        <f t="shared" si="2"/>
        <v>52.941176470588239</v>
      </c>
      <c r="J114" s="8"/>
      <c r="K114" s="8"/>
    </row>
    <row r="115" spans="1:12" x14ac:dyDescent="0.25">
      <c r="A115" s="44" t="s">
        <v>1907</v>
      </c>
      <c r="B115" s="44">
        <v>490921784675.72998</v>
      </c>
      <c r="C115" s="44">
        <v>489445183172.75</v>
      </c>
      <c r="D115" s="44">
        <f t="shared" si="0"/>
        <v>-0.30078141754400339</v>
      </c>
      <c r="E115" s="39">
        <v>7</v>
      </c>
      <c r="F115" s="39">
        <v>7</v>
      </c>
      <c r="G115" s="39">
        <v>1</v>
      </c>
      <c r="H115" s="8">
        <f t="shared" si="1"/>
        <v>46.666666666666664</v>
      </c>
      <c r="I115" s="8">
        <f t="shared" si="2"/>
        <v>46.666666666666664</v>
      </c>
      <c r="J115" s="8"/>
      <c r="K115" s="8"/>
    </row>
    <row r="116" spans="1:12" x14ac:dyDescent="0.25">
      <c r="A116" s="44" t="s">
        <v>858</v>
      </c>
      <c r="B116" s="44">
        <v>3501217070353.3096</v>
      </c>
      <c r="C116" s="44">
        <v>3781286339648.3301</v>
      </c>
      <c r="D116" s="44">
        <f t="shared" si="0"/>
        <v>7.9991975266691648</v>
      </c>
      <c r="E116" s="39">
        <v>72</v>
      </c>
      <c r="F116" s="39">
        <v>71</v>
      </c>
      <c r="G116" s="39">
        <v>16</v>
      </c>
      <c r="H116" s="8">
        <f t="shared" si="1"/>
        <v>45.283018867924532</v>
      </c>
      <c r="I116" s="8">
        <f t="shared" si="2"/>
        <v>44.654088050314463</v>
      </c>
      <c r="J116" s="8"/>
      <c r="K116" s="8"/>
    </row>
    <row r="117" spans="1:12" x14ac:dyDescent="0.25">
      <c r="A117" s="44" t="s">
        <v>2297</v>
      </c>
      <c r="B117" s="44">
        <v>1117561753873.1602</v>
      </c>
      <c r="C117" s="44">
        <v>1163422075159.3</v>
      </c>
      <c r="D117" s="44">
        <f t="shared" si="0"/>
        <v>4.1036051141872649</v>
      </c>
      <c r="E117" s="39">
        <v>50</v>
      </c>
      <c r="F117" s="39">
        <v>46</v>
      </c>
      <c r="G117" s="39">
        <v>15</v>
      </c>
      <c r="H117" s="8">
        <f t="shared" si="1"/>
        <v>45.045045045045043</v>
      </c>
      <c r="I117" s="8">
        <f t="shared" si="2"/>
        <v>41.441441441441441</v>
      </c>
      <c r="J117" s="8"/>
      <c r="K117" s="8"/>
    </row>
    <row r="118" spans="1:12" x14ac:dyDescent="0.25">
      <c r="A118" s="44" t="s">
        <v>356</v>
      </c>
      <c r="B118" s="44">
        <v>2823073095652.6997</v>
      </c>
      <c r="C118" s="44">
        <v>2946663548495.7603</v>
      </c>
      <c r="D118" s="44">
        <f t="shared" si="0"/>
        <v>4.3778693875613666</v>
      </c>
      <c r="E118" s="39">
        <v>33</v>
      </c>
      <c r="F118" s="39">
        <v>37</v>
      </c>
      <c r="G118" s="39">
        <v>4</v>
      </c>
      <c r="H118" s="8">
        <f t="shared" si="1"/>
        <v>44.594594594594597</v>
      </c>
      <c r="I118" s="8">
        <f t="shared" si="2"/>
        <v>50</v>
      </c>
      <c r="J118" s="69" t="s">
        <v>4452</v>
      </c>
      <c r="K118" s="67"/>
    </row>
    <row r="119" spans="1:12" x14ac:dyDescent="0.25">
      <c r="A119" s="44" t="s">
        <v>4066</v>
      </c>
      <c r="B119" s="44">
        <v>56527909342.369995</v>
      </c>
      <c r="C119" s="44">
        <v>58996820250.539993</v>
      </c>
      <c r="D119" s="44">
        <f t="shared" si="0"/>
        <v>4.3675963553094785</v>
      </c>
      <c r="E119" s="39">
        <v>4</v>
      </c>
      <c r="F119" s="39">
        <v>5</v>
      </c>
      <c r="G119" s="39">
        <v>0</v>
      </c>
      <c r="H119" s="8">
        <f t="shared" si="1"/>
        <v>44.444444444444443</v>
      </c>
      <c r="I119" s="8">
        <f t="shared" si="2"/>
        <v>55.555555555555557</v>
      </c>
      <c r="J119" s="8"/>
      <c r="K119" s="8"/>
    </row>
    <row r="120" spans="1:12" x14ac:dyDescent="0.25">
      <c r="A120" s="44" t="s">
        <v>2834</v>
      </c>
      <c r="B120" s="44">
        <v>28316295138.25</v>
      </c>
      <c r="C120" s="44">
        <v>27067648743.400002</v>
      </c>
      <c r="D120" s="44">
        <f t="shared" si="0"/>
        <v>-4.4096390038091942</v>
      </c>
      <c r="E120" s="39">
        <v>4</v>
      </c>
      <c r="F120" s="39">
        <v>5</v>
      </c>
      <c r="G120" s="39">
        <v>0</v>
      </c>
      <c r="H120" s="8">
        <f t="shared" si="1"/>
        <v>44.444444444444443</v>
      </c>
      <c r="I120" s="8">
        <f t="shared" si="2"/>
        <v>55.555555555555557</v>
      </c>
      <c r="J120" s="8"/>
      <c r="K120" s="8"/>
    </row>
    <row r="121" spans="1:12" x14ac:dyDescent="0.25">
      <c r="A121" s="44" t="s">
        <v>13</v>
      </c>
      <c r="B121" s="44">
        <v>7992760925981.8408</v>
      </c>
      <c r="C121" s="44">
        <v>8922423117158.7305</v>
      </c>
      <c r="D121" s="44">
        <f t="shared" si="0"/>
        <v>11.631302372060988</v>
      </c>
      <c r="E121" s="39">
        <v>122</v>
      </c>
      <c r="F121" s="39">
        <v>120</v>
      </c>
      <c r="G121" s="39">
        <v>37</v>
      </c>
      <c r="H121" s="8">
        <f t="shared" si="1"/>
        <v>43.727598566308245</v>
      </c>
      <c r="I121" s="8">
        <f t="shared" si="2"/>
        <v>43.01075268817204</v>
      </c>
      <c r="J121" s="8"/>
      <c r="K121" s="8"/>
      <c r="L121" s="8"/>
    </row>
    <row r="122" spans="1:12" x14ac:dyDescent="0.25">
      <c r="A122" s="44" t="s">
        <v>3209</v>
      </c>
      <c r="B122" s="44">
        <v>300324443715.42004</v>
      </c>
      <c r="C122" s="44">
        <v>302423928127.57007</v>
      </c>
      <c r="D122" s="44">
        <f t="shared" si="0"/>
        <v>0.69907210554577559</v>
      </c>
      <c r="E122" s="39">
        <v>20</v>
      </c>
      <c r="F122" s="39">
        <v>23</v>
      </c>
      <c r="G122" s="39">
        <v>3</v>
      </c>
      <c r="H122" s="8">
        <f t="shared" si="1"/>
        <v>43.478260869565219</v>
      </c>
      <c r="I122" s="8">
        <f t="shared" si="2"/>
        <v>50</v>
      </c>
      <c r="J122" s="8"/>
      <c r="K122" s="8"/>
    </row>
    <row r="123" spans="1:12" x14ac:dyDescent="0.25">
      <c r="A123" s="44" t="s">
        <v>295</v>
      </c>
      <c r="B123" s="44">
        <v>89840974331.199997</v>
      </c>
      <c r="C123" s="44">
        <v>101655937894.55</v>
      </c>
      <c r="D123" s="44">
        <f t="shared" si="0"/>
        <v>13.150974431548326</v>
      </c>
      <c r="E123" s="39">
        <v>3</v>
      </c>
      <c r="F123" s="39">
        <v>4</v>
      </c>
      <c r="G123" s="39">
        <v>0</v>
      </c>
      <c r="H123" s="8">
        <f t="shared" si="1"/>
        <v>42.857142857142854</v>
      </c>
      <c r="I123" s="8">
        <f t="shared" si="2"/>
        <v>57.142857142857139</v>
      </c>
      <c r="J123" s="8"/>
      <c r="K123" s="8"/>
    </row>
    <row r="124" spans="1:12" x14ac:dyDescent="0.25">
      <c r="A124" s="44" t="s">
        <v>2787</v>
      </c>
      <c r="B124" s="44">
        <v>583401287021.80994</v>
      </c>
      <c r="C124" s="44">
        <v>599695872918.95007</v>
      </c>
      <c r="D124" s="44">
        <f t="shared" si="0"/>
        <v>2.793032216353506</v>
      </c>
      <c r="E124" s="39">
        <v>3</v>
      </c>
      <c r="F124" s="39">
        <v>4</v>
      </c>
      <c r="G124" s="39">
        <v>0</v>
      </c>
      <c r="H124" s="8">
        <f t="shared" si="1"/>
        <v>42.857142857142854</v>
      </c>
      <c r="I124" s="8">
        <f t="shared" si="2"/>
        <v>57.142857142857139</v>
      </c>
      <c r="J124" s="8"/>
      <c r="K124" s="8"/>
    </row>
    <row r="125" spans="1:12" x14ac:dyDescent="0.25">
      <c r="A125" s="44" t="s">
        <v>4036</v>
      </c>
      <c r="B125" s="44">
        <v>143029812719.14999</v>
      </c>
      <c r="C125" s="44">
        <v>141825405468.63</v>
      </c>
      <c r="D125" s="44">
        <f t="shared" si="0"/>
        <v>-0.84206727787928726</v>
      </c>
      <c r="E125" s="39">
        <v>12</v>
      </c>
      <c r="F125" s="39">
        <v>11</v>
      </c>
      <c r="G125" s="39">
        <v>5</v>
      </c>
      <c r="H125" s="8">
        <f t="shared" si="1"/>
        <v>42.857142857142854</v>
      </c>
      <c r="I125" s="8">
        <f t="shared" si="2"/>
        <v>39.285714285714285</v>
      </c>
      <c r="J125" s="8"/>
      <c r="K125" s="8"/>
    </row>
    <row r="126" spans="1:12" x14ac:dyDescent="0.25">
      <c r="A126" s="44" t="s">
        <v>2951</v>
      </c>
      <c r="B126" s="44">
        <v>289702513800.9201</v>
      </c>
      <c r="C126" s="44">
        <v>296708174247.64001</v>
      </c>
      <c r="D126" s="44">
        <f t="shared" si="0"/>
        <v>2.4182256324962754</v>
      </c>
      <c r="E126" s="39">
        <v>93</v>
      </c>
      <c r="F126" s="39">
        <v>83</v>
      </c>
      <c r="G126" s="39">
        <v>42</v>
      </c>
      <c r="H126" s="8">
        <f t="shared" si="1"/>
        <v>42.660550458715598</v>
      </c>
      <c r="I126" s="8">
        <f t="shared" si="2"/>
        <v>38.073394495412842</v>
      </c>
      <c r="J126" s="8"/>
      <c r="K126" s="8"/>
    </row>
    <row r="127" spans="1:12" x14ac:dyDescent="0.25">
      <c r="A127" s="44" t="s">
        <v>1645</v>
      </c>
      <c r="B127" s="44">
        <v>540390498601.61005</v>
      </c>
      <c r="C127" s="44">
        <v>560001337381.53015</v>
      </c>
      <c r="D127" s="44">
        <f t="shared" si="0"/>
        <v>3.6290125068201333</v>
      </c>
      <c r="E127" s="39">
        <v>17</v>
      </c>
      <c r="F127" s="39">
        <v>19</v>
      </c>
      <c r="G127" s="39">
        <v>4</v>
      </c>
      <c r="H127" s="8">
        <f t="shared" si="1"/>
        <v>42.5</v>
      </c>
      <c r="I127" s="8">
        <f t="shared" si="2"/>
        <v>47.5</v>
      </c>
      <c r="J127" s="8"/>
      <c r="K127" s="8"/>
    </row>
    <row r="128" spans="1:12" x14ac:dyDescent="0.25">
      <c r="A128" s="44" t="s">
        <v>2286</v>
      </c>
      <c r="B128" s="44">
        <v>467069620758.32001</v>
      </c>
      <c r="C128" s="44">
        <v>497226339787.40002</v>
      </c>
      <c r="D128" s="44">
        <f t="shared" si="0"/>
        <v>6.4565789956791644</v>
      </c>
      <c r="E128" s="39">
        <v>14</v>
      </c>
      <c r="F128" s="39">
        <v>18</v>
      </c>
      <c r="G128" s="39">
        <v>1</v>
      </c>
      <c r="H128" s="8">
        <f t="shared" si="1"/>
        <v>42.424242424242422</v>
      </c>
      <c r="I128" s="8">
        <f t="shared" si="2"/>
        <v>54.54545454545454</v>
      </c>
      <c r="J128" s="8"/>
      <c r="K128" s="8"/>
    </row>
    <row r="129" spans="1:12" x14ac:dyDescent="0.25">
      <c r="A129" s="44" t="s">
        <v>1999</v>
      </c>
      <c r="B129" s="44">
        <v>758136267446.35999</v>
      </c>
      <c r="C129" s="44">
        <v>835391512882.60999</v>
      </c>
      <c r="D129" s="44">
        <f t="shared" si="0"/>
        <v>10.190152978233034</v>
      </c>
      <c r="E129" s="39">
        <v>24</v>
      </c>
      <c r="F129" s="39">
        <v>29</v>
      </c>
      <c r="G129" s="39">
        <v>4</v>
      </c>
      <c r="H129" s="8">
        <f t="shared" si="1"/>
        <v>42.105263157894733</v>
      </c>
      <c r="I129" s="8">
        <f t="shared" si="2"/>
        <v>50.877192982456144</v>
      </c>
      <c r="J129" s="8"/>
      <c r="K129" s="8"/>
    </row>
    <row r="130" spans="1:12" x14ac:dyDescent="0.25">
      <c r="A130" s="44" t="s">
        <v>1868</v>
      </c>
      <c r="B130" s="44">
        <v>4854017841929.5488</v>
      </c>
      <c r="C130" s="44">
        <v>4958970669988.7695</v>
      </c>
      <c r="D130" s="44">
        <f t="shared" si="0"/>
        <v>2.1621846370778952</v>
      </c>
      <c r="E130" s="39">
        <v>40</v>
      </c>
      <c r="F130" s="39">
        <v>52</v>
      </c>
      <c r="G130" s="39">
        <v>3</v>
      </c>
      <c r="H130" s="8">
        <f t="shared" si="1"/>
        <v>42.105263157894733</v>
      </c>
      <c r="I130" s="8">
        <f t="shared" si="2"/>
        <v>54.736842105263165</v>
      </c>
      <c r="J130" s="69" t="s">
        <v>4453</v>
      </c>
      <c r="K130" s="67"/>
    </row>
    <row r="131" spans="1:12" x14ac:dyDescent="0.25">
      <c r="A131" s="44" t="s">
        <v>2929</v>
      </c>
      <c r="B131" s="44">
        <v>366562094963.13</v>
      </c>
      <c r="C131" s="44">
        <v>378538718442.11993</v>
      </c>
      <c r="D131" s="44">
        <f t="shared" si="0"/>
        <v>3.2672836726870456</v>
      </c>
      <c r="E131" s="39">
        <v>26</v>
      </c>
      <c r="F131" s="39">
        <v>35</v>
      </c>
      <c r="G131" s="39">
        <v>1</v>
      </c>
      <c r="H131" s="8">
        <f t="shared" si="1"/>
        <v>41.935483870967744</v>
      </c>
      <c r="I131" s="8">
        <f t="shared" si="2"/>
        <v>56.451612903225815</v>
      </c>
      <c r="J131" s="69" t="s">
        <v>4454</v>
      </c>
      <c r="K131" s="67"/>
    </row>
    <row r="132" spans="1:12" x14ac:dyDescent="0.25">
      <c r="A132" s="44" t="s">
        <v>2522</v>
      </c>
      <c r="B132" s="44">
        <v>263395406334.38</v>
      </c>
      <c r="C132" s="44">
        <v>268865554385.76999</v>
      </c>
      <c r="D132" s="44">
        <f t="shared" si="0"/>
        <v>2.0767818723632718</v>
      </c>
      <c r="E132" s="39">
        <v>5</v>
      </c>
      <c r="F132" s="39">
        <v>7</v>
      </c>
      <c r="G132" s="39">
        <v>0</v>
      </c>
      <c r="H132" s="8">
        <f t="shared" si="1"/>
        <v>41.666666666666671</v>
      </c>
      <c r="I132" s="8">
        <f t="shared" si="2"/>
        <v>58.333333333333336</v>
      </c>
      <c r="J132" s="8"/>
      <c r="K132" s="8"/>
    </row>
    <row r="133" spans="1:12" x14ac:dyDescent="0.25">
      <c r="A133" s="44" t="s">
        <v>1315</v>
      </c>
      <c r="B133" s="44">
        <v>138007032968.22998</v>
      </c>
      <c r="C133" s="44">
        <v>142092838757.75</v>
      </c>
      <c r="D133" s="44">
        <f t="shared" si="0"/>
        <v>2.960577951458891</v>
      </c>
      <c r="E133" s="39">
        <v>2</v>
      </c>
      <c r="F133" s="39">
        <v>2</v>
      </c>
      <c r="G133" s="39">
        <v>1</v>
      </c>
      <c r="H133" s="8">
        <f t="shared" si="1"/>
        <v>40</v>
      </c>
      <c r="I133" s="8">
        <f t="shared" si="2"/>
        <v>40</v>
      </c>
      <c r="J133" s="8"/>
      <c r="K133" s="8"/>
    </row>
    <row r="134" spans="1:12" x14ac:dyDescent="0.25">
      <c r="A134" s="44" t="s">
        <v>1598</v>
      </c>
      <c r="B134" s="44">
        <v>1457623741909</v>
      </c>
      <c r="C134" s="44">
        <v>1489576750002.75</v>
      </c>
      <c r="D134" s="44">
        <f t="shared" si="0"/>
        <v>2.1921300521561373</v>
      </c>
      <c r="E134" s="39">
        <v>2</v>
      </c>
      <c r="F134" s="39">
        <v>1</v>
      </c>
      <c r="G134" s="39">
        <v>2</v>
      </c>
      <c r="H134" s="8">
        <f t="shared" si="1"/>
        <v>40</v>
      </c>
      <c r="I134" s="8">
        <f t="shared" si="2"/>
        <v>20</v>
      </c>
      <c r="J134" s="8"/>
      <c r="K134" s="8"/>
    </row>
    <row r="135" spans="1:12" x14ac:dyDescent="0.25">
      <c r="A135" s="44" t="s">
        <v>1584</v>
      </c>
      <c r="B135" s="44">
        <v>230351942833.91</v>
      </c>
      <c r="C135" s="44">
        <v>230230796439.30002</v>
      </c>
      <c r="D135" s="44">
        <f t="shared" si="0"/>
        <v>-5.2591870126893259E-2</v>
      </c>
      <c r="E135" s="39">
        <v>2</v>
      </c>
      <c r="F135" s="39">
        <v>2</v>
      </c>
      <c r="G135" s="39">
        <v>1</v>
      </c>
      <c r="H135" s="8">
        <f t="shared" si="1"/>
        <v>40</v>
      </c>
      <c r="I135" s="8">
        <f t="shared" si="2"/>
        <v>40</v>
      </c>
      <c r="J135" s="8"/>
      <c r="K135" s="8"/>
    </row>
    <row r="136" spans="1:12" x14ac:dyDescent="0.25">
      <c r="A136" s="44" t="s">
        <v>1633</v>
      </c>
      <c r="B136" s="44">
        <v>1225767668563.0303</v>
      </c>
      <c r="C136" s="44">
        <v>1208433605922.0798</v>
      </c>
      <c r="D136" s="44">
        <f t="shared" si="0"/>
        <v>-1.4141393255437382</v>
      </c>
      <c r="E136" s="39">
        <v>29</v>
      </c>
      <c r="F136" s="39">
        <v>41</v>
      </c>
      <c r="G136" s="39">
        <v>3</v>
      </c>
      <c r="H136" s="8">
        <f t="shared" si="1"/>
        <v>39.726027397260275</v>
      </c>
      <c r="I136" s="8">
        <f t="shared" si="2"/>
        <v>56.164383561643838</v>
      </c>
      <c r="J136" s="8"/>
      <c r="K136" s="8"/>
    </row>
    <row r="137" spans="1:12" x14ac:dyDescent="0.25">
      <c r="A137" s="44" t="s">
        <v>2627</v>
      </c>
      <c r="B137" s="44">
        <v>421806662745</v>
      </c>
      <c r="C137" s="44">
        <v>459769340225.61993</v>
      </c>
      <c r="D137" s="44">
        <f t="shared" si="0"/>
        <v>9.0000184524278097</v>
      </c>
      <c r="E137" s="39">
        <v>5</v>
      </c>
      <c r="F137" s="39">
        <v>7</v>
      </c>
      <c r="G137" s="39">
        <v>1</v>
      </c>
      <c r="H137" s="8">
        <f t="shared" si="1"/>
        <v>38.461538461538467</v>
      </c>
      <c r="I137" s="8">
        <f t="shared" si="2"/>
        <v>53.846153846153847</v>
      </c>
      <c r="J137" s="8"/>
      <c r="K137" s="8"/>
    </row>
    <row r="138" spans="1:12" x14ac:dyDescent="0.25">
      <c r="A138" s="44" t="s">
        <v>3110</v>
      </c>
      <c r="B138" s="44">
        <v>1143440701726.6897</v>
      </c>
      <c r="C138" s="44">
        <v>1183392674358.7798</v>
      </c>
      <c r="D138" s="44">
        <f t="shared" si="0"/>
        <v>3.4940135130540062</v>
      </c>
      <c r="E138" s="39">
        <v>15</v>
      </c>
      <c r="F138" s="39">
        <v>20</v>
      </c>
      <c r="G138" s="39">
        <v>4</v>
      </c>
      <c r="H138" s="8">
        <f t="shared" si="1"/>
        <v>38.461538461538467</v>
      </c>
      <c r="I138" s="8">
        <f t="shared" si="2"/>
        <v>51.282051282051277</v>
      </c>
      <c r="J138" s="69" t="s">
        <v>4455</v>
      </c>
      <c r="K138" s="67"/>
      <c r="L138" s="67"/>
    </row>
    <row r="139" spans="1:12" x14ac:dyDescent="0.25">
      <c r="A139" s="44" t="s">
        <v>1171</v>
      </c>
      <c r="B139" s="44">
        <v>662266112179</v>
      </c>
      <c r="C139" s="44">
        <v>685521226816.0802</v>
      </c>
      <c r="D139" s="44">
        <f t="shared" si="0"/>
        <v>3.5114456574813713</v>
      </c>
      <c r="E139" s="39">
        <v>48</v>
      </c>
      <c r="F139" s="39">
        <v>51</v>
      </c>
      <c r="G139" s="39">
        <v>27</v>
      </c>
      <c r="H139" s="8">
        <f t="shared" si="1"/>
        <v>38.095238095238095</v>
      </c>
      <c r="I139" s="8">
        <f t="shared" si="2"/>
        <v>40.476190476190474</v>
      </c>
      <c r="J139" s="8"/>
      <c r="K139" s="8"/>
    </row>
    <row r="140" spans="1:12" x14ac:dyDescent="0.25">
      <c r="A140" s="44" t="s">
        <v>2721</v>
      </c>
      <c r="B140" s="44">
        <v>5366121585227.8604</v>
      </c>
      <c r="C140" s="44">
        <v>5781665081799.5293</v>
      </c>
      <c r="D140" s="44">
        <f t="shared" si="0"/>
        <v>7.7438330453711446</v>
      </c>
      <c r="E140" s="39">
        <v>3</v>
      </c>
      <c r="F140" s="39">
        <v>5</v>
      </c>
      <c r="G140" s="39">
        <v>0</v>
      </c>
      <c r="H140" s="8">
        <f t="shared" si="1"/>
        <v>37.5</v>
      </c>
      <c r="I140" s="8">
        <f t="shared" si="2"/>
        <v>62.5</v>
      </c>
      <c r="J140" s="8"/>
      <c r="K140" s="8"/>
    </row>
    <row r="141" spans="1:12" x14ac:dyDescent="0.25">
      <c r="A141" s="44" t="s">
        <v>3847</v>
      </c>
      <c r="B141" s="44">
        <v>792186346149.29004</v>
      </c>
      <c r="C141" s="44">
        <v>825871933994.44995</v>
      </c>
      <c r="D141" s="44">
        <f t="shared" si="0"/>
        <v>4.2522303002192565</v>
      </c>
      <c r="E141" s="39">
        <v>3</v>
      </c>
      <c r="F141" s="39">
        <v>5</v>
      </c>
      <c r="G141" s="39">
        <v>0</v>
      </c>
      <c r="H141" s="8">
        <f t="shared" si="1"/>
        <v>37.5</v>
      </c>
      <c r="I141" s="8">
        <f t="shared" si="2"/>
        <v>62.5</v>
      </c>
      <c r="J141" s="8"/>
      <c r="K141" s="8"/>
    </row>
    <row r="142" spans="1:12" x14ac:dyDescent="0.25">
      <c r="A142" s="44" t="s">
        <v>677</v>
      </c>
      <c r="B142" s="44">
        <v>300707178795.44</v>
      </c>
      <c r="C142" s="44">
        <v>312649305109.53003</v>
      </c>
      <c r="D142" s="44">
        <f t="shared" si="0"/>
        <v>3.9713472627847755</v>
      </c>
      <c r="E142" s="39">
        <v>3</v>
      </c>
      <c r="F142" s="39">
        <v>5</v>
      </c>
      <c r="G142" s="39">
        <v>0</v>
      </c>
      <c r="H142" s="8">
        <f t="shared" si="1"/>
        <v>37.5</v>
      </c>
      <c r="I142" s="8">
        <f t="shared" si="2"/>
        <v>62.5</v>
      </c>
      <c r="J142" s="8"/>
      <c r="K142" s="8"/>
    </row>
    <row r="143" spans="1:12" x14ac:dyDescent="0.25">
      <c r="A143" s="44" t="s">
        <v>3918</v>
      </c>
      <c r="B143" s="44">
        <v>52601819644.23999</v>
      </c>
      <c r="C143" s="44">
        <v>53805110619.340004</v>
      </c>
      <c r="D143" s="44">
        <f t="shared" si="0"/>
        <v>2.2875462925773076</v>
      </c>
      <c r="E143" s="39">
        <v>3</v>
      </c>
      <c r="F143" s="39">
        <v>5</v>
      </c>
      <c r="G143" s="39">
        <v>0</v>
      </c>
      <c r="H143" s="8">
        <f t="shared" si="1"/>
        <v>37.5</v>
      </c>
      <c r="I143" s="8">
        <f t="shared" si="2"/>
        <v>62.5</v>
      </c>
      <c r="J143" s="8"/>
      <c r="K143" s="8"/>
    </row>
    <row r="144" spans="1:12" x14ac:dyDescent="0.25">
      <c r="A144" s="44" t="s">
        <v>3503</v>
      </c>
      <c r="B144" s="44">
        <v>1806247332907.8201</v>
      </c>
      <c r="C144" s="44">
        <v>1790995955862.03</v>
      </c>
      <c r="D144" s="44">
        <f t="shared" si="0"/>
        <v>-0.84436814205490518</v>
      </c>
      <c r="E144" s="39">
        <v>10</v>
      </c>
      <c r="F144" s="39">
        <v>16</v>
      </c>
      <c r="G144" s="39">
        <v>1</v>
      </c>
      <c r="H144" s="8">
        <f t="shared" si="1"/>
        <v>37.037037037037038</v>
      </c>
      <c r="I144" s="8">
        <f t="shared" si="2"/>
        <v>59.259259259259252</v>
      </c>
      <c r="J144" s="8"/>
      <c r="K144" s="8"/>
    </row>
    <row r="145" spans="1:11" x14ac:dyDescent="0.25">
      <c r="A145" s="44" t="s">
        <v>1793</v>
      </c>
      <c r="B145" s="44">
        <v>989671529502.6897</v>
      </c>
      <c r="C145" s="44">
        <v>975690528372.43994</v>
      </c>
      <c r="D145" s="44">
        <f t="shared" si="0"/>
        <v>-1.4126910508656558</v>
      </c>
      <c r="E145" s="39">
        <v>85</v>
      </c>
      <c r="F145" s="39">
        <v>130</v>
      </c>
      <c r="G145" s="39">
        <v>17</v>
      </c>
      <c r="H145" s="8">
        <f t="shared" si="1"/>
        <v>36.637931034482754</v>
      </c>
      <c r="I145" s="8">
        <f t="shared" si="2"/>
        <v>56.034482758620683</v>
      </c>
      <c r="J145" s="8"/>
      <c r="K145" s="8"/>
    </row>
    <row r="146" spans="1:11" x14ac:dyDescent="0.25">
      <c r="A146" s="44" t="s">
        <v>3023</v>
      </c>
      <c r="B146" s="44">
        <v>37646992260.409996</v>
      </c>
      <c r="C146" s="44">
        <v>35602967245.880005</v>
      </c>
      <c r="D146" s="44">
        <f t="shared" si="0"/>
        <v>-5.4294510445646171</v>
      </c>
      <c r="E146" s="39">
        <v>4</v>
      </c>
      <c r="F146" s="39">
        <v>7</v>
      </c>
      <c r="G146" s="39">
        <v>0</v>
      </c>
      <c r="H146" s="8">
        <f t="shared" si="1"/>
        <v>36.363636363636367</v>
      </c>
      <c r="I146" s="8">
        <f t="shared" si="2"/>
        <v>63.636363636363633</v>
      </c>
      <c r="J146" s="8"/>
      <c r="K146" s="8"/>
    </row>
    <row r="147" spans="1:11" x14ac:dyDescent="0.25">
      <c r="A147" s="44" t="s">
        <v>2261</v>
      </c>
      <c r="B147" s="44">
        <v>49576827432.529999</v>
      </c>
      <c r="C147" s="44">
        <v>48064669760.519997</v>
      </c>
      <c r="D147" s="44">
        <f t="shared" si="0"/>
        <v>-3.0501299706358278</v>
      </c>
      <c r="E147" s="39">
        <v>5</v>
      </c>
      <c r="F147" s="39">
        <v>9</v>
      </c>
      <c r="G147" s="39">
        <v>0</v>
      </c>
      <c r="H147" s="8">
        <f t="shared" si="1"/>
        <v>35.714285714285715</v>
      </c>
      <c r="I147" s="8">
        <f t="shared" si="2"/>
        <v>64.285714285714292</v>
      </c>
      <c r="J147" s="8"/>
      <c r="K147" s="8"/>
    </row>
    <row r="148" spans="1:11" x14ac:dyDescent="0.25">
      <c r="A148" s="44" t="s">
        <v>204</v>
      </c>
      <c r="B148" s="44">
        <v>1144276765455.1602</v>
      </c>
      <c r="C148" s="44">
        <v>1058478122767.5699</v>
      </c>
      <c r="D148" s="44">
        <f t="shared" si="0"/>
        <v>-7.4980673625285039</v>
      </c>
      <c r="E148" s="39">
        <v>5</v>
      </c>
      <c r="F148" s="39">
        <v>9</v>
      </c>
      <c r="G148" s="39">
        <v>0</v>
      </c>
      <c r="H148" s="8">
        <f t="shared" si="1"/>
        <v>35.714285714285715</v>
      </c>
      <c r="I148" s="8">
        <f t="shared" si="2"/>
        <v>64.285714285714292</v>
      </c>
      <c r="J148" s="8"/>
      <c r="K148" s="8"/>
    </row>
    <row r="149" spans="1:11" x14ac:dyDescent="0.25">
      <c r="A149" s="44" t="s">
        <v>110</v>
      </c>
      <c r="B149" s="44">
        <v>393093350699.76001</v>
      </c>
      <c r="C149" s="44">
        <v>427411419091.24005</v>
      </c>
      <c r="D149" s="44">
        <f t="shared" si="0"/>
        <v>8.7302591942573375</v>
      </c>
      <c r="E149" s="39">
        <v>8</v>
      </c>
      <c r="F149" s="39">
        <v>13</v>
      </c>
      <c r="G149" s="39">
        <v>2</v>
      </c>
      <c r="H149" s="8">
        <f t="shared" si="1"/>
        <v>34.782608695652172</v>
      </c>
      <c r="I149" s="8">
        <f t="shared" si="2"/>
        <v>56.521739130434781</v>
      </c>
      <c r="J149" s="8"/>
      <c r="K149" s="8"/>
    </row>
    <row r="150" spans="1:11" x14ac:dyDescent="0.25">
      <c r="A150" s="44" t="s">
        <v>2892</v>
      </c>
      <c r="B150" s="44">
        <v>2193457095446.1499</v>
      </c>
      <c r="C150" s="44">
        <v>2847869699590.25</v>
      </c>
      <c r="D150" s="44">
        <f t="shared" si="0"/>
        <v>29.834757447625954</v>
      </c>
      <c r="E150" s="39">
        <v>1</v>
      </c>
      <c r="F150" s="39">
        <v>2</v>
      </c>
      <c r="G150" s="39">
        <v>0</v>
      </c>
      <c r="H150" s="8">
        <f t="shared" si="1"/>
        <v>33.333333333333329</v>
      </c>
      <c r="I150" s="8">
        <f t="shared" si="2"/>
        <v>66.666666666666657</v>
      </c>
      <c r="J150" s="8"/>
      <c r="K150" s="8"/>
    </row>
    <row r="151" spans="1:11" x14ac:dyDescent="0.25">
      <c r="A151" s="44" t="s">
        <v>2575</v>
      </c>
      <c r="B151" s="44">
        <v>858490168082.13989</v>
      </c>
      <c r="C151" s="44">
        <v>882138032858.48999</v>
      </c>
      <c r="D151" s="44">
        <f t="shared" si="0"/>
        <v>2.7545877233724454</v>
      </c>
      <c r="E151" s="39">
        <v>8</v>
      </c>
      <c r="F151" s="39">
        <v>15</v>
      </c>
      <c r="G151" s="39">
        <v>1</v>
      </c>
      <c r="H151" s="8">
        <f t="shared" si="1"/>
        <v>33.333333333333329</v>
      </c>
      <c r="I151" s="8">
        <f t="shared" si="2"/>
        <v>62.5</v>
      </c>
      <c r="J151" s="8"/>
      <c r="K151" s="8"/>
    </row>
    <row r="152" spans="1:11" x14ac:dyDescent="0.25">
      <c r="A152" s="44" t="s">
        <v>11</v>
      </c>
      <c r="B152" s="44">
        <v>1391599464454.53</v>
      </c>
      <c r="C152" s="44">
        <v>1419851580063.6899</v>
      </c>
      <c r="D152" s="44">
        <f t="shared" si="0"/>
        <v>2.030190175463598</v>
      </c>
      <c r="E152" s="39">
        <v>3</v>
      </c>
      <c r="F152" s="39">
        <v>5</v>
      </c>
      <c r="G152" s="39">
        <v>1</v>
      </c>
      <c r="H152" s="8">
        <f t="shared" si="1"/>
        <v>33.333333333333329</v>
      </c>
      <c r="I152" s="8">
        <f t="shared" si="2"/>
        <v>55.555555555555557</v>
      </c>
      <c r="J152" s="8"/>
      <c r="K152" s="8"/>
    </row>
    <row r="153" spans="1:11" x14ac:dyDescent="0.25">
      <c r="A153" s="44" t="s">
        <v>3872</v>
      </c>
      <c r="B153" s="44">
        <v>529768298603.90997</v>
      </c>
      <c r="C153" s="44">
        <v>540411630579.80994</v>
      </c>
      <c r="D153" s="44">
        <f t="shared" si="0"/>
        <v>2.009054147624191</v>
      </c>
      <c r="E153" s="39">
        <v>8</v>
      </c>
      <c r="F153" s="39">
        <v>14</v>
      </c>
      <c r="G153" s="39">
        <v>2</v>
      </c>
      <c r="H153" s="8">
        <f t="shared" si="1"/>
        <v>33.333333333333329</v>
      </c>
      <c r="I153" s="8">
        <f t="shared" si="2"/>
        <v>58.333333333333336</v>
      </c>
      <c r="J153" s="8"/>
      <c r="K153" s="8"/>
    </row>
    <row r="154" spans="1:11" x14ac:dyDescent="0.25">
      <c r="A154" s="44" t="s">
        <v>1351</v>
      </c>
      <c r="B154" s="44">
        <v>38965746876.5</v>
      </c>
      <c r="C154" s="44">
        <v>39274007478.650002</v>
      </c>
      <c r="D154" s="44">
        <f t="shared" si="0"/>
        <v>0.79110661763270762</v>
      </c>
      <c r="E154" s="39">
        <v>2</v>
      </c>
      <c r="F154" s="39">
        <v>4</v>
      </c>
      <c r="G154" s="39">
        <v>0</v>
      </c>
      <c r="H154" s="8">
        <f t="shared" si="1"/>
        <v>33.333333333333329</v>
      </c>
      <c r="I154" s="8">
        <f t="shared" si="2"/>
        <v>66.666666666666657</v>
      </c>
      <c r="J154" s="8"/>
      <c r="K154" s="8"/>
    </row>
    <row r="155" spans="1:11" x14ac:dyDescent="0.25">
      <c r="A155" s="44" t="s">
        <v>4057</v>
      </c>
      <c r="B155" s="44">
        <v>4304790638.2600002</v>
      </c>
      <c r="C155" s="44">
        <v>4245684077.3600001</v>
      </c>
      <c r="D155" s="44">
        <f t="shared" si="0"/>
        <v>-1.373041475575477</v>
      </c>
      <c r="E155" s="39">
        <v>1</v>
      </c>
      <c r="F155" s="39">
        <v>2</v>
      </c>
      <c r="G155" s="39">
        <v>0</v>
      </c>
      <c r="H155" s="8">
        <f t="shared" si="1"/>
        <v>33.333333333333329</v>
      </c>
      <c r="I155" s="8">
        <f t="shared" si="2"/>
        <v>66.666666666666657</v>
      </c>
      <c r="J155" s="69" t="s">
        <v>4456</v>
      </c>
      <c r="K155" s="67"/>
    </row>
    <row r="156" spans="1:11" x14ac:dyDescent="0.25">
      <c r="A156" s="44" t="s">
        <v>3536</v>
      </c>
      <c r="B156" s="44">
        <v>2375334621033.4102</v>
      </c>
      <c r="C156" s="44">
        <v>2251003640322.2505</v>
      </c>
      <c r="D156" s="44">
        <f t="shared" si="0"/>
        <v>-5.2342511918202241</v>
      </c>
      <c r="E156" s="39">
        <v>2</v>
      </c>
      <c r="F156" s="39">
        <v>4</v>
      </c>
      <c r="G156" s="39">
        <v>0</v>
      </c>
      <c r="H156" s="8">
        <f t="shared" si="1"/>
        <v>33.333333333333329</v>
      </c>
      <c r="I156" s="8">
        <f t="shared" si="2"/>
        <v>66.666666666666657</v>
      </c>
      <c r="J156" s="8"/>
      <c r="K156" s="8"/>
    </row>
    <row r="157" spans="1:11" x14ac:dyDescent="0.25">
      <c r="A157" s="44" t="s">
        <v>3262</v>
      </c>
      <c r="B157" s="44">
        <v>1853441012627.05</v>
      </c>
      <c r="C157" s="44">
        <v>1510917331378.25</v>
      </c>
      <c r="D157" s="44">
        <f t="shared" si="0"/>
        <v>-18.480419873913881</v>
      </c>
      <c r="E157" s="39">
        <v>2</v>
      </c>
      <c r="F157" s="39">
        <v>4</v>
      </c>
      <c r="G157" s="39">
        <v>0</v>
      </c>
      <c r="H157" s="8">
        <f t="shared" si="1"/>
        <v>33.333333333333329</v>
      </c>
      <c r="I157" s="8">
        <f t="shared" si="2"/>
        <v>66.666666666666657</v>
      </c>
      <c r="J157" s="8"/>
      <c r="K157" s="8"/>
    </row>
    <row r="158" spans="1:11" x14ac:dyDescent="0.25">
      <c r="A158" s="44" t="s">
        <v>2228</v>
      </c>
      <c r="B158" s="44">
        <v>4524243609211.9795</v>
      </c>
      <c r="C158" s="44">
        <v>4296150605361.5601</v>
      </c>
      <c r="D158" s="44">
        <f t="shared" si="0"/>
        <v>-5.0415721069040327</v>
      </c>
      <c r="E158" s="39">
        <v>5</v>
      </c>
      <c r="F158" s="39">
        <v>11</v>
      </c>
      <c r="G158" s="39">
        <v>0</v>
      </c>
      <c r="H158" s="8">
        <f t="shared" si="1"/>
        <v>31.25</v>
      </c>
      <c r="I158" s="8">
        <f t="shared" si="2"/>
        <v>68.75</v>
      </c>
      <c r="J158" s="8"/>
      <c r="K158" s="8"/>
    </row>
    <row r="159" spans="1:11" x14ac:dyDescent="0.25">
      <c r="A159" s="44" t="s">
        <v>2681</v>
      </c>
      <c r="B159" s="44">
        <v>346020774128.57001</v>
      </c>
      <c r="C159" s="44">
        <v>352996782377.96002</v>
      </c>
      <c r="D159" s="44">
        <f t="shared" si="0"/>
        <v>2.0160663090124058</v>
      </c>
      <c r="E159" s="39">
        <v>33</v>
      </c>
      <c r="F159" s="39">
        <v>37</v>
      </c>
      <c r="G159" s="39">
        <v>38</v>
      </c>
      <c r="H159" s="8">
        <f t="shared" si="1"/>
        <v>30.555555555555557</v>
      </c>
      <c r="I159" s="8">
        <f t="shared" si="2"/>
        <v>34.25925925925926</v>
      </c>
      <c r="J159" s="8"/>
      <c r="K159" s="8"/>
    </row>
    <row r="160" spans="1:11" x14ac:dyDescent="0.25">
      <c r="A160" s="44" t="s">
        <v>3190</v>
      </c>
      <c r="B160" s="44">
        <v>87831453243.210007</v>
      </c>
      <c r="C160" s="44">
        <v>89470239405.050003</v>
      </c>
      <c r="D160" s="44">
        <f t="shared" si="0"/>
        <v>1.8658306350711398</v>
      </c>
      <c r="E160" s="39">
        <v>3</v>
      </c>
      <c r="F160" s="39">
        <v>7</v>
      </c>
      <c r="G160" s="39">
        <v>0</v>
      </c>
      <c r="H160" s="8">
        <f t="shared" si="1"/>
        <v>30</v>
      </c>
      <c r="I160" s="8">
        <f t="shared" si="2"/>
        <v>70</v>
      </c>
      <c r="J160" s="8"/>
      <c r="K160" s="8"/>
    </row>
    <row r="161" spans="1:11" x14ac:dyDescent="0.25">
      <c r="A161" s="44" t="s">
        <v>2422</v>
      </c>
      <c r="B161" s="44">
        <v>452188726028.33997</v>
      </c>
      <c r="C161" s="44">
        <v>432687099385.20996</v>
      </c>
      <c r="D161" s="44">
        <f t="shared" si="0"/>
        <v>-4.3127184559457108</v>
      </c>
      <c r="E161" s="39">
        <v>11</v>
      </c>
      <c r="F161" s="39">
        <v>24</v>
      </c>
      <c r="G161" s="39">
        <v>2</v>
      </c>
      <c r="H161" s="8">
        <f t="shared" si="1"/>
        <v>29.72972972972973</v>
      </c>
      <c r="I161" s="8">
        <f t="shared" si="2"/>
        <v>64.86486486486487</v>
      </c>
      <c r="J161" s="8"/>
      <c r="K161" s="8"/>
    </row>
    <row r="162" spans="1:11" x14ac:dyDescent="0.25">
      <c r="A162" s="44" t="s">
        <v>3831</v>
      </c>
      <c r="B162" s="44">
        <v>3128734247.6399994</v>
      </c>
      <c r="C162" s="44">
        <v>2931866249.29</v>
      </c>
      <c r="D162" s="44">
        <f t="shared" si="0"/>
        <v>-6.2922569565790623</v>
      </c>
      <c r="E162" s="39">
        <v>5</v>
      </c>
      <c r="F162" s="39">
        <v>11</v>
      </c>
      <c r="G162" s="39">
        <v>1</v>
      </c>
      <c r="H162" s="8">
        <f t="shared" si="1"/>
        <v>29.411764705882355</v>
      </c>
      <c r="I162" s="8">
        <f t="shared" si="2"/>
        <v>64.705882352941174</v>
      </c>
      <c r="J162" s="8"/>
      <c r="K162" s="8"/>
    </row>
    <row r="163" spans="1:11" x14ac:dyDescent="0.25">
      <c r="A163" s="44" t="s">
        <v>3561</v>
      </c>
      <c r="B163" s="44">
        <v>351378269778.4599</v>
      </c>
      <c r="C163" s="44">
        <v>324576505883.06006</v>
      </c>
      <c r="D163" s="44">
        <f t="shared" si="0"/>
        <v>-7.6276099578662215</v>
      </c>
      <c r="E163" s="39">
        <v>15</v>
      </c>
      <c r="F163" s="39">
        <v>32</v>
      </c>
      <c r="G163" s="39">
        <v>4</v>
      </c>
      <c r="H163" s="8">
        <f t="shared" si="1"/>
        <v>29.411764705882355</v>
      </c>
      <c r="I163" s="8">
        <f t="shared" si="2"/>
        <v>62.745098039215684</v>
      </c>
      <c r="J163" s="69" t="s">
        <v>4457</v>
      </c>
      <c r="K163" s="67"/>
    </row>
    <row r="164" spans="1:11" x14ac:dyDescent="0.25">
      <c r="A164" s="44" t="s">
        <v>876</v>
      </c>
      <c r="B164" s="44">
        <v>740508786.5</v>
      </c>
      <c r="C164" s="44">
        <v>747933621.71000004</v>
      </c>
      <c r="D164" s="44">
        <f t="shared" si="0"/>
        <v>1.0026667266290483</v>
      </c>
      <c r="E164" s="39">
        <v>1</v>
      </c>
      <c r="F164" s="39">
        <v>2</v>
      </c>
      <c r="G164" s="39">
        <v>1</v>
      </c>
      <c r="H164" s="8">
        <f t="shared" si="1"/>
        <v>25</v>
      </c>
      <c r="I164" s="8">
        <f t="shared" si="2"/>
        <v>50</v>
      </c>
      <c r="J164" s="8"/>
      <c r="K164" s="8"/>
    </row>
    <row r="165" spans="1:11" x14ac:dyDescent="0.25">
      <c r="A165" s="44" t="s">
        <v>2247</v>
      </c>
      <c r="B165" s="44">
        <v>137735071769.5</v>
      </c>
      <c r="C165" s="44">
        <v>133139258341.48999</v>
      </c>
      <c r="D165" s="44">
        <f t="shared" si="0"/>
        <v>-3.3367052915187179</v>
      </c>
      <c r="E165" s="39">
        <v>1</v>
      </c>
      <c r="F165" s="39">
        <v>3</v>
      </c>
      <c r="G165" s="39">
        <v>0</v>
      </c>
      <c r="H165" s="8">
        <f t="shared" si="1"/>
        <v>25</v>
      </c>
      <c r="I165" s="8">
        <f t="shared" si="2"/>
        <v>75</v>
      </c>
      <c r="J165" s="8"/>
      <c r="K165" s="8"/>
    </row>
    <row r="166" spans="1:11" x14ac:dyDescent="0.25">
      <c r="A166" s="44" t="s">
        <v>4053</v>
      </c>
      <c r="B166" s="44">
        <v>13858372128.75</v>
      </c>
      <c r="C166" s="44">
        <v>13135696790.9</v>
      </c>
      <c r="D166" s="44">
        <f t="shared" si="0"/>
        <v>-5.2147202509504584</v>
      </c>
      <c r="E166" s="39">
        <v>1</v>
      </c>
      <c r="F166" s="39">
        <v>3</v>
      </c>
      <c r="G166" s="39">
        <v>0</v>
      </c>
      <c r="H166" s="8">
        <f t="shared" si="1"/>
        <v>25</v>
      </c>
      <c r="I166" s="8">
        <f t="shared" si="2"/>
        <v>75</v>
      </c>
      <c r="J166" s="8"/>
      <c r="K166" s="8"/>
    </row>
    <row r="167" spans="1:11" x14ac:dyDescent="0.25">
      <c r="A167" s="44" t="s">
        <v>3611</v>
      </c>
      <c r="B167" s="44">
        <v>170515562123.20999</v>
      </c>
      <c r="C167" s="44">
        <v>160737041347.57001</v>
      </c>
      <c r="D167" s="44">
        <f t="shared" si="0"/>
        <v>-5.7346793769909903</v>
      </c>
      <c r="E167" s="39">
        <v>3</v>
      </c>
      <c r="F167" s="39">
        <v>9</v>
      </c>
      <c r="G167" s="39">
        <v>0</v>
      </c>
      <c r="H167" s="8">
        <f t="shared" si="1"/>
        <v>25</v>
      </c>
      <c r="I167" s="8">
        <f t="shared" si="2"/>
        <v>75</v>
      </c>
      <c r="J167" s="8"/>
      <c r="K167" s="8"/>
    </row>
    <row r="168" spans="1:11" x14ac:dyDescent="0.25">
      <c r="A168" s="44" t="s">
        <v>183</v>
      </c>
      <c r="B168" s="44">
        <v>828725467808.86011</v>
      </c>
      <c r="C168" s="44">
        <v>942782025156.78015</v>
      </c>
      <c r="D168" s="44">
        <f t="shared" si="0"/>
        <v>13.762887925899534</v>
      </c>
      <c r="E168" s="39">
        <v>1</v>
      </c>
      <c r="F168" s="39">
        <v>4</v>
      </c>
      <c r="G168" s="39">
        <v>0</v>
      </c>
      <c r="H168" s="8">
        <f t="shared" si="1"/>
        <v>20</v>
      </c>
      <c r="I168" s="8">
        <f t="shared" si="2"/>
        <v>80</v>
      </c>
      <c r="J168" s="8"/>
      <c r="K168" s="8"/>
    </row>
    <row r="169" spans="1:11" x14ac:dyDescent="0.25">
      <c r="A169" s="44" t="s">
        <v>2501</v>
      </c>
      <c r="B169" s="44">
        <v>103403082972.55</v>
      </c>
      <c r="C169" s="44">
        <v>111729388743.84999</v>
      </c>
      <c r="D169" s="44">
        <f t="shared" si="0"/>
        <v>8.0522800016613996</v>
      </c>
      <c r="E169" s="39">
        <v>1</v>
      </c>
      <c r="F169" s="39">
        <v>4</v>
      </c>
      <c r="G169" s="39">
        <v>0</v>
      </c>
      <c r="H169" s="8">
        <f t="shared" si="1"/>
        <v>20</v>
      </c>
      <c r="I169" s="8">
        <f t="shared" si="2"/>
        <v>80</v>
      </c>
      <c r="J169" s="8"/>
      <c r="K169" s="8"/>
    </row>
    <row r="170" spans="1:11" x14ac:dyDescent="0.25">
      <c r="A170" s="44" t="s">
        <v>767</v>
      </c>
      <c r="B170" s="44">
        <v>647557605908.28003</v>
      </c>
      <c r="C170" s="44">
        <v>617381021741.01001</v>
      </c>
      <c r="D170" s="44">
        <f t="shared" si="0"/>
        <v>-4.6600617291713542</v>
      </c>
      <c r="E170" s="39">
        <v>1</v>
      </c>
      <c r="F170" s="39">
        <v>2</v>
      </c>
      <c r="G170" s="39">
        <v>2</v>
      </c>
      <c r="H170" s="8">
        <f t="shared" si="1"/>
        <v>20</v>
      </c>
      <c r="I170" s="8">
        <f t="shared" si="2"/>
        <v>40</v>
      </c>
      <c r="J170" s="8"/>
      <c r="K170" s="8"/>
    </row>
    <row r="171" spans="1:11" x14ac:dyDescent="0.25">
      <c r="A171" s="44" t="s">
        <v>2867</v>
      </c>
      <c r="B171" s="44">
        <v>4649537092.2699995</v>
      </c>
      <c r="C171" s="44">
        <v>4729670809.3699999</v>
      </c>
      <c r="D171" s="44">
        <f t="shared" si="0"/>
        <v>1.7234773163381185</v>
      </c>
      <c r="E171" s="39">
        <v>1</v>
      </c>
      <c r="F171" s="39">
        <v>4</v>
      </c>
      <c r="G171" s="39">
        <v>1</v>
      </c>
      <c r="H171" s="8">
        <f t="shared" si="1"/>
        <v>16.666666666666664</v>
      </c>
      <c r="I171" s="8">
        <f t="shared" si="2"/>
        <v>66.666666666666657</v>
      </c>
      <c r="J171" s="8"/>
      <c r="K171" s="8"/>
    </row>
    <row r="172" spans="1:11" x14ac:dyDescent="0.25">
      <c r="A172" s="44" t="s">
        <v>2998</v>
      </c>
      <c r="B172" s="44">
        <v>11726746000.02</v>
      </c>
      <c r="C172" s="44">
        <v>11905126616.780001</v>
      </c>
      <c r="D172" s="44">
        <f t="shared" si="0"/>
        <v>1.5211433483738455</v>
      </c>
      <c r="E172" s="39">
        <v>1</v>
      </c>
      <c r="F172" s="39">
        <v>4</v>
      </c>
      <c r="G172" s="39">
        <v>1</v>
      </c>
      <c r="H172" s="8">
        <f t="shared" si="1"/>
        <v>16.666666666666664</v>
      </c>
      <c r="I172" s="8">
        <f t="shared" si="2"/>
        <v>66.666666666666657</v>
      </c>
      <c r="J172" s="8"/>
      <c r="K172" s="8"/>
    </row>
    <row r="173" spans="1:11" x14ac:dyDescent="0.25">
      <c r="A173" s="44" t="s">
        <v>1538</v>
      </c>
      <c r="B173" s="44">
        <v>925536323.17999995</v>
      </c>
      <c r="C173" s="44">
        <v>931127461.04000008</v>
      </c>
      <c r="D173" s="44">
        <f t="shared" si="0"/>
        <v>0.60409707538974233</v>
      </c>
      <c r="E173" s="39">
        <v>1</v>
      </c>
      <c r="F173" s="39">
        <v>5</v>
      </c>
      <c r="G173" s="39">
        <v>0</v>
      </c>
      <c r="H173" s="8">
        <f t="shared" si="1"/>
        <v>16.666666666666664</v>
      </c>
      <c r="I173" s="8">
        <f t="shared" si="2"/>
        <v>83.333333333333343</v>
      </c>
      <c r="J173" s="8"/>
      <c r="K173" s="8"/>
    </row>
    <row r="174" spans="1:11" x14ac:dyDescent="0.25">
      <c r="A174" s="44" t="s">
        <v>2346</v>
      </c>
      <c r="B174" s="44">
        <v>20451864869.970005</v>
      </c>
      <c r="C174" s="44">
        <v>20360602898.720001</v>
      </c>
      <c r="D174" s="44">
        <f t="shared" si="0"/>
        <v>-0.44622811577444998</v>
      </c>
      <c r="E174" s="39">
        <v>4</v>
      </c>
      <c r="F174" s="39">
        <v>16</v>
      </c>
      <c r="G174" s="39">
        <v>4</v>
      </c>
      <c r="H174" s="8">
        <f t="shared" si="1"/>
        <v>16.666666666666664</v>
      </c>
      <c r="I174" s="8">
        <f t="shared" si="2"/>
        <v>66.666666666666657</v>
      </c>
      <c r="J174" s="8"/>
      <c r="K174" s="8"/>
    </row>
    <row r="175" spans="1:11" x14ac:dyDescent="0.25">
      <c r="A175" s="44" t="s">
        <v>3140</v>
      </c>
      <c r="B175" s="44">
        <v>2381254486084.9102</v>
      </c>
      <c r="C175" s="44">
        <v>2340566854446.6606</v>
      </c>
      <c r="D175" s="44">
        <f t="shared" si="0"/>
        <v>-1.7086637264522377</v>
      </c>
      <c r="E175" s="39">
        <v>2</v>
      </c>
      <c r="F175" s="39">
        <v>9</v>
      </c>
      <c r="G175" s="39">
        <v>1</v>
      </c>
      <c r="H175" s="8">
        <f t="shared" si="1"/>
        <v>16.666666666666664</v>
      </c>
      <c r="I175" s="8">
        <f t="shared" si="2"/>
        <v>75</v>
      </c>
      <c r="J175" s="8"/>
      <c r="K175" s="8"/>
    </row>
    <row r="176" spans="1:11" x14ac:dyDescent="0.25">
      <c r="A176" s="44" t="s">
        <v>4145</v>
      </c>
      <c r="B176" s="44">
        <v>10069364510369.98</v>
      </c>
      <c r="C176" s="44">
        <v>9777517671452.9004</v>
      </c>
      <c r="D176" s="44">
        <f t="shared" si="0"/>
        <v>-2.898364028996272</v>
      </c>
      <c r="E176" s="39">
        <v>2</v>
      </c>
      <c r="F176" s="39">
        <v>10</v>
      </c>
      <c r="G176" s="39">
        <v>0</v>
      </c>
      <c r="H176" s="8">
        <f t="shared" si="1"/>
        <v>16.666666666666664</v>
      </c>
      <c r="I176" s="8">
        <f t="shared" si="2"/>
        <v>83.333333333333343</v>
      </c>
      <c r="J176" s="8"/>
      <c r="K176" s="8"/>
    </row>
    <row r="177" spans="1:11" x14ac:dyDescent="0.25">
      <c r="A177" s="44" t="s">
        <v>3951</v>
      </c>
      <c r="B177" s="44">
        <v>895032972267.06995</v>
      </c>
      <c r="C177" s="44">
        <v>845646600811.40015</v>
      </c>
      <c r="D177" s="44">
        <f t="shared" si="0"/>
        <v>-5.5178270506143257</v>
      </c>
      <c r="E177" s="39">
        <v>2</v>
      </c>
      <c r="F177" s="39">
        <v>18</v>
      </c>
      <c r="G177" s="39">
        <v>0</v>
      </c>
      <c r="H177" s="8">
        <f t="shared" si="1"/>
        <v>10</v>
      </c>
      <c r="I177" s="8">
        <f t="shared" si="2"/>
        <v>90</v>
      </c>
      <c r="J177" s="8"/>
      <c r="K177" s="8"/>
    </row>
    <row r="178" spans="1:11" x14ac:dyDescent="0.25">
      <c r="A178" s="44" t="s">
        <v>2905</v>
      </c>
      <c r="B178" s="44">
        <v>52346283746.489998</v>
      </c>
      <c r="C178" s="44">
        <v>48984798726.720001</v>
      </c>
      <c r="D178" s="44">
        <f t="shared" si="0"/>
        <v>-6.4216306854742031</v>
      </c>
      <c r="E178" s="39">
        <v>1</v>
      </c>
      <c r="F178" s="39">
        <v>10</v>
      </c>
      <c r="G178" s="39">
        <v>0</v>
      </c>
      <c r="H178" s="8">
        <f t="shared" si="1"/>
        <v>9.0909090909090917</v>
      </c>
      <c r="I178" s="8">
        <f t="shared" si="2"/>
        <v>90.909090909090907</v>
      </c>
      <c r="J178" s="8"/>
      <c r="K178" s="8"/>
    </row>
    <row r="179" spans="1:11" x14ac:dyDescent="0.25">
      <c r="A179" s="44" t="s">
        <v>3131</v>
      </c>
      <c r="B179" s="44">
        <v>1043065233707.1001</v>
      </c>
      <c r="C179" s="44">
        <v>1032297336487.83</v>
      </c>
      <c r="D179" s="44">
        <f t="shared" si="0"/>
        <v>-1.0323320988276599</v>
      </c>
      <c r="E179" s="39">
        <v>0</v>
      </c>
      <c r="F179" s="39">
        <v>2</v>
      </c>
      <c r="G179" s="39">
        <v>0</v>
      </c>
      <c r="H179" s="8">
        <f t="shared" si="1"/>
        <v>0</v>
      </c>
      <c r="I179" s="8">
        <f t="shared" si="2"/>
        <v>100</v>
      </c>
      <c r="J179" s="8"/>
      <c r="K179" s="8"/>
    </row>
    <row r="180" spans="1:11" x14ac:dyDescent="0.25">
      <c r="A180" s="44" t="s">
        <v>4191</v>
      </c>
      <c r="B180" s="44">
        <v>6896325218.75</v>
      </c>
      <c r="C180" s="44">
        <v>6790999524.5</v>
      </c>
      <c r="D180" s="44">
        <f t="shared" si="0"/>
        <v>-1.5272727272727273</v>
      </c>
      <c r="E180" s="39">
        <v>0</v>
      </c>
      <c r="F180" s="39">
        <v>1</v>
      </c>
      <c r="G180" s="39">
        <v>0</v>
      </c>
      <c r="H180" s="8">
        <f t="shared" si="1"/>
        <v>0</v>
      </c>
      <c r="I180" s="8">
        <f t="shared" si="2"/>
        <v>100</v>
      </c>
      <c r="J180" s="8"/>
      <c r="K180" s="8"/>
    </row>
    <row r="181" spans="1:11" x14ac:dyDescent="0.25">
      <c r="A181" s="44" t="s">
        <v>4077</v>
      </c>
      <c r="B181" s="44">
        <v>4527222570</v>
      </c>
      <c r="C181" s="44">
        <v>4203476550</v>
      </c>
      <c r="D181" s="44">
        <f t="shared" si="0"/>
        <v>-7.1510957324106119</v>
      </c>
      <c r="E181" s="39">
        <v>0</v>
      </c>
      <c r="F181" s="39">
        <v>1</v>
      </c>
      <c r="G181" s="39">
        <v>0</v>
      </c>
      <c r="H181" s="8">
        <f t="shared" si="1"/>
        <v>0</v>
      </c>
      <c r="I181" s="8">
        <f t="shared" si="2"/>
        <v>100</v>
      </c>
      <c r="J181" s="8"/>
      <c r="K181" s="8"/>
    </row>
    <row r="182" spans="1:11" x14ac:dyDescent="0.25">
      <c r="A182" s="44" t="s">
        <v>2778</v>
      </c>
      <c r="B182" s="44">
        <v>3862096388.4500003</v>
      </c>
      <c r="C182" s="44">
        <v>3577711661.9099998</v>
      </c>
      <c r="D182" s="44">
        <f t="shared" si="0"/>
        <v>-7.3634808129202174</v>
      </c>
      <c r="E182" s="39">
        <v>0</v>
      </c>
      <c r="F182" s="39">
        <v>2</v>
      </c>
      <c r="G182" s="39">
        <v>0</v>
      </c>
      <c r="H182" s="8">
        <f t="shared" si="1"/>
        <v>0</v>
      </c>
      <c r="I182" s="8">
        <f t="shared" si="2"/>
        <v>100</v>
      </c>
      <c r="J182" s="8"/>
      <c r="K182" s="8"/>
    </row>
    <row r="183" spans="1:11" x14ac:dyDescent="0.25">
      <c r="A183" s="44" t="s">
        <v>3867</v>
      </c>
      <c r="B183" s="44">
        <v>3700568207.6000004</v>
      </c>
      <c r="C183" s="44">
        <v>3397698257.7999997</v>
      </c>
      <c r="D183" s="44">
        <f t="shared" si="0"/>
        <v>-8.1844174410293231</v>
      </c>
      <c r="E183" s="39">
        <v>0</v>
      </c>
      <c r="F183" s="39">
        <v>1</v>
      </c>
      <c r="G183" s="39">
        <v>0</v>
      </c>
      <c r="H183" s="8">
        <f t="shared" si="1"/>
        <v>0</v>
      </c>
      <c r="I183" s="8">
        <f t="shared" si="2"/>
        <v>100</v>
      </c>
      <c r="J183" s="8"/>
      <c r="K183" s="8"/>
    </row>
    <row r="184" spans="1:11" x14ac:dyDescent="0.25">
      <c r="A184" s="44" t="s">
        <v>4033</v>
      </c>
      <c r="B184" s="44">
        <v>3026446452388.5498</v>
      </c>
      <c r="C184" s="44">
        <v>2695745566420</v>
      </c>
      <c r="D184" s="44">
        <f t="shared" si="0"/>
        <v>-10.927035755334515</v>
      </c>
      <c r="E184" s="39">
        <v>0</v>
      </c>
      <c r="F184" s="39">
        <v>4</v>
      </c>
      <c r="G184" s="39">
        <v>0</v>
      </c>
      <c r="H184" s="8">
        <f t="shared" si="1"/>
        <v>0</v>
      </c>
      <c r="I184" s="8">
        <f t="shared" si="2"/>
        <v>100</v>
      </c>
      <c r="J184" s="8"/>
      <c r="K184" s="8"/>
    </row>
    <row r="185" spans="1:11" x14ac:dyDescent="0.25">
      <c r="A185" s="44" t="s">
        <v>4133</v>
      </c>
      <c r="B185" s="44">
        <v>4569627132</v>
      </c>
      <c r="C185" s="44">
        <v>4066364232</v>
      </c>
      <c r="D185" s="44">
        <f t="shared" si="0"/>
        <v>-11.013215859030836</v>
      </c>
      <c r="E185" s="39">
        <v>0</v>
      </c>
      <c r="F185" s="39">
        <v>1</v>
      </c>
      <c r="G185" s="39">
        <v>0</v>
      </c>
      <c r="H185" s="8">
        <f t="shared" si="1"/>
        <v>0</v>
      </c>
      <c r="I185" s="8">
        <f t="shared" si="2"/>
        <v>100</v>
      </c>
      <c r="J185" s="8"/>
      <c r="K185" s="8"/>
    </row>
    <row r="186" spans="1:11" x14ac:dyDescent="0.25">
      <c r="A186" s="44" t="s">
        <v>4230</v>
      </c>
      <c r="B186" s="44">
        <v>9468098141.2000008</v>
      </c>
      <c r="C186" s="44">
        <v>7628727240</v>
      </c>
      <c r="D186" s="44">
        <f t="shared" si="0"/>
        <v>-19.427036705461063</v>
      </c>
      <c r="E186" s="39">
        <v>0</v>
      </c>
      <c r="F186" s="39">
        <v>1</v>
      </c>
      <c r="G186" s="39">
        <v>0</v>
      </c>
      <c r="H186" s="8">
        <f t="shared" si="1"/>
        <v>0</v>
      </c>
      <c r="I186" s="8">
        <f t="shared" si="2"/>
        <v>100</v>
      </c>
      <c r="J186" s="8"/>
      <c r="K186" s="8"/>
    </row>
    <row r="187" spans="1:11" x14ac:dyDescent="0.25">
      <c r="A187" s="44"/>
      <c r="B187" s="44"/>
      <c r="C187" s="44"/>
      <c r="D187" s="44"/>
      <c r="E187" s="8"/>
      <c r="F187" s="8"/>
      <c r="G187" s="8"/>
      <c r="H187" s="8"/>
      <c r="I187" s="8"/>
      <c r="J187" s="8"/>
      <c r="K187" s="8"/>
    </row>
    <row r="188" spans="1:11" x14ac:dyDescent="0.25">
      <c r="A188" s="44"/>
      <c r="B188" s="44"/>
      <c r="C188" s="44"/>
      <c r="D188" s="44"/>
      <c r="E188" s="8"/>
      <c r="F188" s="8"/>
      <c r="G188" s="8"/>
      <c r="H188" s="8"/>
      <c r="I188" s="8"/>
      <c r="J188" s="8"/>
      <c r="K188" s="8"/>
    </row>
    <row r="189" spans="1:11" x14ac:dyDescent="0.25">
      <c r="A189" s="44"/>
      <c r="B189" s="44"/>
      <c r="C189" s="44"/>
      <c r="D189" s="44"/>
      <c r="E189" s="8"/>
      <c r="F189" s="8"/>
      <c r="G189" s="8"/>
      <c r="H189" s="8"/>
      <c r="I189" s="8"/>
      <c r="J189" s="8"/>
      <c r="K189" s="8"/>
    </row>
    <row r="190" spans="1:11" x14ac:dyDescent="0.25">
      <c r="A190" s="44"/>
      <c r="B190" s="44"/>
      <c r="C190" s="44"/>
      <c r="D190" s="44"/>
      <c r="E190" s="8"/>
      <c r="F190" s="8"/>
      <c r="G190" s="8"/>
      <c r="H190" s="8"/>
      <c r="I190" s="8"/>
      <c r="J190" s="8"/>
      <c r="K190" s="8"/>
    </row>
    <row r="191" spans="1:11" x14ac:dyDescent="0.25">
      <c r="A191" s="44"/>
      <c r="B191" s="44"/>
      <c r="C191" s="44"/>
      <c r="D191" s="44"/>
      <c r="E191" s="8"/>
      <c r="F191" s="8"/>
      <c r="G191" s="8"/>
      <c r="H191" s="8"/>
      <c r="I191" s="8"/>
      <c r="J191" s="8"/>
      <c r="K191" s="8"/>
    </row>
    <row r="192" spans="1:11" x14ac:dyDescent="0.25">
      <c r="A192" s="44"/>
      <c r="B192" s="44"/>
      <c r="C192" s="44"/>
      <c r="D192" s="44"/>
      <c r="E192" s="8"/>
      <c r="F192" s="8"/>
      <c r="G192" s="8"/>
      <c r="H192" s="8"/>
      <c r="I192" s="8"/>
      <c r="J192" s="8"/>
      <c r="K192" s="8"/>
    </row>
    <row r="193" spans="1:11" x14ac:dyDescent="0.25">
      <c r="A193" s="44"/>
      <c r="B193" s="44"/>
      <c r="C193" s="44"/>
      <c r="D193" s="44"/>
      <c r="E193" s="8"/>
      <c r="F193" s="8"/>
      <c r="G193" s="8"/>
      <c r="H193" s="8"/>
      <c r="I193" s="8"/>
      <c r="J193" s="8"/>
      <c r="K193" s="8"/>
    </row>
    <row r="194" spans="1:11" x14ac:dyDescent="0.25">
      <c r="A194" s="44"/>
      <c r="B194" s="44"/>
      <c r="C194" s="44"/>
      <c r="D194" s="44"/>
      <c r="E194" s="8"/>
      <c r="F194" s="8"/>
      <c r="G194" s="8"/>
      <c r="H194" s="8"/>
      <c r="I194" s="8"/>
      <c r="J194" s="8"/>
      <c r="K194" s="8"/>
    </row>
    <row r="195" spans="1:11" x14ac:dyDescent="0.25">
      <c r="A195" s="44"/>
      <c r="B195" s="44"/>
      <c r="C195" s="44"/>
      <c r="D195" s="44"/>
      <c r="E195" s="8"/>
      <c r="F195" s="8"/>
      <c r="G195" s="8"/>
      <c r="H195" s="8"/>
      <c r="I195" s="8"/>
      <c r="J195" s="8"/>
      <c r="K195" s="8"/>
    </row>
    <row r="196" spans="1:11" x14ac:dyDescent="0.25">
      <c r="A196" s="44"/>
      <c r="B196" s="44"/>
      <c r="C196" s="44"/>
      <c r="D196" s="44"/>
      <c r="E196" s="8"/>
      <c r="F196" s="8"/>
      <c r="G196" s="8"/>
      <c r="H196" s="8"/>
      <c r="I196" s="8"/>
      <c r="J196" s="8"/>
      <c r="K196" s="8"/>
    </row>
    <row r="197" spans="1:11" x14ac:dyDescent="0.25">
      <c r="A197" s="44"/>
      <c r="B197" s="44"/>
      <c r="C197" s="44"/>
      <c r="D197" s="44"/>
      <c r="E197" s="8"/>
      <c r="F197" s="8"/>
      <c r="G197" s="8"/>
      <c r="H197" s="8"/>
      <c r="I197" s="8"/>
      <c r="J197" s="8"/>
      <c r="K197" s="8"/>
    </row>
    <row r="198" spans="1:11" x14ac:dyDescent="0.25">
      <c r="A198" s="44"/>
      <c r="B198" s="44"/>
      <c r="C198" s="44"/>
      <c r="D198" s="44"/>
      <c r="E198" s="8"/>
      <c r="F198" s="8"/>
      <c r="G198" s="8"/>
      <c r="H198" s="8"/>
      <c r="I198" s="8"/>
      <c r="J198" s="8"/>
      <c r="K198" s="8"/>
    </row>
    <row r="199" spans="1:11" x14ac:dyDescent="0.25">
      <c r="A199" s="44"/>
      <c r="B199" s="44"/>
      <c r="C199" s="44"/>
      <c r="D199" s="44"/>
      <c r="E199" s="8"/>
      <c r="F199" s="8"/>
      <c r="G199" s="8"/>
      <c r="H199" s="8"/>
      <c r="I199" s="8"/>
      <c r="J199" s="8"/>
      <c r="K199" s="8"/>
    </row>
    <row r="200" spans="1:11" x14ac:dyDescent="0.25">
      <c r="A200" s="44"/>
      <c r="B200" s="44"/>
      <c r="C200" s="44"/>
      <c r="D200" s="44"/>
      <c r="E200" s="8"/>
      <c r="F200" s="8"/>
      <c r="G200" s="8"/>
      <c r="H200" s="8"/>
      <c r="I200" s="8"/>
      <c r="J200" s="8"/>
      <c r="K200" s="8"/>
    </row>
    <row r="201" spans="1:11" x14ac:dyDescent="0.25">
      <c r="A201" s="44"/>
      <c r="B201" s="44"/>
      <c r="C201" s="44"/>
      <c r="D201" s="44"/>
      <c r="E201" s="8"/>
      <c r="F201" s="8"/>
      <c r="G201" s="8"/>
      <c r="H201" s="8"/>
      <c r="I201" s="8"/>
      <c r="J201" s="8"/>
      <c r="K201" s="8"/>
    </row>
    <row r="202" spans="1:11" x14ac:dyDescent="0.25">
      <c r="A202" s="44"/>
      <c r="B202" s="44"/>
      <c r="C202" s="44"/>
      <c r="D202" s="44"/>
      <c r="E202" s="8"/>
      <c r="F202" s="8"/>
      <c r="G202" s="8"/>
      <c r="H202" s="8"/>
      <c r="I202" s="8"/>
      <c r="J202" s="8"/>
      <c r="K202" s="8"/>
    </row>
    <row r="203" spans="1:11" x14ac:dyDescent="0.25">
      <c r="A203" s="44"/>
      <c r="B203" s="44"/>
      <c r="C203" s="44"/>
      <c r="D203" s="44"/>
      <c r="E203" s="8"/>
      <c r="F203" s="8"/>
      <c r="G203" s="8"/>
      <c r="H203" s="8"/>
      <c r="I203" s="8"/>
      <c r="J203" s="8"/>
      <c r="K203" s="8"/>
    </row>
    <row r="204" spans="1:11" x14ac:dyDescent="0.25">
      <c r="A204" s="44"/>
      <c r="B204" s="44"/>
      <c r="C204" s="44"/>
      <c r="D204" s="44"/>
      <c r="E204" s="8"/>
      <c r="F204" s="8"/>
      <c r="G204" s="8"/>
      <c r="H204" s="8"/>
      <c r="I204" s="8"/>
      <c r="J204" s="8"/>
      <c r="K204" s="8"/>
    </row>
    <row r="205" spans="1:11" x14ac:dyDescent="0.25">
      <c r="A205" s="44"/>
      <c r="B205" s="44"/>
      <c r="C205" s="44"/>
      <c r="D205" s="44"/>
      <c r="E205" s="8"/>
      <c r="F205" s="8"/>
      <c r="G205" s="8"/>
      <c r="H205" s="8"/>
      <c r="I205" s="8"/>
      <c r="J205" s="8"/>
      <c r="K205" s="8"/>
    </row>
    <row r="206" spans="1:11" x14ac:dyDescent="0.25">
      <c r="A206" s="44"/>
      <c r="B206" s="44"/>
      <c r="C206" s="44"/>
      <c r="D206" s="44"/>
      <c r="E206" s="8"/>
      <c r="F206" s="8"/>
      <c r="G206" s="8"/>
      <c r="H206" s="8"/>
      <c r="I206" s="8"/>
      <c r="J206" s="8"/>
      <c r="K206" s="8"/>
    </row>
    <row r="207" spans="1:11" x14ac:dyDescent="0.25">
      <c r="A207" s="44"/>
      <c r="B207" s="44"/>
      <c r="C207" s="44"/>
      <c r="D207" s="44"/>
      <c r="E207" s="8"/>
      <c r="F207" s="8"/>
      <c r="G207" s="8"/>
      <c r="H207" s="8"/>
      <c r="I207" s="8"/>
      <c r="J207" s="8"/>
      <c r="K207" s="8"/>
    </row>
    <row r="208" spans="1:11" x14ac:dyDescent="0.25">
      <c r="A208" s="44"/>
      <c r="B208" s="44"/>
      <c r="C208" s="44"/>
      <c r="D208" s="44"/>
      <c r="E208" s="8"/>
      <c r="F208" s="8"/>
      <c r="G208" s="8"/>
      <c r="H208" s="8"/>
      <c r="I208" s="8"/>
      <c r="J208" s="8"/>
      <c r="K208" s="8"/>
    </row>
    <row r="209" spans="1:11" x14ac:dyDescent="0.25">
      <c r="A209" s="44"/>
      <c r="B209" s="44"/>
      <c r="C209" s="44"/>
      <c r="D209" s="44"/>
      <c r="E209" s="8"/>
      <c r="F209" s="8"/>
      <c r="G209" s="8"/>
      <c r="H209" s="8"/>
      <c r="I209" s="8"/>
      <c r="J209" s="8"/>
      <c r="K209" s="8"/>
    </row>
    <row r="210" spans="1:11" x14ac:dyDescent="0.25">
      <c r="A210" s="44"/>
      <c r="B210" s="44"/>
      <c r="C210" s="44"/>
      <c r="D210" s="44"/>
      <c r="E210" s="8"/>
      <c r="F210" s="8"/>
      <c r="G210" s="8"/>
      <c r="H210" s="8"/>
      <c r="I210" s="8"/>
      <c r="J210" s="8"/>
      <c r="K210" s="8"/>
    </row>
    <row r="211" spans="1:11" x14ac:dyDescent="0.25">
      <c r="A211" s="44"/>
      <c r="B211" s="44"/>
      <c r="C211" s="44"/>
      <c r="D211" s="44"/>
      <c r="E211" s="8"/>
      <c r="F211" s="8"/>
      <c r="G211" s="8"/>
      <c r="H211" s="8"/>
      <c r="I211" s="8"/>
      <c r="J211" s="8"/>
      <c r="K211" s="8"/>
    </row>
    <row r="212" spans="1:11" x14ac:dyDescent="0.25">
      <c r="A212" s="44"/>
      <c r="B212" s="44"/>
      <c r="C212" s="44"/>
      <c r="D212" s="44"/>
      <c r="E212" s="8"/>
      <c r="F212" s="8"/>
      <c r="G212" s="8"/>
      <c r="H212" s="8"/>
      <c r="I212" s="8"/>
      <c r="J212" s="8"/>
      <c r="K212" s="8"/>
    </row>
    <row r="213" spans="1:11" x14ac:dyDescent="0.25">
      <c r="A213" s="44"/>
      <c r="B213" s="44"/>
      <c r="C213" s="44"/>
      <c r="D213" s="44"/>
      <c r="E213" s="8"/>
      <c r="F213" s="8"/>
      <c r="G213" s="8"/>
      <c r="H213" s="8"/>
      <c r="I213" s="8"/>
      <c r="J213" s="8"/>
      <c r="K213" s="8"/>
    </row>
    <row r="214" spans="1:11" x14ac:dyDescent="0.25">
      <c r="A214" s="44"/>
      <c r="B214" s="44"/>
      <c r="C214" s="44"/>
      <c r="D214" s="44"/>
      <c r="E214" s="8"/>
      <c r="F214" s="8"/>
      <c r="G214" s="8"/>
      <c r="H214" s="8"/>
      <c r="I214" s="8"/>
      <c r="J214" s="8"/>
      <c r="K214" s="8"/>
    </row>
    <row r="215" spans="1:11" x14ac:dyDescent="0.25">
      <c r="A215" s="44"/>
      <c r="B215" s="44"/>
      <c r="C215" s="44"/>
      <c r="D215" s="44"/>
      <c r="E215" s="8"/>
      <c r="F215" s="8"/>
      <c r="G215" s="8"/>
      <c r="H215" s="8"/>
      <c r="I215" s="8"/>
      <c r="J215" s="8"/>
      <c r="K215" s="8"/>
    </row>
    <row r="216" spans="1:11" x14ac:dyDescent="0.25">
      <c r="A216" s="44"/>
      <c r="B216" s="44"/>
      <c r="C216" s="44"/>
      <c r="D216" s="44"/>
      <c r="E216" s="8"/>
      <c r="F216" s="8"/>
      <c r="G216" s="8"/>
      <c r="H216" s="8"/>
      <c r="I216" s="8"/>
      <c r="J216" s="8"/>
      <c r="K216" s="8"/>
    </row>
    <row r="217" spans="1:11" x14ac:dyDescent="0.25">
      <c r="A217" s="44"/>
      <c r="B217" s="44"/>
      <c r="C217" s="44"/>
      <c r="D217" s="44"/>
      <c r="E217" s="8"/>
      <c r="F217" s="8"/>
      <c r="G217" s="8"/>
      <c r="H217" s="8"/>
      <c r="I217" s="8"/>
      <c r="J217" s="8"/>
      <c r="K217" s="8"/>
    </row>
    <row r="218" spans="1:11" x14ac:dyDescent="0.25">
      <c r="A218" s="44"/>
      <c r="B218" s="44"/>
      <c r="C218" s="44"/>
      <c r="D218" s="44"/>
      <c r="E218" s="8"/>
      <c r="F218" s="8"/>
      <c r="G218" s="8"/>
      <c r="H218" s="8"/>
      <c r="I218" s="8"/>
      <c r="J218" s="8"/>
      <c r="K218" s="8"/>
    </row>
    <row r="219" spans="1:11" x14ac:dyDescent="0.25">
      <c r="A219" s="44"/>
      <c r="B219" s="44"/>
      <c r="C219" s="44"/>
      <c r="D219" s="44"/>
      <c r="E219" s="8"/>
      <c r="F219" s="8"/>
      <c r="G219" s="8"/>
      <c r="H219" s="8"/>
      <c r="I219" s="8"/>
      <c r="J219" s="8"/>
      <c r="K219" s="8"/>
    </row>
    <row r="220" spans="1:11" x14ac:dyDescent="0.25">
      <c r="A220" s="44"/>
      <c r="B220" s="44"/>
      <c r="C220" s="44"/>
      <c r="D220" s="44"/>
      <c r="E220" s="8"/>
      <c r="F220" s="8"/>
      <c r="G220" s="8"/>
      <c r="H220" s="8"/>
      <c r="I220" s="8"/>
      <c r="J220" s="8"/>
      <c r="K220" s="8"/>
    </row>
    <row r="221" spans="1:11" x14ac:dyDescent="0.25">
      <c r="A221" s="44"/>
      <c r="B221" s="44"/>
      <c r="C221" s="44"/>
      <c r="D221" s="44"/>
      <c r="E221" s="8"/>
      <c r="F221" s="8"/>
      <c r="G221" s="8"/>
      <c r="H221" s="8"/>
      <c r="I221" s="8"/>
      <c r="J221" s="8"/>
      <c r="K221" s="8"/>
    </row>
    <row r="222" spans="1:11" x14ac:dyDescent="0.25">
      <c r="A222" s="44"/>
      <c r="B222" s="44"/>
      <c r="C222" s="44"/>
      <c r="D222" s="44"/>
      <c r="E222" s="8"/>
      <c r="F222" s="8"/>
      <c r="G222" s="8"/>
      <c r="H222" s="8"/>
      <c r="I222" s="8"/>
      <c r="J222" s="8"/>
      <c r="K222" s="8"/>
    </row>
    <row r="223" spans="1:11" x14ac:dyDescent="0.25">
      <c r="A223" s="44"/>
      <c r="B223" s="44"/>
      <c r="C223" s="44"/>
      <c r="D223" s="44"/>
      <c r="E223" s="8"/>
      <c r="F223" s="8"/>
      <c r="G223" s="8"/>
      <c r="H223" s="8"/>
      <c r="I223" s="8"/>
      <c r="J223" s="8"/>
      <c r="K223" s="8"/>
    </row>
    <row r="224" spans="1:11" x14ac:dyDescent="0.25">
      <c r="A224" s="44"/>
      <c r="B224" s="44"/>
      <c r="C224" s="44"/>
      <c r="D224" s="44"/>
      <c r="E224" s="8"/>
      <c r="F224" s="8"/>
      <c r="G224" s="8"/>
      <c r="H224" s="8"/>
      <c r="I224" s="8"/>
      <c r="J224" s="8"/>
      <c r="K224" s="8"/>
    </row>
    <row r="225" spans="1:11" x14ac:dyDescent="0.25">
      <c r="A225" s="44"/>
      <c r="B225" s="44"/>
      <c r="C225" s="44"/>
      <c r="D225" s="44"/>
      <c r="E225" s="8"/>
      <c r="F225" s="8"/>
      <c r="G225" s="8"/>
      <c r="H225" s="8"/>
      <c r="I225" s="8"/>
      <c r="J225" s="8"/>
      <c r="K225" s="8"/>
    </row>
    <row r="226" spans="1:11" x14ac:dyDescent="0.25">
      <c r="A226" s="44"/>
      <c r="B226" s="44"/>
      <c r="C226" s="44"/>
      <c r="D226" s="44"/>
      <c r="E226" s="8"/>
      <c r="F226" s="8"/>
      <c r="G226" s="8"/>
      <c r="H226" s="8"/>
      <c r="I226" s="8"/>
      <c r="J226" s="8"/>
      <c r="K226" s="8"/>
    </row>
    <row r="227" spans="1:11" x14ac:dyDescent="0.25">
      <c r="A227" s="44"/>
      <c r="B227" s="44"/>
      <c r="C227" s="44"/>
      <c r="D227" s="44"/>
      <c r="E227" s="8"/>
      <c r="F227" s="8"/>
      <c r="G227" s="8"/>
      <c r="H227" s="8"/>
      <c r="I227" s="8"/>
      <c r="J227" s="8"/>
      <c r="K227" s="8"/>
    </row>
    <row r="228" spans="1:11" x14ac:dyDescent="0.25">
      <c r="A228" s="44"/>
      <c r="B228" s="44"/>
      <c r="C228" s="44"/>
      <c r="D228" s="44"/>
      <c r="E228" s="8"/>
      <c r="F228" s="8"/>
      <c r="G228" s="8"/>
      <c r="H228" s="8"/>
      <c r="I228" s="8"/>
      <c r="J228" s="8"/>
      <c r="K228" s="8"/>
    </row>
    <row r="229" spans="1:11" x14ac:dyDescent="0.25">
      <c r="A229" s="44"/>
      <c r="B229" s="44"/>
      <c r="C229" s="44"/>
      <c r="D229" s="44"/>
      <c r="E229" s="8"/>
      <c r="F229" s="8"/>
      <c r="G229" s="8"/>
      <c r="H229" s="8"/>
      <c r="I229" s="8"/>
      <c r="J229" s="8"/>
      <c r="K229" s="8"/>
    </row>
    <row r="230" spans="1:11" x14ac:dyDescent="0.25">
      <c r="A230" s="44"/>
      <c r="B230" s="44"/>
      <c r="C230" s="44"/>
      <c r="D230" s="44"/>
      <c r="E230" s="8"/>
      <c r="F230" s="8"/>
      <c r="G230" s="8"/>
      <c r="H230" s="8"/>
      <c r="I230" s="8"/>
      <c r="J230" s="8"/>
      <c r="K230" s="8"/>
    </row>
    <row r="231" spans="1:11" x14ac:dyDescent="0.25">
      <c r="A231" s="44"/>
      <c r="B231" s="44"/>
      <c r="C231" s="44"/>
      <c r="D231" s="44"/>
      <c r="E231" s="8"/>
      <c r="F231" s="8"/>
      <c r="G231" s="8"/>
      <c r="H231" s="8"/>
      <c r="I231" s="8"/>
      <c r="J231" s="8"/>
      <c r="K231" s="8"/>
    </row>
    <row r="232" spans="1:11" x14ac:dyDescent="0.25">
      <c r="A232" s="44"/>
      <c r="B232" s="44"/>
      <c r="C232" s="44"/>
      <c r="D232" s="44"/>
      <c r="E232" s="8"/>
      <c r="F232" s="8"/>
      <c r="G232" s="8"/>
      <c r="H232" s="8"/>
      <c r="I232" s="8"/>
      <c r="J232" s="8"/>
      <c r="K232" s="8"/>
    </row>
    <row r="233" spans="1:11" x14ac:dyDescent="0.25">
      <c r="A233" s="44"/>
      <c r="B233" s="44"/>
      <c r="C233" s="44"/>
      <c r="D233" s="44"/>
      <c r="E233" s="8"/>
      <c r="F233" s="8"/>
      <c r="G233" s="8"/>
      <c r="H233" s="8"/>
      <c r="I233" s="8"/>
      <c r="J233" s="8"/>
      <c r="K233" s="8"/>
    </row>
    <row r="234" spans="1:11" x14ac:dyDescent="0.25">
      <c r="A234" s="44"/>
      <c r="B234" s="44"/>
      <c r="C234" s="44"/>
      <c r="D234" s="44"/>
      <c r="E234" s="8"/>
      <c r="F234" s="8"/>
      <c r="G234" s="8"/>
      <c r="H234" s="8"/>
      <c r="I234" s="8"/>
      <c r="J234" s="8"/>
      <c r="K234" s="8"/>
    </row>
    <row r="235" spans="1:11" x14ac:dyDescent="0.25">
      <c r="A235" s="44"/>
      <c r="B235" s="44"/>
      <c r="C235" s="44"/>
      <c r="D235" s="44"/>
      <c r="E235" s="8"/>
      <c r="F235" s="8"/>
      <c r="G235" s="8"/>
      <c r="H235" s="8"/>
      <c r="I235" s="8"/>
      <c r="J235" s="8"/>
      <c r="K235" s="8"/>
    </row>
    <row r="236" spans="1:11" x14ac:dyDescent="0.25">
      <c r="A236" s="44"/>
      <c r="B236" s="44"/>
      <c r="C236" s="44"/>
      <c r="D236" s="44"/>
      <c r="E236" s="8"/>
      <c r="F236" s="8"/>
      <c r="G236" s="8"/>
      <c r="H236" s="8"/>
      <c r="I236" s="8"/>
      <c r="J236" s="8"/>
      <c r="K236" s="8"/>
    </row>
    <row r="237" spans="1:11" x14ac:dyDescent="0.25">
      <c r="A237" s="44"/>
      <c r="B237" s="44"/>
      <c r="C237" s="44"/>
      <c r="D237" s="44"/>
      <c r="E237" s="8"/>
      <c r="F237" s="8"/>
      <c r="G237" s="8"/>
      <c r="H237" s="8"/>
      <c r="I237" s="8"/>
      <c r="J237" s="8"/>
      <c r="K237" s="8"/>
    </row>
    <row r="238" spans="1:11" x14ac:dyDescent="0.25">
      <c r="A238" s="44"/>
      <c r="B238" s="44"/>
      <c r="C238" s="44"/>
      <c r="D238" s="44"/>
      <c r="E238" s="8"/>
      <c r="F238" s="8"/>
      <c r="G238" s="8"/>
      <c r="H238" s="8"/>
      <c r="I238" s="8"/>
      <c r="J238" s="8"/>
      <c r="K238" s="8"/>
    </row>
    <row r="239" spans="1:11" x14ac:dyDescent="0.25">
      <c r="A239" s="44"/>
      <c r="B239" s="44"/>
      <c r="C239" s="44"/>
      <c r="D239" s="44"/>
      <c r="E239" s="8"/>
      <c r="F239" s="8"/>
      <c r="G239" s="8"/>
      <c r="H239" s="8"/>
      <c r="I239" s="8"/>
      <c r="J239" s="8"/>
      <c r="K239" s="8"/>
    </row>
    <row r="240" spans="1:11" x14ac:dyDescent="0.25">
      <c r="A240" s="44"/>
      <c r="B240" s="44"/>
      <c r="C240" s="44"/>
      <c r="D240" s="44"/>
      <c r="E240" s="8"/>
      <c r="F240" s="8"/>
      <c r="G240" s="8"/>
      <c r="H240" s="8"/>
      <c r="I240" s="8"/>
      <c r="J240" s="8"/>
      <c r="K240" s="8"/>
    </row>
    <row r="241" spans="1:11" x14ac:dyDescent="0.25">
      <c r="A241" s="44"/>
      <c r="B241" s="44"/>
      <c r="C241" s="44"/>
      <c r="D241" s="44"/>
      <c r="E241" s="8"/>
      <c r="F241" s="8"/>
      <c r="G241" s="8"/>
      <c r="H241" s="8"/>
      <c r="I241" s="8"/>
      <c r="J241" s="8"/>
      <c r="K241" s="8"/>
    </row>
    <row r="242" spans="1:11" x14ac:dyDescent="0.25">
      <c r="A242" s="44"/>
      <c r="B242" s="44"/>
      <c r="C242" s="44"/>
      <c r="D242" s="44"/>
      <c r="E242" s="8"/>
      <c r="F242" s="8"/>
      <c r="G242" s="8"/>
      <c r="H242" s="8"/>
      <c r="I242" s="8"/>
      <c r="J242" s="8"/>
      <c r="K242" s="8"/>
    </row>
    <row r="243" spans="1:11" x14ac:dyDescent="0.25">
      <c r="A243" s="44"/>
      <c r="B243" s="44"/>
      <c r="C243" s="44"/>
      <c r="D243" s="44"/>
      <c r="E243" s="8"/>
      <c r="F243" s="8"/>
      <c r="G243" s="8"/>
      <c r="H243" s="8"/>
      <c r="I243" s="8"/>
      <c r="J243" s="8"/>
      <c r="K243" s="8"/>
    </row>
    <row r="244" spans="1:11" x14ac:dyDescent="0.25">
      <c r="A244" s="44"/>
      <c r="B244" s="44"/>
      <c r="C244" s="44"/>
      <c r="D244" s="44"/>
      <c r="E244" s="8"/>
      <c r="F244" s="8"/>
      <c r="G244" s="8"/>
      <c r="H244" s="8"/>
      <c r="I244" s="8"/>
      <c r="J244" s="8"/>
      <c r="K244" s="8"/>
    </row>
    <row r="245" spans="1:11" x14ac:dyDescent="0.25">
      <c r="A245" s="44"/>
      <c r="B245" s="44"/>
      <c r="C245" s="44"/>
      <c r="D245" s="44"/>
      <c r="E245" s="8"/>
      <c r="F245" s="8"/>
      <c r="G245" s="8"/>
      <c r="H245" s="8"/>
      <c r="I245" s="8"/>
      <c r="J245" s="8"/>
      <c r="K245" s="8"/>
    </row>
    <row r="246" spans="1:11" x14ac:dyDescent="0.25">
      <c r="A246" s="44"/>
      <c r="B246" s="44"/>
      <c r="C246" s="44"/>
      <c r="D246" s="44"/>
      <c r="E246" s="8"/>
      <c r="F246" s="8"/>
      <c r="G246" s="8"/>
      <c r="H246" s="8"/>
      <c r="I246" s="8"/>
      <c r="J246" s="8"/>
      <c r="K246" s="8"/>
    </row>
    <row r="247" spans="1:11" x14ac:dyDescent="0.25">
      <c r="A247" s="44"/>
      <c r="B247" s="44"/>
      <c r="C247" s="44"/>
      <c r="D247" s="44"/>
      <c r="E247" s="8"/>
      <c r="F247" s="8"/>
      <c r="G247" s="8"/>
      <c r="H247" s="8"/>
      <c r="I247" s="8"/>
      <c r="J247" s="8"/>
      <c r="K247" s="8"/>
    </row>
    <row r="248" spans="1:11" x14ac:dyDescent="0.25">
      <c r="A248" s="44"/>
      <c r="B248" s="44"/>
      <c r="C248" s="44"/>
      <c r="D248" s="44"/>
      <c r="E248" s="8"/>
      <c r="F248" s="8"/>
      <c r="G248" s="8"/>
      <c r="H248" s="8"/>
      <c r="I248" s="8"/>
      <c r="J248" s="8"/>
      <c r="K248" s="8"/>
    </row>
    <row r="249" spans="1:11" x14ac:dyDescent="0.25">
      <c r="A249" s="44"/>
      <c r="B249" s="44"/>
      <c r="C249" s="44"/>
      <c r="D249" s="44"/>
      <c r="E249" s="8"/>
      <c r="F249" s="8"/>
      <c r="G249" s="8"/>
      <c r="H249" s="8"/>
      <c r="I249" s="8"/>
      <c r="J249" s="8"/>
      <c r="K249" s="8"/>
    </row>
    <row r="250" spans="1:11" x14ac:dyDescent="0.25">
      <c r="A250" s="44"/>
      <c r="B250" s="44"/>
      <c r="C250" s="44"/>
      <c r="D250" s="44"/>
      <c r="E250" s="8"/>
      <c r="F250" s="8"/>
      <c r="G250" s="8"/>
      <c r="H250" s="8"/>
      <c r="I250" s="8"/>
      <c r="J250" s="8"/>
      <c r="K250" s="8"/>
    </row>
    <row r="251" spans="1:11" x14ac:dyDescent="0.25">
      <c r="A251" s="44"/>
      <c r="B251" s="44"/>
      <c r="C251" s="44"/>
      <c r="D251" s="44"/>
      <c r="E251" s="8"/>
      <c r="F251" s="8"/>
      <c r="G251" s="8"/>
      <c r="H251" s="8"/>
      <c r="I251" s="8"/>
      <c r="J251" s="8"/>
      <c r="K251" s="8"/>
    </row>
    <row r="252" spans="1:11" x14ac:dyDescent="0.25">
      <c r="A252" s="44"/>
      <c r="B252" s="44"/>
      <c r="C252" s="44"/>
      <c r="D252" s="44"/>
      <c r="E252" s="8"/>
      <c r="F252" s="8"/>
      <c r="G252" s="8"/>
      <c r="H252" s="8"/>
      <c r="I252" s="8"/>
      <c r="J252" s="8"/>
      <c r="K252" s="8"/>
    </row>
    <row r="253" spans="1:11" x14ac:dyDescent="0.25">
      <c r="A253" s="44"/>
      <c r="B253" s="44"/>
      <c r="C253" s="44"/>
      <c r="D253" s="44"/>
      <c r="E253" s="8"/>
      <c r="F253" s="8"/>
      <c r="G253" s="8"/>
      <c r="H253" s="8"/>
      <c r="I253" s="8"/>
      <c r="J253" s="8"/>
      <c r="K253" s="8"/>
    </row>
    <row r="254" spans="1:11" x14ac:dyDescent="0.25">
      <c r="A254" s="44"/>
      <c r="B254" s="44"/>
      <c r="C254" s="44"/>
      <c r="D254" s="44"/>
      <c r="E254" s="8"/>
      <c r="F254" s="8"/>
      <c r="G254" s="8"/>
      <c r="H254" s="8"/>
      <c r="I254" s="8"/>
      <c r="J254" s="8"/>
      <c r="K254" s="8"/>
    </row>
    <row r="255" spans="1:11" x14ac:dyDescent="0.25">
      <c r="A255" s="44"/>
      <c r="B255" s="44"/>
      <c r="C255" s="44"/>
      <c r="D255" s="44"/>
      <c r="E255" s="8"/>
      <c r="F255" s="8"/>
      <c r="G255" s="8"/>
      <c r="H255" s="8"/>
      <c r="I255" s="8"/>
      <c r="J255" s="8"/>
      <c r="K255" s="8"/>
    </row>
    <row r="256" spans="1:11" x14ac:dyDescent="0.25">
      <c r="A256" s="44"/>
      <c r="B256" s="44"/>
      <c r="C256" s="44"/>
      <c r="D256" s="44"/>
      <c r="E256" s="8"/>
      <c r="F256" s="8"/>
      <c r="G256" s="8"/>
      <c r="H256" s="8"/>
      <c r="I256" s="8"/>
      <c r="J256" s="8"/>
      <c r="K256" s="8"/>
    </row>
    <row r="257" spans="1:11" x14ac:dyDescent="0.25">
      <c r="A257" s="44"/>
      <c r="B257" s="44"/>
      <c r="C257" s="44"/>
      <c r="D257" s="44"/>
      <c r="E257" s="8"/>
      <c r="F257" s="8"/>
      <c r="G257" s="8"/>
      <c r="H257" s="8"/>
      <c r="I257" s="8"/>
      <c r="J257" s="8"/>
      <c r="K257" s="8"/>
    </row>
    <row r="258" spans="1:11" x14ac:dyDescent="0.25">
      <c r="A258" s="44"/>
      <c r="B258" s="44"/>
      <c r="C258" s="44"/>
      <c r="D258" s="44"/>
      <c r="E258" s="8"/>
      <c r="F258" s="8"/>
      <c r="G258" s="8"/>
      <c r="H258" s="8"/>
      <c r="I258" s="8"/>
      <c r="J258" s="8"/>
      <c r="K258" s="8"/>
    </row>
    <row r="259" spans="1:11" x14ac:dyDescent="0.25">
      <c r="A259" s="44"/>
      <c r="B259" s="44"/>
      <c r="C259" s="44"/>
      <c r="D259" s="44"/>
      <c r="E259" s="8"/>
      <c r="F259" s="8"/>
      <c r="G259" s="8"/>
      <c r="H259" s="8"/>
      <c r="I259" s="8"/>
      <c r="J259" s="8"/>
      <c r="K259" s="8"/>
    </row>
    <row r="260" spans="1:11" x14ac:dyDescent="0.25">
      <c r="A260" s="44"/>
      <c r="B260" s="44"/>
      <c r="C260" s="44"/>
      <c r="D260" s="44"/>
      <c r="E260" s="8"/>
      <c r="F260" s="8"/>
      <c r="G260" s="8"/>
      <c r="H260" s="8"/>
      <c r="I260" s="8"/>
      <c r="J260" s="8"/>
      <c r="K260" s="8"/>
    </row>
    <row r="261" spans="1:11" x14ac:dyDescent="0.25">
      <c r="A261" s="44"/>
      <c r="B261" s="44"/>
      <c r="C261" s="44"/>
      <c r="D261" s="44"/>
      <c r="E261" s="8"/>
      <c r="F261" s="8"/>
      <c r="G261" s="8"/>
      <c r="H261" s="8"/>
      <c r="I261" s="8"/>
      <c r="J261" s="8"/>
      <c r="K261" s="8"/>
    </row>
    <row r="262" spans="1:11" x14ac:dyDescent="0.25">
      <c r="A262" s="44"/>
      <c r="B262" s="44"/>
      <c r="C262" s="44"/>
      <c r="D262" s="44"/>
      <c r="E262" s="8"/>
      <c r="F262" s="8"/>
      <c r="G262" s="8"/>
      <c r="H262" s="8"/>
      <c r="I262" s="8"/>
      <c r="J262" s="8"/>
      <c r="K262" s="8"/>
    </row>
    <row r="263" spans="1:11" x14ac:dyDescent="0.25">
      <c r="A263" s="44"/>
      <c r="B263" s="44"/>
      <c r="C263" s="44"/>
      <c r="D263" s="44"/>
      <c r="E263" s="8"/>
      <c r="F263" s="8"/>
      <c r="G263" s="8"/>
      <c r="H263" s="8"/>
      <c r="I263" s="8"/>
      <c r="J263" s="8"/>
      <c r="K263" s="8"/>
    </row>
    <row r="264" spans="1:11" x14ac:dyDescent="0.25">
      <c r="A264" s="44"/>
      <c r="B264" s="44"/>
      <c r="C264" s="44"/>
      <c r="D264" s="44"/>
      <c r="E264" s="8"/>
      <c r="F264" s="8"/>
      <c r="G264" s="8"/>
      <c r="H264" s="8"/>
      <c r="I264" s="8"/>
      <c r="J264" s="8"/>
      <c r="K264" s="8"/>
    </row>
    <row r="265" spans="1:11" x14ac:dyDescent="0.25">
      <c r="A265" s="44"/>
      <c r="B265" s="44"/>
      <c r="C265" s="44"/>
      <c r="D265" s="44"/>
      <c r="E265" s="8"/>
      <c r="F265" s="8"/>
      <c r="G265" s="8"/>
      <c r="H265" s="8"/>
      <c r="I265" s="8"/>
      <c r="J265" s="8"/>
      <c r="K265" s="8"/>
    </row>
    <row r="266" spans="1:11" x14ac:dyDescent="0.25">
      <c r="A266" s="44"/>
      <c r="B266" s="44"/>
      <c r="C266" s="44"/>
      <c r="D266" s="44"/>
      <c r="E266" s="8"/>
      <c r="F266" s="8"/>
      <c r="G266" s="8"/>
      <c r="H266" s="8"/>
      <c r="I266" s="8"/>
      <c r="J266" s="8"/>
      <c r="K266" s="8"/>
    </row>
    <row r="267" spans="1:11" x14ac:dyDescent="0.25">
      <c r="A267" s="44"/>
      <c r="B267" s="44"/>
      <c r="C267" s="44"/>
      <c r="D267" s="44"/>
      <c r="E267" s="8"/>
      <c r="F267" s="8"/>
      <c r="G267" s="8"/>
      <c r="H267" s="8"/>
      <c r="I267" s="8"/>
      <c r="J267" s="8"/>
      <c r="K267" s="8"/>
    </row>
    <row r="268" spans="1:11" x14ac:dyDescent="0.25">
      <c r="A268" s="44"/>
      <c r="B268" s="44"/>
      <c r="C268" s="44"/>
      <c r="D268" s="44"/>
      <c r="E268" s="8"/>
      <c r="F268" s="8"/>
      <c r="G268" s="8"/>
      <c r="H268" s="8"/>
      <c r="I268" s="8"/>
      <c r="J268" s="8"/>
      <c r="K268" s="8"/>
    </row>
    <row r="269" spans="1:11" x14ac:dyDescent="0.25">
      <c r="A269" s="44"/>
      <c r="B269" s="44"/>
      <c r="C269" s="44"/>
      <c r="D269" s="44"/>
      <c r="E269" s="8"/>
      <c r="F269" s="8"/>
      <c r="G269" s="8"/>
      <c r="H269" s="8"/>
      <c r="I269" s="8"/>
      <c r="J269" s="8"/>
      <c r="K269" s="8"/>
    </row>
    <row r="270" spans="1:11" x14ac:dyDescent="0.25">
      <c r="A270" s="44"/>
      <c r="B270" s="44"/>
      <c r="C270" s="44"/>
      <c r="D270" s="44"/>
      <c r="E270" s="8"/>
      <c r="F270" s="8"/>
      <c r="G270" s="8"/>
      <c r="H270" s="8"/>
      <c r="I270" s="8"/>
      <c r="J270" s="8"/>
      <c r="K270" s="8"/>
    </row>
    <row r="271" spans="1:11" x14ac:dyDescent="0.25">
      <c r="A271" s="44"/>
      <c r="B271" s="44"/>
      <c r="C271" s="44"/>
      <c r="D271" s="44"/>
      <c r="E271" s="8"/>
      <c r="F271" s="8"/>
      <c r="G271" s="8"/>
      <c r="H271" s="8"/>
      <c r="I271" s="8"/>
      <c r="J271" s="8"/>
      <c r="K271" s="8"/>
    </row>
    <row r="272" spans="1:11" x14ac:dyDescent="0.25">
      <c r="A272" s="44"/>
      <c r="B272" s="44"/>
      <c r="C272" s="44"/>
      <c r="D272" s="44"/>
      <c r="E272" s="8"/>
      <c r="F272" s="8"/>
      <c r="G272" s="8"/>
      <c r="H272" s="8"/>
      <c r="I272" s="8"/>
      <c r="J272" s="8"/>
      <c r="K272" s="8"/>
    </row>
    <row r="273" spans="1:11" x14ac:dyDescent="0.25">
      <c r="A273" s="44"/>
      <c r="B273" s="44"/>
      <c r="C273" s="44"/>
      <c r="D273" s="44"/>
      <c r="E273" s="8"/>
      <c r="F273" s="8"/>
      <c r="G273" s="8"/>
      <c r="H273" s="8"/>
      <c r="I273" s="8"/>
      <c r="J273" s="8"/>
      <c r="K273" s="8"/>
    </row>
    <row r="274" spans="1:11" x14ac:dyDescent="0.25">
      <c r="A274" s="44"/>
      <c r="B274" s="44"/>
      <c r="C274" s="44"/>
      <c r="D274" s="44"/>
      <c r="E274" s="8"/>
      <c r="F274" s="8"/>
      <c r="G274" s="8"/>
      <c r="H274" s="8"/>
      <c r="I274" s="8"/>
      <c r="J274" s="8"/>
      <c r="K274" s="8"/>
    </row>
    <row r="275" spans="1:11" x14ac:dyDescent="0.25">
      <c r="A275" s="44"/>
      <c r="B275" s="44"/>
      <c r="C275" s="44"/>
      <c r="D275" s="44"/>
      <c r="E275" s="8"/>
      <c r="F275" s="8"/>
      <c r="G275" s="8"/>
      <c r="H275" s="8"/>
      <c r="I275" s="8"/>
      <c r="J275" s="8"/>
      <c r="K275" s="8"/>
    </row>
    <row r="276" spans="1:11" x14ac:dyDescent="0.25">
      <c r="A276" s="44"/>
      <c r="B276" s="44"/>
      <c r="C276" s="44"/>
      <c r="D276" s="44"/>
      <c r="E276" s="8"/>
      <c r="F276" s="8"/>
      <c r="G276" s="8"/>
      <c r="H276" s="8"/>
      <c r="I276" s="8"/>
      <c r="J276" s="8"/>
      <c r="K276" s="8"/>
    </row>
    <row r="277" spans="1:11" x14ac:dyDescent="0.25">
      <c r="A277" s="44"/>
      <c r="B277" s="44"/>
      <c r="C277" s="44"/>
      <c r="D277" s="44"/>
      <c r="E277" s="8"/>
      <c r="F277" s="8"/>
      <c r="G277" s="8"/>
      <c r="H277" s="8"/>
      <c r="I277" s="8"/>
      <c r="J277" s="8"/>
      <c r="K277" s="8"/>
    </row>
    <row r="278" spans="1:11" x14ac:dyDescent="0.25">
      <c r="A278" s="44"/>
      <c r="B278" s="44"/>
      <c r="C278" s="44"/>
      <c r="D278" s="44"/>
      <c r="E278" s="8"/>
      <c r="F278" s="8"/>
      <c r="G278" s="8"/>
      <c r="H278" s="8"/>
      <c r="I278" s="8"/>
      <c r="J278" s="8"/>
      <c r="K278" s="8"/>
    </row>
    <row r="279" spans="1:11" x14ac:dyDescent="0.25">
      <c r="A279" s="44"/>
      <c r="B279" s="44"/>
      <c r="C279" s="44"/>
      <c r="D279" s="44"/>
      <c r="E279" s="8"/>
      <c r="F279" s="8"/>
      <c r="G279" s="8"/>
      <c r="H279" s="8"/>
      <c r="I279" s="8"/>
      <c r="J279" s="8"/>
      <c r="K279" s="8"/>
    </row>
    <row r="280" spans="1:11" x14ac:dyDescent="0.25">
      <c r="A280" s="44"/>
      <c r="B280" s="44"/>
      <c r="C280" s="44"/>
      <c r="D280" s="44"/>
      <c r="E280" s="8"/>
      <c r="F280" s="8"/>
      <c r="G280" s="8"/>
      <c r="H280" s="8"/>
      <c r="I280" s="8"/>
      <c r="J280" s="8"/>
      <c r="K280" s="8"/>
    </row>
    <row r="281" spans="1:11" x14ac:dyDescent="0.25">
      <c r="A281" s="44"/>
      <c r="B281" s="44"/>
      <c r="C281" s="44"/>
      <c r="D281" s="44"/>
      <c r="E281" s="8"/>
      <c r="F281" s="8"/>
      <c r="G281" s="8"/>
      <c r="H281" s="8"/>
      <c r="I281" s="8"/>
      <c r="J281" s="8"/>
      <c r="K281" s="8"/>
    </row>
    <row r="282" spans="1:11" x14ac:dyDescent="0.25">
      <c r="A282" s="44"/>
      <c r="B282" s="44"/>
      <c r="C282" s="44"/>
      <c r="D282" s="44"/>
      <c r="E282" s="8"/>
      <c r="F282" s="8"/>
      <c r="G282" s="8"/>
      <c r="H282" s="8"/>
      <c r="I282" s="8"/>
      <c r="J282" s="8"/>
      <c r="K282" s="8"/>
    </row>
    <row r="283" spans="1:11" x14ac:dyDescent="0.25">
      <c r="A283" s="44"/>
      <c r="B283" s="44"/>
      <c r="C283" s="44"/>
      <c r="D283" s="44"/>
      <c r="E283" s="8"/>
      <c r="F283" s="8"/>
      <c r="G283" s="8"/>
      <c r="H283" s="8"/>
      <c r="I283" s="8"/>
      <c r="J283" s="8"/>
      <c r="K283" s="8"/>
    </row>
    <row r="284" spans="1:11" x14ac:dyDescent="0.25">
      <c r="A284" s="44"/>
      <c r="B284" s="44"/>
      <c r="C284" s="44"/>
      <c r="D284" s="44"/>
      <c r="E284" s="8"/>
      <c r="F284" s="8"/>
      <c r="G284" s="8"/>
      <c r="H284" s="8"/>
      <c r="I284" s="8"/>
      <c r="J284" s="8"/>
      <c r="K284" s="8"/>
    </row>
    <row r="285" spans="1:11" x14ac:dyDescent="0.25">
      <c r="A285" s="44"/>
      <c r="B285" s="44"/>
      <c r="C285" s="44"/>
      <c r="D285" s="44"/>
      <c r="E285" s="8"/>
      <c r="F285" s="8"/>
      <c r="G285" s="8"/>
      <c r="H285" s="8"/>
      <c r="I285" s="8"/>
      <c r="J285" s="8"/>
      <c r="K285" s="8"/>
    </row>
    <row r="286" spans="1:11" x14ac:dyDescent="0.25">
      <c r="A286" s="44"/>
      <c r="B286" s="44"/>
      <c r="C286" s="44"/>
      <c r="D286" s="44"/>
      <c r="E286" s="8"/>
      <c r="F286" s="8"/>
      <c r="G286" s="8"/>
      <c r="H286" s="8"/>
      <c r="I286" s="8"/>
      <c r="J286" s="8"/>
      <c r="K286" s="8"/>
    </row>
    <row r="287" spans="1:11" x14ac:dyDescent="0.25">
      <c r="A287" s="44"/>
      <c r="B287" s="44"/>
      <c r="C287" s="44"/>
      <c r="D287" s="44"/>
      <c r="E287" s="8"/>
      <c r="F287" s="8"/>
      <c r="G287" s="8"/>
      <c r="H287" s="8"/>
      <c r="I287" s="8"/>
      <c r="J287" s="8"/>
      <c r="K287" s="8"/>
    </row>
    <row r="288" spans="1:11" x14ac:dyDescent="0.25">
      <c r="A288" s="44"/>
      <c r="B288" s="44"/>
      <c r="C288" s="44"/>
      <c r="D288" s="44"/>
      <c r="E288" s="8"/>
      <c r="F288" s="8"/>
      <c r="G288" s="8"/>
      <c r="H288" s="8"/>
      <c r="I288" s="8"/>
      <c r="J288" s="8"/>
      <c r="K288" s="8"/>
    </row>
    <row r="289" spans="1:11" x14ac:dyDescent="0.25">
      <c r="A289" s="44"/>
      <c r="B289" s="44"/>
      <c r="C289" s="44"/>
      <c r="D289" s="44"/>
      <c r="E289" s="8"/>
      <c r="F289" s="8"/>
      <c r="G289" s="8"/>
      <c r="H289" s="8"/>
      <c r="I289" s="8"/>
      <c r="J289" s="8"/>
      <c r="K289" s="8"/>
    </row>
    <row r="290" spans="1:11" x14ac:dyDescent="0.25">
      <c r="A290" s="44"/>
      <c r="B290" s="44"/>
      <c r="C290" s="44"/>
      <c r="D290" s="44"/>
      <c r="E290" s="8"/>
      <c r="F290" s="8"/>
      <c r="G290" s="8"/>
      <c r="H290" s="8"/>
      <c r="I290" s="8"/>
      <c r="J290" s="8"/>
      <c r="K290" s="8"/>
    </row>
    <row r="291" spans="1:11" x14ac:dyDescent="0.25">
      <c r="A291" s="44"/>
      <c r="B291" s="44"/>
      <c r="C291" s="44"/>
      <c r="D291" s="44"/>
      <c r="E291" s="8"/>
      <c r="F291" s="8"/>
      <c r="G291" s="8"/>
      <c r="H291" s="8"/>
      <c r="I291" s="8"/>
      <c r="J291" s="8"/>
      <c r="K291" s="8"/>
    </row>
    <row r="292" spans="1:11" x14ac:dyDescent="0.25">
      <c r="A292" s="44"/>
      <c r="B292" s="44"/>
      <c r="C292" s="44"/>
      <c r="D292" s="44"/>
      <c r="E292" s="8"/>
      <c r="F292" s="8"/>
      <c r="G292" s="8"/>
      <c r="H292" s="8"/>
      <c r="I292" s="8"/>
      <c r="J292" s="8"/>
      <c r="K292" s="8"/>
    </row>
    <row r="293" spans="1:11" x14ac:dyDescent="0.25">
      <c r="A293" s="44"/>
      <c r="B293" s="44"/>
      <c r="C293" s="44"/>
      <c r="D293" s="44"/>
      <c r="E293" s="8"/>
      <c r="F293" s="8"/>
      <c r="G293" s="8"/>
      <c r="H293" s="8"/>
      <c r="I293" s="8"/>
      <c r="J293" s="8"/>
      <c r="K293" s="8"/>
    </row>
    <row r="294" spans="1:11" x14ac:dyDescent="0.25">
      <c r="A294" s="44"/>
      <c r="B294" s="44"/>
      <c r="C294" s="44"/>
      <c r="D294" s="44"/>
      <c r="E294" s="8"/>
      <c r="F294" s="8"/>
      <c r="G294" s="8"/>
      <c r="H294" s="8"/>
      <c r="I294" s="8"/>
      <c r="J294" s="8"/>
      <c r="K294" s="8"/>
    </row>
    <row r="295" spans="1:11" x14ac:dyDescent="0.25">
      <c r="A295" s="44"/>
      <c r="B295" s="44"/>
      <c r="C295" s="44"/>
      <c r="D295" s="44"/>
      <c r="E295" s="8"/>
      <c r="F295" s="8"/>
      <c r="G295" s="8"/>
      <c r="H295" s="8"/>
      <c r="I295" s="8"/>
      <c r="J295" s="8"/>
      <c r="K295" s="8"/>
    </row>
    <row r="296" spans="1:11" x14ac:dyDescent="0.25">
      <c r="A296" s="44"/>
      <c r="B296" s="44"/>
      <c r="C296" s="44"/>
      <c r="D296" s="44"/>
      <c r="E296" s="8"/>
      <c r="F296" s="8"/>
      <c r="G296" s="8"/>
      <c r="H296" s="8"/>
      <c r="I296" s="8"/>
      <c r="J296" s="8"/>
      <c r="K296" s="8"/>
    </row>
    <row r="297" spans="1:11" x14ac:dyDescent="0.25">
      <c r="A297" s="44"/>
      <c r="B297" s="44"/>
      <c r="C297" s="44"/>
      <c r="D297" s="44"/>
      <c r="E297" s="8"/>
      <c r="F297" s="8"/>
      <c r="G297" s="8"/>
      <c r="H297" s="8"/>
      <c r="I297" s="8"/>
      <c r="J297" s="8"/>
      <c r="K297" s="8"/>
    </row>
    <row r="298" spans="1:11" x14ac:dyDescent="0.25">
      <c r="A298" s="44"/>
      <c r="B298" s="44"/>
      <c r="C298" s="44"/>
      <c r="D298" s="44"/>
      <c r="E298" s="8"/>
      <c r="F298" s="8"/>
      <c r="G298" s="8"/>
      <c r="H298" s="8"/>
      <c r="I298" s="8"/>
      <c r="J298" s="8"/>
      <c r="K298" s="8"/>
    </row>
    <row r="299" spans="1:11" x14ac:dyDescent="0.25">
      <c r="A299" s="44"/>
      <c r="B299" s="44"/>
      <c r="C299" s="44"/>
      <c r="D299" s="44"/>
      <c r="E299" s="8"/>
      <c r="F299" s="8"/>
      <c r="G299" s="8"/>
      <c r="H299" s="8"/>
      <c r="I299" s="8"/>
      <c r="J299" s="8"/>
      <c r="K299" s="8"/>
    </row>
    <row r="300" spans="1:11" x14ac:dyDescent="0.25">
      <c r="A300" s="44"/>
      <c r="B300" s="44"/>
      <c r="C300" s="44"/>
      <c r="D300" s="44"/>
      <c r="E300" s="8"/>
      <c r="F300" s="8"/>
      <c r="G300" s="8"/>
      <c r="H300" s="8"/>
      <c r="I300" s="8"/>
      <c r="J300" s="8"/>
      <c r="K300" s="8"/>
    </row>
    <row r="301" spans="1:11" x14ac:dyDescent="0.25">
      <c r="A301" s="44"/>
      <c r="B301" s="44"/>
      <c r="C301" s="44"/>
      <c r="D301" s="44"/>
      <c r="E301" s="8"/>
      <c r="F301" s="8"/>
      <c r="G301" s="8"/>
      <c r="H301" s="8"/>
      <c r="I301" s="8"/>
      <c r="J301" s="8"/>
      <c r="K301" s="8"/>
    </row>
    <row r="302" spans="1:11" x14ac:dyDescent="0.25">
      <c r="A302" s="44"/>
      <c r="B302" s="44"/>
      <c r="C302" s="44"/>
      <c r="D302" s="44"/>
      <c r="E302" s="8"/>
      <c r="F302" s="8"/>
      <c r="G302" s="8"/>
      <c r="H302" s="8"/>
      <c r="I302" s="8"/>
      <c r="J302" s="8"/>
      <c r="K302" s="8"/>
    </row>
    <row r="303" spans="1:11" x14ac:dyDescent="0.25">
      <c r="A303" s="44"/>
      <c r="B303" s="44"/>
      <c r="C303" s="44"/>
      <c r="D303" s="44"/>
      <c r="E303" s="8"/>
      <c r="F303" s="8"/>
      <c r="G303" s="8"/>
      <c r="H303" s="8"/>
      <c r="I303" s="8"/>
      <c r="J303" s="8"/>
      <c r="K303" s="8"/>
    </row>
    <row r="304" spans="1:11" x14ac:dyDescent="0.25">
      <c r="A304" s="44"/>
      <c r="B304" s="44"/>
      <c r="C304" s="44"/>
      <c r="D304" s="44"/>
      <c r="E304" s="8"/>
      <c r="F304" s="8"/>
      <c r="G304" s="8"/>
      <c r="H304" s="8"/>
      <c r="I304" s="8"/>
      <c r="J304" s="8"/>
      <c r="K304" s="8"/>
    </row>
    <row r="305" spans="1:11" x14ac:dyDescent="0.25">
      <c r="A305" s="44"/>
      <c r="B305" s="44"/>
      <c r="C305" s="44"/>
      <c r="D305" s="44"/>
      <c r="E305" s="8"/>
      <c r="F305" s="8"/>
      <c r="G305" s="8"/>
      <c r="H305" s="8"/>
      <c r="I305" s="8"/>
      <c r="J305" s="8"/>
      <c r="K305" s="8"/>
    </row>
    <row r="306" spans="1:11" x14ac:dyDescent="0.25">
      <c r="A306" s="44"/>
      <c r="B306" s="44"/>
      <c r="C306" s="44"/>
      <c r="D306" s="44"/>
      <c r="E306" s="8"/>
      <c r="F306" s="8"/>
      <c r="G306" s="8"/>
      <c r="H306" s="8"/>
      <c r="I306" s="8"/>
      <c r="J306" s="8"/>
      <c r="K306" s="8"/>
    </row>
    <row r="307" spans="1:11" x14ac:dyDescent="0.25">
      <c r="A307" s="44"/>
      <c r="B307" s="44"/>
      <c r="C307" s="44"/>
      <c r="D307" s="44"/>
      <c r="E307" s="8"/>
      <c r="F307" s="8"/>
      <c r="G307" s="8"/>
      <c r="H307" s="8"/>
      <c r="I307" s="8"/>
      <c r="J307" s="8"/>
      <c r="K307" s="8"/>
    </row>
    <row r="308" spans="1:11" x14ac:dyDescent="0.25">
      <c r="A308" s="44"/>
      <c r="B308" s="44"/>
      <c r="C308" s="44"/>
      <c r="D308" s="44"/>
      <c r="E308" s="8"/>
      <c r="F308" s="8"/>
      <c r="G308" s="8"/>
      <c r="H308" s="8"/>
      <c r="I308" s="8"/>
      <c r="J308" s="8"/>
      <c r="K308" s="8"/>
    </row>
    <row r="309" spans="1:11" x14ac:dyDescent="0.25">
      <c r="A309" s="44"/>
      <c r="B309" s="44"/>
      <c r="C309" s="44"/>
      <c r="D309" s="44"/>
      <c r="E309" s="8"/>
      <c r="F309" s="8"/>
      <c r="G309" s="8"/>
      <c r="H309" s="8"/>
      <c r="I309" s="8"/>
      <c r="J309" s="8"/>
      <c r="K309" s="8"/>
    </row>
    <row r="310" spans="1:11" x14ac:dyDescent="0.25">
      <c r="A310" s="44"/>
      <c r="B310" s="44"/>
      <c r="C310" s="44"/>
      <c r="D310" s="44"/>
      <c r="E310" s="8"/>
      <c r="F310" s="8"/>
      <c r="G310" s="8"/>
      <c r="H310" s="8"/>
      <c r="I310" s="8"/>
      <c r="J310" s="8"/>
      <c r="K310" s="8"/>
    </row>
    <row r="311" spans="1:11" x14ac:dyDescent="0.25">
      <c r="A311" s="44"/>
      <c r="B311" s="44"/>
      <c r="C311" s="44"/>
      <c r="D311" s="44"/>
      <c r="E311" s="8"/>
      <c r="F311" s="8"/>
      <c r="G311" s="8"/>
      <c r="H311" s="8"/>
      <c r="I311" s="8"/>
      <c r="J311" s="8"/>
      <c r="K311" s="8"/>
    </row>
    <row r="312" spans="1:11" x14ac:dyDescent="0.25">
      <c r="A312" s="44"/>
      <c r="B312" s="44"/>
      <c r="C312" s="44"/>
      <c r="D312" s="44"/>
      <c r="E312" s="8"/>
      <c r="F312" s="8"/>
      <c r="G312" s="8"/>
      <c r="H312" s="8"/>
      <c r="I312" s="8"/>
      <c r="J312" s="8"/>
      <c r="K312" s="8"/>
    </row>
    <row r="313" spans="1:11" x14ac:dyDescent="0.25">
      <c r="A313" s="44"/>
      <c r="B313" s="44"/>
      <c r="C313" s="44"/>
      <c r="D313" s="44"/>
      <c r="E313" s="8"/>
      <c r="F313" s="8"/>
      <c r="G313" s="8"/>
      <c r="H313" s="8"/>
      <c r="I313" s="8"/>
      <c r="J313" s="8"/>
      <c r="K313" s="8"/>
    </row>
    <row r="314" spans="1:11" x14ac:dyDescent="0.25">
      <c r="A314" s="44"/>
      <c r="B314" s="44"/>
      <c r="C314" s="44"/>
      <c r="D314" s="44"/>
      <c r="E314" s="8"/>
      <c r="F314" s="8"/>
      <c r="G314" s="8"/>
      <c r="H314" s="8"/>
      <c r="I314" s="8"/>
      <c r="J314" s="8"/>
      <c r="K314" s="8"/>
    </row>
    <row r="315" spans="1:11" x14ac:dyDescent="0.25">
      <c r="A315" s="44"/>
      <c r="B315" s="44"/>
      <c r="C315" s="44"/>
      <c r="D315" s="44"/>
      <c r="E315" s="8"/>
      <c r="F315" s="8"/>
      <c r="G315" s="8"/>
      <c r="H315" s="8"/>
      <c r="I315" s="8"/>
      <c r="J315" s="8"/>
      <c r="K315" s="8"/>
    </row>
    <row r="316" spans="1:11" x14ac:dyDescent="0.25">
      <c r="A316" s="44"/>
      <c r="B316" s="44"/>
      <c r="C316" s="44"/>
      <c r="D316" s="44"/>
      <c r="E316" s="8"/>
      <c r="F316" s="8"/>
      <c r="G316" s="8"/>
      <c r="H316" s="8"/>
      <c r="I316" s="8"/>
      <c r="J316" s="8"/>
      <c r="K316" s="8"/>
    </row>
    <row r="317" spans="1:11" x14ac:dyDescent="0.25">
      <c r="A317" s="44"/>
      <c r="B317" s="44"/>
      <c r="C317" s="44"/>
      <c r="D317" s="44"/>
      <c r="E317" s="8"/>
      <c r="F317" s="8"/>
      <c r="G317" s="8"/>
      <c r="H317" s="8"/>
      <c r="I317" s="8"/>
      <c r="J317" s="8"/>
      <c r="K317" s="8"/>
    </row>
    <row r="318" spans="1:11" x14ac:dyDescent="0.25">
      <c r="A318" s="44"/>
      <c r="B318" s="44"/>
      <c r="C318" s="44"/>
      <c r="D318" s="44"/>
      <c r="E318" s="8"/>
      <c r="F318" s="8"/>
      <c r="G318" s="8"/>
      <c r="H318" s="8"/>
      <c r="I318" s="8"/>
      <c r="J318" s="8"/>
      <c r="K318" s="8"/>
    </row>
    <row r="319" spans="1:11" x14ac:dyDescent="0.25">
      <c r="A319" s="44"/>
      <c r="B319" s="44"/>
      <c r="C319" s="44"/>
      <c r="D319" s="44"/>
      <c r="E319" s="8"/>
      <c r="F319" s="8"/>
      <c r="G319" s="8"/>
      <c r="H319" s="8"/>
      <c r="I319" s="8"/>
      <c r="J319" s="8"/>
      <c r="K319" s="8"/>
    </row>
    <row r="320" spans="1:11" x14ac:dyDescent="0.25">
      <c r="A320" s="44"/>
      <c r="B320" s="44"/>
      <c r="C320" s="44"/>
      <c r="D320" s="44"/>
      <c r="E320" s="8"/>
      <c r="F320" s="8"/>
      <c r="G320" s="8"/>
      <c r="H320" s="8"/>
      <c r="I320" s="8"/>
      <c r="J320" s="8"/>
      <c r="K320" s="8"/>
    </row>
    <row r="321" spans="1:11" x14ac:dyDescent="0.25">
      <c r="A321" s="44"/>
      <c r="B321" s="44"/>
      <c r="C321" s="44"/>
      <c r="D321" s="44"/>
      <c r="E321" s="8"/>
      <c r="F321" s="8"/>
      <c r="G321" s="8"/>
      <c r="H321" s="8"/>
      <c r="I321" s="8"/>
      <c r="J321" s="8"/>
      <c r="K321" s="8"/>
    </row>
    <row r="322" spans="1:11" x14ac:dyDescent="0.25">
      <c r="A322" s="44"/>
      <c r="B322" s="44"/>
      <c r="C322" s="44"/>
      <c r="D322" s="44"/>
      <c r="E322" s="8"/>
      <c r="F322" s="8"/>
      <c r="G322" s="8"/>
      <c r="H322" s="8"/>
      <c r="I322" s="8"/>
      <c r="J322" s="8"/>
      <c r="K322" s="8"/>
    </row>
    <row r="323" spans="1:11" x14ac:dyDescent="0.25">
      <c r="A323" s="44"/>
      <c r="B323" s="44"/>
      <c r="C323" s="44"/>
      <c r="D323" s="44"/>
      <c r="E323" s="8"/>
      <c r="F323" s="8"/>
      <c r="G323" s="8"/>
      <c r="H323" s="8"/>
      <c r="I323" s="8"/>
      <c r="J323" s="8"/>
      <c r="K323" s="8"/>
    </row>
    <row r="324" spans="1:11" x14ac:dyDescent="0.25">
      <c r="A324" s="44"/>
      <c r="B324" s="44"/>
      <c r="C324" s="44"/>
      <c r="D324" s="44"/>
      <c r="E324" s="8"/>
      <c r="F324" s="8"/>
      <c r="G324" s="8"/>
      <c r="H324" s="8"/>
      <c r="I324" s="8"/>
      <c r="J324" s="8"/>
      <c r="K324" s="8"/>
    </row>
    <row r="325" spans="1:11" x14ac:dyDescent="0.25">
      <c r="A325" s="44"/>
      <c r="B325" s="44"/>
      <c r="C325" s="44"/>
      <c r="D325" s="44"/>
      <c r="E325" s="8"/>
      <c r="F325" s="8"/>
      <c r="G325" s="8"/>
      <c r="H325" s="8"/>
      <c r="I325" s="8"/>
      <c r="J325" s="8"/>
      <c r="K325" s="8"/>
    </row>
    <row r="326" spans="1:11" x14ac:dyDescent="0.25">
      <c r="A326" s="44"/>
      <c r="B326" s="44"/>
      <c r="C326" s="44"/>
      <c r="D326" s="44"/>
      <c r="E326" s="8"/>
      <c r="F326" s="8"/>
      <c r="G326" s="8"/>
      <c r="H326" s="8"/>
      <c r="I326" s="8"/>
      <c r="J326" s="8"/>
      <c r="K326" s="8"/>
    </row>
    <row r="327" spans="1:11" x14ac:dyDescent="0.25">
      <c r="A327" s="44"/>
      <c r="B327" s="44"/>
      <c r="C327" s="44"/>
      <c r="D327" s="44"/>
      <c r="E327" s="8"/>
      <c r="F327" s="8"/>
      <c r="G327" s="8"/>
      <c r="H327" s="8"/>
      <c r="I327" s="8"/>
      <c r="J327" s="8"/>
      <c r="K327" s="8"/>
    </row>
    <row r="328" spans="1:11" x14ac:dyDescent="0.25">
      <c r="A328" s="44"/>
      <c r="B328" s="44"/>
      <c r="C328" s="44"/>
      <c r="D328" s="44"/>
      <c r="E328" s="8"/>
      <c r="F328" s="8"/>
      <c r="G328" s="8"/>
      <c r="H328" s="8"/>
      <c r="I328" s="8"/>
      <c r="J328" s="8"/>
      <c r="K328" s="8"/>
    </row>
    <row r="329" spans="1:11" x14ac:dyDescent="0.25">
      <c r="A329" s="44"/>
      <c r="B329" s="44"/>
      <c r="C329" s="44"/>
      <c r="D329" s="44"/>
      <c r="E329" s="8"/>
      <c r="F329" s="8"/>
      <c r="G329" s="8"/>
      <c r="H329" s="8"/>
      <c r="I329" s="8"/>
      <c r="J329" s="8"/>
      <c r="K329" s="8"/>
    </row>
    <row r="330" spans="1:11" x14ac:dyDescent="0.25">
      <c r="A330" s="44"/>
      <c r="B330" s="44"/>
      <c r="C330" s="44"/>
      <c r="D330" s="44"/>
      <c r="E330" s="8"/>
      <c r="F330" s="8"/>
      <c r="G330" s="8"/>
      <c r="H330" s="8"/>
      <c r="I330" s="8"/>
      <c r="J330" s="8"/>
      <c r="K330" s="8"/>
    </row>
    <row r="331" spans="1:11" x14ac:dyDescent="0.25">
      <c r="A331" s="44"/>
      <c r="B331" s="44"/>
      <c r="C331" s="44"/>
      <c r="D331" s="44"/>
      <c r="E331" s="8"/>
      <c r="F331" s="8"/>
      <c r="G331" s="8"/>
      <c r="H331" s="8"/>
      <c r="I331" s="8"/>
      <c r="J331" s="8"/>
      <c r="K331" s="8"/>
    </row>
    <row r="332" spans="1:11" x14ac:dyDescent="0.25">
      <c r="A332" s="44"/>
      <c r="B332" s="44"/>
      <c r="C332" s="44"/>
      <c r="D332" s="44"/>
      <c r="E332" s="8"/>
      <c r="F332" s="8"/>
      <c r="G332" s="8"/>
      <c r="H332" s="8"/>
      <c r="I332" s="8"/>
      <c r="J332" s="8"/>
      <c r="K332" s="8"/>
    </row>
    <row r="333" spans="1:11" x14ac:dyDescent="0.25">
      <c r="A333" s="44"/>
      <c r="B333" s="44"/>
      <c r="C333" s="44"/>
      <c r="D333" s="44"/>
      <c r="E333" s="8"/>
      <c r="F333" s="8"/>
      <c r="G333" s="8"/>
      <c r="H333" s="8"/>
      <c r="I333" s="8"/>
      <c r="J333" s="8"/>
      <c r="K333" s="8"/>
    </row>
    <row r="334" spans="1:11" x14ac:dyDescent="0.25">
      <c r="A334" s="44"/>
      <c r="B334" s="44"/>
      <c r="C334" s="44"/>
      <c r="D334" s="44"/>
      <c r="E334" s="8"/>
      <c r="F334" s="8"/>
      <c r="G334" s="8"/>
      <c r="H334" s="8"/>
      <c r="I334" s="8"/>
      <c r="J334" s="8"/>
      <c r="K334" s="8"/>
    </row>
    <row r="335" spans="1:11" x14ac:dyDescent="0.25">
      <c r="A335" s="44"/>
      <c r="B335" s="44"/>
      <c r="C335" s="44"/>
      <c r="D335" s="44"/>
      <c r="E335" s="8"/>
      <c r="F335" s="8"/>
      <c r="G335" s="8"/>
      <c r="H335" s="8"/>
      <c r="I335" s="8"/>
      <c r="J335" s="8"/>
      <c r="K335" s="8"/>
    </row>
    <row r="336" spans="1:11" x14ac:dyDescent="0.25">
      <c r="A336" s="44"/>
      <c r="B336" s="44"/>
      <c r="C336" s="44"/>
      <c r="D336" s="44"/>
      <c r="E336" s="8"/>
      <c r="F336" s="8"/>
      <c r="G336" s="8"/>
      <c r="H336" s="8"/>
      <c r="I336" s="8"/>
      <c r="J336" s="8"/>
      <c r="K336" s="8"/>
    </row>
    <row r="337" spans="1:11" x14ac:dyDescent="0.25">
      <c r="A337" s="44"/>
      <c r="B337" s="44"/>
      <c r="C337" s="44"/>
      <c r="D337" s="44"/>
      <c r="E337" s="8"/>
      <c r="F337" s="8"/>
      <c r="G337" s="8"/>
      <c r="H337" s="8"/>
      <c r="I337" s="8"/>
      <c r="J337" s="8"/>
      <c r="K337" s="8"/>
    </row>
    <row r="338" spans="1:11" x14ac:dyDescent="0.25">
      <c r="A338" s="44"/>
      <c r="B338" s="44"/>
      <c r="C338" s="44"/>
      <c r="D338" s="44"/>
      <c r="E338" s="8"/>
      <c r="F338" s="8"/>
      <c r="G338" s="8"/>
      <c r="H338" s="8"/>
      <c r="I338" s="8"/>
      <c r="J338" s="8"/>
      <c r="K338" s="8"/>
    </row>
    <row r="339" spans="1:11" x14ac:dyDescent="0.25">
      <c r="A339" s="44"/>
      <c r="B339" s="44"/>
      <c r="C339" s="44"/>
      <c r="D339" s="44"/>
      <c r="E339" s="8"/>
      <c r="F339" s="8"/>
      <c r="G339" s="8"/>
      <c r="H339" s="8"/>
      <c r="I339" s="8"/>
      <c r="J339" s="8"/>
      <c r="K339" s="8"/>
    </row>
    <row r="340" spans="1:11" x14ac:dyDescent="0.25">
      <c r="A340" s="44"/>
      <c r="B340" s="44"/>
      <c r="C340" s="44"/>
      <c r="D340" s="44"/>
      <c r="E340" s="8"/>
      <c r="F340" s="8"/>
      <c r="G340" s="8"/>
      <c r="H340" s="8"/>
      <c r="I340" s="8"/>
      <c r="J340" s="8"/>
      <c r="K340" s="8"/>
    </row>
    <row r="341" spans="1:11" x14ac:dyDescent="0.25">
      <c r="A341" s="44"/>
      <c r="B341" s="44"/>
      <c r="C341" s="44"/>
      <c r="D341" s="44"/>
      <c r="E341" s="8"/>
      <c r="F341" s="8"/>
      <c r="G341" s="8"/>
      <c r="H341" s="8"/>
      <c r="I341" s="8"/>
      <c r="J341" s="8"/>
      <c r="K341" s="8"/>
    </row>
    <row r="342" spans="1:11" x14ac:dyDescent="0.25">
      <c r="A342" s="44"/>
      <c r="B342" s="44"/>
      <c r="C342" s="44"/>
      <c r="D342" s="44"/>
      <c r="E342" s="8"/>
      <c r="F342" s="8"/>
      <c r="G342" s="8"/>
      <c r="H342" s="8"/>
      <c r="I342" s="8"/>
      <c r="J342" s="8"/>
      <c r="K342" s="8"/>
    </row>
    <row r="343" spans="1:11" x14ac:dyDescent="0.25">
      <c r="A343" s="44"/>
      <c r="B343" s="44"/>
      <c r="C343" s="44"/>
      <c r="D343" s="44"/>
      <c r="E343" s="8"/>
      <c r="F343" s="8"/>
      <c r="G343" s="8"/>
      <c r="H343" s="8"/>
      <c r="I343" s="8"/>
      <c r="J343" s="8"/>
      <c r="K343" s="8"/>
    </row>
    <row r="344" spans="1:11" x14ac:dyDescent="0.25">
      <c r="A344" s="44"/>
      <c r="B344" s="44"/>
      <c r="C344" s="44"/>
      <c r="D344" s="44"/>
      <c r="E344" s="8"/>
      <c r="F344" s="8"/>
      <c r="G344" s="8"/>
      <c r="H344" s="8"/>
      <c r="I344" s="8"/>
      <c r="J344" s="8"/>
      <c r="K344" s="8"/>
    </row>
    <row r="345" spans="1:11" x14ac:dyDescent="0.25">
      <c r="A345" s="44"/>
      <c r="B345" s="44"/>
      <c r="C345" s="44"/>
      <c r="D345" s="44"/>
      <c r="E345" s="8"/>
      <c r="F345" s="8"/>
      <c r="G345" s="8"/>
      <c r="H345" s="8"/>
      <c r="I345" s="8"/>
      <c r="J345" s="8"/>
      <c r="K345" s="8"/>
    </row>
    <row r="346" spans="1:11" x14ac:dyDescent="0.25">
      <c r="A346" s="44"/>
      <c r="B346" s="44"/>
      <c r="C346" s="44"/>
      <c r="D346" s="44"/>
      <c r="E346" s="8"/>
      <c r="F346" s="8"/>
      <c r="G346" s="8"/>
      <c r="H346" s="8"/>
      <c r="I346" s="8"/>
      <c r="J346" s="8"/>
      <c r="K346" s="8"/>
    </row>
    <row r="347" spans="1:11" x14ac:dyDescent="0.25">
      <c r="A347" s="44"/>
      <c r="B347" s="44"/>
      <c r="C347" s="44"/>
      <c r="D347" s="44"/>
      <c r="E347" s="8"/>
      <c r="F347" s="8"/>
      <c r="G347" s="8"/>
      <c r="H347" s="8"/>
      <c r="I347" s="8"/>
      <c r="J347" s="8"/>
      <c r="K347" s="8"/>
    </row>
    <row r="348" spans="1:11" x14ac:dyDescent="0.25">
      <c r="A348" s="44"/>
      <c r="B348" s="44"/>
      <c r="C348" s="44"/>
      <c r="D348" s="44"/>
      <c r="E348" s="8"/>
      <c r="F348" s="8"/>
      <c r="G348" s="8"/>
      <c r="H348" s="8"/>
      <c r="I348" s="8"/>
      <c r="J348" s="8"/>
      <c r="K348" s="8"/>
    </row>
    <row r="349" spans="1:11" x14ac:dyDescent="0.25">
      <c r="A349" s="44"/>
      <c r="B349" s="44"/>
      <c r="C349" s="44"/>
      <c r="D349" s="44"/>
      <c r="E349" s="8"/>
      <c r="F349" s="8"/>
      <c r="G349" s="8"/>
      <c r="H349" s="8"/>
      <c r="I349" s="8"/>
      <c r="J349" s="8"/>
      <c r="K349" s="8"/>
    </row>
    <row r="350" spans="1:11" x14ac:dyDescent="0.25">
      <c r="A350" s="44"/>
      <c r="B350" s="44"/>
      <c r="C350" s="44"/>
      <c r="D350" s="44"/>
      <c r="E350" s="8"/>
      <c r="F350" s="8"/>
      <c r="G350" s="8"/>
      <c r="H350" s="8"/>
      <c r="I350" s="8"/>
      <c r="J350" s="8"/>
      <c r="K350" s="8"/>
    </row>
    <row r="351" spans="1:11" x14ac:dyDescent="0.25">
      <c r="A351" s="44"/>
      <c r="B351" s="44"/>
      <c r="C351" s="44"/>
      <c r="D351" s="44"/>
      <c r="E351" s="8"/>
      <c r="F351" s="8"/>
      <c r="G351" s="8"/>
      <c r="H351" s="8"/>
      <c r="I351" s="8"/>
      <c r="J351" s="8"/>
      <c r="K351" s="8"/>
    </row>
    <row r="352" spans="1:11" x14ac:dyDescent="0.25">
      <c r="A352" s="44"/>
      <c r="B352" s="44"/>
      <c r="C352" s="44"/>
      <c r="D352" s="44"/>
      <c r="E352" s="8"/>
      <c r="F352" s="8"/>
      <c r="G352" s="8"/>
      <c r="H352" s="8"/>
      <c r="I352" s="8"/>
      <c r="J352" s="8"/>
      <c r="K352" s="8"/>
    </row>
    <row r="353" spans="1:11" x14ac:dyDescent="0.25">
      <c r="A353" s="44"/>
      <c r="B353" s="44"/>
      <c r="C353" s="44"/>
      <c r="D353" s="44"/>
      <c r="E353" s="8"/>
      <c r="F353" s="8"/>
      <c r="G353" s="8"/>
      <c r="H353" s="8"/>
      <c r="I353" s="8"/>
      <c r="J353" s="8"/>
      <c r="K353" s="8"/>
    </row>
    <row r="354" spans="1:11" x14ac:dyDescent="0.25">
      <c r="A354" s="44"/>
      <c r="B354" s="44"/>
      <c r="C354" s="44"/>
      <c r="D354" s="44"/>
      <c r="E354" s="8"/>
      <c r="F354" s="8"/>
      <c r="G354" s="8"/>
      <c r="H354" s="8"/>
      <c r="I354" s="8"/>
      <c r="J354" s="8"/>
      <c r="K354" s="8"/>
    </row>
    <row r="355" spans="1:11" x14ac:dyDescent="0.25">
      <c r="A355" s="44"/>
      <c r="B355" s="44"/>
      <c r="C355" s="44"/>
      <c r="D355" s="44"/>
      <c r="E355" s="8"/>
      <c r="F355" s="8"/>
      <c r="G355" s="8"/>
      <c r="H355" s="8"/>
      <c r="I355" s="8"/>
      <c r="J355" s="8"/>
      <c r="K355" s="8"/>
    </row>
    <row r="356" spans="1:11" x14ac:dyDescent="0.25">
      <c r="A356" s="44"/>
      <c r="B356" s="44"/>
      <c r="C356" s="44"/>
      <c r="D356" s="44"/>
      <c r="E356" s="8"/>
      <c r="F356" s="8"/>
      <c r="G356" s="8"/>
      <c r="H356" s="8"/>
      <c r="I356" s="8"/>
      <c r="J356" s="8"/>
      <c r="K356" s="8"/>
    </row>
    <row r="357" spans="1:11" x14ac:dyDescent="0.25">
      <c r="A357" s="44"/>
      <c r="B357" s="44"/>
      <c r="C357" s="44"/>
      <c r="D357" s="44"/>
      <c r="E357" s="8"/>
      <c r="F357" s="8"/>
      <c r="G357" s="8"/>
      <c r="H357" s="8"/>
      <c r="I357" s="8"/>
      <c r="J357" s="8"/>
      <c r="K357" s="8"/>
    </row>
    <row r="358" spans="1:11" x14ac:dyDescent="0.25">
      <c r="A358" s="44"/>
      <c r="B358" s="44"/>
      <c r="C358" s="44"/>
      <c r="D358" s="44"/>
      <c r="E358" s="8"/>
      <c r="F358" s="8"/>
      <c r="G358" s="8"/>
      <c r="H358" s="8"/>
      <c r="I358" s="8"/>
      <c r="J358" s="8"/>
      <c r="K358" s="8"/>
    </row>
    <row r="359" spans="1:11" x14ac:dyDescent="0.25">
      <c r="A359" s="44"/>
      <c r="B359" s="44"/>
      <c r="C359" s="44"/>
      <c r="D359" s="44"/>
      <c r="E359" s="8"/>
      <c r="F359" s="8"/>
      <c r="G359" s="8"/>
      <c r="H359" s="8"/>
      <c r="I359" s="8"/>
      <c r="J359" s="8"/>
      <c r="K359" s="8"/>
    </row>
    <row r="360" spans="1:11" x14ac:dyDescent="0.25">
      <c r="A360" s="44"/>
      <c r="B360" s="44"/>
      <c r="C360" s="44"/>
      <c r="D360" s="44"/>
      <c r="E360" s="8"/>
      <c r="F360" s="8"/>
      <c r="G360" s="8"/>
      <c r="H360" s="8"/>
      <c r="I360" s="8"/>
      <c r="J360" s="8"/>
      <c r="K360" s="8"/>
    </row>
    <row r="361" spans="1:11" x14ac:dyDescent="0.25">
      <c r="A361" s="44"/>
      <c r="B361" s="44"/>
      <c r="C361" s="44"/>
      <c r="D361" s="44"/>
      <c r="E361" s="8"/>
      <c r="F361" s="8"/>
      <c r="G361" s="8"/>
      <c r="H361" s="8"/>
      <c r="I361" s="8"/>
      <c r="J361" s="8"/>
      <c r="K361" s="8"/>
    </row>
    <row r="362" spans="1:11" x14ac:dyDescent="0.25">
      <c r="A362" s="44"/>
      <c r="B362" s="44"/>
      <c r="C362" s="44"/>
      <c r="D362" s="44"/>
      <c r="E362" s="8"/>
      <c r="F362" s="8"/>
      <c r="G362" s="8"/>
      <c r="H362" s="8"/>
      <c r="I362" s="8"/>
      <c r="J362" s="8"/>
      <c r="K362" s="8"/>
    </row>
    <row r="363" spans="1:11" x14ac:dyDescent="0.25">
      <c r="A363" s="44"/>
      <c r="B363" s="44"/>
      <c r="C363" s="44"/>
      <c r="D363" s="44"/>
      <c r="E363" s="8"/>
      <c r="F363" s="8"/>
      <c r="G363" s="8"/>
      <c r="H363" s="8"/>
      <c r="I363" s="8"/>
      <c r="J363" s="8"/>
      <c r="K363" s="8"/>
    </row>
    <row r="364" spans="1:11" x14ac:dyDescent="0.25">
      <c r="A364" s="44"/>
      <c r="B364" s="44"/>
      <c r="C364" s="44"/>
      <c r="D364" s="44"/>
      <c r="E364" s="8"/>
      <c r="F364" s="8"/>
      <c r="G364" s="8"/>
      <c r="H364" s="8"/>
      <c r="I364" s="8"/>
      <c r="J364" s="8"/>
      <c r="K364" s="8"/>
    </row>
    <row r="365" spans="1:11" x14ac:dyDescent="0.25">
      <c r="A365" s="44"/>
      <c r="B365" s="44"/>
      <c r="C365" s="44"/>
      <c r="D365" s="44"/>
      <c r="E365" s="8"/>
      <c r="F365" s="8"/>
      <c r="G365" s="8"/>
      <c r="H365" s="8"/>
      <c r="I365" s="8"/>
      <c r="J365" s="8"/>
      <c r="K365" s="8"/>
    </row>
    <row r="366" spans="1:11" x14ac:dyDescent="0.25">
      <c r="A366" s="44"/>
      <c r="B366" s="44"/>
      <c r="C366" s="44"/>
      <c r="D366" s="44"/>
      <c r="E366" s="8"/>
      <c r="F366" s="8"/>
      <c r="G366" s="8"/>
      <c r="H366" s="8"/>
      <c r="I366" s="8"/>
      <c r="J366" s="8"/>
      <c r="K366" s="8"/>
    </row>
    <row r="367" spans="1:11" x14ac:dyDescent="0.25">
      <c r="A367" s="44"/>
      <c r="B367" s="44"/>
      <c r="C367" s="44"/>
      <c r="D367" s="44"/>
      <c r="E367" s="8"/>
      <c r="F367" s="8"/>
      <c r="G367" s="8"/>
      <c r="H367" s="8"/>
      <c r="I367" s="8"/>
      <c r="J367" s="8"/>
      <c r="K367" s="8"/>
    </row>
    <row r="368" spans="1:11" x14ac:dyDescent="0.25">
      <c r="A368" s="44"/>
      <c r="B368" s="44"/>
      <c r="C368" s="44"/>
      <c r="D368" s="44"/>
      <c r="E368" s="8"/>
      <c r="F368" s="8"/>
      <c r="G368" s="8"/>
      <c r="H368" s="8"/>
      <c r="I368" s="8"/>
      <c r="J368" s="8"/>
      <c r="K368" s="8"/>
    </row>
    <row r="369" spans="1:11" x14ac:dyDescent="0.25">
      <c r="A369" s="44"/>
      <c r="B369" s="44"/>
      <c r="C369" s="44"/>
      <c r="D369" s="44"/>
      <c r="E369" s="8"/>
      <c r="F369" s="8"/>
      <c r="G369" s="8"/>
      <c r="H369" s="8"/>
      <c r="I369" s="8"/>
      <c r="J369" s="8"/>
      <c r="K369" s="8"/>
    </row>
    <row r="370" spans="1:11" x14ac:dyDescent="0.25">
      <c r="A370" s="44"/>
      <c r="B370" s="44"/>
      <c r="C370" s="44"/>
      <c r="D370" s="44"/>
      <c r="E370" s="8"/>
      <c r="F370" s="8"/>
      <c r="G370" s="8"/>
      <c r="H370" s="8"/>
      <c r="I370" s="8"/>
      <c r="J370" s="8"/>
      <c r="K370" s="8"/>
    </row>
    <row r="371" spans="1:11" x14ac:dyDescent="0.25">
      <c r="A371" s="44"/>
      <c r="B371" s="44"/>
      <c r="C371" s="44"/>
      <c r="D371" s="44"/>
      <c r="E371" s="8"/>
      <c r="F371" s="8"/>
      <c r="G371" s="8"/>
      <c r="H371" s="8"/>
      <c r="I371" s="8"/>
      <c r="J371" s="8"/>
      <c r="K371" s="8"/>
    </row>
    <row r="372" spans="1:11" x14ac:dyDescent="0.25">
      <c r="A372" s="44"/>
      <c r="B372" s="44"/>
      <c r="C372" s="44"/>
      <c r="D372" s="44"/>
      <c r="E372" s="8"/>
      <c r="F372" s="8"/>
      <c r="G372" s="8"/>
      <c r="H372" s="8"/>
      <c r="I372" s="8"/>
      <c r="J372" s="8"/>
      <c r="K372" s="8"/>
    </row>
    <row r="373" spans="1:11" x14ac:dyDescent="0.25">
      <c r="A373" s="44"/>
      <c r="B373" s="44"/>
      <c r="C373" s="44"/>
      <c r="D373" s="44"/>
      <c r="E373" s="8"/>
      <c r="F373" s="8"/>
      <c r="G373" s="8"/>
      <c r="H373" s="8"/>
      <c r="I373" s="8"/>
      <c r="J373" s="8"/>
      <c r="K373" s="8"/>
    </row>
    <row r="374" spans="1:11" x14ac:dyDescent="0.25">
      <c r="A374" s="44"/>
      <c r="B374" s="44"/>
      <c r="C374" s="44"/>
      <c r="D374" s="44"/>
      <c r="E374" s="8"/>
      <c r="F374" s="8"/>
      <c r="G374" s="8"/>
      <c r="H374" s="8"/>
      <c r="I374" s="8"/>
      <c r="J374" s="8"/>
      <c r="K374" s="8"/>
    </row>
    <row r="375" spans="1:11" x14ac:dyDescent="0.25">
      <c r="A375" s="44"/>
      <c r="B375" s="44"/>
      <c r="C375" s="44"/>
      <c r="D375" s="44"/>
      <c r="E375" s="8"/>
      <c r="F375" s="8"/>
      <c r="G375" s="8"/>
      <c r="H375" s="8"/>
      <c r="I375" s="8"/>
      <c r="J375" s="8"/>
      <c r="K375" s="8"/>
    </row>
    <row r="376" spans="1:11" x14ac:dyDescent="0.25">
      <c r="A376" s="44"/>
      <c r="B376" s="44"/>
      <c r="C376" s="44"/>
      <c r="D376" s="44"/>
      <c r="E376" s="8"/>
      <c r="F376" s="8"/>
      <c r="G376" s="8"/>
      <c r="H376" s="8"/>
      <c r="I376" s="8"/>
      <c r="J376" s="8"/>
      <c r="K376" s="8"/>
    </row>
    <row r="377" spans="1:11" x14ac:dyDescent="0.25">
      <c r="A377" s="44"/>
      <c r="B377" s="44"/>
      <c r="C377" s="44"/>
      <c r="D377" s="44"/>
      <c r="E377" s="8"/>
      <c r="F377" s="8"/>
      <c r="G377" s="8"/>
      <c r="H377" s="8"/>
      <c r="I377" s="8"/>
      <c r="J377" s="8"/>
      <c r="K377" s="8"/>
    </row>
    <row r="378" spans="1:11" x14ac:dyDescent="0.25">
      <c r="A378" s="44"/>
      <c r="B378" s="44"/>
      <c r="C378" s="44"/>
      <c r="D378" s="44"/>
      <c r="E378" s="8"/>
      <c r="F378" s="8"/>
      <c r="G378" s="8"/>
      <c r="H378" s="8"/>
      <c r="I378" s="8"/>
      <c r="J378" s="8"/>
      <c r="K378" s="8"/>
    </row>
    <row r="379" spans="1:11" x14ac:dyDescent="0.25">
      <c r="A379" s="44"/>
      <c r="B379" s="44"/>
      <c r="C379" s="44"/>
      <c r="D379" s="44"/>
      <c r="E379" s="8"/>
      <c r="F379" s="8"/>
      <c r="G379" s="8"/>
      <c r="H379" s="8"/>
      <c r="I379" s="8"/>
      <c r="J379" s="8"/>
      <c r="K379" s="8"/>
    </row>
    <row r="380" spans="1:11" x14ac:dyDescent="0.25">
      <c r="A380" s="44"/>
      <c r="B380" s="44"/>
      <c r="C380" s="44"/>
      <c r="D380" s="44"/>
      <c r="E380" s="8"/>
      <c r="F380" s="8"/>
      <c r="G380" s="8"/>
      <c r="H380" s="8"/>
      <c r="I380" s="8"/>
      <c r="J380" s="8"/>
      <c r="K380" s="8"/>
    </row>
    <row r="381" spans="1:11" x14ac:dyDescent="0.25">
      <c r="A381" s="44"/>
      <c r="B381" s="44"/>
      <c r="C381" s="44"/>
      <c r="D381" s="44"/>
      <c r="E381" s="8"/>
      <c r="F381" s="8"/>
      <c r="G381" s="8"/>
      <c r="H381" s="8"/>
      <c r="I381" s="8"/>
      <c r="J381" s="8"/>
      <c r="K381" s="8"/>
    </row>
    <row r="382" spans="1:11" x14ac:dyDescent="0.25">
      <c r="A382" s="44"/>
      <c r="B382" s="44"/>
      <c r="C382" s="44"/>
      <c r="D382" s="44"/>
      <c r="E382" s="8"/>
      <c r="F382" s="8"/>
      <c r="G382" s="8"/>
      <c r="H382" s="8"/>
      <c r="I382" s="8"/>
      <c r="J382" s="8"/>
      <c r="K382" s="8"/>
    </row>
    <row r="383" spans="1:11" x14ac:dyDescent="0.25">
      <c r="A383" s="44"/>
      <c r="B383" s="44"/>
      <c r="C383" s="44"/>
      <c r="D383" s="44"/>
      <c r="E383" s="8"/>
      <c r="F383" s="8"/>
      <c r="G383" s="8"/>
      <c r="H383" s="8"/>
      <c r="I383" s="8"/>
      <c r="J383" s="8"/>
      <c r="K383" s="8"/>
    </row>
    <row r="384" spans="1:11" x14ac:dyDescent="0.25">
      <c r="A384" s="44"/>
      <c r="B384" s="44"/>
      <c r="C384" s="44"/>
      <c r="D384" s="44"/>
      <c r="E384" s="8"/>
      <c r="F384" s="8"/>
      <c r="G384" s="8"/>
      <c r="H384" s="8"/>
      <c r="I384" s="8"/>
      <c r="J384" s="8"/>
      <c r="K384" s="8"/>
    </row>
    <row r="385" spans="1:11" x14ac:dyDescent="0.25">
      <c r="A385" s="44"/>
      <c r="B385" s="44"/>
      <c r="C385" s="44"/>
      <c r="D385" s="44"/>
      <c r="E385" s="8"/>
      <c r="F385" s="8"/>
      <c r="G385" s="8"/>
      <c r="H385" s="8"/>
      <c r="I385" s="8"/>
      <c r="J385" s="8"/>
      <c r="K385" s="8"/>
    </row>
    <row r="386" spans="1:11" x14ac:dyDescent="0.25">
      <c r="A386" s="44"/>
      <c r="B386" s="44"/>
      <c r="C386" s="44"/>
      <c r="D386" s="44"/>
      <c r="E386" s="8"/>
      <c r="F386" s="8"/>
      <c r="G386" s="8"/>
      <c r="H386" s="8"/>
      <c r="I386" s="8"/>
      <c r="J386" s="8"/>
      <c r="K386" s="8"/>
    </row>
    <row r="387" spans="1:11" x14ac:dyDescent="0.25">
      <c r="A387" s="44"/>
      <c r="B387" s="44"/>
      <c r="C387" s="44"/>
      <c r="D387" s="44"/>
      <c r="E387" s="8"/>
      <c r="F387" s="8"/>
      <c r="G387" s="8"/>
      <c r="H387" s="8"/>
      <c r="I387" s="8"/>
      <c r="J387" s="8"/>
      <c r="K387" s="8"/>
    </row>
    <row r="388" spans="1:11" x14ac:dyDescent="0.25">
      <c r="A388" s="44"/>
      <c r="B388" s="44"/>
      <c r="C388" s="44"/>
      <c r="D388" s="44"/>
      <c r="E388" s="8"/>
      <c r="F388" s="8"/>
      <c r="G388" s="8"/>
      <c r="H388" s="8"/>
      <c r="I388" s="8"/>
      <c r="J388" s="8"/>
      <c r="K388" s="8"/>
    </row>
    <row r="389" spans="1:11" x14ac:dyDescent="0.25">
      <c r="A389" s="44"/>
      <c r="B389" s="44"/>
      <c r="C389" s="44"/>
      <c r="D389" s="44"/>
      <c r="E389" s="8"/>
      <c r="F389" s="8"/>
      <c r="G389" s="8"/>
      <c r="H389" s="8"/>
      <c r="I389" s="8"/>
      <c r="J389" s="8"/>
      <c r="K389" s="8"/>
    </row>
    <row r="390" spans="1:11" x14ac:dyDescent="0.25">
      <c r="A390" s="44"/>
      <c r="B390" s="44"/>
      <c r="C390" s="44"/>
      <c r="D390" s="44"/>
      <c r="E390" s="8"/>
      <c r="F390" s="8"/>
      <c r="G390" s="8"/>
      <c r="H390" s="8"/>
      <c r="I390" s="8"/>
      <c r="J390" s="8"/>
      <c r="K390" s="8"/>
    </row>
    <row r="391" spans="1:11" x14ac:dyDescent="0.25">
      <c r="A391" s="44"/>
      <c r="B391" s="44"/>
      <c r="C391" s="44"/>
      <c r="D391" s="44"/>
      <c r="E391" s="8"/>
      <c r="F391" s="8"/>
      <c r="G391" s="8"/>
      <c r="H391" s="8"/>
      <c r="I391" s="8"/>
      <c r="J391" s="8"/>
      <c r="K391" s="8"/>
    </row>
    <row r="392" spans="1:11" x14ac:dyDescent="0.25">
      <c r="A392" s="44"/>
      <c r="B392" s="44"/>
      <c r="C392" s="44"/>
      <c r="D392" s="44"/>
      <c r="E392" s="8"/>
      <c r="F392" s="8"/>
      <c r="G392" s="8"/>
      <c r="H392" s="8"/>
      <c r="I392" s="8"/>
      <c r="J392" s="8"/>
      <c r="K392" s="8"/>
    </row>
    <row r="393" spans="1:11" x14ac:dyDescent="0.25">
      <c r="A393" s="44"/>
      <c r="B393" s="44"/>
      <c r="C393" s="44"/>
      <c r="D393" s="44"/>
      <c r="E393" s="8"/>
      <c r="F393" s="8"/>
      <c r="G393" s="8"/>
      <c r="H393" s="8"/>
      <c r="I393" s="8"/>
      <c r="J393" s="8"/>
      <c r="K393" s="8"/>
    </row>
    <row r="394" spans="1:11" x14ac:dyDescent="0.25">
      <c r="A394" s="44"/>
      <c r="B394" s="44"/>
      <c r="C394" s="44"/>
      <c r="D394" s="44"/>
      <c r="E394" s="8"/>
      <c r="F394" s="8"/>
      <c r="G394" s="8"/>
      <c r="H394" s="8"/>
      <c r="I394" s="8"/>
      <c r="J394" s="8"/>
      <c r="K394" s="8"/>
    </row>
    <row r="395" spans="1:11" x14ac:dyDescent="0.25">
      <c r="A395" s="44"/>
      <c r="B395" s="44"/>
      <c r="C395" s="44"/>
      <c r="D395" s="44"/>
      <c r="E395" s="8"/>
      <c r="F395" s="8"/>
      <c r="G395" s="8"/>
      <c r="H395" s="8"/>
      <c r="I395" s="8"/>
      <c r="J395" s="8"/>
      <c r="K395" s="8"/>
    </row>
    <row r="396" spans="1:11" x14ac:dyDescent="0.25">
      <c r="A396" s="44"/>
      <c r="B396" s="44"/>
      <c r="C396" s="44"/>
      <c r="D396" s="44"/>
      <c r="E396" s="8"/>
      <c r="F396" s="8"/>
      <c r="G396" s="8"/>
      <c r="H396" s="8"/>
      <c r="I396" s="8"/>
      <c r="J396" s="8"/>
      <c r="K396" s="8"/>
    </row>
    <row r="397" spans="1:11" x14ac:dyDescent="0.25">
      <c r="A397" s="44"/>
      <c r="B397" s="44"/>
      <c r="C397" s="44"/>
      <c r="D397" s="44"/>
      <c r="E397" s="8"/>
      <c r="F397" s="8"/>
      <c r="G397" s="8"/>
      <c r="H397" s="8"/>
      <c r="I397" s="8"/>
      <c r="J397" s="8"/>
      <c r="K397" s="8"/>
    </row>
    <row r="398" spans="1:11" x14ac:dyDescent="0.25">
      <c r="A398" s="44"/>
      <c r="B398" s="44"/>
      <c r="C398" s="44"/>
      <c r="D398" s="44"/>
      <c r="E398" s="8"/>
      <c r="F398" s="8"/>
      <c r="G398" s="8"/>
      <c r="H398" s="8"/>
      <c r="I398" s="8"/>
      <c r="J398" s="8"/>
      <c r="K398" s="8"/>
    </row>
    <row r="399" spans="1:11" x14ac:dyDescent="0.25">
      <c r="A399" s="44"/>
      <c r="B399" s="44"/>
      <c r="C399" s="44"/>
      <c r="D399" s="44"/>
      <c r="E399" s="8"/>
      <c r="F399" s="8"/>
      <c r="G399" s="8"/>
      <c r="H399" s="8"/>
      <c r="I399" s="8"/>
      <c r="J399" s="8"/>
      <c r="K399" s="8"/>
    </row>
    <row r="400" spans="1:11" x14ac:dyDescent="0.25">
      <c r="A400" s="44"/>
      <c r="B400" s="44"/>
      <c r="C400" s="44"/>
      <c r="D400" s="44"/>
      <c r="E400" s="8"/>
      <c r="F400" s="8"/>
      <c r="G400" s="8"/>
      <c r="H400" s="8"/>
      <c r="I400" s="8"/>
      <c r="J400" s="8"/>
      <c r="K400" s="8"/>
    </row>
    <row r="401" spans="1:11" x14ac:dyDescent="0.25">
      <c r="A401" s="44"/>
      <c r="B401" s="44"/>
      <c r="C401" s="44"/>
      <c r="D401" s="44"/>
      <c r="E401" s="8"/>
      <c r="F401" s="8"/>
      <c r="G401" s="8"/>
      <c r="H401" s="8"/>
      <c r="I401" s="8"/>
      <c r="J401" s="8"/>
      <c r="K401" s="8"/>
    </row>
    <row r="402" spans="1:11" x14ac:dyDescent="0.25">
      <c r="A402" s="44"/>
      <c r="B402" s="44"/>
      <c r="C402" s="44"/>
      <c r="D402" s="44"/>
      <c r="E402" s="8"/>
      <c r="F402" s="8"/>
      <c r="G402" s="8"/>
      <c r="H402" s="8"/>
      <c r="I402" s="8"/>
      <c r="J402" s="8"/>
      <c r="K402" s="8"/>
    </row>
    <row r="403" spans="1:11" x14ac:dyDescent="0.25">
      <c r="A403" s="44"/>
      <c r="B403" s="44"/>
      <c r="C403" s="44"/>
      <c r="D403" s="44"/>
      <c r="E403" s="8"/>
      <c r="F403" s="8"/>
      <c r="G403" s="8"/>
      <c r="H403" s="8"/>
      <c r="I403" s="8"/>
      <c r="J403" s="8"/>
      <c r="K403" s="8"/>
    </row>
    <row r="404" spans="1:11" x14ac:dyDescent="0.25">
      <c r="A404" s="44"/>
      <c r="B404" s="44"/>
      <c r="C404" s="44"/>
      <c r="D404" s="44"/>
      <c r="E404" s="8"/>
      <c r="F404" s="8"/>
      <c r="G404" s="8"/>
      <c r="H404" s="8"/>
      <c r="I404" s="8"/>
      <c r="J404" s="8"/>
      <c r="K404" s="8"/>
    </row>
    <row r="405" spans="1:11" x14ac:dyDescent="0.25">
      <c r="A405" s="44"/>
      <c r="B405" s="44"/>
      <c r="C405" s="44"/>
      <c r="D405" s="44"/>
      <c r="E405" s="8"/>
      <c r="F405" s="8"/>
      <c r="G405" s="8"/>
      <c r="H405" s="8"/>
      <c r="I405" s="8"/>
      <c r="J405" s="8"/>
      <c r="K405" s="8"/>
    </row>
    <row r="406" spans="1:11" x14ac:dyDescent="0.25">
      <c r="A406" s="44"/>
      <c r="B406" s="44"/>
      <c r="C406" s="44"/>
      <c r="D406" s="44"/>
      <c r="E406" s="8"/>
      <c r="F406" s="8"/>
      <c r="G406" s="8"/>
      <c r="H406" s="8"/>
      <c r="I406" s="8"/>
      <c r="J406" s="8"/>
      <c r="K406" s="8"/>
    </row>
    <row r="407" spans="1:11" x14ac:dyDescent="0.25">
      <c r="A407" s="44"/>
      <c r="B407" s="44"/>
      <c r="C407" s="44"/>
      <c r="D407" s="44"/>
      <c r="E407" s="8"/>
      <c r="F407" s="8"/>
      <c r="G407" s="8"/>
      <c r="H407" s="8"/>
      <c r="I407" s="8"/>
      <c r="J407" s="8"/>
      <c r="K407" s="8"/>
    </row>
    <row r="408" spans="1:11" x14ac:dyDescent="0.25">
      <c r="A408" s="44"/>
      <c r="B408" s="44"/>
      <c r="C408" s="44"/>
      <c r="D408" s="44"/>
      <c r="E408" s="8"/>
      <c r="F408" s="8"/>
      <c r="G408" s="8"/>
      <c r="H408" s="8"/>
      <c r="I408" s="8"/>
      <c r="J408" s="8"/>
      <c r="K408" s="8"/>
    </row>
    <row r="409" spans="1:11" x14ac:dyDescent="0.25">
      <c r="A409" s="44"/>
      <c r="B409" s="44"/>
      <c r="C409" s="44"/>
      <c r="D409" s="44"/>
      <c r="E409" s="8"/>
      <c r="F409" s="8"/>
      <c r="G409" s="8"/>
      <c r="H409" s="8"/>
      <c r="I409" s="8"/>
      <c r="J409" s="8"/>
      <c r="K409" s="8"/>
    </row>
    <row r="410" spans="1:11" x14ac:dyDescent="0.25">
      <c r="A410" s="44"/>
      <c r="B410" s="44"/>
      <c r="C410" s="44"/>
      <c r="D410" s="44"/>
      <c r="E410" s="8"/>
      <c r="F410" s="8"/>
      <c r="G410" s="8"/>
      <c r="H410" s="8"/>
      <c r="I410" s="8"/>
      <c r="J410" s="8"/>
      <c r="K410" s="8"/>
    </row>
    <row r="411" spans="1:11" x14ac:dyDescent="0.25">
      <c r="A411" s="44"/>
      <c r="B411" s="44"/>
      <c r="C411" s="44"/>
      <c r="D411" s="44"/>
      <c r="E411" s="8"/>
      <c r="F411" s="8"/>
      <c r="G411" s="8"/>
      <c r="H411" s="8"/>
      <c r="I411" s="8"/>
      <c r="J411" s="8"/>
      <c r="K411" s="8"/>
    </row>
    <row r="412" spans="1:11" x14ac:dyDescent="0.25">
      <c r="A412" s="44"/>
      <c r="B412" s="44"/>
      <c r="C412" s="44"/>
      <c r="D412" s="44"/>
      <c r="E412" s="8"/>
      <c r="F412" s="8"/>
      <c r="G412" s="8"/>
      <c r="H412" s="8"/>
      <c r="I412" s="8"/>
      <c r="J412" s="8"/>
      <c r="K412" s="8"/>
    </row>
    <row r="413" spans="1:11" x14ac:dyDescent="0.25">
      <c r="A413" s="44"/>
      <c r="B413" s="44"/>
      <c r="C413" s="44"/>
      <c r="D413" s="44"/>
      <c r="E413" s="8"/>
      <c r="F413" s="8"/>
      <c r="G413" s="8"/>
      <c r="H413" s="8"/>
      <c r="I413" s="8"/>
      <c r="J413" s="8"/>
      <c r="K413" s="8"/>
    </row>
    <row r="414" spans="1:11" x14ac:dyDescent="0.25">
      <c r="A414" s="44"/>
      <c r="B414" s="44"/>
      <c r="C414" s="44"/>
      <c r="D414" s="44"/>
      <c r="E414" s="8"/>
      <c r="F414" s="8"/>
      <c r="G414" s="8"/>
      <c r="H414" s="8"/>
      <c r="I414" s="8"/>
      <c r="J414" s="8"/>
      <c r="K414" s="8"/>
    </row>
    <row r="415" spans="1:11" x14ac:dyDescent="0.25">
      <c r="A415" s="44"/>
      <c r="B415" s="44"/>
      <c r="C415" s="44"/>
      <c r="D415" s="44"/>
      <c r="E415" s="8"/>
      <c r="F415" s="8"/>
      <c r="G415" s="8"/>
      <c r="H415" s="8"/>
      <c r="I415" s="8"/>
      <c r="J415" s="8"/>
      <c r="K415" s="8"/>
    </row>
    <row r="416" spans="1:11" x14ac:dyDescent="0.25">
      <c r="A416" s="44"/>
      <c r="B416" s="44"/>
      <c r="C416" s="44"/>
      <c r="D416" s="44"/>
      <c r="E416" s="8"/>
      <c r="F416" s="8"/>
      <c r="G416" s="8"/>
      <c r="H416" s="8"/>
      <c r="I416" s="8"/>
      <c r="J416" s="8"/>
      <c r="K416" s="8"/>
    </row>
    <row r="417" spans="1:11" x14ac:dyDescent="0.25">
      <c r="A417" s="44"/>
      <c r="B417" s="44"/>
      <c r="C417" s="44"/>
      <c r="D417" s="44"/>
      <c r="E417" s="8"/>
      <c r="F417" s="8"/>
      <c r="G417" s="8"/>
      <c r="H417" s="8"/>
      <c r="I417" s="8"/>
      <c r="J417" s="8"/>
      <c r="K417" s="8"/>
    </row>
    <row r="418" spans="1:11" x14ac:dyDescent="0.25">
      <c r="A418" s="44"/>
      <c r="B418" s="44"/>
      <c r="C418" s="44"/>
      <c r="D418" s="44"/>
      <c r="E418" s="8"/>
      <c r="F418" s="8"/>
      <c r="G418" s="8"/>
      <c r="H418" s="8"/>
      <c r="I418" s="8"/>
      <c r="J418" s="8"/>
      <c r="K418" s="8"/>
    </row>
    <row r="419" spans="1:11" x14ac:dyDescent="0.25">
      <c r="A419" s="44"/>
      <c r="B419" s="44"/>
      <c r="C419" s="44"/>
      <c r="D419" s="44"/>
      <c r="E419" s="8"/>
      <c r="F419" s="8"/>
      <c r="G419" s="8"/>
      <c r="H419" s="8"/>
      <c r="I419" s="8"/>
      <c r="J419" s="8"/>
      <c r="K419" s="8"/>
    </row>
    <row r="420" spans="1:11" x14ac:dyDescent="0.25">
      <c r="A420" s="44"/>
      <c r="B420" s="44"/>
      <c r="C420" s="44"/>
      <c r="D420" s="44"/>
      <c r="E420" s="8"/>
      <c r="F420" s="8"/>
      <c r="G420" s="8"/>
      <c r="H420" s="8"/>
      <c r="I420" s="8"/>
      <c r="J420" s="8"/>
      <c r="K420" s="8"/>
    </row>
    <row r="421" spans="1:11" x14ac:dyDescent="0.25">
      <c r="A421" s="44"/>
      <c r="B421" s="44"/>
      <c r="C421" s="44"/>
      <c r="D421" s="44"/>
      <c r="E421" s="8"/>
      <c r="F421" s="8"/>
      <c r="G421" s="8"/>
      <c r="H421" s="8"/>
      <c r="I421" s="8"/>
      <c r="J421" s="8"/>
      <c r="K421" s="8"/>
    </row>
    <row r="422" spans="1:11" x14ac:dyDescent="0.25">
      <c r="A422" s="44"/>
      <c r="B422" s="44"/>
      <c r="C422" s="44"/>
      <c r="D422" s="44"/>
      <c r="E422" s="8"/>
      <c r="F422" s="8"/>
      <c r="G422" s="8"/>
      <c r="H422" s="8"/>
      <c r="I422" s="8"/>
      <c r="J422" s="8"/>
      <c r="K422" s="8"/>
    </row>
    <row r="423" spans="1:11" x14ac:dyDescent="0.25">
      <c r="A423" s="44"/>
      <c r="B423" s="44"/>
      <c r="C423" s="44"/>
      <c r="D423" s="44"/>
      <c r="E423" s="8"/>
      <c r="F423" s="8"/>
      <c r="G423" s="8"/>
      <c r="H423" s="8"/>
      <c r="I423" s="8"/>
      <c r="J423" s="8"/>
      <c r="K423" s="8"/>
    </row>
    <row r="424" spans="1:11" x14ac:dyDescent="0.25">
      <c r="A424" s="44"/>
      <c r="B424" s="44"/>
      <c r="C424" s="44"/>
      <c r="D424" s="44"/>
      <c r="E424" s="8"/>
      <c r="F424" s="8"/>
      <c r="G424" s="8"/>
      <c r="H424" s="8"/>
      <c r="I424" s="8"/>
      <c r="J424" s="8"/>
      <c r="K424" s="8"/>
    </row>
    <row r="425" spans="1:11" x14ac:dyDescent="0.25">
      <c r="A425" s="44"/>
      <c r="B425" s="44"/>
      <c r="C425" s="44"/>
      <c r="D425" s="44"/>
      <c r="E425" s="8"/>
      <c r="F425" s="8"/>
      <c r="G425" s="8"/>
      <c r="H425" s="8"/>
      <c r="I425" s="8"/>
      <c r="J425" s="8"/>
      <c r="K425" s="8"/>
    </row>
    <row r="426" spans="1:11" x14ac:dyDescent="0.25">
      <c r="A426" s="44"/>
      <c r="B426" s="44"/>
      <c r="C426" s="44"/>
      <c r="D426" s="44"/>
      <c r="E426" s="8"/>
      <c r="F426" s="8"/>
      <c r="G426" s="8"/>
      <c r="H426" s="8"/>
      <c r="I426" s="8"/>
      <c r="J426" s="8"/>
      <c r="K426" s="8"/>
    </row>
    <row r="427" spans="1:11" x14ac:dyDescent="0.25">
      <c r="A427" s="44"/>
      <c r="B427" s="44"/>
      <c r="C427" s="44"/>
      <c r="D427" s="44"/>
      <c r="E427" s="8"/>
      <c r="F427" s="8"/>
      <c r="G427" s="8"/>
      <c r="H427" s="8"/>
      <c r="I427" s="8"/>
      <c r="J427" s="8"/>
      <c r="K427" s="8"/>
    </row>
    <row r="428" spans="1:11" x14ac:dyDescent="0.25">
      <c r="A428" s="44"/>
      <c r="B428" s="44"/>
      <c r="C428" s="44"/>
      <c r="D428" s="44"/>
      <c r="E428" s="8"/>
      <c r="F428" s="8"/>
      <c r="G428" s="8"/>
      <c r="H428" s="8"/>
      <c r="I428" s="8"/>
      <c r="J428" s="8"/>
      <c r="K428" s="8"/>
    </row>
    <row r="429" spans="1:11" x14ac:dyDescent="0.25">
      <c r="A429" s="44"/>
      <c r="B429" s="44"/>
      <c r="C429" s="44"/>
      <c r="D429" s="44"/>
      <c r="E429" s="8"/>
      <c r="F429" s="8"/>
      <c r="G429" s="8"/>
      <c r="H429" s="8"/>
      <c r="I429" s="8"/>
      <c r="J429" s="8"/>
      <c r="K429" s="8"/>
    </row>
    <row r="430" spans="1:11" x14ac:dyDescent="0.25">
      <c r="A430" s="44"/>
      <c r="B430" s="44"/>
      <c r="C430" s="44"/>
      <c r="D430" s="44"/>
      <c r="E430" s="8"/>
      <c r="F430" s="8"/>
      <c r="G430" s="8"/>
      <c r="H430" s="8"/>
      <c r="I430" s="8"/>
      <c r="J430" s="8"/>
      <c r="K430" s="8"/>
    </row>
    <row r="431" spans="1:11" x14ac:dyDescent="0.25">
      <c r="A431" s="44"/>
      <c r="B431" s="44"/>
      <c r="C431" s="44"/>
      <c r="D431" s="44"/>
      <c r="E431" s="8"/>
      <c r="F431" s="8"/>
      <c r="G431" s="8"/>
      <c r="H431" s="8"/>
      <c r="I431" s="8"/>
      <c r="J431" s="8"/>
      <c r="K431" s="8"/>
    </row>
    <row r="432" spans="1:11" x14ac:dyDescent="0.25">
      <c r="A432" s="44"/>
      <c r="B432" s="44"/>
      <c r="C432" s="44"/>
      <c r="D432" s="44"/>
      <c r="E432" s="8"/>
      <c r="F432" s="8"/>
      <c r="G432" s="8"/>
      <c r="H432" s="8"/>
      <c r="I432" s="8"/>
      <c r="J432" s="8"/>
      <c r="K432" s="8"/>
    </row>
    <row r="433" spans="1:11" x14ac:dyDescent="0.25">
      <c r="A433" s="44"/>
      <c r="B433" s="44"/>
      <c r="C433" s="44"/>
      <c r="D433" s="44"/>
      <c r="E433" s="8"/>
      <c r="F433" s="8"/>
      <c r="G433" s="8"/>
      <c r="H433" s="8"/>
      <c r="I433" s="8"/>
      <c r="J433" s="8"/>
      <c r="K433" s="8"/>
    </row>
    <row r="434" spans="1:11" x14ac:dyDescent="0.25">
      <c r="A434" s="44"/>
      <c r="B434" s="44"/>
      <c r="C434" s="44"/>
      <c r="D434" s="44"/>
      <c r="E434" s="8"/>
      <c r="F434" s="8"/>
      <c r="G434" s="8"/>
      <c r="H434" s="8"/>
      <c r="I434" s="8"/>
      <c r="J434" s="8"/>
      <c r="K434" s="8"/>
    </row>
    <row r="435" spans="1:11" x14ac:dyDescent="0.25">
      <c r="A435" s="44"/>
      <c r="B435" s="44"/>
      <c r="C435" s="44"/>
      <c r="D435" s="44"/>
      <c r="E435" s="8"/>
      <c r="F435" s="8"/>
      <c r="G435" s="8"/>
      <c r="H435" s="8"/>
      <c r="I435" s="8"/>
      <c r="J435" s="8"/>
      <c r="K435" s="8"/>
    </row>
    <row r="436" spans="1:11" x14ac:dyDescent="0.25">
      <c r="A436" s="44"/>
      <c r="B436" s="44"/>
      <c r="C436" s="44"/>
      <c r="D436" s="44"/>
      <c r="E436" s="8"/>
      <c r="F436" s="8"/>
      <c r="G436" s="8"/>
      <c r="H436" s="8"/>
      <c r="I436" s="8"/>
      <c r="J436" s="8"/>
      <c r="K436" s="8"/>
    </row>
    <row r="437" spans="1:11" x14ac:dyDescent="0.25">
      <c r="A437" s="44"/>
      <c r="B437" s="44"/>
      <c r="C437" s="44"/>
      <c r="D437" s="44"/>
      <c r="E437" s="8"/>
      <c r="F437" s="8"/>
      <c r="G437" s="8"/>
      <c r="H437" s="8"/>
      <c r="I437" s="8"/>
      <c r="J437" s="8"/>
      <c r="K437" s="8"/>
    </row>
    <row r="438" spans="1:11" x14ac:dyDescent="0.25">
      <c r="A438" s="44"/>
      <c r="B438" s="44"/>
      <c r="C438" s="44"/>
      <c r="D438" s="44"/>
      <c r="E438" s="8"/>
      <c r="F438" s="8"/>
      <c r="G438" s="8"/>
      <c r="H438" s="8"/>
      <c r="I438" s="8"/>
      <c r="J438" s="8"/>
      <c r="K438" s="8"/>
    </row>
    <row r="439" spans="1:11" x14ac:dyDescent="0.25">
      <c r="A439" s="44"/>
      <c r="B439" s="44"/>
      <c r="C439" s="44"/>
      <c r="D439" s="44"/>
      <c r="E439" s="8"/>
      <c r="F439" s="8"/>
      <c r="G439" s="8"/>
      <c r="H439" s="8"/>
      <c r="I439" s="8"/>
      <c r="J439" s="8"/>
      <c r="K439" s="8"/>
    </row>
    <row r="440" spans="1:11" x14ac:dyDescent="0.25">
      <c r="A440" s="44"/>
      <c r="B440" s="44"/>
      <c r="C440" s="44"/>
      <c r="D440" s="44"/>
      <c r="E440" s="8"/>
      <c r="F440" s="8"/>
      <c r="G440" s="8"/>
      <c r="H440" s="8"/>
      <c r="I440" s="8"/>
      <c r="J440" s="8"/>
      <c r="K440" s="8"/>
    </row>
    <row r="441" spans="1:11" x14ac:dyDescent="0.25">
      <c r="A441" s="44"/>
      <c r="B441" s="44"/>
      <c r="C441" s="44"/>
      <c r="D441" s="44"/>
      <c r="E441" s="8"/>
      <c r="F441" s="8"/>
      <c r="G441" s="8"/>
      <c r="H441" s="8"/>
      <c r="I441" s="8"/>
      <c r="J441" s="8"/>
      <c r="K441" s="8"/>
    </row>
    <row r="442" spans="1:11" x14ac:dyDescent="0.25">
      <c r="A442" s="44"/>
      <c r="B442" s="44"/>
      <c r="C442" s="44"/>
      <c r="D442" s="44"/>
      <c r="E442" s="8"/>
      <c r="F442" s="8"/>
      <c r="G442" s="8"/>
      <c r="H442" s="8"/>
      <c r="I442" s="8"/>
      <c r="J442" s="8"/>
      <c r="K442" s="8"/>
    </row>
    <row r="443" spans="1:11" x14ac:dyDescent="0.25">
      <c r="A443" s="44"/>
      <c r="B443" s="44"/>
      <c r="C443" s="44"/>
      <c r="D443" s="44"/>
      <c r="E443" s="8"/>
      <c r="F443" s="8"/>
      <c r="G443" s="8"/>
      <c r="H443" s="8"/>
      <c r="I443" s="8"/>
      <c r="J443" s="8"/>
      <c r="K443" s="8"/>
    </row>
    <row r="444" spans="1:11" x14ac:dyDescent="0.25">
      <c r="A444" s="44"/>
      <c r="B444" s="44"/>
      <c r="C444" s="44"/>
      <c r="D444" s="44"/>
      <c r="E444" s="8"/>
      <c r="F444" s="8"/>
      <c r="G444" s="8"/>
      <c r="H444" s="8"/>
      <c r="I444" s="8"/>
      <c r="J444" s="8"/>
      <c r="K444" s="8"/>
    </row>
    <row r="445" spans="1:11" x14ac:dyDescent="0.25">
      <c r="A445" s="44"/>
      <c r="B445" s="44"/>
      <c r="C445" s="44"/>
      <c r="D445" s="44"/>
      <c r="E445" s="8"/>
      <c r="F445" s="8"/>
      <c r="G445" s="8"/>
      <c r="H445" s="8"/>
      <c r="I445" s="8"/>
      <c r="J445" s="8"/>
      <c r="K445" s="8"/>
    </row>
    <row r="446" spans="1:11" x14ac:dyDescent="0.25">
      <c r="A446" s="44"/>
      <c r="B446" s="44"/>
      <c r="C446" s="44"/>
      <c r="D446" s="44"/>
      <c r="E446" s="8"/>
      <c r="F446" s="8"/>
      <c r="G446" s="8"/>
      <c r="H446" s="8"/>
      <c r="I446" s="8"/>
      <c r="J446" s="8"/>
      <c r="K446" s="8"/>
    </row>
    <row r="447" spans="1:11" x14ac:dyDescent="0.25">
      <c r="A447" s="44"/>
      <c r="B447" s="44"/>
      <c r="C447" s="44"/>
      <c r="D447" s="44"/>
      <c r="E447" s="8"/>
      <c r="F447" s="8"/>
      <c r="G447" s="8"/>
      <c r="H447" s="8"/>
      <c r="I447" s="8"/>
      <c r="J447" s="8"/>
      <c r="K447" s="8"/>
    </row>
    <row r="448" spans="1:11" x14ac:dyDescent="0.25">
      <c r="A448" s="44"/>
      <c r="B448" s="44"/>
      <c r="C448" s="44"/>
      <c r="D448" s="44"/>
      <c r="E448" s="8"/>
      <c r="F448" s="8"/>
      <c r="G448" s="8"/>
      <c r="H448" s="8"/>
      <c r="I448" s="8"/>
      <c r="J448" s="8"/>
      <c r="K448" s="8"/>
    </row>
    <row r="449" spans="1:11" x14ac:dyDescent="0.25">
      <c r="A449" s="44"/>
      <c r="B449" s="44"/>
      <c r="C449" s="44"/>
      <c r="D449" s="44"/>
      <c r="E449" s="8"/>
      <c r="F449" s="8"/>
      <c r="G449" s="8"/>
      <c r="H449" s="8"/>
      <c r="I449" s="8"/>
      <c r="J449" s="8"/>
      <c r="K449" s="8"/>
    </row>
    <row r="450" spans="1:11" x14ac:dyDescent="0.25">
      <c r="A450" s="44"/>
      <c r="B450" s="44"/>
      <c r="C450" s="44"/>
      <c r="D450" s="44"/>
      <c r="E450" s="8"/>
      <c r="F450" s="8"/>
      <c r="G450" s="8"/>
      <c r="H450" s="8"/>
      <c r="I450" s="8"/>
      <c r="J450" s="8"/>
      <c r="K450" s="8"/>
    </row>
    <row r="451" spans="1:11" x14ac:dyDescent="0.25">
      <c r="A451" s="44"/>
      <c r="B451" s="44"/>
      <c r="C451" s="44"/>
      <c r="D451" s="44"/>
      <c r="E451" s="8"/>
      <c r="F451" s="8"/>
      <c r="G451" s="8"/>
      <c r="H451" s="8"/>
      <c r="I451" s="8"/>
      <c r="J451" s="8"/>
      <c r="K451" s="8"/>
    </row>
    <row r="452" spans="1:11" x14ac:dyDescent="0.25">
      <c r="A452" s="44"/>
      <c r="B452" s="44"/>
      <c r="C452" s="44"/>
      <c r="D452" s="44"/>
      <c r="E452" s="8"/>
      <c r="F452" s="8"/>
      <c r="G452" s="8"/>
      <c r="H452" s="8"/>
      <c r="I452" s="8"/>
      <c r="J452" s="8"/>
      <c r="K452" s="8"/>
    </row>
    <row r="453" spans="1:11" x14ac:dyDescent="0.25">
      <c r="A453" s="44"/>
      <c r="B453" s="44"/>
      <c r="C453" s="44"/>
      <c r="D453" s="44"/>
      <c r="E453" s="8"/>
      <c r="F453" s="8"/>
      <c r="G453" s="8"/>
      <c r="H453" s="8"/>
      <c r="I453" s="8"/>
      <c r="J453" s="8"/>
      <c r="K453" s="8"/>
    </row>
    <row r="454" spans="1:11" x14ac:dyDescent="0.25">
      <c r="A454" s="44"/>
      <c r="B454" s="44"/>
      <c r="C454" s="44"/>
      <c r="D454" s="44"/>
      <c r="E454" s="8"/>
      <c r="F454" s="8"/>
      <c r="G454" s="8"/>
      <c r="H454" s="8"/>
      <c r="I454" s="8"/>
      <c r="J454" s="8"/>
      <c r="K454" s="8"/>
    </row>
    <row r="455" spans="1:11" x14ac:dyDescent="0.25">
      <c r="A455" s="44"/>
      <c r="B455" s="44"/>
      <c r="C455" s="44"/>
      <c r="D455" s="44"/>
      <c r="E455" s="8"/>
      <c r="F455" s="8"/>
      <c r="G455" s="8"/>
      <c r="H455" s="8"/>
      <c r="I455" s="8"/>
      <c r="J455" s="8"/>
      <c r="K455" s="8"/>
    </row>
    <row r="456" spans="1:11" x14ac:dyDescent="0.25">
      <c r="A456" s="44"/>
      <c r="B456" s="44"/>
      <c r="C456" s="44"/>
      <c r="D456" s="44"/>
      <c r="E456" s="8"/>
      <c r="F456" s="8"/>
      <c r="G456" s="8"/>
      <c r="H456" s="8"/>
      <c r="I456" s="8"/>
      <c r="J456" s="8"/>
      <c r="K456" s="8"/>
    </row>
    <row r="457" spans="1:11" x14ac:dyDescent="0.25">
      <c r="A457" s="44"/>
      <c r="B457" s="44"/>
      <c r="C457" s="44"/>
      <c r="D457" s="44"/>
      <c r="E457" s="8"/>
      <c r="F457" s="8"/>
      <c r="G457" s="8"/>
      <c r="H457" s="8"/>
      <c r="I457" s="8"/>
      <c r="J457" s="8"/>
      <c r="K457" s="8"/>
    </row>
    <row r="458" spans="1:11" x14ac:dyDescent="0.25">
      <c r="A458" s="44"/>
      <c r="B458" s="44"/>
      <c r="C458" s="44"/>
      <c r="D458" s="44"/>
      <c r="E458" s="8"/>
      <c r="F458" s="8"/>
      <c r="G458" s="8"/>
      <c r="H458" s="8"/>
      <c r="I458" s="8"/>
      <c r="J458" s="8"/>
      <c r="K458" s="8"/>
    </row>
    <row r="459" spans="1:11" x14ac:dyDescent="0.25">
      <c r="A459" s="44"/>
      <c r="B459" s="44"/>
      <c r="C459" s="44"/>
      <c r="D459" s="44"/>
      <c r="E459" s="8"/>
      <c r="F459" s="8"/>
      <c r="G459" s="8"/>
      <c r="H459" s="8"/>
      <c r="I459" s="8"/>
      <c r="J459" s="8"/>
      <c r="K459" s="8"/>
    </row>
    <row r="460" spans="1:11" x14ac:dyDescent="0.25">
      <c r="A460" s="44"/>
      <c r="B460" s="44"/>
      <c r="C460" s="44"/>
      <c r="D460" s="44"/>
      <c r="E460" s="8"/>
      <c r="F460" s="8"/>
      <c r="G460" s="8"/>
      <c r="H460" s="8"/>
      <c r="I460" s="8"/>
      <c r="J460" s="8"/>
      <c r="K460" s="8"/>
    </row>
    <row r="461" spans="1:11" x14ac:dyDescent="0.25">
      <c r="A461" s="44"/>
      <c r="B461" s="44"/>
      <c r="C461" s="44"/>
      <c r="D461" s="44"/>
      <c r="E461" s="8"/>
      <c r="F461" s="8"/>
      <c r="G461" s="8"/>
      <c r="H461" s="8"/>
      <c r="I461" s="8"/>
      <c r="J461" s="8"/>
      <c r="K461" s="8"/>
    </row>
    <row r="462" spans="1:11" x14ac:dyDescent="0.25">
      <c r="A462" s="44"/>
      <c r="B462" s="44"/>
      <c r="C462" s="44"/>
      <c r="D462" s="44"/>
      <c r="E462" s="8"/>
      <c r="F462" s="8"/>
      <c r="G462" s="8"/>
      <c r="H462" s="8"/>
      <c r="I462" s="8"/>
      <c r="J462" s="8"/>
      <c r="K462" s="8"/>
    </row>
    <row r="463" spans="1:11" x14ac:dyDescent="0.25">
      <c r="A463" s="44"/>
      <c r="B463" s="44"/>
      <c r="C463" s="44"/>
      <c r="D463" s="44"/>
      <c r="E463" s="8"/>
      <c r="F463" s="8"/>
      <c r="G463" s="8"/>
      <c r="H463" s="8"/>
      <c r="I463" s="8"/>
      <c r="J463" s="8"/>
      <c r="K463" s="8"/>
    </row>
    <row r="464" spans="1:11" x14ac:dyDescent="0.25">
      <c r="A464" s="44"/>
      <c r="B464" s="44"/>
      <c r="C464" s="44"/>
      <c r="D464" s="44"/>
      <c r="E464" s="8"/>
      <c r="F464" s="8"/>
      <c r="G464" s="8"/>
      <c r="H464" s="8"/>
      <c r="I464" s="8"/>
      <c r="J464" s="8"/>
      <c r="K464" s="8"/>
    </row>
    <row r="465" spans="1:11" x14ac:dyDescent="0.25">
      <c r="A465" s="44"/>
      <c r="B465" s="44"/>
      <c r="C465" s="44"/>
      <c r="D465" s="44"/>
      <c r="E465" s="8"/>
      <c r="F465" s="8"/>
      <c r="G465" s="8"/>
      <c r="H465" s="8"/>
      <c r="I465" s="8"/>
      <c r="J465" s="8"/>
      <c r="K465" s="8"/>
    </row>
    <row r="466" spans="1:11" x14ac:dyDescent="0.25">
      <c r="A466" s="44"/>
      <c r="B466" s="44"/>
      <c r="C466" s="44"/>
      <c r="D466" s="44"/>
      <c r="E466" s="8"/>
      <c r="F466" s="8"/>
      <c r="G466" s="8"/>
      <c r="H466" s="8"/>
      <c r="I466" s="8"/>
      <c r="J466" s="8"/>
      <c r="K466" s="8"/>
    </row>
    <row r="467" spans="1:11" x14ac:dyDescent="0.25">
      <c r="A467" s="44"/>
      <c r="B467" s="44"/>
      <c r="C467" s="44"/>
      <c r="D467" s="44"/>
      <c r="E467" s="8"/>
      <c r="F467" s="8"/>
      <c r="G467" s="8"/>
      <c r="H467" s="8"/>
      <c r="I467" s="8"/>
      <c r="J467" s="8"/>
      <c r="K467" s="8"/>
    </row>
    <row r="468" spans="1:11" x14ac:dyDescent="0.25">
      <c r="A468" s="44"/>
      <c r="B468" s="44"/>
      <c r="C468" s="44"/>
      <c r="D468" s="44"/>
      <c r="E468" s="8"/>
      <c r="F468" s="8"/>
      <c r="G468" s="8"/>
      <c r="H468" s="8"/>
      <c r="I468" s="8"/>
      <c r="J468" s="8"/>
      <c r="K468" s="8"/>
    </row>
    <row r="469" spans="1:11" x14ac:dyDescent="0.25">
      <c r="A469" s="44"/>
      <c r="B469" s="44"/>
      <c r="C469" s="44"/>
      <c r="D469" s="44"/>
      <c r="E469" s="8"/>
      <c r="F469" s="8"/>
      <c r="G469" s="8"/>
      <c r="H469" s="8"/>
      <c r="I469" s="8"/>
      <c r="J469" s="8"/>
      <c r="K469" s="8"/>
    </row>
    <row r="470" spans="1:11" x14ac:dyDescent="0.25">
      <c r="A470" s="44"/>
      <c r="B470" s="44"/>
      <c r="C470" s="44"/>
      <c r="D470" s="44"/>
      <c r="E470" s="8"/>
      <c r="F470" s="8"/>
      <c r="G470" s="8"/>
      <c r="H470" s="8"/>
      <c r="I470" s="8"/>
      <c r="J470" s="8"/>
      <c r="K470" s="8"/>
    </row>
    <row r="471" spans="1:11" x14ac:dyDescent="0.25">
      <c r="A471" s="44"/>
      <c r="B471" s="44"/>
      <c r="C471" s="44"/>
      <c r="D471" s="44"/>
      <c r="E471" s="8"/>
      <c r="F471" s="8"/>
      <c r="G471" s="8"/>
      <c r="H471" s="8"/>
      <c r="I471" s="8"/>
      <c r="J471" s="8"/>
      <c r="K471" s="8"/>
    </row>
    <row r="472" spans="1:11" x14ac:dyDescent="0.25">
      <c r="A472" s="44"/>
      <c r="B472" s="44"/>
      <c r="C472" s="44"/>
      <c r="D472" s="44"/>
      <c r="E472" s="8"/>
      <c r="F472" s="8"/>
      <c r="G472" s="8"/>
      <c r="H472" s="8"/>
      <c r="I472" s="8"/>
      <c r="J472" s="8"/>
      <c r="K472" s="8"/>
    </row>
    <row r="473" spans="1:11" x14ac:dyDescent="0.25">
      <c r="A473" s="44"/>
      <c r="B473" s="44"/>
      <c r="C473" s="44"/>
      <c r="D473" s="44"/>
      <c r="E473" s="8"/>
      <c r="F473" s="8"/>
      <c r="G473" s="8"/>
      <c r="H473" s="8"/>
      <c r="I473" s="8"/>
      <c r="J473" s="8"/>
      <c r="K473" s="8"/>
    </row>
    <row r="474" spans="1:11" x14ac:dyDescent="0.25">
      <c r="A474" s="44"/>
      <c r="B474" s="44"/>
      <c r="C474" s="44"/>
      <c r="D474" s="44"/>
      <c r="E474" s="8"/>
      <c r="F474" s="8"/>
      <c r="G474" s="8"/>
      <c r="H474" s="8"/>
      <c r="I474" s="8"/>
      <c r="J474" s="8"/>
      <c r="K474" s="8"/>
    </row>
    <row r="475" spans="1:11" x14ac:dyDescent="0.25">
      <c r="A475" s="44"/>
      <c r="B475" s="44"/>
      <c r="C475" s="44"/>
      <c r="D475" s="44"/>
      <c r="E475" s="8"/>
      <c r="F475" s="8"/>
      <c r="G475" s="8"/>
      <c r="H475" s="8"/>
      <c r="I475" s="8"/>
      <c r="J475" s="8"/>
      <c r="K475" s="8"/>
    </row>
    <row r="476" spans="1:11" x14ac:dyDescent="0.25">
      <c r="A476" s="44"/>
      <c r="B476" s="44"/>
      <c r="C476" s="44"/>
      <c r="D476" s="44"/>
      <c r="E476" s="8"/>
      <c r="F476" s="8"/>
      <c r="G476" s="8"/>
      <c r="H476" s="8"/>
      <c r="I476" s="8"/>
      <c r="J476" s="8"/>
      <c r="K476" s="8"/>
    </row>
    <row r="477" spans="1:11" x14ac:dyDescent="0.25">
      <c r="A477" s="44"/>
      <c r="B477" s="44"/>
      <c r="C477" s="44"/>
      <c r="D477" s="44"/>
      <c r="E477" s="8"/>
      <c r="F477" s="8"/>
      <c r="G477" s="8"/>
      <c r="H477" s="8"/>
      <c r="I477" s="8"/>
      <c r="J477" s="8"/>
      <c r="K477" s="8"/>
    </row>
    <row r="478" spans="1:11" x14ac:dyDescent="0.25">
      <c r="A478" s="44"/>
      <c r="B478" s="44"/>
      <c r="C478" s="44"/>
      <c r="D478" s="44"/>
      <c r="E478" s="8"/>
      <c r="F478" s="8"/>
      <c r="G478" s="8"/>
      <c r="H478" s="8"/>
      <c r="I478" s="8"/>
      <c r="J478" s="8"/>
      <c r="K478" s="8"/>
    </row>
    <row r="479" spans="1:11" x14ac:dyDescent="0.25">
      <c r="A479" s="44"/>
      <c r="B479" s="44"/>
      <c r="C479" s="44"/>
      <c r="D479" s="44"/>
      <c r="E479" s="8"/>
      <c r="F479" s="8"/>
      <c r="G479" s="8"/>
      <c r="H479" s="8"/>
      <c r="I479" s="8"/>
      <c r="J479" s="8"/>
      <c r="K479" s="8"/>
    </row>
    <row r="480" spans="1:11" x14ac:dyDescent="0.25">
      <c r="A480" s="44"/>
      <c r="B480" s="44"/>
      <c r="C480" s="44"/>
      <c r="D480" s="44"/>
      <c r="E480" s="8"/>
      <c r="F480" s="8"/>
      <c r="G480" s="8"/>
      <c r="H480" s="8"/>
      <c r="I480" s="8"/>
      <c r="J480" s="8"/>
      <c r="K480" s="8"/>
    </row>
    <row r="481" spans="1:11" x14ac:dyDescent="0.25">
      <c r="A481" s="44"/>
      <c r="B481" s="44"/>
      <c r="C481" s="44"/>
      <c r="D481" s="44"/>
      <c r="E481" s="8"/>
      <c r="F481" s="8"/>
      <c r="G481" s="8"/>
      <c r="H481" s="8"/>
      <c r="I481" s="8"/>
      <c r="J481" s="8"/>
      <c r="K481" s="8"/>
    </row>
    <row r="482" spans="1:11" x14ac:dyDescent="0.25">
      <c r="A482" s="44"/>
      <c r="B482" s="44"/>
      <c r="C482" s="44"/>
      <c r="D482" s="44"/>
      <c r="E482" s="8"/>
      <c r="F482" s="8"/>
      <c r="G482" s="8"/>
      <c r="H482" s="8"/>
      <c r="I482" s="8"/>
      <c r="J482" s="8"/>
      <c r="K482" s="8"/>
    </row>
    <row r="483" spans="1:11" x14ac:dyDescent="0.25">
      <c r="A483" s="44"/>
      <c r="B483" s="44"/>
      <c r="C483" s="44"/>
      <c r="D483" s="44"/>
      <c r="E483" s="8"/>
      <c r="F483" s="8"/>
      <c r="G483" s="8"/>
      <c r="H483" s="8"/>
      <c r="I483" s="8"/>
      <c r="J483" s="8"/>
      <c r="K483" s="8"/>
    </row>
    <row r="484" spans="1:11" x14ac:dyDescent="0.25">
      <c r="A484" s="44"/>
      <c r="B484" s="44"/>
      <c r="C484" s="44"/>
      <c r="D484" s="44"/>
      <c r="E484" s="8"/>
      <c r="F484" s="8"/>
      <c r="G484" s="8"/>
      <c r="H484" s="8"/>
      <c r="I484" s="8"/>
      <c r="J484" s="8"/>
      <c r="K484" s="8"/>
    </row>
    <row r="485" spans="1:11" x14ac:dyDescent="0.25">
      <c r="A485" s="44"/>
      <c r="B485" s="44"/>
      <c r="C485" s="44"/>
      <c r="D485" s="44"/>
      <c r="E485" s="8"/>
      <c r="F485" s="8"/>
      <c r="G485" s="8"/>
      <c r="H485" s="8"/>
      <c r="I485" s="8"/>
      <c r="J485" s="8"/>
      <c r="K485" s="8"/>
    </row>
    <row r="486" spans="1:11" x14ac:dyDescent="0.25">
      <c r="A486" s="44"/>
      <c r="B486" s="44"/>
      <c r="C486" s="44"/>
      <c r="D486" s="44"/>
      <c r="E486" s="8"/>
      <c r="F486" s="8"/>
      <c r="G486" s="8"/>
      <c r="H486" s="8"/>
      <c r="I486" s="8"/>
      <c r="J486" s="8"/>
      <c r="K486" s="8"/>
    </row>
    <row r="487" spans="1:11" x14ac:dyDescent="0.25">
      <c r="A487" s="44"/>
      <c r="B487" s="44"/>
      <c r="C487" s="44"/>
      <c r="D487" s="44"/>
      <c r="E487" s="8"/>
      <c r="F487" s="8"/>
      <c r="G487" s="8"/>
      <c r="H487" s="8"/>
      <c r="I487" s="8"/>
      <c r="J487" s="8"/>
      <c r="K487" s="8"/>
    </row>
    <row r="488" spans="1:11" x14ac:dyDescent="0.25">
      <c r="A488" s="44"/>
      <c r="B488" s="44"/>
      <c r="C488" s="44"/>
      <c r="D488" s="44"/>
      <c r="E488" s="8"/>
      <c r="F488" s="8"/>
      <c r="G488" s="8"/>
      <c r="H488" s="8"/>
      <c r="I488" s="8"/>
      <c r="J488" s="8"/>
      <c r="K488" s="8"/>
    </row>
    <row r="489" spans="1:11" x14ac:dyDescent="0.25">
      <c r="A489" s="44"/>
      <c r="B489" s="44"/>
      <c r="C489" s="44"/>
      <c r="D489" s="44"/>
      <c r="E489" s="8"/>
      <c r="F489" s="8"/>
      <c r="G489" s="8"/>
      <c r="H489" s="8"/>
      <c r="I489" s="8"/>
      <c r="J489" s="8"/>
      <c r="K489" s="8"/>
    </row>
    <row r="490" spans="1:11" x14ac:dyDescent="0.25">
      <c r="A490" s="44"/>
      <c r="B490" s="44"/>
      <c r="C490" s="44"/>
      <c r="D490" s="44"/>
      <c r="E490" s="8"/>
      <c r="F490" s="8"/>
      <c r="G490" s="8"/>
      <c r="H490" s="8"/>
      <c r="I490" s="8"/>
      <c r="J490" s="8"/>
      <c r="K490" s="8"/>
    </row>
    <row r="491" spans="1:11" x14ac:dyDescent="0.25">
      <c r="A491" s="44"/>
      <c r="B491" s="44"/>
      <c r="C491" s="44"/>
      <c r="D491" s="44"/>
      <c r="E491" s="8"/>
      <c r="F491" s="8"/>
      <c r="G491" s="8"/>
      <c r="H491" s="8"/>
      <c r="I491" s="8"/>
      <c r="J491" s="8"/>
      <c r="K491" s="8"/>
    </row>
    <row r="492" spans="1:11" x14ac:dyDescent="0.25">
      <c r="A492" s="44"/>
      <c r="B492" s="44"/>
      <c r="C492" s="44"/>
      <c r="D492" s="44"/>
      <c r="E492" s="8"/>
      <c r="F492" s="8"/>
      <c r="G492" s="8"/>
      <c r="H492" s="8"/>
      <c r="I492" s="8"/>
      <c r="J492" s="8"/>
      <c r="K492" s="8"/>
    </row>
    <row r="493" spans="1:11" x14ac:dyDescent="0.25">
      <c r="A493" s="44"/>
      <c r="B493" s="44"/>
      <c r="C493" s="44"/>
      <c r="D493" s="44"/>
      <c r="E493" s="8"/>
      <c r="F493" s="8"/>
      <c r="G493" s="8"/>
      <c r="H493" s="8"/>
      <c r="I493" s="8"/>
      <c r="J493" s="8"/>
      <c r="K493" s="8"/>
    </row>
    <row r="494" spans="1:11" x14ac:dyDescent="0.25">
      <c r="A494" s="44"/>
      <c r="B494" s="44"/>
      <c r="C494" s="44"/>
      <c r="D494" s="44"/>
      <c r="E494" s="8"/>
      <c r="F494" s="8"/>
      <c r="G494" s="8"/>
      <c r="H494" s="8"/>
      <c r="I494" s="8"/>
      <c r="J494" s="8"/>
      <c r="K494" s="8"/>
    </row>
    <row r="495" spans="1:11" x14ac:dyDescent="0.25">
      <c r="A495" s="44"/>
      <c r="B495" s="44"/>
      <c r="C495" s="44"/>
      <c r="D495" s="44"/>
      <c r="E495" s="8"/>
      <c r="F495" s="8"/>
      <c r="G495" s="8"/>
      <c r="H495" s="8"/>
      <c r="I495" s="8"/>
      <c r="J495" s="8"/>
      <c r="K495" s="8"/>
    </row>
    <row r="496" spans="1:11" x14ac:dyDescent="0.25">
      <c r="A496" s="44"/>
      <c r="B496" s="44"/>
      <c r="C496" s="44"/>
      <c r="D496" s="44"/>
      <c r="E496" s="8"/>
      <c r="F496" s="8"/>
      <c r="G496" s="8"/>
      <c r="H496" s="8"/>
      <c r="I496" s="8"/>
      <c r="J496" s="8"/>
      <c r="K496" s="8"/>
    </row>
    <row r="497" spans="1:11" x14ac:dyDescent="0.25">
      <c r="A497" s="44"/>
      <c r="B497" s="44"/>
      <c r="C497" s="44"/>
      <c r="D497" s="44"/>
      <c r="E497" s="8"/>
      <c r="F497" s="8"/>
      <c r="G497" s="8"/>
      <c r="H497" s="8"/>
      <c r="I497" s="8"/>
      <c r="J497" s="8"/>
      <c r="K497" s="8"/>
    </row>
    <row r="498" spans="1:11" x14ac:dyDescent="0.25">
      <c r="A498" s="44"/>
      <c r="B498" s="44"/>
      <c r="C498" s="44"/>
      <c r="D498" s="44"/>
      <c r="E498" s="8"/>
      <c r="F498" s="8"/>
      <c r="G498" s="8"/>
      <c r="H498" s="8"/>
      <c r="I498" s="8"/>
      <c r="J498" s="8"/>
      <c r="K498" s="8"/>
    </row>
    <row r="499" spans="1:11" x14ac:dyDescent="0.25">
      <c r="A499" s="44"/>
      <c r="B499" s="44"/>
      <c r="C499" s="44"/>
      <c r="D499" s="44"/>
      <c r="E499" s="8"/>
      <c r="F499" s="8"/>
      <c r="G499" s="8"/>
      <c r="H499" s="8"/>
      <c r="I499" s="8"/>
      <c r="J499" s="8"/>
      <c r="K499" s="8"/>
    </row>
    <row r="500" spans="1:11" x14ac:dyDescent="0.25">
      <c r="A500" s="44"/>
      <c r="B500" s="44"/>
      <c r="C500" s="44"/>
      <c r="D500" s="44"/>
      <c r="E500" s="8"/>
      <c r="F500" s="8"/>
      <c r="G500" s="8"/>
      <c r="H500" s="8"/>
      <c r="I500" s="8"/>
      <c r="J500" s="8"/>
      <c r="K500" s="8"/>
    </row>
    <row r="501" spans="1:11" x14ac:dyDescent="0.25">
      <c r="A501" s="44"/>
      <c r="B501" s="44"/>
      <c r="C501" s="44"/>
      <c r="D501" s="44"/>
      <c r="E501" s="8"/>
      <c r="F501" s="8"/>
      <c r="G501" s="8"/>
      <c r="H501" s="8"/>
      <c r="I501" s="8"/>
      <c r="J501" s="8"/>
      <c r="K501" s="8"/>
    </row>
    <row r="502" spans="1:11" x14ac:dyDescent="0.25">
      <c r="A502" s="44"/>
      <c r="B502" s="44"/>
      <c r="C502" s="44"/>
      <c r="D502" s="44"/>
      <c r="E502" s="8"/>
      <c r="F502" s="8"/>
      <c r="G502" s="8"/>
      <c r="H502" s="8"/>
      <c r="I502" s="8"/>
      <c r="J502" s="8"/>
      <c r="K502" s="8"/>
    </row>
    <row r="503" spans="1:11" x14ac:dyDescent="0.25">
      <c r="A503" s="44"/>
      <c r="B503" s="44"/>
      <c r="C503" s="44"/>
      <c r="D503" s="44"/>
      <c r="E503" s="8"/>
      <c r="F503" s="8"/>
      <c r="G503" s="8"/>
      <c r="H503" s="8"/>
      <c r="I503" s="8"/>
      <c r="J503" s="8"/>
      <c r="K503" s="8"/>
    </row>
    <row r="504" spans="1:11" x14ac:dyDescent="0.25">
      <c r="A504" s="44"/>
      <c r="B504" s="44"/>
      <c r="C504" s="44"/>
      <c r="D504" s="44"/>
      <c r="E504" s="8"/>
      <c r="F504" s="8"/>
      <c r="G504" s="8"/>
      <c r="H504" s="8"/>
      <c r="I504" s="8"/>
      <c r="J504" s="8"/>
      <c r="K504" s="8"/>
    </row>
    <row r="505" spans="1:11" x14ac:dyDescent="0.25">
      <c r="A505" s="44"/>
      <c r="B505" s="44"/>
      <c r="C505" s="44"/>
      <c r="D505" s="44"/>
      <c r="E505" s="8"/>
      <c r="F505" s="8"/>
      <c r="G505" s="8"/>
      <c r="H505" s="8"/>
      <c r="I505" s="8"/>
      <c r="J505" s="8"/>
      <c r="K505" s="8"/>
    </row>
    <row r="506" spans="1:11" x14ac:dyDescent="0.25">
      <c r="A506" s="44"/>
      <c r="B506" s="44"/>
      <c r="C506" s="44"/>
      <c r="D506" s="44"/>
      <c r="E506" s="8"/>
      <c r="F506" s="8"/>
      <c r="G506" s="8"/>
      <c r="H506" s="8"/>
      <c r="I506" s="8"/>
      <c r="J506" s="8"/>
      <c r="K506" s="8"/>
    </row>
    <row r="507" spans="1:11" x14ac:dyDescent="0.25">
      <c r="A507" s="44"/>
      <c r="B507" s="44"/>
      <c r="C507" s="44"/>
      <c r="D507" s="44"/>
      <c r="E507" s="8"/>
      <c r="F507" s="8"/>
      <c r="G507" s="8"/>
      <c r="H507" s="8"/>
      <c r="I507" s="8"/>
      <c r="J507" s="8"/>
      <c r="K507" s="8"/>
    </row>
    <row r="508" spans="1:11" x14ac:dyDescent="0.25">
      <c r="A508" s="44"/>
      <c r="B508" s="44"/>
      <c r="C508" s="44"/>
      <c r="D508" s="44"/>
      <c r="E508" s="8"/>
      <c r="F508" s="8"/>
      <c r="G508" s="8"/>
      <c r="H508" s="8"/>
      <c r="I508" s="8"/>
      <c r="J508" s="8"/>
      <c r="K508" s="8"/>
    </row>
    <row r="509" spans="1:11" x14ac:dyDescent="0.25">
      <c r="A509" s="44"/>
      <c r="B509" s="44"/>
      <c r="C509" s="44"/>
      <c r="D509" s="44"/>
      <c r="E509" s="8"/>
      <c r="F509" s="8"/>
      <c r="G509" s="8"/>
      <c r="H509" s="8"/>
      <c r="I509" s="8"/>
      <c r="J509" s="8"/>
      <c r="K509" s="8"/>
    </row>
    <row r="510" spans="1:11" x14ac:dyDescent="0.25">
      <c r="A510" s="44"/>
      <c r="B510" s="44"/>
      <c r="C510" s="44"/>
      <c r="D510" s="44"/>
      <c r="E510" s="8"/>
      <c r="F510" s="8"/>
      <c r="G510" s="8"/>
      <c r="H510" s="8"/>
      <c r="I510" s="8"/>
      <c r="J510" s="8"/>
      <c r="K510" s="8"/>
    </row>
    <row r="511" spans="1:11" x14ac:dyDescent="0.25">
      <c r="A511" s="44"/>
      <c r="B511" s="44"/>
      <c r="C511" s="44"/>
      <c r="D511" s="44"/>
      <c r="E511" s="8"/>
      <c r="F511" s="8"/>
      <c r="G511" s="8"/>
      <c r="H511" s="8"/>
      <c r="I511" s="8"/>
      <c r="J511" s="8"/>
      <c r="K511" s="8"/>
    </row>
    <row r="512" spans="1:11" x14ac:dyDescent="0.25">
      <c r="A512" s="44"/>
      <c r="B512" s="44"/>
      <c r="C512" s="44"/>
      <c r="D512" s="44"/>
      <c r="E512" s="8"/>
      <c r="F512" s="8"/>
      <c r="G512" s="8"/>
      <c r="H512" s="8"/>
      <c r="I512" s="8"/>
      <c r="J512" s="8"/>
      <c r="K512" s="8"/>
    </row>
    <row r="513" spans="1:11" x14ac:dyDescent="0.25">
      <c r="A513" s="44"/>
      <c r="B513" s="44"/>
      <c r="C513" s="44"/>
      <c r="D513" s="44"/>
      <c r="E513" s="8"/>
      <c r="F513" s="8"/>
      <c r="G513" s="8"/>
      <c r="H513" s="8"/>
      <c r="I513" s="8"/>
      <c r="J513" s="8"/>
      <c r="K513" s="8"/>
    </row>
    <row r="514" spans="1:11" x14ac:dyDescent="0.25">
      <c r="A514" s="44"/>
      <c r="B514" s="44"/>
      <c r="C514" s="44"/>
      <c r="D514" s="44"/>
      <c r="E514" s="8"/>
      <c r="F514" s="8"/>
      <c r="G514" s="8"/>
      <c r="H514" s="8"/>
      <c r="I514" s="8"/>
      <c r="J514" s="8"/>
      <c r="K514" s="8"/>
    </row>
    <row r="515" spans="1:11" x14ac:dyDescent="0.25">
      <c r="A515" s="44"/>
      <c r="B515" s="44"/>
      <c r="C515" s="44"/>
      <c r="D515" s="44"/>
      <c r="E515" s="8"/>
      <c r="F515" s="8"/>
      <c r="G515" s="8"/>
      <c r="H515" s="8"/>
      <c r="I515" s="8"/>
      <c r="J515" s="8"/>
      <c r="K515" s="8"/>
    </row>
    <row r="516" spans="1:11" x14ac:dyDescent="0.25">
      <c r="A516" s="44"/>
      <c r="B516" s="44"/>
      <c r="C516" s="44"/>
      <c r="D516" s="44"/>
      <c r="E516" s="8"/>
      <c r="F516" s="8"/>
      <c r="G516" s="8"/>
      <c r="H516" s="8"/>
      <c r="I516" s="8"/>
      <c r="J516" s="8"/>
      <c r="K516" s="8"/>
    </row>
    <row r="517" spans="1:11" x14ac:dyDescent="0.25">
      <c r="A517" s="44"/>
      <c r="B517" s="44"/>
      <c r="C517" s="44"/>
      <c r="D517" s="44"/>
      <c r="E517" s="8"/>
      <c r="F517" s="8"/>
      <c r="G517" s="8"/>
      <c r="H517" s="8"/>
      <c r="I517" s="8"/>
      <c r="J517" s="8"/>
      <c r="K517" s="8"/>
    </row>
    <row r="518" spans="1:11" x14ac:dyDescent="0.25">
      <c r="A518" s="44"/>
      <c r="B518" s="44"/>
      <c r="C518" s="44"/>
      <c r="D518" s="44"/>
      <c r="E518" s="8"/>
      <c r="F518" s="8"/>
      <c r="G518" s="8"/>
      <c r="H518" s="8"/>
      <c r="I518" s="8"/>
      <c r="J518" s="8"/>
      <c r="K518" s="8"/>
    </row>
    <row r="519" spans="1:11" x14ac:dyDescent="0.25">
      <c r="A519" s="44"/>
      <c r="B519" s="44"/>
      <c r="C519" s="44"/>
      <c r="D519" s="44"/>
      <c r="E519" s="8"/>
      <c r="F519" s="8"/>
      <c r="G519" s="8"/>
      <c r="H519" s="8"/>
      <c r="I519" s="8"/>
      <c r="J519" s="8"/>
      <c r="K519" s="8"/>
    </row>
    <row r="520" spans="1:11" x14ac:dyDescent="0.25">
      <c r="A520" s="44"/>
      <c r="B520" s="44"/>
      <c r="C520" s="44"/>
      <c r="D520" s="44"/>
      <c r="E520" s="8"/>
      <c r="F520" s="8"/>
      <c r="G520" s="8"/>
      <c r="H520" s="8"/>
      <c r="I520" s="8"/>
      <c r="J520" s="8"/>
      <c r="K520" s="8"/>
    </row>
    <row r="521" spans="1:11" x14ac:dyDescent="0.25">
      <c r="A521" s="44"/>
      <c r="B521" s="44"/>
      <c r="C521" s="44"/>
      <c r="D521" s="44"/>
      <c r="E521" s="8"/>
      <c r="F521" s="8"/>
      <c r="G521" s="8"/>
      <c r="H521" s="8"/>
      <c r="I521" s="8"/>
      <c r="J521" s="8"/>
      <c r="K521" s="8"/>
    </row>
    <row r="522" spans="1:11" x14ac:dyDescent="0.25">
      <c r="A522" s="44"/>
      <c r="B522" s="44"/>
      <c r="C522" s="44"/>
      <c r="D522" s="44"/>
      <c r="E522" s="8"/>
      <c r="F522" s="8"/>
      <c r="G522" s="8"/>
      <c r="H522" s="8"/>
      <c r="I522" s="8"/>
      <c r="J522" s="8"/>
      <c r="K522" s="8"/>
    </row>
    <row r="523" spans="1:11" x14ac:dyDescent="0.25">
      <c r="A523" s="44"/>
      <c r="B523" s="44"/>
      <c r="C523" s="44"/>
      <c r="D523" s="44"/>
      <c r="E523" s="8"/>
      <c r="F523" s="8"/>
      <c r="G523" s="8"/>
      <c r="H523" s="8"/>
      <c r="I523" s="8"/>
      <c r="J523" s="8"/>
      <c r="K523" s="8"/>
    </row>
    <row r="524" spans="1:11" x14ac:dyDescent="0.25">
      <c r="A524" s="44"/>
      <c r="B524" s="44"/>
      <c r="C524" s="44"/>
      <c r="D524" s="44"/>
      <c r="E524" s="8"/>
      <c r="F524" s="8"/>
      <c r="G524" s="8"/>
      <c r="H524" s="8"/>
      <c r="I524" s="8"/>
      <c r="J524" s="8"/>
      <c r="K524" s="8"/>
    </row>
    <row r="525" spans="1:11" x14ac:dyDescent="0.25">
      <c r="A525" s="44"/>
      <c r="B525" s="44"/>
      <c r="C525" s="44"/>
      <c r="D525" s="44"/>
      <c r="E525" s="8"/>
      <c r="F525" s="8"/>
      <c r="G525" s="8"/>
      <c r="H525" s="8"/>
      <c r="I525" s="8"/>
      <c r="J525" s="8"/>
      <c r="K525" s="8"/>
    </row>
    <row r="526" spans="1:11" x14ac:dyDescent="0.25">
      <c r="A526" s="44"/>
      <c r="B526" s="44"/>
      <c r="C526" s="44"/>
      <c r="D526" s="44"/>
      <c r="E526" s="8"/>
      <c r="F526" s="8"/>
      <c r="G526" s="8"/>
      <c r="H526" s="8"/>
      <c r="I526" s="8"/>
      <c r="J526" s="8"/>
      <c r="K526" s="8"/>
    </row>
    <row r="527" spans="1:11" x14ac:dyDescent="0.25">
      <c r="A527" s="44"/>
      <c r="B527" s="44"/>
      <c r="C527" s="44"/>
      <c r="D527" s="44"/>
      <c r="E527" s="8"/>
      <c r="F527" s="8"/>
      <c r="G527" s="8"/>
      <c r="H527" s="8"/>
      <c r="I527" s="8"/>
      <c r="J527" s="8"/>
      <c r="K527" s="8"/>
    </row>
    <row r="528" spans="1:11" x14ac:dyDescent="0.25">
      <c r="A528" s="44"/>
      <c r="B528" s="44"/>
      <c r="C528" s="44"/>
      <c r="D528" s="44"/>
      <c r="E528" s="8"/>
      <c r="F528" s="8"/>
      <c r="G528" s="8"/>
      <c r="H528" s="8"/>
      <c r="I528" s="8"/>
      <c r="J528" s="8"/>
      <c r="K528" s="8"/>
    </row>
    <row r="529" spans="1:11" x14ac:dyDescent="0.25">
      <c r="A529" s="44"/>
      <c r="B529" s="44"/>
      <c r="C529" s="44"/>
      <c r="D529" s="44"/>
      <c r="E529" s="8"/>
      <c r="F529" s="8"/>
      <c r="G529" s="8"/>
      <c r="H529" s="8"/>
      <c r="I529" s="8"/>
      <c r="J529" s="8"/>
      <c r="K529" s="8"/>
    </row>
    <row r="530" spans="1:11" x14ac:dyDescent="0.25">
      <c r="A530" s="44"/>
      <c r="B530" s="44"/>
      <c r="C530" s="44"/>
      <c r="D530" s="44"/>
      <c r="E530" s="8"/>
      <c r="F530" s="8"/>
      <c r="G530" s="8"/>
      <c r="H530" s="8"/>
      <c r="I530" s="8"/>
      <c r="J530" s="8"/>
      <c r="K530" s="8"/>
    </row>
    <row r="531" spans="1:11" x14ac:dyDescent="0.25">
      <c r="A531" s="44"/>
      <c r="B531" s="44"/>
      <c r="C531" s="44"/>
      <c r="D531" s="44"/>
      <c r="E531" s="8"/>
      <c r="F531" s="8"/>
      <c r="G531" s="8"/>
      <c r="H531" s="8"/>
      <c r="I531" s="8"/>
      <c r="J531" s="8"/>
      <c r="K531" s="8"/>
    </row>
    <row r="532" spans="1:11" x14ac:dyDescent="0.25">
      <c r="A532" s="44"/>
      <c r="B532" s="44"/>
      <c r="C532" s="44"/>
      <c r="D532" s="44"/>
      <c r="E532" s="8"/>
      <c r="F532" s="8"/>
      <c r="G532" s="8"/>
      <c r="H532" s="8"/>
      <c r="I532" s="8"/>
      <c r="J532" s="8"/>
      <c r="K532" s="8"/>
    </row>
    <row r="533" spans="1:11" x14ac:dyDescent="0.25">
      <c r="A533" s="44"/>
      <c r="B533" s="44"/>
      <c r="C533" s="44"/>
      <c r="D533" s="44"/>
      <c r="E533" s="8"/>
      <c r="F533" s="8"/>
      <c r="G533" s="8"/>
      <c r="H533" s="8"/>
      <c r="I533" s="8"/>
      <c r="J533" s="8"/>
      <c r="K533" s="8"/>
    </row>
    <row r="534" spans="1:11" x14ac:dyDescent="0.25">
      <c r="A534" s="44"/>
      <c r="B534" s="44"/>
      <c r="C534" s="44"/>
      <c r="D534" s="44"/>
      <c r="E534" s="8"/>
      <c r="F534" s="8"/>
      <c r="G534" s="8"/>
      <c r="H534" s="8"/>
      <c r="I534" s="8"/>
      <c r="J534" s="8"/>
      <c r="K534" s="8"/>
    </row>
    <row r="535" spans="1:11" x14ac:dyDescent="0.25">
      <c r="A535" s="44"/>
      <c r="B535" s="44"/>
      <c r="C535" s="44"/>
      <c r="D535" s="44"/>
      <c r="E535" s="8"/>
      <c r="F535" s="8"/>
      <c r="G535" s="8"/>
      <c r="H535" s="8"/>
      <c r="I535" s="8"/>
      <c r="J535" s="8"/>
      <c r="K535" s="8"/>
    </row>
    <row r="536" spans="1:11" x14ac:dyDescent="0.25">
      <c r="A536" s="44"/>
      <c r="B536" s="44"/>
      <c r="C536" s="44"/>
      <c r="D536" s="44"/>
      <c r="E536" s="8"/>
      <c r="F536" s="8"/>
      <c r="G536" s="8"/>
      <c r="H536" s="8"/>
      <c r="I536" s="8"/>
      <c r="J536" s="8"/>
      <c r="K536" s="8"/>
    </row>
    <row r="537" spans="1:11" x14ac:dyDescent="0.25">
      <c r="A537" s="44"/>
      <c r="B537" s="44"/>
      <c r="C537" s="44"/>
      <c r="D537" s="44"/>
      <c r="E537" s="8"/>
      <c r="F537" s="8"/>
      <c r="G537" s="8"/>
      <c r="H537" s="8"/>
      <c r="I537" s="8"/>
      <c r="J537" s="8"/>
      <c r="K537" s="8"/>
    </row>
    <row r="538" spans="1:11" x14ac:dyDescent="0.25">
      <c r="A538" s="44"/>
      <c r="B538" s="44"/>
      <c r="C538" s="44"/>
      <c r="D538" s="44"/>
      <c r="E538" s="8"/>
      <c r="F538" s="8"/>
      <c r="G538" s="8"/>
      <c r="H538" s="8"/>
      <c r="I538" s="8"/>
      <c r="J538" s="8"/>
      <c r="K538" s="8"/>
    </row>
    <row r="539" spans="1:11" x14ac:dyDescent="0.25">
      <c r="A539" s="44"/>
      <c r="B539" s="44"/>
      <c r="C539" s="44"/>
      <c r="D539" s="44"/>
      <c r="E539" s="8"/>
      <c r="F539" s="8"/>
      <c r="G539" s="8"/>
      <c r="H539" s="8"/>
      <c r="I539" s="8"/>
      <c r="J539" s="8"/>
      <c r="K539" s="8"/>
    </row>
    <row r="540" spans="1:11" x14ac:dyDescent="0.25">
      <c r="A540" s="44"/>
      <c r="B540" s="44"/>
      <c r="C540" s="44"/>
      <c r="D540" s="44"/>
      <c r="E540" s="8"/>
      <c r="F540" s="8"/>
      <c r="G540" s="8"/>
      <c r="H540" s="8"/>
      <c r="I540" s="8"/>
      <c r="J540" s="8"/>
      <c r="K540" s="8"/>
    </row>
    <row r="541" spans="1:11" x14ac:dyDescent="0.25">
      <c r="A541" s="44"/>
      <c r="B541" s="44"/>
      <c r="C541" s="44"/>
      <c r="D541" s="44"/>
      <c r="E541" s="8"/>
      <c r="F541" s="8"/>
      <c r="G541" s="8"/>
      <c r="H541" s="8"/>
      <c r="I541" s="8"/>
      <c r="J541" s="8"/>
      <c r="K541" s="8"/>
    </row>
    <row r="542" spans="1:11" x14ac:dyDescent="0.25">
      <c r="A542" s="44"/>
      <c r="B542" s="44"/>
      <c r="C542" s="44"/>
      <c r="D542" s="44"/>
      <c r="E542" s="8"/>
      <c r="F542" s="8"/>
      <c r="G542" s="8"/>
      <c r="H542" s="8"/>
      <c r="I542" s="8"/>
      <c r="J542" s="8"/>
      <c r="K542" s="8"/>
    </row>
    <row r="543" spans="1:11" x14ac:dyDescent="0.25">
      <c r="A543" s="44"/>
      <c r="B543" s="44"/>
      <c r="C543" s="44"/>
      <c r="D543" s="44"/>
      <c r="E543" s="8"/>
      <c r="F543" s="8"/>
      <c r="G543" s="8"/>
      <c r="H543" s="8"/>
      <c r="I543" s="8"/>
      <c r="J543" s="8"/>
      <c r="K543" s="8"/>
    </row>
    <row r="544" spans="1:11" x14ac:dyDescent="0.25">
      <c r="A544" s="44"/>
      <c r="B544" s="44"/>
      <c r="C544" s="44"/>
      <c r="D544" s="44"/>
      <c r="E544" s="8"/>
      <c r="F544" s="8"/>
      <c r="G544" s="8"/>
      <c r="H544" s="8"/>
      <c r="I544" s="8"/>
      <c r="J544" s="8"/>
      <c r="K544" s="8"/>
    </row>
    <row r="545" spans="1:11" x14ac:dyDescent="0.25">
      <c r="A545" s="44"/>
      <c r="B545" s="44"/>
      <c r="C545" s="44"/>
      <c r="D545" s="44"/>
      <c r="E545" s="8"/>
      <c r="F545" s="8"/>
      <c r="G545" s="8"/>
      <c r="H545" s="8"/>
      <c r="I545" s="8"/>
      <c r="J545" s="8"/>
      <c r="K545" s="8"/>
    </row>
    <row r="546" spans="1:11" x14ac:dyDescent="0.25">
      <c r="A546" s="44"/>
      <c r="B546" s="44"/>
      <c r="C546" s="44"/>
      <c r="D546" s="44"/>
      <c r="E546" s="8"/>
      <c r="F546" s="8"/>
      <c r="G546" s="8"/>
      <c r="H546" s="8"/>
      <c r="I546" s="8"/>
      <c r="J546" s="8"/>
      <c r="K546" s="8"/>
    </row>
    <row r="547" spans="1:11" x14ac:dyDescent="0.25">
      <c r="A547" s="44"/>
      <c r="B547" s="44"/>
      <c r="C547" s="44"/>
      <c r="D547" s="44"/>
      <c r="E547" s="8"/>
      <c r="F547" s="8"/>
      <c r="G547" s="8"/>
      <c r="H547" s="8"/>
      <c r="I547" s="8"/>
      <c r="J547" s="8"/>
      <c r="K547" s="8"/>
    </row>
    <row r="548" spans="1:11" x14ac:dyDescent="0.25">
      <c r="A548" s="44"/>
      <c r="B548" s="44"/>
      <c r="C548" s="44"/>
      <c r="D548" s="44"/>
      <c r="E548" s="8"/>
      <c r="F548" s="8"/>
      <c r="G548" s="8"/>
      <c r="H548" s="8"/>
      <c r="I548" s="8"/>
      <c r="J548" s="8"/>
      <c r="K548" s="8"/>
    </row>
    <row r="549" spans="1:11" x14ac:dyDescent="0.25">
      <c r="A549" s="44"/>
      <c r="B549" s="44"/>
      <c r="C549" s="44"/>
      <c r="D549" s="44"/>
      <c r="E549" s="8"/>
      <c r="F549" s="8"/>
      <c r="G549" s="8"/>
      <c r="H549" s="8"/>
      <c r="I549" s="8"/>
      <c r="J549" s="8"/>
      <c r="K549" s="8"/>
    </row>
    <row r="550" spans="1:11" x14ac:dyDescent="0.25">
      <c r="A550" s="44"/>
      <c r="B550" s="44"/>
      <c r="C550" s="44"/>
      <c r="D550" s="44"/>
      <c r="E550" s="8"/>
      <c r="F550" s="8"/>
      <c r="G550" s="8"/>
      <c r="H550" s="8"/>
      <c r="I550" s="8"/>
      <c r="J550" s="8"/>
      <c r="K550" s="8"/>
    </row>
    <row r="551" spans="1:11" x14ac:dyDescent="0.25">
      <c r="A551" s="44"/>
      <c r="B551" s="44"/>
      <c r="C551" s="44"/>
      <c r="D551" s="44"/>
      <c r="E551" s="8"/>
      <c r="F551" s="8"/>
      <c r="G551" s="8"/>
      <c r="H551" s="8"/>
      <c r="I551" s="8"/>
      <c r="J551" s="8"/>
      <c r="K551" s="8"/>
    </row>
    <row r="552" spans="1:11" x14ac:dyDescent="0.25">
      <c r="A552" s="44"/>
      <c r="B552" s="44"/>
      <c r="C552" s="44"/>
      <c r="D552" s="44"/>
      <c r="E552" s="8"/>
      <c r="F552" s="8"/>
      <c r="G552" s="8"/>
      <c r="H552" s="8"/>
      <c r="I552" s="8"/>
      <c r="J552" s="8"/>
      <c r="K552" s="8"/>
    </row>
    <row r="553" spans="1:11" x14ac:dyDescent="0.25">
      <c r="A553" s="44"/>
      <c r="B553" s="44"/>
      <c r="C553" s="44"/>
      <c r="D553" s="44"/>
      <c r="E553" s="8"/>
      <c r="F553" s="8"/>
      <c r="G553" s="8"/>
      <c r="H553" s="8"/>
      <c r="I553" s="8"/>
      <c r="J553" s="8"/>
      <c r="K553" s="8"/>
    </row>
    <row r="554" spans="1:11" x14ac:dyDescent="0.25">
      <c r="A554" s="44"/>
      <c r="B554" s="44"/>
      <c r="C554" s="44"/>
      <c r="D554" s="44"/>
      <c r="E554" s="8"/>
      <c r="F554" s="8"/>
      <c r="G554" s="8"/>
      <c r="H554" s="8"/>
      <c r="I554" s="8"/>
      <c r="J554" s="8"/>
      <c r="K554" s="8"/>
    </row>
    <row r="555" spans="1:11" x14ac:dyDescent="0.25">
      <c r="A555" s="44"/>
      <c r="B555" s="44"/>
      <c r="C555" s="44"/>
      <c r="D555" s="44"/>
      <c r="E555" s="8"/>
      <c r="F555" s="8"/>
      <c r="G555" s="8"/>
      <c r="H555" s="8"/>
      <c r="I555" s="8"/>
      <c r="J555" s="8"/>
      <c r="K555" s="8"/>
    </row>
    <row r="556" spans="1:11" x14ac:dyDescent="0.25">
      <c r="A556" s="44"/>
      <c r="B556" s="44"/>
      <c r="C556" s="44"/>
      <c r="D556" s="44"/>
      <c r="E556" s="8"/>
      <c r="F556" s="8"/>
      <c r="G556" s="8"/>
      <c r="H556" s="8"/>
      <c r="I556" s="8"/>
      <c r="J556" s="8"/>
      <c r="K556" s="8"/>
    </row>
    <row r="557" spans="1:11" x14ac:dyDescent="0.25">
      <c r="A557" s="44"/>
      <c r="B557" s="44"/>
      <c r="C557" s="44"/>
      <c r="D557" s="44"/>
      <c r="E557" s="8"/>
      <c r="F557" s="8"/>
      <c r="G557" s="8"/>
      <c r="H557" s="8"/>
      <c r="I557" s="8"/>
      <c r="J557" s="8"/>
      <c r="K557" s="8"/>
    </row>
    <row r="558" spans="1:11" x14ac:dyDescent="0.25">
      <c r="A558" s="44"/>
      <c r="B558" s="44"/>
      <c r="C558" s="44"/>
      <c r="D558" s="44"/>
      <c r="E558" s="8"/>
      <c r="F558" s="8"/>
      <c r="G558" s="8"/>
      <c r="H558" s="8"/>
      <c r="I558" s="8"/>
      <c r="J558" s="8"/>
      <c r="K558" s="8"/>
    </row>
    <row r="559" spans="1:11" x14ac:dyDescent="0.25">
      <c r="A559" s="44"/>
      <c r="B559" s="44"/>
      <c r="C559" s="44"/>
      <c r="D559" s="44"/>
      <c r="E559" s="8"/>
      <c r="F559" s="8"/>
      <c r="G559" s="8"/>
      <c r="H559" s="8"/>
      <c r="I559" s="8"/>
      <c r="J559" s="8"/>
      <c r="K559" s="8"/>
    </row>
    <row r="560" spans="1:11" x14ac:dyDescent="0.25">
      <c r="A560" s="44"/>
      <c r="B560" s="44"/>
      <c r="C560" s="44"/>
      <c r="D560" s="44"/>
      <c r="E560" s="8"/>
      <c r="F560" s="8"/>
      <c r="G560" s="8"/>
      <c r="H560" s="8"/>
      <c r="I560" s="8"/>
      <c r="J560" s="8"/>
      <c r="K560" s="8"/>
    </row>
    <row r="561" spans="1:11" x14ac:dyDescent="0.25">
      <c r="A561" s="44"/>
      <c r="B561" s="44"/>
      <c r="C561" s="44"/>
      <c r="D561" s="44"/>
      <c r="E561" s="8"/>
      <c r="F561" s="8"/>
      <c r="G561" s="8"/>
      <c r="H561" s="8"/>
      <c r="I561" s="8"/>
      <c r="J561" s="8"/>
      <c r="K561" s="8"/>
    </row>
    <row r="562" spans="1:11" x14ac:dyDescent="0.25">
      <c r="A562" s="44"/>
      <c r="B562" s="44"/>
      <c r="C562" s="44"/>
      <c r="D562" s="44"/>
      <c r="E562" s="8"/>
      <c r="F562" s="8"/>
      <c r="G562" s="8"/>
      <c r="H562" s="8"/>
      <c r="I562" s="8"/>
      <c r="J562" s="8"/>
      <c r="K562" s="8"/>
    </row>
    <row r="563" spans="1:11" x14ac:dyDescent="0.25">
      <c r="A563" s="44"/>
      <c r="B563" s="44"/>
      <c r="C563" s="44"/>
      <c r="D563" s="44"/>
      <c r="E563" s="8"/>
      <c r="F563" s="8"/>
      <c r="G563" s="8"/>
      <c r="H563" s="8"/>
      <c r="I563" s="8"/>
      <c r="J563" s="8"/>
      <c r="K563" s="8"/>
    </row>
    <row r="564" spans="1:11" x14ac:dyDescent="0.25">
      <c r="A564" s="44"/>
      <c r="B564" s="44"/>
      <c r="C564" s="44"/>
      <c r="D564" s="44"/>
      <c r="E564" s="8"/>
      <c r="F564" s="8"/>
      <c r="G564" s="8"/>
      <c r="H564" s="8"/>
      <c r="I564" s="8"/>
      <c r="J564" s="8"/>
      <c r="K564" s="8"/>
    </row>
    <row r="565" spans="1:11" x14ac:dyDescent="0.25">
      <c r="A565" s="44"/>
      <c r="B565" s="44"/>
      <c r="C565" s="44"/>
      <c r="D565" s="44"/>
      <c r="E565" s="8"/>
      <c r="F565" s="8"/>
      <c r="G565" s="8"/>
      <c r="H565" s="8"/>
      <c r="I565" s="8"/>
      <c r="J565" s="8"/>
      <c r="K565" s="8"/>
    </row>
    <row r="566" spans="1:11" x14ac:dyDescent="0.25">
      <c r="A566" s="44"/>
      <c r="B566" s="44"/>
      <c r="C566" s="44"/>
      <c r="D566" s="44"/>
      <c r="E566" s="8"/>
      <c r="F566" s="8"/>
      <c r="G566" s="8"/>
      <c r="H566" s="8"/>
      <c r="I566" s="8"/>
      <c r="J566" s="8"/>
      <c r="K566" s="8"/>
    </row>
    <row r="567" spans="1:11" x14ac:dyDescent="0.25">
      <c r="A567" s="44"/>
      <c r="B567" s="44"/>
      <c r="C567" s="44"/>
      <c r="D567" s="44"/>
      <c r="E567" s="8"/>
      <c r="F567" s="8"/>
      <c r="G567" s="8"/>
      <c r="H567" s="8"/>
      <c r="I567" s="8"/>
      <c r="J567" s="8"/>
      <c r="K567" s="8"/>
    </row>
    <row r="568" spans="1:11" x14ac:dyDescent="0.25">
      <c r="A568" s="44"/>
      <c r="B568" s="44"/>
      <c r="C568" s="44"/>
      <c r="D568" s="44"/>
      <c r="E568" s="8"/>
      <c r="F568" s="8"/>
      <c r="G568" s="8"/>
      <c r="H568" s="8"/>
      <c r="I568" s="8"/>
      <c r="J568" s="8"/>
      <c r="K568" s="8"/>
    </row>
    <row r="569" spans="1:11" x14ac:dyDescent="0.25">
      <c r="A569" s="44"/>
      <c r="B569" s="44"/>
      <c r="C569" s="44"/>
      <c r="D569" s="44"/>
      <c r="E569" s="8"/>
      <c r="F569" s="8"/>
      <c r="G569" s="8"/>
      <c r="H569" s="8"/>
      <c r="I569" s="8"/>
      <c r="J569" s="8"/>
      <c r="K569" s="8"/>
    </row>
    <row r="570" spans="1:11" x14ac:dyDescent="0.25">
      <c r="A570" s="44"/>
      <c r="B570" s="44"/>
      <c r="C570" s="44"/>
      <c r="D570" s="44"/>
      <c r="E570" s="8"/>
      <c r="F570" s="8"/>
      <c r="G570" s="8"/>
      <c r="H570" s="8"/>
      <c r="I570" s="8"/>
      <c r="J570" s="8"/>
      <c r="K570" s="8"/>
    </row>
    <row r="571" spans="1:11" x14ac:dyDescent="0.25">
      <c r="A571" s="44"/>
      <c r="B571" s="44"/>
      <c r="C571" s="44"/>
      <c r="D571" s="44"/>
      <c r="E571" s="8"/>
      <c r="F571" s="8"/>
      <c r="G571" s="8"/>
      <c r="H571" s="8"/>
      <c r="I571" s="8"/>
      <c r="J571" s="8"/>
      <c r="K571" s="8"/>
    </row>
    <row r="572" spans="1:11" x14ac:dyDescent="0.25">
      <c r="A572" s="44"/>
      <c r="B572" s="44"/>
      <c r="C572" s="44"/>
      <c r="D572" s="44"/>
      <c r="E572" s="8"/>
      <c r="F572" s="8"/>
      <c r="G572" s="8"/>
      <c r="H572" s="8"/>
      <c r="I572" s="8"/>
      <c r="J572" s="8"/>
      <c r="K572" s="8"/>
    </row>
    <row r="573" spans="1:11" x14ac:dyDescent="0.25">
      <c r="A573" s="44"/>
      <c r="B573" s="44"/>
      <c r="C573" s="44"/>
      <c r="D573" s="44"/>
      <c r="E573" s="8"/>
      <c r="F573" s="8"/>
      <c r="G573" s="8"/>
      <c r="H573" s="8"/>
      <c r="I573" s="8"/>
      <c r="J573" s="8"/>
      <c r="K573" s="8"/>
    </row>
    <row r="574" spans="1:11" x14ac:dyDescent="0.25">
      <c r="A574" s="44"/>
      <c r="B574" s="44"/>
      <c r="C574" s="44"/>
      <c r="D574" s="44"/>
      <c r="E574" s="8"/>
      <c r="F574" s="8"/>
      <c r="G574" s="8"/>
      <c r="H574" s="8"/>
      <c r="I574" s="8"/>
      <c r="J574" s="8"/>
      <c r="K574" s="8"/>
    </row>
    <row r="575" spans="1:11" x14ac:dyDescent="0.25">
      <c r="A575" s="44"/>
      <c r="B575" s="44"/>
      <c r="C575" s="44"/>
      <c r="D575" s="44"/>
      <c r="E575" s="8"/>
      <c r="F575" s="8"/>
      <c r="G575" s="8"/>
      <c r="H575" s="8"/>
      <c r="I575" s="8"/>
      <c r="J575" s="8"/>
      <c r="K575" s="8"/>
    </row>
    <row r="576" spans="1:11" x14ac:dyDescent="0.25">
      <c r="A576" s="44"/>
      <c r="B576" s="44"/>
      <c r="C576" s="44"/>
      <c r="D576" s="44"/>
      <c r="E576" s="8"/>
      <c r="F576" s="8"/>
      <c r="G576" s="8"/>
      <c r="H576" s="8"/>
      <c r="I576" s="8"/>
      <c r="J576" s="8"/>
      <c r="K576" s="8"/>
    </row>
    <row r="577" spans="1:11" x14ac:dyDescent="0.25">
      <c r="A577" s="44"/>
      <c r="B577" s="44"/>
      <c r="C577" s="44"/>
      <c r="D577" s="44"/>
      <c r="E577" s="8"/>
      <c r="F577" s="8"/>
      <c r="G577" s="8"/>
      <c r="H577" s="8"/>
      <c r="I577" s="8"/>
      <c r="J577" s="8"/>
      <c r="K577" s="8"/>
    </row>
    <row r="578" spans="1:11" x14ac:dyDescent="0.25">
      <c r="A578" s="44"/>
      <c r="B578" s="44"/>
      <c r="C578" s="44"/>
      <c r="D578" s="44"/>
      <c r="E578" s="8"/>
      <c r="F578" s="8"/>
      <c r="G578" s="8"/>
      <c r="H578" s="8"/>
      <c r="I578" s="8"/>
      <c r="J578" s="8"/>
      <c r="K578" s="8"/>
    </row>
    <row r="579" spans="1:11" x14ac:dyDescent="0.25">
      <c r="A579" s="44"/>
      <c r="B579" s="44"/>
      <c r="C579" s="44"/>
      <c r="D579" s="44"/>
      <c r="E579" s="8"/>
      <c r="F579" s="8"/>
      <c r="G579" s="8"/>
      <c r="H579" s="8"/>
      <c r="I579" s="8"/>
      <c r="J579" s="8"/>
      <c r="K579" s="8"/>
    </row>
    <row r="580" spans="1:11" x14ac:dyDescent="0.25">
      <c r="A580" s="44"/>
      <c r="B580" s="44"/>
      <c r="C580" s="44"/>
      <c r="D580" s="44"/>
      <c r="E580" s="8"/>
      <c r="F580" s="8"/>
      <c r="G580" s="8"/>
      <c r="H580" s="8"/>
      <c r="I580" s="8"/>
      <c r="J580" s="8"/>
      <c r="K580" s="8"/>
    </row>
    <row r="581" spans="1:11" x14ac:dyDescent="0.25">
      <c r="A581" s="44"/>
      <c r="B581" s="44"/>
      <c r="C581" s="44"/>
      <c r="D581" s="44"/>
      <c r="E581" s="8"/>
      <c r="F581" s="8"/>
      <c r="G581" s="8"/>
      <c r="H581" s="8"/>
      <c r="I581" s="8"/>
      <c r="J581" s="8"/>
      <c r="K581" s="8"/>
    </row>
    <row r="582" spans="1:11" x14ac:dyDescent="0.25">
      <c r="A582" s="44"/>
      <c r="B582" s="44"/>
      <c r="C582" s="44"/>
      <c r="D582" s="44"/>
      <c r="E582" s="8"/>
      <c r="F582" s="8"/>
      <c r="G582" s="8"/>
      <c r="H582" s="8"/>
      <c r="I582" s="8"/>
      <c r="J582" s="8"/>
      <c r="K582" s="8"/>
    </row>
    <row r="583" spans="1:11" x14ac:dyDescent="0.25">
      <c r="A583" s="44"/>
      <c r="B583" s="44"/>
      <c r="C583" s="44"/>
      <c r="D583" s="44"/>
      <c r="E583" s="8"/>
      <c r="F583" s="8"/>
      <c r="G583" s="8"/>
      <c r="H583" s="8"/>
      <c r="I583" s="8"/>
      <c r="J583" s="8"/>
      <c r="K583" s="8"/>
    </row>
    <row r="584" spans="1:11" x14ac:dyDescent="0.25">
      <c r="A584" s="44"/>
      <c r="B584" s="44"/>
      <c r="C584" s="44"/>
      <c r="D584" s="44"/>
      <c r="E584" s="8"/>
      <c r="F584" s="8"/>
      <c r="G584" s="8"/>
      <c r="H584" s="8"/>
      <c r="I584" s="8"/>
      <c r="J584" s="8"/>
      <c r="K584" s="8"/>
    </row>
    <row r="585" spans="1:11" x14ac:dyDescent="0.25">
      <c r="A585" s="44"/>
      <c r="B585" s="44"/>
      <c r="C585" s="44"/>
      <c r="D585" s="44"/>
      <c r="E585" s="8"/>
      <c r="F585" s="8"/>
      <c r="G585" s="8"/>
      <c r="H585" s="8"/>
      <c r="I585" s="8"/>
      <c r="J585" s="8"/>
      <c r="K585" s="8"/>
    </row>
    <row r="586" spans="1:11" x14ac:dyDescent="0.25">
      <c r="A586" s="44"/>
      <c r="B586" s="44"/>
      <c r="C586" s="44"/>
      <c r="D586" s="44"/>
      <c r="E586" s="8"/>
      <c r="F586" s="8"/>
      <c r="G586" s="8"/>
      <c r="H586" s="8"/>
      <c r="I586" s="8"/>
      <c r="J586" s="8"/>
      <c r="K586" s="8"/>
    </row>
    <row r="587" spans="1:11" x14ac:dyDescent="0.25">
      <c r="A587" s="44"/>
      <c r="B587" s="44"/>
      <c r="C587" s="44"/>
      <c r="D587" s="44"/>
      <c r="E587" s="8"/>
      <c r="F587" s="8"/>
      <c r="G587" s="8"/>
      <c r="H587" s="8"/>
      <c r="I587" s="8"/>
      <c r="J587" s="8"/>
      <c r="K587" s="8"/>
    </row>
    <row r="588" spans="1:11" x14ac:dyDescent="0.25">
      <c r="A588" s="44"/>
      <c r="B588" s="44"/>
      <c r="C588" s="44"/>
      <c r="D588" s="44"/>
      <c r="E588" s="8"/>
      <c r="F588" s="8"/>
      <c r="G588" s="8"/>
      <c r="H588" s="8"/>
      <c r="I588" s="8"/>
      <c r="J588" s="8"/>
      <c r="K588" s="8"/>
    </row>
    <row r="589" spans="1:11" x14ac:dyDescent="0.25">
      <c r="A589" s="44"/>
      <c r="B589" s="44"/>
      <c r="C589" s="44"/>
      <c r="D589" s="44"/>
      <c r="E589" s="8"/>
      <c r="F589" s="8"/>
      <c r="G589" s="8"/>
      <c r="H589" s="8"/>
      <c r="I589" s="8"/>
      <c r="J589" s="8"/>
      <c r="K589" s="8"/>
    </row>
    <row r="590" spans="1:11" x14ac:dyDescent="0.25">
      <c r="A590" s="44"/>
      <c r="B590" s="44"/>
      <c r="C590" s="44"/>
      <c r="D590" s="44"/>
      <c r="E590" s="8"/>
      <c r="F590" s="8"/>
      <c r="G590" s="8"/>
      <c r="H590" s="8"/>
      <c r="I590" s="8"/>
      <c r="J590" s="8"/>
      <c r="K590" s="8"/>
    </row>
    <row r="591" spans="1:11" x14ac:dyDescent="0.25">
      <c r="A591" s="44"/>
      <c r="B591" s="44"/>
      <c r="C591" s="44"/>
      <c r="D591" s="44"/>
      <c r="E591" s="8"/>
      <c r="F591" s="8"/>
      <c r="G591" s="8"/>
      <c r="H591" s="8"/>
      <c r="I591" s="8"/>
      <c r="J591" s="8"/>
      <c r="K591" s="8"/>
    </row>
    <row r="592" spans="1:11" x14ac:dyDescent="0.25">
      <c r="A592" s="44"/>
      <c r="B592" s="44"/>
      <c r="C592" s="44"/>
      <c r="D592" s="44"/>
      <c r="E592" s="8"/>
      <c r="F592" s="8"/>
      <c r="G592" s="8"/>
      <c r="H592" s="8"/>
      <c r="I592" s="8"/>
      <c r="J592" s="8"/>
      <c r="K592" s="8"/>
    </row>
    <row r="593" spans="1:11" x14ac:dyDescent="0.25">
      <c r="A593" s="44"/>
      <c r="B593" s="44"/>
      <c r="C593" s="44"/>
      <c r="D593" s="44"/>
      <c r="E593" s="8"/>
      <c r="F593" s="8"/>
      <c r="G593" s="8"/>
      <c r="H593" s="8"/>
      <c r="I593" s="8"/>
      <c r="J593" s="8"/>
      <c r="K593" s="8"/>
    </row>
    <row r="594" spans="1:11" x14ac:dyDescent="0.25">
      <c r="A594" s="44"/>
      <c r="B594" s="44"/>
      <c r="C594" s="44"/>
      <c r="D594" s="44"/>
      <c r="E594" s="8"/>
      <c r="F594" s="8"/>
      <c r="G594" s="8"/>
      <c r="H594" s="8"/>
      <c r="I594" s="8"/>
      <c r="J594" s="8"/>
      <c r="K594" s="8"/>
    </row>
    <row r="595" spans="1:11" x14ac:dyDescent="0.25">
      <c r="A595" s="44"/>
      <c r="B595" s="44"/>
      <c r="C595" s="44"/>
      <c r="D595" s="44"/>
      <c r="E595" s="8"/>
      <c r="F595" s="8"/>
      <c r="G595" s="8"/>
      <c r="H595" s="8"/>
      <c r="I595" s="8"/>
      <c r="J595" s="8"/>
      <c r="K595" s="8"/>
    </row>
    <row r="596" spans="1:11" x14ac:dyDescent="0.25">
      <c r="A596" s="44"/>
      <c r="B596" s="44"/>
      <c r="C596" s="44"/>
      <c r="D596" s="44"/>
      <c r="E596" s="8"/>
      <c r="F596" s="8"/>
      <c r="G596" s="8"/>
      <c r="H596" s="8"/>
      <c r="I596" s="8"/>
      <c r="J596" s="8"/>
      <c r="K596" s="8"/>
    </row>
    <row r="597" spans="1:11" x14ac:dyDescent="0.25">
      <c r="A597" s="44"/>
      <c r="B597" s="44"/>
      <c r="C597" s="44"/>
      <c r="D597" s="44"/>
      <c r="E597" s="8"/>
      <c r="F597" s="8"/>
      <c r="G597" s="8"/>
      <c r="H597" s="8"/>
      <c r="I597" s="8"/>
      <c r="J597" s="8"/>
      <c r="K597" s="8"/>
    </row>
    <row r="598" spans="1:11" x14ac:dyDescent="0.25">
      <c r="A598" s="44"/>
      <c r="B598" s="44"/>
      <c r="C598" s="44"/>
      <c r="D598" s="44"/>
      <c r="E598" s="8"/>
      <c r="F598" s="8"/>
      <c r="G598" s="8"/>
      <c r="H598" s="8"/>
      <c r="I598" s="8"/>
      <c r="J598" s="8"/>
      <c r="K598" s="8"/>
    </row>
    <row r="599" spans="1:11" x14ac:dyDescent="0.25">
      <c r="A599" s="44"/>
      <c r="B599" s="44"/>
      <c r="C599" s="44"/>
      <c r="D599" s="44"/>
      <c r="E599" s="8"/>
      <c r="F599" s="8"/>
      <c r="G599" s="8"/>
      <c r="H599" s="8"/>
      <c r="I599" s="8"/>
      <c r="J599" s="8"/>
      <c r="K599" s="8"/>
    </row>
    <row r="600" spans="1:11" x14ac:dyDescent="0.25">
      <c r="A600" s="44"/>
      <c r="B600" s="44"/>
      <c r="C600" s="44"/>
      <c r="D600" s="44"/>
      <c r="E600" s="8"/>
      <c r="F600" s="8"/>
      <c r="G600" s="8"/>
      <c r="H600" s="8"/>
      <c r="I600" s="8"/>
      <c r="J600" s="8"/>
      <c r="K600" s="8"/>
    </row>
    <row r="601" spans="1:11" x14ac:dyDescent="0.25">
      <c r="A601" s="44"/>
      <c r="B601" s="44"/>
      <c r="C601" s="44"/>
      <c r="D601" s="44"/>
      <c r="E601" s="8"/>
      <c r="F601" s="8"/>
      <c r="G601" s="8"/>
      <c r="H601" s="8"/>
      <c r="I601" s="8"/>
      <c r="J601" s="8"/>
      <c r="K601" s="8"/>
    </row>
    <row r="602" spans="1:11" x14ac:dyDescent="0.25">
      <c r="A602" s="44"/>
      <c r="B602" s="44"/>
      <c r="C602" s="44"/>
      <c r="D602" s="44"/>
      <c r="E602" s="8"/>
      <c r="F602" s="8"/>
      <c r="G602" s="8"/>
      <c r="H602" s="8"/>
      <c r="I602" s="8"/>
      <c r="J602" s="8"/>
      <c r="K602" s="8"/>
    </row>
    <row r="603" spans="1:11" x14ac:dyDescent="0.25">
      <c r="A603" s="44"/>
      <c r="B603" s="44"/>
      <c r="C603" s="44"/>
      <c r="D603" s="44"/>
      <c r="E603" s="8"/>
      <c r="F603" s="8"/>
      <c r="G603" s="8"/>
      <c r="H603" s="8"/>
      <c r="I603" s="8"/>
      <c r="J603" s="8"/>
      <c r="K603" s="8"/>
    </row>
    <row r="604" spans="1:11" x14ac:dyDescent="0.25">
      <c r="A604" s="44"/>
      <c r="B604" s="44"/>
      <c r="C604" s="44"/>
      <c r="D604" s="44"/>
      <c r="E604" s="8"/>
      <c r="F604" s="8"/>
      <c r="G604" s="8"/>
      <c r="H604" s="8"/>
      <c r="I604" s="8"/>
      <c r="J604" s="8"/>
      <c r="K604" s="8"/>
    </row>
    <row r="605" spans="1:11" x14ac:dyDescent="0.25">
      <c r="A605" s="44"/>
      <c r="B605" s="44"/>
      <c r="C605" s="44"/>
      <c r="D605" s="44"/>
      <c r="E605" s="8"/>
      <c r="F605" s="8"/>
      <c r="G605" s="8"/>
      <c r="H605" s="8"/>
      <c r="I605" s="8"/>
      <c r="J605" s="8"/>
      <c r="K605" s="8"/>
    </row>
    <row r="606" spans="1:11" x14ac:dyDescent="0.25">
      <c r="A606" s="44"/>
      <c r="B606" s="44"/>
      <c r="C606" s="44"/>
      <c r="D606" s="44"/>
      <c r="E606" s="8"/>
      <c r="F606" s="8"/>
      <c r="G606" s="8"/>
      <c r="H606" s="8"/>
      <c r="I606" s="8"/>
      <c r="J606" s="8"/>
      <c r="K606" s="8"/>
    </row>
    <row r="607" spans="1:11" x14ac:dyDescent="0.25">
      <c r="A607" s="44"/>
      <c r="B607" s="44"/>
      <c r="C607" s="44"/>
      <c r="D607" s="44"/>
      <c r="E607" s="8"/>
      <c r="F607" s="8"/>
      <c r="G607" s="8"/>
      <c r="H607" s="8"/>
      <c r="I607" s="8"/>
      <c r="J607" s="8"/>
      <c r="K607" s="8"/>
    </row>
    <row r="608" spans="1:11" x14ac:dyDescent="0.25">
      <c r="A608" s="44"/>
      <c r="B608" s="44"/>
      <c r="C608" s="44"/>
      <c r="D608" s="44"/>
      <c r="E608" s="8"/>
      <c r="F608" s="8"/>
      <c r="G608" s="8"/>
      <c r="H608" s="8"/>
      <c r="I608" s="8"/>
      <c r="J608" s="8"/>
      <c r="K608" s="8"/>
    </row>
    <row r="609" spans="1:11" x14ac:dyDescent="0.25">
      <c r="A609" s="44"/>
      <c r="B609" s="44"/>
      <c r="C609" s="44"/>
      <c r="D609" s="44"/>
      <c r="E609" s="8"/>
      <c r="F609" s="8"/>
      <c r="G609" s="8"/>
      <c r="H609" s="8"/>
      <c r="I609" s="8"/>
      <c r="J609" s="8"/>
      <c r="K609" s="8"/>
    </row>
    <row r="610" spans="1:11" x14ac:dyDescent="0.25">
      <c r="A610" s="44"/>
      <c r="B610" s="44"/>
      <c r="C610" s="44"/>
      <c r="D610" s="44"/>
      <c r="E610" s="8"/>
      <c r="F610" s="8"/>
      <c r="G610" s="8"/>
      <c r="H610" s="8"/>
      <c r="I610" s="8"/>
      <c r="J610" s="8"/>
      <c r="K610" s="8"/>
    </row>
    <row r="611" spans="1:11" x14ac:dyDescent="0.25">
      <c r="A611" s="44"/>
      <c r="B611" s="44"/>
      <c r="C611" s="44"/>
      <c r="D611" s="44"/>
      <c r="E611" s="8"/>
      <c r="F611" s="8"/>
      <c r="G611" s="8"/>
      <c r="H611" s="8"/>
      <c r="I611" s="8"/>
      <c r="J611" s="8"/>
      <c r="K611" s="8"/>
    </row>
    <row r="612" spans="1:11" x14ac:dyDescent="0.25">
      <c r="A612" s="44"/>
      <c r="B612" s="44"/>
      <c r="C612" s="44"/>
      <c r="D612" s="44"/>
      <c r="E612" s="8"/>
      <c r="F612" s="8"/>
      <c r="G612" s="8"/>
      <c r="H612" s="8"/>
      <c r="I612" s="8"/>
      <c r="J612" s="8"/>
      <c r="K612" s="8"/>
    </row>
    <row r="613" spans="1:11" x14ac:dyDescent="0.25">
      <c r="A613" s="44"/>
      <c r="B613" s="44"/>
      <c r="C613" s="44"/>
      <c r="D613" s="44"/>
      <c r="E613" s="8"/>
      <c r="F613" s="8"/>
      <c r="G613" s="8"/>
      <c r="H613" s="8"/>
      <c r="I613" s="8"/>
      <c r="J613" s="8"/>
      <c r="K613" s="8"/>
    </row>
    <row r="614" spans="1:11" x14ac:dyDescent="0.25">
      <c r="A614" s="44"/>
      <c r="B614" s="44"/>
      <c r="C614" s="44"/>
      <c r="D614" s="44"/>
      <c r="E614" s="8"/>
      <c r="F614" s="8"/>
      <c r="G614" s="8"/>
      <c r="H614" s="8"/>
      <c r="I614" s="8"/>
      <c r="J614" s="8"/>
      <c r="K614" s="8"/>
    </row>
    <row r="615" spans="1:11" x14ac:dyDescent="0.25">
      <c r="A615" s="44"/>
      <c r="B615" s="44"/>
      <c r="C615" s="44"/>
      <c r="D615" s="44"/>
      <c r="E615" s="8"/>
      <c r="F615" s="8"/>
      <c r="G615" s="8"/>
      <c r="H615" s="8"/>
      <c r="I615" s="8"/>
      <c r="J615" s="8"/>
      <c r="K615" s="8"/>
    </row>
    <row r="616" spans="1:11" x14ac:dyDescent="0.25">
      <c r="A616" s="44"/>
      <c r="B616" s="44"/>
      <c r="C616" s="44"/>
      <c r="D616" s="44"/>
      <c r="E616" s="8"/>
      <c r="F616" s="8"/>
      <c r="G616" s="8"/>
      <c r="H616" s="8"/>
      <c r="I616" s="8"/>
      <c r="J616" s="8"/>
      <c r="K616" s="8"/>
    </row>
    <row r="617" spans="1:11" x14ac:dyDescent="0.25">
      <c r="A617" s="44"/>
      <c r="B617" s="44"/>
      <c r="C617" s="44"/>
      <c r="D617" s="44"/>
      <c r="E617" s="8"/>
      <c r="F617" s="8"/>
      <c r="G617" s="8"/>
      <c r="H617" s="8"/>
      <c r="I617" s="8"/>
      <c r="J617" s="8"/>
      <c r="K617" s="8"/>
    </row>
    <row r="618" spans="1:11" x14ac:dyDescent="0.25">
      <c r="A618" s="44"/>
      <c r="B618" s="44"/>
      <c r="C618" s="44"/>
      <c r="D618" s="44"/>
      <c r="E618" s="8"/>
      <c r="F618" s="8"/>
      <c r="G618" s="8"/>
      <c r="H618" s="8"/>
      <c r="I618" s="8"/>
      <c r="J618" s="8"/>
      <c r="K618" s="8"/>
    </row>
    <row r="619" spans="1:11" x14ac:dyDescent="0.25">
      <c r="A619" s="44"/>
      <c r="B619" s="44"/>
      <c r="C619" s="44"/>
      <c r="D619" s="44"/>
      <c r="E619" s="8"/>
      <c r="F619" s="8"/>
      <c r="G619" s="8"/>
      <c r="H619" s="8"/>
      <c r="I619" s="8"/>
      <c r="J619" s="8"/>
      <c r="K619" s="8"/>
    </row>
    <row r="620" spans="1:11" x14ac:dyDescent="0.25">
      <c r="A620" s="44"/>
      <c r="B620" s="44"/>
      <c r="C620" s="44"/>
      <c r="D620" s="44"/>
      <c r="E620" s="8"/>
      <c r="F620" s="8"/>
      <c r="G620" s="8"/>
      <c r="H620" s="8"/>
      <c r="I620" s="8"/>
      <c r="J620" s="8"/>
      <c r="K620" s="8"/>
    </row>
    <row r="621" spans="1:11" x14ac:dyDescent="0.25">
      <c r="A621" s="44"/>
      <c r="B621" s="44"/>
      <c r="C621" s="44"/>
      <c r="D621" s="44"/>
      <c r="E621" s="8"/>
      <c r="F621" s="8"/>
      <c r="G621" s="8"/>
      <c r="H621" s="8"/>
      <c r="I621" s="8"/>
      <c r="J621" s="8"/>
      <c r="K621" s="8"/>
    </row>
    <row r="622" spans="1:11" x14ac:dyDescent="0.25">
      <c r="A622" s="44"/>
      <c r="B622" s="44"/>
      <c r="C622" s="44"/>
      <c r="D622" s="44"/>
      <c r="E622" s="8"/>
      <c r="F622" s="8"/>
      <c r="G622" s="8"/>
      <c r="H622" s="8"/>
      <c r="I622" s="8"/>
      <c r="J622" s="8"/>
      <c r="K622" s="8"/>
    </row>
    <row r="623" spans="1:11" x14ac:dyDescent="0.25">
      <c r="A623" s="44"/>
      <c r="B623" s="44"/>
      <c r="C623" s="44"/>
      <c r="D623" s="44"/>
      <c r="E623" s="8"/>
      <c r="F623" s="8"/>
      <c r="G623" s="8"/>
      <c r="H623" s="8"/>
      <c r="I623" s="8"/>
      <c r="J623" s="8"/>
      <c r="K623" s="8"/>
    </row>
    <row r="624" spans="1:11" x14ac:dyDescent="0.25">
      <c r="A624" s="44"/>
      <c r="B624" s="44"/>
      <c r="C624" s="44"/>
      <c r="D624" s="44"/>
      <c r="E624" s="8"/>
      <c r="F624" s="8"/>
      <c r="G624" s="8"/>
      <c r="H624" s="8"/>
      <c r="I624" s="8"/>
      <c r="J624" s="8"/>
      <c r="K624" s="8"/>
    </row>
    <row r="625" spans="1:11" x14ac:dyDescent="0.25">
      <c r="A625" s="44"/>
      <c r="B625" s="44"/>
      <c r="C625" s="44"/>
      <c r="D625" s="44"/>
      <c r="E625" s="8"/>
      <c r="F625" s="8"/>
      <c r="G625" s="8"/>
      <c r="H625" s="8"/>
      <c r="I625" s="8"/>
      <c r="J625" s="8"/>
      <c r="K625" s="8"/>
    </row>
    <row r="626" spans="1:11" x14ac:dyDescent="0.25">
      <c r="A626" s="44"/>
      <c r="B626" s="44"/>
      <c r="C626" s="44"/>
      <c r="D626" s="44"/>
      <c r="E626" s="8"/>
      <c r="F626" s="8"/>
      <c r="G626" s="8"/>
      <c r="H626" s="8"/>
      <c r="I626" s="8"/>
      <c r="J626" s="8"/>
      <c r="K626" s="8"/>
    </row>
    <row r="627" spans="1:11" x14ac:dyDescent="0.25">
      <c r="A627" s="44"/>
      <c r="B627" s="44"/>
      <c r="C627" s="44"/>
      <c r="D627" s="44"/>
      <c r="E627" s="8"/>
      <c r="F627" s="8"/>
      <c r="G627" s="8"/>
      <c r="H627" s="8"/>
      <c r="I627" s="8"/>
      <c r="J627" s="8"/>
      <c r="K627" s="8"/>
    </row>
    <row r="628" spans="1:11" x14ac:dyDescent="0.25">
      <c r="A628" s="44"/>
      <c r="B628" s="44"/>
      <c r="C628" s="44"/>
      <c r="D628" s="44"/>
      <c r="E628" s="8"/>
      <c r="F628" s="8"/>
      <c r="G628" s="8"/>
      <c r="H628" s="8"/>
      <c r="I628" s="8"/>
      <c r="J628" s="8"/>
      <c r="K628" s="8"/>
    </row>
    <row r="629" spans="1:11" x14ac:dyDescent="0.25">
      <c r="A629" s="44"/>
      <c r="B629" s="44"/>
      <c r="C629" s="44"/>
      <c r="D629" s="44"/>
      <c r="E629" s="8"/>
      <c r="F629" s="8"/>
      <c r="G629" s="8"/>
      <c r="H629" s="8"/>
      <c r="I629" s="8"/>
      <c r="J629" s="8"/>
      <c r="K629" s="8"/>
    </row>
    <row r="630" spans="1:11" x14ac:dyDescent="0.25">
      <c r="A630" s="44"/>
      <c r="B630" s="44"/>
      <c r="C630" s="44"/>
      <c r="D630" s="44"/>
      <c r="E630" s="8"/>
      <c r="F630" s="8"/>
      <c r="G630" s="8"/>
      <c r="H630" s="8"/>
      <c r="I630" s="8"/>
      <c r="J630" s="8"/>
      <c r="K630" s="8"/>
    </row>
    <row r="631" spans="1:11" x14ac:dyDescent="0.25">
      <c r="A631" s="44"/>
      <c r="B631" s="44"/>
      <c r="C631" s="44"/>
      <c r="D631" s="44"/>
      <c r="E631" s="8"/>
      <c r="F631" s="8"/>
      <c r="G631" s="8"/>
      <c r="H631" s="8"/>
      <c r="I631" s="8"/>
      <c r="J631" s="8"/>
      <c r="K631" s="8"/>
    </row>
    <row r="632" spans="1:11" x14ac:dyDescent="0.25">
      <c r="A632" s="44"/>
      <c r="B632" s="44"/>
      <c r="C632" s="44"/>
      <c r="D632" s="44"/>
      <c r="E632" s="8"/>
      <c r="F632" s="8"/>
      <c r="G632" s="8"/>
      <c r="H632" s="8"/>
      <c r="I632" s="8"/>
      <c r="J632" s="8"/>
      <c r="K632" s="8"/>
    </row>
    <row r="633" spans="1:11" x14ac:dyDescent="0.25">
      <c r="A633" s="44"/>
      <c r="B633" s="44"/>
      <c r="C633" s="44"/>
      <c r="D633" s="44"/>
      <c r="E633" s="8"/>
      <c r="F633" s="8"/>
      <c r="G633" s="8"/>
      <c r="H633" s="8"/>
      <c r="I633" s="8"/>
      <c r="J633" s="8"/>
      <c r="K633" s="8"/>
    </row>
    <row r="634" spans="1:11" x14ac:dyDescent="0.25">
      <c r="A634" s="44"/>
      <c r="B634" s="44"/>
      <c r="C634" s="44"/>
      <c r="D634" s="44"/>
      <c r="E634" s="8"/>
      <c r="F634" s="8"/>
      <c r="G634" s="8"/>
      <c r="H634" s="8"/>
      <c r="I634" s="8"/>
      <c r="J634" s="8"/>
      <c r="K634" s="8"/>
    </row>
    <row r="635" spans="1:11" x14ac:dyDescent="0.25">
      <c r="A635" s="44"/>
      <c r="B635" s="44"/>
      <c r="C635" s="44"/>
      <c r="D635" s="44"/>
      <c r="E635" s="8"/>
      <c r="F635" s="8"/>
      <c r="G635" s="8"/>
      <c r="H635" s="8"/>
      <c r="I635" s="8"/>
      <c r="J635" s="8"/>
      <c r="K635" s="8"/>
    </row>
    <row r="636" spans="1:11" x14ac:dyDescent="0.25">
      <c r="A636" s="44"/>
      <c r="B636" s="44"/>
      <c r="C636" s="44"/>
      <c r="D636" s="44"/>
      <c r="E636" s="8"/>
      <c r="F636" s="8"/>
      <c r="G636" s="8"/>
      <c r="H636" s="8"/>
      <c r="I636" s="8"/>
      <c r="J636" s="8"/>
      <c r="K636" s="8"/>
    </row>
    <row r="637" spans="1:11" x14ac:dyDescent="0.25">
      <c r="A637" s="44"/>
      <c r="B637" s="44"/>
      <c r="C637" s="44"/>
      <c r="D637" s="44"/>
      <c r="E637" s="8"/>
      <c r="F637" s="8"/>
      <c r="G637" s="8"/>
      <c r="H637" s="8"/>
      <c r="I637" s="8"/>
      <c r="J637" s="8"/>
      <c r="K637" s="8"/>
    </row>
    <row r="638" spans="1:11" x14ac:dyDescent="0.25">
      <c r="A638" s="44"/>
      <c r="B638" s="44"/>
      <c r="C638" s="44"/>
      <c r="D638" s="44"/>
      <c r="E638" s="8"/>
      <c r="F638" s="8"/>
      <c r="G638" s="8"/>
      <c r="H638" s="8"/>
      <c r="I638" s="8"/>
      <c r="J638" s="8"/>
      <c r="K638" s="8"/>
    </row>
    <row r="639" spans="1:11" x14ac:dyDescent="0.25">
      <c r="A639" s="44"/>
      <c r="B639" s="44"/>
      <c r="C639" s="44"/>
      <c r="D639" s="44"/>
      <c r="E639" s="8"/>
      <c r="F639" s="8"/>
      <c r="G639" s="8"/>
      <c r="H639" s="8"/>
      <c r="I639" s="8"/>
      <c r="J639" s="8"/>
      <c r="K639" s="8"/>
    </row>
    <row r="640" spans="1:11" x14ac:dyDescent="0.25">
      <c r="A640" s="44"/>
      <c r="B640" s="44"/>
      <c r="C640" s="44"/>
      <c r="D640" s="44"/>
      <c r="E640" s="8"/>
      <c r="F640" s="8"/>
      <c r="G640" s="8"/>
      <c r="H640" s="8"/>
      <c r="I640" s="8"/>
      <c r="J640" s="8"/>
      <c r="K640" s="8"/>
    </row>
    <row r="641" spans="1:11" x14ac:dyDescent="0.25">
      <c r="A641" s="44"/>
      <c r="B641" s="44"/>
      <c r="C641" s="44"/>
      <c r="D641" s="44"/>
      <c r="E641" s="8"/>
      <c r="F641" s="8"/>
      <c r="G641" s="8"/>
      <c r="H641" s="8"/>
      <c r="I641" s="8"/>
      <c r="J641" s="8"/>
      <c r="K641" s="8"/>
    </row>
    <row r="642" spans="1:11" x14ac:dyDescent="0.25">
      <c r="A642" s="44"/>
      <c r="B642" s="44"/>
      <c r="C642" s="44"/>
      <c r="D642" s="44"/>
      <c r="E642" s="8"/>
      <c r="F642" s="8"/>
      <c r="G642" s="8"/>
      <c r="H642" s="8"/>
      <c r="I642" s="8"/>
      <c r="J642" s="8"/>
      <c r="K642" s="8"/>
    </row>
    <row r="643" spans="1:11" x14ac:dyDescent="0.25">
      <c r="A643" s="44"/>
      <c r="B643" s="44"/>
      <c r="C643" s="44"/>
      <c r="D643" s="44"/>
      <c r="E643" s="8"/>
      <c r="F643" s="8"/>
      <c r="G643" s="8"/>
      <c r="H643" s="8"/>
      <c r="I643" s="8"/>
      <c r="J643" s="8"/>
      <c r="K643" s="8"/>
    </row>
    <row r="644" spans="1:11" x14ac:dyDescent="0.25">
      <c r="A644" s="44"/>
      <c r="B644" s="44"/>
      <c r="C644" s="44"/>
      <c r="D644" s="44"/>
      <c r="E644" s="8"/>
      <c r="F644" s="8"/>
      <c r="G644" s="8"/>
      <c r="H644" s="8"/>
      <c r="I644" s="8"/>
      <c r="J644" s="8"/>
      <c r="K644" s="8"/>
    </row>
    <row r="645" spans="1:11" x14ac:dyDescent="0.25">
      <c r="A645" s="44"/>
      <c r="B645" s="44"/>
      <c r="C645" s="44"/>
      <c r="D645" s="44"/>
      <c r="E645" s="8"/>
      <c r="F645" s="8"/>
      <c r="G645" s="8"/>
      <c r="H645" s="8"/>
      <c r="I645" s="8"/>
      <c r="J645" s="8"/>
      <c r="K645" s="8"/>
    </row>
    <row r="646" spans="1:11" x14ac:dyDescent="0.25">
      <c r="A646" s="44"/>
      <c r="B646" s="44"/>
      <c r="C646" s="44"/>
      <c r="D646" s="44"/>
      <c r="E646" s="8"/>
      <c r="F646" s="8"/>
      <c r="G646" s="8"/>
      <c r="H646" s="8"/>
      <c r="I646" s="8"/>
      <c r="J646" s="8"/>
      <c r="K646" s="8"/>
    </row>
    <row r="647" spans="1:11" x14ac:dyDescent="0.25">
      <c r="A647" s="44"/>
      <c r="B647" s="44"/>
      <c r="C647" s="44"/>
      <c r="D647" s="44"/>
      <c r="E647" s="8"/>
      <c r="F647" s="8"/>
      <c r="G647" s="8"/>
      <c r="H647" s="8"/>
      <c r="I647" s="8"/>
      <c r="J647" s="8"/>
      <c r="K647" s="8"/>
    </row>
    <row r="648" spans="1:11" x14ac:dyDescent="0.25">
      <c r="A648" s="44"/>
      <c r="B648" s="44"/>
      <c r="C648" s="44"/>
      <c r="D648" s="44"/>
      <c r="E648" s="8"/>
      <c r="F648" s="8"/>
      <c r="G648" s="8"/>
      <c r="H648" s="8"/>
      <c r="I648" s="8"/>
      <c r="J648" s="8"/>
      <c r="K648" s="8"/>
    </row>
    <row r="649" spans="1:11" x14ac:dyDescent="0.25">
      <c r="A649" s="44"/>
      <c r="B649" s="44"/>
      <c r="C649" s="44"/>
      <c r="D649" s="44"/>
      <c r="E649" s="8"/>
      <c r="F649" s="8"/>
      <c r="G649" s="8"/>
      <c r="H649" s="8"/>
      <c r="I649" s="8"/>
      <c r="J649" s="8"/>
      <c r="K649" s="8"/>
    </row>
    <row r="650" spans="1:11" x14ac:dyDescent="0.25">
      <c r="A650" s="44"/>
      <c r="B650" s="44"/>
      <c r="C650" s="44"/>
      <c r="D650" s="44"/>
      <c r="E650" s="8"/>
      <c r="F650" s="8"/>
      <c r="G650" s="8"/>
      <c r="H650" s="8"/>
      <c r="I650" s="8"/>
      <c r="J650" s="8"/>
      <c r="K650" s="8"/>
    </row>
    <row r="651" spans="1:11" x14ac:dyDescent="0.25">
      <c r="A651" s="44"/>
      <c r="B651" s="44"/>
      <c r="C651" s="44"/>
      <c r="D651" s="44"/>
      <c r="E651" s="8"/>
      <c r="F651" s="8"/>
      <c r="G651" s="8"/>
      <c r="H651" s="8"/>
      <c r="I651" s="8"/>
      <c r="J651" s="8"/>
      <c r="K651" s="8"/>
    </row>
    <row r="652" spans="1:11" x14ac:dyDescent="0.25">
      <c r="A652" s="44"/>
      <c r="B652" s="44"/>
      <c r="C652" s="44"/>
      <c r="D652" s="44"/>
      <c r="E652" s="8"/>
      <c r="F652" s="8"/>
      <c r="G652" s="8"/>
      <c r="H652" s="8"/>
      <c r="I652" s="8"/>
      <c r="J652" s="8"/>
      <c r="K652" s="8"/>
    </row>
    <row r="653" spans="1:11" x14ac:dyDescent="0.25">
      <c r="A653" s="44"/>
      <c r="B653" s="44"/>
      <c r="C653" s="44"/>
      <c r="D653" s="44"/>
      <c r="E653" s="8"/>
      <c r="F653" s="8"/>
      <c r="G653" s="8"/>
      <c r="H653" s="8"/>
      <c r="I653" s="8"/>
      <c r="J653" s="8"/>
      <c r="K653" s="8"/>
    </row>
    <row r="654" spans="1:11" x14ac:dyDescent="0.25">
      <c r="A654" s="44"/>
      <c r="B654" s="44"/>
      <c r="C654" s="44"/>
      <c r="D654" s="44"/>
      <c r="E654" s="8"/>
      <c r="F654" s="8"/>
      <c r="G654" s="8"/>
      <c r="H654" s="8"/>
      <c r="I654" s="8"/>
      <c r="J654" s="8"/>
      <c r="K654" s="8"/>
    </row>
    <row r="655" spans="1:11" x14ac:dyDescent="0.25">
      <c r="A655" s="44"/>
      <c r="B655" s="44"/>
      <c r="C655" s="44"/>
      <c r="D655" s="44"/>
      <c r="E655" s="8"/>
      <c r="F655" s="8"/>
      <c r="G655" s="8"/>
      <c r="H655" s="8"/>
      <c r="I655" s="8"/>
      <c r="J655" s="8"/>
      <c r="K655" s="8"/>
    </row>
    <row r="656" spans="1:11" x14ac:dyDescent="0.25">
      <c r="A656" s="44"/>
      <c r="B656" s="44"/>
      <c r="C656" s="44"/>
      <c r="D656" s="44"/>
      <c r="E656" s="8"/>
      <c r="F656" s="8"/>
      <c r="G656" s="8"/>
      <c r="H656" s="8"/>
      <c r="I656" s="8"/>
      <c r="J656" s="8"/>
      <c r="K656" s="8"/>
    </row>
    <row r="657" spans="1:11" x14ac:dyDescent="0.25">
      <c r="A657" s="44"/>
      <c r="B657" s="44"/>
      <c r="C657" s="44"/>
      <c r="D657" s="44"/>
      <c r="E657" s="8"/>
      <c r="F657" s="8"/>
      <c r="G657" s="8"/>
      <c r="H657" s="8"/>
      <c r="I657" s="8"/>
      <c r="J657" s="8"/>
      <c r="K657" s="8"/>
    </row>
    <row r="658" spans="1:11" x14ac:dyDescent="0.25">
      <c r="A658" s="44"/>
      <c r="B658" s="44"/>
      <c r="C658" s="44"/>
      <c r="D658" s="44"/>
      <c r="E658" s="8"/>
      <c r="F658" s="8"/>
      <c r="G658" s="8"/>
      <c r="H658" s="8"/>
      <c r="I658" s="8"/>
      <c r="J658" s="8"/>
      <c r="K658" s="8"/>
    </row>
    <row r="659" spans="1:11" x14ac:dyDescent="0.25">
      <c r="A659" s="44"/>
      <c r="B659" s="44"/>
      <c r="C659" s="44"/>
      <c r="D659" s="44"/>
      <c r="E659" s="8"/>
      <c r="F659" s="8"/>
      <c r="G659" s="8"/>
      <c r="H659" s="8"/>
      <c r="I659" s="8"/>
      <c r="J659" s="8"/>
      <c r="K659" s="8"/>
    </row>
    <row r="660" spans="1:11" x14ac:dyDescent="0.25">
      <c r="A660" s="44"/>
      <c r="B660" s="44"/>
      <c r="C660" s="44"/>
      <c r="D660" s="44"/>
      <c r="E660" s="8"/>
      <c r="F660" s="8"/>
      <c r="G660" s="8"/>
      <c r="H660" s="8"/>
      <c r="I660" s="8"/>
      <c r="J660" s="8"/>
      <c r="K660" s="8"/>
    </row>
    <row r="661" spans="1:11" x14ac:dyDescent="0.25">
      <c r="A661" s="44"/>
      <c r="B661" s="44"/>
      <c r="C661" s="44"/>
      <c r="D661" s="44"/>
      <c r="E661" s="8"/>
      <c r="F661" s="8"/>
      <c r="G661" s="8"/>
      <c r="H661" s="8"/>
      <c r="I661" s="8"/>
      <c r="J661" s="8"/>
      <c r="K661" s="8"/>
    </row>
    <row r="662" spans="1:11" x14ac:dyDescent="0.25">
      <c r="A662" s="44"/>
      <c r="B662" s="44"/>
      <c r="C662" s="44"/>
      <c r="D662" s="44"/>
      <c r="E662" s="8"/>
      <c r="F662" s="8"/>
      <c r="G662" s="8"/>
      <c r="H662" s="8"/>
      <c r="I662" s="8"/>
      <c r="J662" s="8"/>
      <c r="K662" s="8"/>
    </row>
    <row r="663" spans="1:11" x14ac:dyDescent="0.25">
      <c r="A663" s="44"/>
      <c r="B663" s="44"/>
      <c r="C663" s="44"/>
      <c r="D663" s="44"/>
      <c r="E663" s="8"/>
      <c r="F663" s="8"/>
      <c r="G663" s="8"/>
      <c r="H663" s="8"/>
      <c r="I663" s="8"/>
      <c r="J663" s="8"/>
      <c r="K663" s="8"/>
    </row>
    <row r="664" spans="1:11" x14ac:dyDescent="0.25">
      <c r="A664" s="44"/>
      <c r="B664" s="44"/>
      <c r="C664" s="44"/>
      <c r="D664" s="44"/>
      <c r="E664" s="8"/>
      <c r="F664" s="8"/>
      <c r="G664" s="8"/>
      <c r="H664" s="8"/>
      <c r="I664" s="8"/>
      <c r="J664" s="8"/>
      <c r="K664" s="8"/>
    </row>
    <row r="665" spans="1:11" x14ac:dyDescent="0.25">
      <c r="A665" s="44"/>
      <c r="B665" s="44"/>
      <c r="C665" s="44"/>
      <c r="D665" s="44"/>
      <c r="E665" s="8"/>
      <c r="F665" s="8"/>
      <c r="G665" s="8"/>
      <c r="H665" s="8"/>
      <c r="I665" s="8"/>
      <c r="J665" s="8"/>
      <c r="K665" s="8"/>
    </row>
    <row r="666" spans="1:11" x14ac:dyDescent="0.25">
      <c r="A666" s="44"/>
      <c r="B666" s="44"/>
      <c r="C666" s="44"/>
      <c r="D666" s="44"/>
      <c r="E666" s="8"/>
      <c r="F666" s="8"/>
      <c r="G666" s="8"/>
      <c r="H666" s="8"/>
      <c r="I666" s="8"/>
      <c r="J666" s="8"/>
      <c r="K666" s="8"/>
    </row>
    <row r="667" spans="1:11" x14ac:dyDescent="0.25">
      <c r="A667" s="44"/>
      <c r="B667" s="44"/>
      <c r="C667" s="44"/>
      <c r="D667" s="44"/>
      <c r="E667" s="8"/>
      <c r="F667" s="8"/>
      <c r="G667" s="8"/>
      <c r="H667" s="8"/>
      <c r="I667" s="8"/>
      <c r="J667" s="8"/>
      <c r="K667" s="8"/>
    </row>
    <row r="668" spans="1:11" x14ac:dyDescent="0.25">
      <c r="A668" s="44"/>
      <c r="B668" s="44"/>
      <c r="C668" s="44"/>
      <c r="D668" s="44"/>
      <c r="E668" s="8"/>
      <c r="F668" s="8"/>
      <c r="G668" s="8"/>
      <c r="H668" s="8"/>
      <c r="I668" s="8"/>
      <c r="J668" s="8"/>
      <c r="K668" s="8"/>
    </row>
    <row r="669" spans="1:11" x14ac:dyDescent="0.25">
      <c r="A669" s="44"/>
      <c r="B669" s="44"/>
      <c r="C669" s="44"/>
      <c r="D669" s="44"/>
      <c r="E669" s="8"/>
      <c r="F669" s="8"/>
      <c r="G669" s="8"/>
      <c r="H669" s="8"/>
      <c r="I669" s="8"/>
      <c r="J669" s="8"/>
      <c r="K669" s="8"/>
    </row>
    <row r="670" spans="1:11" x14ac:dyDescent="0.25">
      <c r="A670" s="44"/>
      <c r="B670" s="44"/>
      <c r="C670" s="44"/>
      <c r="D670" s="44"/>
      <c r="E670" s="8"/>
      <c r="F670" s="8"/>
      <c r="G670" s="8"/>
      <c r="H670" s="8"/>
      <c r="I670" s="8"/>
      <c r="J670" s="8"/>
      <c r="K670" s="8"/>
    </row>
    <row r="671" spans="1:11" x14ac:dyDescent="0.25">
      <c r="A671" s="44"/>
      <c r="B671" s="44"/>
      <c r="C671" s="44"/>
      <c r="D671" s="44"/>
      <c r="E671" s="8"/>
      <c r="F671" s="8"/>
      <c r="G671" s="8"/>
      <c r="H671" s="8"/>
      <c r="I671" s="8"/>
      <c r="J671" s="8"/>
      <c r="K671" s="8"/>
    </row>
    <row r="672" spans="1:11" x14ac:dyDescent="0.25">
      <c r="A672" s="44"/>
      <c r="B672" s="44"/>
      <c r="C672" s="44"/>
      <c r="D672" s="44"/>
      <c r="E672" s="8"/>
      <c r="F672" s="8"/>
      <c r="G672" s="8"/>
      <c r="H672" s="8"/>
      <c r="I672" s="8"/>
      <c r="J672" s="8"/>
      <c r="K672" s="8"/>
    </row>
    <row r="673" spans="1:11" x14ac:dyDescent="0.25">
      <c r="A673" s="44"/>
      <c r="B673" s="44"/>
      <c r="C673" s="44"/>
      <c r="D673" s="44"/>
      <c r="E673" s="8"/>
      <c r="F673" s="8"/>
      <c r="G673" s="8"/>
      <c r="H673" s="8"/>
      <c r="I673" s="8"/>
      <c r="J673" s="8"/>
      <c r="K673" s="8"/>
    </row>
    <row r="674" spans="1:11" x14ac:dyDescent="0.25">
      <c r="A674" s="44"/>
      <c r="B674" s="44"/>
      <c r="C674" s="44"/>
      <c r="D674" s="44"/>
      <c r="E674" s="8"/>
      <c r="F674" s="8"/>
      <c r="G674" s="8"/>
      <c r="H674" s="8"/>
      <c r="I674" s="8"/>
      <c r="J674" s="8"/>
      <c r="K674" s="8"/>
    </row>
    <row r="675" spans="1:11" x14ac:dyDescent="0.25">
      <c r="A675" s="44"/>
      <c r="B675" s="44"/>
      <c r="C675" s="44"/>
      <c r="D675" s="44"/>
      <c r="E675" s="8"/>
      <c r="F675" s="8"/>
      <c r="G675" s="8"/>
      <c r="H675" s="8"/>
      <c r="I675" s="8"/>
      <c r="J675" s="8"/>
      <c r="K675" s="8"/>
    </row>
    <row r="676" spans="1:11" x14ac:dyDescent="0.25">
      <c r="A676" s="44"/>
      <c r="B676" s="44"/>
      <c r="C676" s="44"/>
      <c r="D676" s="44"/>
      <c r="E676" s="8"/>
      <c r="F676" s="8"/>
      <c r="G676" s="8"/>
      <c r="H676" s="8"/>
      <c r="I676" s="8"/>
      <c r="J676" s="8"/>
      <c r="K676" s="8"/>
    </row>
    <row r="677" spans="1:11" x14ac:dyDescent="0.25">
      <c r="A677" s="44"/>
      <c r="B677" s="44"/>
      <c r="C677" s="44"/>
      <c r="D677" s="44"/>
      <c r="E677" s="8"/>
      <c r="F677" s="8"/>
      <c r="G677" s="8"/>
      <c r="H677" s="8"/>
      <c r="I677" s="8"/>
      <c r="J677" s="8"/>
      <c r="K677" s="8"/>
    </row>
    <row r="678" spans="1:11" x14ac:dyDescent="0.25">
      <c r="A678" s="44"/>
      <c r="B678" s="44"/>
      <c r="C678" s="44"/>
      <c r="D678" s="44"/>
      <c r="E678" s="8"/>
      <c r="F678" s="8"/>
      <c r="G678" s="8"/>
      <c r="H678" s="8"/>
      <c r="I678" s="8"/>
      <c r="J678" s="8"/>
      <c r="K678" s="8"/>
    </row>
    <row r="679" spans="1:11" x14ac:dyDescent="0.25">
      <c r="A679" s="44"/>
      <c r="B679" s="44"/>
      <c r="C679" s="44"/>
      <c r="D679" s="44"/>
      <c r="E679" s="8"/>
      <c r="F679" s="8"/>
      <c r="G679" s="8"/>
      <c r="H679" s="8"/>
      <c r="I679" s="8"/>
      <c r="J679" s="8"/>
      <c r="K679" s="8"/>
    </row>
    <row r="680" spans="1:11" x14ac:dyDescent="0.25">
      <c r="A680" s="44"/>
      <c r="B680" s="44"/>
      <c r="C680" s="44"/>
      <c r="D680" s="44"/>
      <c r="E680" s="8"/>
      <c r="F680" s="8"/>
      <c r="G680" s="8"/>
      <c r="H680" s="8"/>
      <c r="I680" s="8"/>
      <c r="J680" s="8"/>
      <c r="K680" s="8"/>
    </row>
    <row r="681" spans="1:11" x14ac:dyDescent="0.25">
      <c r="A681" s="44"/>
      <c r="B681" s="44"/>
      <c r="C681" s="44"/>
      <c r="D681" s="44"/>
      <c r="E681" s="8"/>
      <c r="F681" s="8"/>
      <c r="G681" s="8"/>
      <c r="H681" s="8"/>
      <c r="I681" s="8"/>
      <c r="J681" s="8"/>
      <c r="K681" s="8"/>
    </row>
    <row r="682" spans="1:11" x14ac:dyDescent="0.25">
      <c r="A682" s="44"/>
      <c r="B682" s="44"/>
      <c r="C682" s="44"/>
      <c r="D682" s="44"/>
      <c r="E682" s="8"/>
      <c r="F682" s="8"/>
      <c r="G682" s="8"/>
      <c r="H682" s="8"/>
      <c r="I682" s="8"/>
      <c r="J682" s="8"/>
      <c r="K682" s="8"/>
    </row>
    <row r="683" spans="1:11" x14ac:dyDescent="0.25">
      <c r="A683" s="44"/>
      <c r="B683" s="44"/>
      <c r="C683" s="44"/>
      <c r="D683" s="44"/>
      <c r="E683" s="8"/>
      <c r="F683" s="8"/>
      <c r="G683" s="8"/>
      <c r="H683" s="8"/>
      <c r="I683" s="8"/>
      <c r="J683" s="8"/>
      <c r="K683" s="8"/>
    </row>
    <row r="684" spans="1:11" x14ac:dyDescent="0.25">
      <c r="A684" s="44"/>
      <c r="B684" s="44"/>
      <c r="C684" s="44"/>
      <c r="D684" s="44"/>
      <c r="E684" s="8"/>
      <c r="F684" s="8"/>
      <c r="G684" s="8"/>
      <c r="H684" s="8"/>
      <c r="I684" s="8"/>
      <c r="J684" s="8"/>
      <c r="K684" s="8"/>
    </row>
    <row r="685" spans="1:11" x14ac:dyDescent="0.25">
      <c r="A685" s="44"/>
      <c r="B685" s="44"/>
      <c r="C685" s="44"/>
      <c r="D685" s="44"/>
      <c r="E685" s="8"/>
      <c r="F685" s="8"/>
      <c r="G685" s="8"/>
      <c r="H685" s="8"/>
      <c r="I685" s="8"/>
      <c r="J685" s="8"/>
      <c r="K685" s="8"/>
    </row>
    <row r="686" spans="1:11" x14ac:dyDescent="0.25">
      <c r="A686" s="44"/>
      <c r="B686" s="44"/>
      <c r="C686" s="44"/>
      <c r="D686" s="44"/>
      <c r="E686" s="8"/>
      <c r="F686" s="8"/>
      <c r="G686" s="8"/>
      <c r="H686" s="8"/>
      <c r="I686" s="8"/>
      <c r="J686" s="8"/>
      <c r="K686" s="8"/>
    </row>
    <row r="687" spans="1:11" x14ac:dyDescent="0.25">
      <c r="A687" s="44"/>
      <c r="B687" s="44"/>
      <c r="C687" s="44"/>
      <c r="D687" s="44"/>
      <c r="E687" s="8"/>
      <c r="F687" s="8"/>
      <c r="G687" s="8"/>
      <c r="H687" s="8"/>
      <c r="I687" s="8"/>
      <c r="J687" s="8"/>
      <c r="K687" s="8"/>
    </row>
    <row r="688" spans="1:11" x14ac:dyDescent="0.25">
      <c r="A688" s="44"/>
      <c r="B688" s="44"/>
      <c r="C688" s="44"/>
      <c r="D688" s="44"/>
      <c r="E688" s="8"/>
      <c r="F688" s="8"/>
      <c r="G688" s="8"/>
      <c r="H688" s="8"/>
      <c r="I688" s="8"/>
      <c r="J688" s="8"/>
      <c r="K688" s="8"/>
    </row>
    <row r="689" spans="1:11" x14ac:dyDescent="0.25">
      <c r="A689" s="44"/>
      <c r="B689" s="44"/>
      <c r="C689" s="44"/>
      <c r="D689" s="44"/>
      <c r="E689" s="8"/>
      <c r="F689" s="8"/>
      <c r="G689" s="8"/>
      <c r="H689" s="8"/>
      <c r="I689" s="8"/>
      <c r="J689" s="8"/>
      <c r="K689" s="8"/>
    </row>
    <row r="690" spans="1:11" x14ac:dyDescent="0.25">
      <c r="A690" s="44"/>
      <c r="B690" s="44"/>
      <c r="C690" s="44"/>
      <c r="D690" s="44"/>
      <c r="E690" s="8"/>
      <c r="F690" s="8"/>
      <c r="G690" s="8"/>
      <c r="H690" s="8"/>
      <c r="I690" s="8"/>
      <c r="J690" s="8"/>
      <c r="K690" s="8"/>
    </row>
    <row r="691" spans="1:11" x14ac:dyDescent="0.25">
      <c r="A691" s="44"/>
      <c r="B691" s="44"/>
      <c r="C691" s="44"/>
      <c r="D691" s="44"/>
      <c r="E691" s="8"/>
      <c r="F691" s="8"/>
      <c r="G691" s="8"/>
      <c r="H691" s="8"/>
      <c r="I691" s="8"/>
      <c r="J691" s="8"/>
      <c r="K691" s="8"/>
    </row>
    <row r="692" spans="1:11" x14ac:dyDescent="0.25">
      <c r="A692" s="44"/>
      <c r="B692" s="44"/>
      <c r="C692" s="44"/>
      <c r="D692" s="44"/>
      <c r="E692" s="8"/>
      <c r="F692" s="8"/>
      <c r="G692" s="8"/>
      <c r="H692" s="8"/>
      <c r="I692" s="8"/>
      <c r="J692" s="8"/>
      <c r="K692" s="8"/>
    </row>
    <row r="693" spans="1:11" x14ac:dyDescent="0.25">
      <c r="A693" s="44"/>
      <c r="B693" s="44"/>
      <c r="C693" s="44"/>
      <c r="D693" s="44"/>
      <c r="E693" s="8"/>
      <c r="F693" s="8"/>
      <c r="G693" s="8"/>
      <c r="H693" s="8"/>
      <c r="I693" s="8"/>
      <c r="J693" s="8"/>
      <c r="K693" s="8"/>
    </row>
    <row r="694" spans="1:11" x14ac:dyDescent="0.25">
      <c r="A694" s="44"/>
      <c r="B694" s="44"/>
      <c r="C694" s="44"/>
      <c r="D694" s="44"/>
      <c r="E694" s="8"/>
      <c r="F694" s="8"/>
      <c r="G694" s="8"/>
      <c r="H694" s="8"/>
      <c r="I694" s="8"/>
      <c r="J694" s="8"/>
      <c r="K694" s="8"/>
    </row>
    <row r="695" spans="1:11" x14ac:dyDescent="0.25">
      <c r="A695" s="44"/>
      <c r="B695" s="44"/>
      <c r="C695" s="44"/>
      <c r="D695" s="44"/>
      <c r="E695" s="8"/>
      <c r="F695" s="8"/>
      <c r="G695" s="8"/>
      <c r="H695" s="8"/>
      <c r="I695" s="8"/>
      <c r="J695" s="8"/>
      <c r="K695" s="8"/>
    </row>
    <row r="696" spans="1:11" x14ac:dyDescent="0.25">
      <c r="A696" s="44"/>
      <c r="B696" s="44"/>
      <c r="C696" s="44"/>
      <c r="D696" s="44"/>
      <c r="E696" s="8"/>
      <c r="F696" s="8"/>
      <c r="G696" s="8"/>
      <c r="H696" s="8"/>
      <c r="I696" s="8"/>
      <c r="J696" s="8"/>
      <c r="K696" s="8"/>
    </row>
    <row r="697" spans="1:11" x14ac:dyDescent="0.25">
      <c r="A697" s="44"/>
      <c r="B697" s="44"/>
      <c r="C697" s="44"/>
      <c r="D697" s="44"/>
      <c r="E697" s="8"/>
      <c r="F697" s="8"/>
      <c r="G697" s="8"/>
      <c r="H697" s="8"/>
      <c r="I697" s="8"/>
      <c r="J697" s="8"/>
      <c r="K697" s="8"/>
    </row>
    <row r="698" spans="1:11" x14ac:dyDescent="0.25">
      <c r="A698" s="44"/>
      <c r="B698" s="44"/>
      <c r="C698" s="44"/>
      <c r="D698" s="44"/>
      <c r="E698" s="8"/>
      <c r="F698" s="8"/>
      <c r="G698" s="8"/>
      <c r="H698" s="8"/>
      <c r="I698" s="8"/>
      <c r="J698" s="8"/>
      <c r="K698" s="8"/>
    </row>
    <row r="699" spans="1:11" x14ac:dyDescent="0.25">
      <c r="A699" s="44"/>
      <c r="B699" s="44"/>
      <c r="C699" s="44"/>
      <c r="D699" s="44"/>
      <c r="E699" s="8"/>
      <c r="F699" s="8"/>
      <c r="G699" s="8"/>
      <c r="H699" s="8"/>
      <c r="I699" s="8"/>
      <c r="J699" s="8"/>
      <c r="K699" s="8"/>
    </row>
    <row r="700" spans="1:11" x14ac:dyDescent="0.25">
      <c r="A700" s="44"/>
      <c r="B700" s="44"/>
      <c r="C700" s="44"/>
      <c r="D700" s="44"/>
      <c r="E700" s="8"/>
      <c r="F700" s="8"/>
      <c r="G700" s="8"/>
      <c r="H700" s="8"/>
      <c r="I700" s="8"/>
      <c r="J700" s="8"/>
      <c r="K700" s="8"/>
    </row>
    <row r="701" spans="1:11" x14ac:dyDescent="0.25">
      <c r="A701" s="44"/>
      <c r="B701" s="44"/>
      <c r="C701" s="44"/>
      <c r="D701" s="44"/>
      <c r="E701" s="8"/>
      <c r="F701" s="8"/>
      <c r="G701" s="8"/>
      <c r="H701" s="8"/>
      <c r="I701" s="8"/>
      <c r="J701" s="8"/>
      <c r="K701" s="8"/>
    </row>
    <row r="702" spans="1:11" x14ac:dyDescent="0.25">
      <c r="A702" s="44"/>
      <c r="B702" s="44"/>
      <c r="C702" s="44"/>
      <c r="D702" s="44"/>
      <c r="E702" s="8"/>
      <c r="F702" s="8"/>
      <c r="G702" s="8"/>
      <c r="H702" s="8"/>
      <c r="I702" s="8"/>
      <c r="J702" s="8"/>
      <c r="K702" s="8"/>
    </row>
    <row r="703" spans="1:11" x14ac:dyDescent="0.25">
      <c r="A703" s="44"/>
      <c r="B703" s="44"/>
      <c r="C703" s="44"/>
      <c r="D703" s="44"/>
      <c r="E703" s="8"/>
      <c r="F703" s="8"/>
      <c r="G703" s="8"/>
      <c r="H703" s="8"/>
      <c r="I703" s="8"/>
      <c r="J703" s="8"/>
      <c r="K703" s="8"/>
    </row>
    <row r="704" spans="1:11" x14ac:dyDescent="0.25">
      <c r="A704" s="44"/>
      <c r="B704" s="44"/>
      <c r="C704" s="44"/>
      <c r="D704" s="44"/>
      <c r="E704" s="8"/>
      <c r="F704" s="8"/>
      <c r="G704" s="8"/>
      <c r="H704" s="8"/>
      <c r="I704" s="8"/>
      <c r="J704" s="8"/>
      <c r="K704" s="8"/>
    </row>
    <row r="705" spans="1:11" x14ac:dyDescent="0.25">
      <c r="A705" s="44"/>
      <c r="B705" s="44"/>
      <c r="C705" s="44"/>
      <c r="D705" s="44"/>
      <c r="E705" s="8"/>
      <c r="F705" s="8"/>
      <c r="G705" s="8"/>
      <c r="H705" s="8"/>
      <c r="I705" s="8"/>
      <c r="J705" s="8"/>
      <c r="K705" s="8"/>
    </row>
    <row r="706" spans="1:11" x14ac:dyDescent="0.25">
      <c r="A706" s="44"/>
      <c r="B706" s="44"/>
      <c r="C706" s="44"/>
      <c r="D706" s="44"/>
      <c r="E706" s="8"/>
      <c r="F706" s="8"/>
      <c r="G706" s="8"/>
      <c r="H706" s="8"/>
      <c r="I706" s="8"/>
      <c r="J706" s="8"/>
      <c r="K706" s="8"/>
    </row>
    <row r="707" spans="1:11" x14ac:dyDescent="0.25">
      <c r="A707" s="44"/>
      <c r="B707" s="44"/>
      <c r="C707" s="44"/>
      <c r="D707" s="44"/>
      <c r="E707" s="8"/>
      <c r="F707" s="8"/>
      <c r="G707" s="8"/>
      <c r="H707" s="8"/>
      <c r="I707" s="8"/>
      <c r="J707" s="8"/>
      <c r="K707" s="8"/>
    </row>
    <row r="708" spans="1:11" x14ac:dyDescent="0.25">
      <c r="A708" s="44"/>
      <c r="B708" s="44"/>
      <c r="C708" s="44"/>
      <c r="D708" s="44"/>
      <c r="E708" s="8"/>
      <c r="F708" s="8"/>
      <c r="G708" s="8"/>
      <c r="H708" s="8"/>
      <c r="I708" s="8"/>
      <c r="J708" s="8"/>
      <c r="K708" s="8"/>
    </row>
    <row r="709" spans="1:11" x14ac:dyDescent="0.25">
      <c r="A709" s="44"/>
      <c r="B709" s="44"/>
      <c r="C709" s="44"/>
      <c r="D709" s="44"/>
      <c r="E709" s="8"/>
      <c r="F709" s="8"/>
      <c r="G709" s="8"/>
      <c r="H709" s="8"/>
      <c r="I709" s="8"/>
      <c r="J709" s="8"/>
      <c r="K709" s="8"/>
    </row>
    <row r="710" spans="1:11" x14ac:dyDescent="0.25">
      <c r="A710" s="44"/>
      <c r="B710" s="44"/>
      <c r="C710" s="44"/>
      <c r="D710" s="44"/>
      <c r="E710" s="8"/>
      <c r="F710" s="8"/>
      <c r="G710" s="8"/>
      <c r="H710" s="8"/>
      <c r="I710" s="8"/>
      <c r="J710" s="8"/>
      <c r="K710" s="8"/>
    </row>
    <row r="711" spans="1:11" x14ac:dyDescent="0.25">
      <c r="A711" s="44"/>
      <c r="B711" s="44"/>
      <c r="C711" s="44"/>
      <c r="D711" s="44"/>
      <c r="E711" s="8"/>
      <c r="F711" s="8"/>
      <c r="G711" s="8"/>
      <c r="H711" s="8"/>
      <c r="I711" s="8"/>
      <c r="J711" s="8"/>
      <c r="K711" s="8"/>
    </row>
    <row r="712" spans="1:11" x14ac:dyDescent="0.25">
      <c r="A712" s="44"/>
      <c r="B712" s="44"/>
      <c r="C712" s="44"/>
      <c r="D712" s="44"/>
      <c r="E712" s="8"/>
      <c r="F712" s="8"/>
      <c r="G712" s="8"/>
      <c r="H712" s="8"/>
      <c r="I712" s="8"/>
      <c r="J712" s="8"/>
      <c r="K712" s="8"/>
    </row>
    <row r="713" spans="1:11" x14ac:dyDescent="0.25">
      <c r="A713" s="44"/>
      <c r="B713" s="44"/>
      <c r="C713" s="44"/>
      <c r="D713" s="44"/>
      <c r="E713" s="8"/>
      <c r="F713" s="8"/>
      <c r="G713" s="8"/>
      <c r="H713" s="8"/>
      <c r="I713" s="8"/>
      <c r="J713" s="8"/>
      <c r="K713" s="8"/>
    </row>
    <row r="714" spans="1:11" x14ac:dyDescent="0.25">
      <c r="A714" s="44"/>
      <c r="B714" s="44"/>
      <c r="C714" s="44"/>
      <c r="D714" s="44"/>
      <c r="E714" s="8"/>
      <c r="F714" s="8"/>
      <c r="G714" s="8"/>
      <c r="H714" s="8"/>
      <c r="I714" s="8"/>
      <c r="J714" s="8"/>
      <c r="K714" s="8"/>
    </row>
    <row r="715" spans="1:11" x14ac:dyDescent="0.25">
      <c r="A715" s="44"/>
      <c r="B715" s="44"/>
      <c r="C715" s="44"/>
      <c r="D715" s="44"/>
      <c r="E715" s="8"/>
      <c r="F715" s="8"/>
      <c r="G715" s="8"/>
      <c r="H715" s="8"/>
      <c r="I715" s="8"/>
      <c r="J715" s="8"/>
      <c r="K715" s="8"/>
    </row>
    <row r="716" spans="1:11" x14ac:dyDescent="0.25">
      <c r="A716" s="44"/>
      <c r="B716" s="44"/>
      <c r="C716" s="44"/>
      <c r="D716" s="44"/>
      <c r="E716" s="8"/>
      <c r="F716" s="8"/>
      <c r="G716" s="8"/>
      <c r="H716" s="8"/>
      <c r="I716" s="8"/>
      <c r="J716" s="8"/>
      <c r="K716" s="8"/>
    </row>
    <row r="717" spans="1:11" x14ac:dyDescent="0.25">
      <c r="A717" s="44"/>
      <c r="B717" s="44"/>
      <c r="C717" s="44"/>
      <c r="D717" s="44"/>
      <c r="E717" s="8"/>
      <c r="F717" s="8"/>
      <c r="G717" s="8"/>
      <c r="H717" s="8"/>
      <c r="I717" s="8"/>
      <c r="J717" s="8"/>
      <c r="K717" s="8"/>
    </row>
    <row r="718" spans="1:11" x14ac:dyDescent="0.25">
      <c r="A718" s="44"/>
      <c r="B718" s="44"/>
      <c r="C718" s="44"/>
      <c r="D718" s="44"/>
      <c r="E718" s="8"/>
      <c r="F718" s="8"/>
      <c r="G718" s="8"/>
      <c r="H718" s="8"/>
      <c r="I718" s="8"/>
      <c r="J718" s="8"/>
      <c r="K718" s="8"/>
    </row>
    <row r="719" spans="1:11" x14ac:dyDescent="0.25">
      <c r="A719" s="44"/>
      <c r="B719" s="44"/>
      <c r="C719" s="44"/>
      <c r="D719" s="44"/>
      <c r="E719" s="8"/>
      <c r="F719" s="8"/>
      <c r="G719" s="8"/>
      <c r="H719" s="8"/>
      <c r="I719" s="8"/>
      <c r="J719" s="8"/>
      <c r="K719" s="8"/>
    </row>
    <row r="720" spans="1:11" x14ac:dyDescent="0.25">
      <c r="A720" s="44"/>
      <c r="B720" s="44"/>
      <c r="C720" s="44"/>
      <c r="D720" s="44"/>
      <c r="E720" s="8"/>
      <c r="F720" s="8"/>
      <c r="G720" s="8"/>
      <c r="H720" s="8"/>
      <c r="I720" s="8"/>
      <c r="J720" s="8"/>
      <c r="K720" s="8"/>
    </row>
    <row r="721" spans="1:11" x14ac:dyDescent="0.25">
      <c r="A721" s="44"/>
      <c r="B721" s="44"/>
      <c r="C721" s="44"/>
      <c r="D721" s="44"/>
      <c r="E721" s="8"/>
      <c r="F721" s="8"/>
      <c r="G721" s="8"/>
      <c r="H721" s="8"/>
      <c r="I721" s="8"/>
      <c r="J721" s="8"/>
      <c r="K721" s="8"/>
    </row>
    <row r="722" spans="1:11" x14ac:dyDescent="0.25">
      <c r="A722" s="44"/>
      <c r="B722" s="44"/>
      <c r="C722" s="44"/>
      <c r="D722" s="44"/>
      <c r="E722" s="8"/>
      <c r="F722" s="8"/>
      <c r="G722" s="8"/>
      <c r="H722" s="8"/>
      <c r="I722" s="8"/>
      <c r="J722" s="8"/>
      <c r="K722" s="8"/>
    </row>
    <row r="723" spans="1:11" x14ac:dyDescent="0.25">
      <c r="A723" s="44"/>
      <c r="B723" s="44"/>
      <c r="C723" s="44"/>
      <c r="D723" s="44"/>
      <c r="E723" s="8"/>
      <c r="F723" s="8"/>
      <c r="G723" s="8"/>
      <c r="H723" s="8"/>
      <c r="I723" s="8"/>
      <c r="J723" s="8"/>
      <c r="K723" s="8"/>
    </row>
    <row r="724" spans="1:11" x14ac:dyDescent="0.25">
      <c r="A724" s="44"/>
      <c r="B724" s="44"/>
      <c r="C724" s="44"/>
      <c r="D724" s="44"/>
      <c r="E724" s="8"/>
      <c r="F724" s="8"/>
      <c r="G724" s="8"/>
      <c r="H724" s="8"/>
      <c r="I724" s="8"/>
      <c r="J724" s="8"/>
      <c r="K724" s="8"/>
    </row>
    <row r="725" spans="1:11" x14ac:dyDescent="0.25">
      <c r="A725" s="44"/>
      <c r="B725" s="44"/>
      <c r="C725" s="44"/>
      <c r="D725" s="44"/>
      <c r="E725" s="8"/>
      <c r="F725" s="8"/>
      <c r="G725" s="8"/>
      <c r="H725" s="8"/>
      <c r="I725" s="8"/>
      <c r="J725" s="8"/>
      <c r="K725" s="8"/>
    </row>
    <row r="726" spans="1:11" x14ac:dyDescent="0.25">
      <c r="A726" s="44"/>
      <c r="B726" s="44"/>
      <c r="C726" s="44"/>
      <c r="D726" s="44"/>
      <c r="E726" s="8"/>
      <c r="F726" s="8"/>
      <c r="G726" s="8"/>
      <c r="H726" s="8"/>
      <c r="I726" s="8"/>
      <c r="J726" s="8"/>
      <c r="K726" s="8"/>
    </row>
    <row r="727" spans="1:11" x14ac:dyDescent="0.25">
      <c r="A727" s="44"/>
      <c r="B727" s="44"/>
      <c r="C727" s="44"/>
      <c r="D727" s="44"/>
      <c r="E727" s="8"/>
      <c r="F727" s="8"/>
      <c r="G727" s="8"/>
      <c r="H727" s="8"/>
      <c r="I727" s="8"/>
      <c r="J727" s="8"/>
      <c r="K727" s="8"/>
    </row>
    <row r="728" spans="1:11" x14ac:dyDescent="0.25">
      <c r="A728" s="44"/>
      <c r="B728" s="44"/>
      <c r="C728" s="44"/>
      <c r="D728" s="44"/>
      <c r="E728" s="8"/>
      <c r="F728" s="8"/>
      <c r="G728" s="8"/>
      <c r="H728" s="8"/>
      <c r="I728" s="8"/>
      <c r="J728" s="8"/>
      <c r="K728" s="8"/>
    </row>
    <row r="729" spans="1:11" x14ac:dyDescent="0.25">
      <c r="A729" s="44"/>
      <c r="B729" s="44"/>
      <c r="C729" s="44"/>
      <c r="D729" s="44"/>
      <c r="E729" s="8"/>
      <c r="F729" s="8"/>
      <c r="G729" s="8"/>
      <c r="H729" s="8"/>
      <c r="I729" s="8"/>
      <c r="J729" s="8"/>
      <c r="K729" s="8"/>
    </row>
    <row r="730" spans="1:11" x14ac:dyDescent="0.25">
      <c r="A730" s="44"/>
      <c r="B730" s="44"/>
      <c r="C730" s="44"/>
      <c r="D730" s="44"/>
      <c r="E730" s="8"/>
      <c r="F730" s="8"/>
      <c r="G730" s="8"/>
      <c r="H730" s="8"/>
      <c r="I730" s="8"/>
      <c r="J730" s="8"/>
      <c r="K730" s="8"/>
    </row>
    <row r="731" spans="1:11" x14ac:dyDescent="0.25">
      <c r="A731" s="44"/>
      <c r="B731" s="44"/>
      <c r="C731" s="44"/>
      <c r="D731" s="44"/>
      <c r="E731" s="8"/>
      <c r="F731" s="8"/>
      <c r="G731" s="8"/>
      <c r="H731" s="8"/>
      <c r="I731" s="8"/>
      <c r="J731" s="8"/>
      <c r="K731" s="8"/>
    </row>
    <row r="732" spans="1:11" x14ac:dyDescent="0.25">
      <c r="A732" s="44"/>
      <c r="B732" s="44"/>
      <c r="C732" s="44"/>
      <c r="D732" s="44"/>
      <c r="E732" s="8"/>
      <c r="F732" s="8"/>
      <c r="G732" s="8"/>
      <c r="H732" s="8"/>
      <c r="I732" s="8"/>
      <c r="J732" s="8"/>
      <c r="K732" s="8"/>
    </row>
    <row r="733" spans="1:11" x14ac:dyDescent="0.25">
      <c r="A733" s="44"/>
      <c r="B733" s="44"/>
      <c r="C733" s="44"/>
      <c r="D733" s="44"/>
      <c r="E733" s="8"/>
      <c r="F733" s="8"/>
      <c r="G733" s="8"/>
      <c r="H733" s="8"/>
      <c r="I733" s="8"/>
      <c r="J733" s="8"/>
      <c r="K733" s="8"/>
    </row>
    <row r="734" spans="1:11" x14ac:dyDescent="0.25">
      <c r="A734" s="44"/>
      <c r="B734" s="44"/>
      <c r="C734" s="44"/>
      <c r="D734" s="44"/>
      <c r="E734" s="8"/>
      <c r="F734" s="8"/>
      <c r="G734" s="8"/>
      <c r="H734" s="8"/>
      <c r="I734" s="8"/>
      <c r="J734" s="8"/>
      <c r="K734" s="8"/>
    </row>
    <row r="735" spans="1:11" x14ac:dyDescent="0.25">
      <c r="A735" s="44"/>
      <c r="B735" s="44"/>
      <c r="C735" s="44"/>
      <c r="D735" s="44"/>
      <c r="E735" s="8"/>
      <c r="F735" s="8"/>
      <c r="G735" s="8"/>
      <c r="H735" s="8"/>
      <c r="I735" s="8"/>
      <c r="J735" s="8"/>
      <c r="K735" s="8"/>
    </row>
    <row r="736" spans="1:11" x14ac:dyDescent="0.25">
      <c r="A736" s="44"/>
      <c r="B736" s="44"/>
      <c r="C736" s="44"/>
      <c r="D736" s="44"/>
      <c r="E736" s="8"/>
      <c r="F736" s="8"/>
      <c r="G736" s="8"/>
      <c r="H736" s="8"/>
      <c r="I736" s="8"/>
      <c r="J736" s="8"/>
      <c r="K736" s="8"/>
    </row>
    <row r="737" spans="1:11" x14ac:dyDescent="0.25">
      <c r="A737" s="44"/>
      <c r="B737" s="44"/>
      <c r="C737" s="44"/>
      <c r="D737" s="44"/>
      <c r="E737" s="8"/>
      <c r="F737" s="8"/>
      <c r="G737" s="8"/>
      <c r="H737" s="8"/>
      <c r="I737" s="8"/>
      <c r="J737" s="8"/>
      <c r="K737" s="8"/>
    </row>
    <row r="738" spans="1:11" x14ac:dyDescent="0.25">
      <c r="A738" s="44"/>
      <c r="B738" s="44"/>
      <c r="C738" s="44"/>
      <c r="D738" s="44"/>
      <c r="E738" s="8"/>
      <c r="F738" s="8"/>
      <c r="G738" s="8"/>
      <c r="H738" s="8"/>
      <c r="I738" s="8"/>
      <c r="J738" s="8"/>
      <c r="K738" s="8"/>
    </row>
    <row r="739" spans="1:11" x14ac:dyDescent="0.25">
      <c r="A739" s="44"/>
      <c r="B739" s="44"/>
      <c r="C739" s="44"/>
      <c r="D739" s="44"/>
      <c r="E739" s="8"/>
      <c r="F739" s="8"/>
      <c r="G739" s="8"/>
      <c r="H739" s="8"/>
      <c r="I739" s="8"/>
      <c r="J739" s="8"/>
      <c r="K739" s="8"/>
    </row>
    <row r="740" spans="1:11" x14ac:dyDescent="0.25">
      <c r="A740" s="44"/>
      <c r="B740" s="44"/>
      <c r="C740" s="44"/>
      <c r="D740" s="44"/>
      <c r="E740" s="8"/>
      <c r="F740" s="8"/>
      <c r="G740" s="8"/>
      <c r="H740" s="8"/>
      <c r="I740" s="8"/>
      <c r="J740" s="8"/>
      <c r="K740" s="8"/>
    </row>
    <row r="741" spans="1:11" x14ac:dyDescent="0.25">
      <c r="A741" s="44"/>
      <c r="B741" s="44"/>
      <c r="C741" s="44"/>
      <c r="D741" s="44"/>
      <c r="E741" s="8"/>
      <c r="F741" s="8"/>
      <c r="G741" s="8"/>
      <c r="H741" s="8"/>
      <c r="I741" s="8"/>
      <c r="J741" s="8"/>
      <c r="K741" s="8"/>
    </row>
    <row r="742" spans="1:11" x14ac:dyDescent="0.25">
      <c r="A742" s="44"/>
      <c r="B742" s="44"/>
      <c r="C742" s="44"/>
      <c r="D742" s="44"/>
      <c r="E742" s="8"/>
      <c r="F742" s="8"/>
      <c r="G742" s="8"/>
      <c r="H742" s="8"/>
      <c r="I742" s="8"/>
      <c r="J742" s="8"/>
      <c r="K742" s="8"/>
    </row>
    <row r="743" spans="1:11" x14ac:dyDescent="0.25">
      <c r="A743" s="44"/>
      <c r="B743" s="44"/>
      <c r="C743" s="44"/>
      <c r="D743" s="44"/>
      <c r="E743" s="8"/>
      <c r="F743" s="8"/>
      <c r="G743" s="8"/>
      <c r="H743" s="8"/>
      <c r="I743" s="8"/>
      <c r="J743" s="8"/>
      <c r="K743" s="8"/>
    </row>
    <row r="744" spans="1:11" x14ac:dyDescent="0.25">
      <c r="A744" s="44"/>
      <c r="B744" s="44"/>
      <c r="C744" s="44"/>
      <c r="D744" s="44"/>
      <c r="E744" s="8"/>
      <c r="F744" s="8"/>
      <c r="G744" s="8"/>
      <c r="H744" s="8"/>
      <c r="I744" s="8"/>
      <c r="J744" s="8"/>
      <c r="K744" s="8"/>
    </row>
    <row r="745" spans="1:11" x14ac:dyDescent="0.25">
      <c r="A745" s="44"/>
      <c r="B745" s="44"/>
      <c r="C745" s="44"/>
      <c r="D745" s="44"/>
      <c r="E745" s="8"/>
      <c r="F745" s="8"/>
      <c r="G745" s="8"/>
      <c r="H745" s="8"/>
      <c r="I745" s="8"/>
      <c r="J745" s="8"/>
      <c r="K745" s="8"/>
    </row>
    <row r="746" spans="1:11" x14ac:dyDescent="0.25">
      <c r="A746" s="44"/>
      <c r="B746" s="44"/>
      <c r="C746" s="44"/>
      <c r="D746" s="44"/>
      <c r="E746" s="8"/>
      <c r="F746" s="8"/>
      <c r="G746" s="8"/>
      <c r="H746" s="8"/>
      <c r="I746" s="8"/>
      <c r="J746" s="8"/>
      <c r="K746" s="8"/>
    </row>
    <row r="747" spans="1:11" x14ac:dyDescent="0.25">
      <c r="A747" s="44"/>
      <c r="B747" s="44"/>
      <c r="C747" s="44"/>
      <c r="D747" s="44"/>
      <c r="E747" s="8"/>
      <c r="F747" s="8"/>
      <c r="G747" s="8"/>
      <c r="H747" s="8"/>
      <c r="I747" s="8"/>
      <c r="J747" s="8"/>
      <c r="K747" s="8"/>
    </row>
    <row r="748" spans="1:11" x14ac:dyDescent="0.25">
      <c r="A748" s="44"/>
      <c r="B748" s="44"/>
      <c r="C748" s="44"/>
      <c r="D748" s="44"/>
      <c r="E748" s="8"/>
      <c r="F748" s="8"/>
      <c r="G748" s="8"/>
      <c r="H748" s="8"/>
      <c r="I748" s="8"/>
      <c r="J748" s="8"/>
      <c r="K748" s="8"/>
    </row>
    <row r="749" spans="1:11" x14ac:dyDescent="0.25">
      <c r="A749" s="44"/>
      <c r="B749" s="44"/>
      <c r="C749" s="44"/>
      <c r="D749" s="44"/>
      <c r="E749" s="8"/>
      <c r="F749" s="8"/>
      <c r="G749" s="8"/>
      <c r="H749" s="8"/>
      <c r="I749" s="8"/>
      <c r="J749" s="8"/>
      <c r="K749" s="8"/>
    </row>
    <row r="750" spans="1:11" x14ac:dyDescent="0.25">
      <c r="A750" s="44"/>
      <c r="B750" s="44"/>
      <c r="C750" s="44"/>
      <c r="D750" s="44"/>
      <c r="E750" s="8"/>
      <c r="F750" s="8"/>
      <c r="G750" s="8"/>
      <c r="H750" s="8"/>
      <c r="I750" s="8"/>
      <c r="J750" s="8"/>
      <c r="K750" s="8"/>
    </row>
    <row r="751" spans="1:11" x14ac:dyDescent="0.25">
      <c r="A751" s="44"/>
      <c r="B751" s="44"/>
      <c r="C751" s="44"/>
      <c r="D751" s="44"/>
      <c r="E751" s="8"/>
      <c r="F751" s="8"/>
      <c r="G751" s="8"/>
      <c r="H751" s="8"/>
      <c r="I751" s="8"/>
      <c r="J751" s="8"/>
      <c r="K751" s="8"/>
    </row>
    <row r="752" spans="1:11" x14ac:dyDescent="0.25">
      <c r="A752" s="44"/>
      <c r="B752" s="44"/>
      <c r="C752" s="44"/>
      <c r="D752" s="44"/>
      <c r="E752" s="8"/>
      <c r="F752" s="8"/>
      <c r="G752" s="8"/>
      <c r="H752" s="8"/>
      <c r="I752" s="8"/>
      <c r="J752" s="8"/>
      <c r="K752" s="8"/>
    </row>
    <row r="753" spans="1:11" x14ac:dyDescent="0.25">
      <c r="A753" s="44"/>
      <c r="B753" s="44"/>
      <c r="C753" s="44"/>
      <c r="D753" s="44"/>
      <c r="E753" s="8"/>
      <c r="F753" s="8"/>
      <c r="G753" s="8"/>
      <c r="H753" s="8"/>
      <c r="I753" s="8"/>
      <c r="J753" s="8"/>
      <c r="K753" s="8"/>
    </row>
    <row r="754" spans="1:11" x14ac:dyDescent="0.25">
      <c r="A754" s="44"/>
      <c r="B754" s="44"/>
      <c r="C754" s="44"/>
      <c r="D754" s="44"/>
      <c r="E754" s="8"/>
      <c r="F754" s="8"/>
      <c r="G754" s="8"/>
      <c r="H754" s="8"/>
      <c r="I754" s="8"/>
      <c r="J754" s="8"/>
      <c r="K754" s="8"/>
    </row>
    <row r="755" spans="1:11" x14ac:dyDescent="0.25">
      <c r="A755" s="44"/>
      <c r="B755" s="44"/>
      <c r="C755" s="44"/>
      <c r="D755" s="44"/>
      <c r="E755" s="8"/>
      <c r="F755" s="8"/>
      <c r="G755" s="8"/>
      <c r="H755" s="8"/>
      <c r="I755" s="8"/>
      <c r="J755" s="8"/>
      <c r="K755" s="8"/>
    </row>
    <row r="756" spans="1:11" x14ac:dyDescent="0.25">
      <c r="A756" s="44"/>
      <c r="B756" s="44"/>
      <c r="C756" s="44"/>
      <c r="D756" s="44"/>
      <c r="E756" s="8"/>
      <c r="F756" s="8"/>
      <c r="G756" s="8"/>
      <c r="H756" s="8"/>
      <c r="I756" s="8"/>
      <c r="J756" s="8"/>
      <c r="K756" s="8"/>
    </row>
    <row r="757" spans="1:11" x14ac:dyDescent="0.25">
      <c r="A757" s="44"/>
      <c r="B757" s="44"/>
      <c r="C757" s="44"/>
      <c r="D757" s="44"/>
      <c r="E757" s="8"/>
      <c r="F757" s="8"/>
      <c r="G757" s="8"/>
      <c r="H757" s="8"/>
      <c r="I757" s="8"/>
      <c r="J757" s="8"/>
      <c r="K757" s="8"/>
    </row>
    <row r="758" spans="1:11" x14ac:dyDescent="0.25">
      <c r="A758" s="44"/>
      <c r="B758" s="44"/>
      <c r="C758" s="44"/>
      <c r="D758" s="44"/>
      <c r="E758" s="8"/>
      <c r="F758" s="8"/>
      <c r="G758" s="8"/>
      <c r="H758" s="8"/>
      <c r="I758" s="8"/>
      <c r="J758" s="8"/>
      <c r="K758" s="8"/>
    </row>
    <row r="759" spans="1:11" x14ac:dyDescent="0.25">
      <c r="A759" s="44"/>
      <c r="B759" s="44"/>
      <c r="C759" s="44"/>
      <c r="D759" s="44"/>
      <c r="E759" s="8"/>
      <c r="F759" s="8"/>
      <c r="G759" s="8"/>
      <c r="H759" s="8"/>
      <c r="I759" s="8"/>
      <c r="J759" s="8"/>
      <c r="K759" s="8"/>
    </row>
    <row r="760" spans="1:11" x14ac:dyDescent="0.25">
      <c r="A760" s="44"/>
      <c r="B760" s="44"/>
      <c r="C760" s="44"/>
      <c r="D760" s="44"/>
      <c r="E760" s="8"/>
      <c r="F760" s="8"/>
      <c r="G760" s="8"/>
      <c r="H760" s="8"/>
      <c r="I760" s="8"/>
      <c r="J760" s="8"/>
      <c r="K760" s="8"/>
    </row>
    <row r="761" spans="1:11" x14ac:dyDescent="0.25">
      <c r="A761" s="44"/>
      <c r="B761" s="44"/>
      <c r="C761" s="44"/>
      <c r="D761" s="44"/>
      <c r="E761" s="8"/>
      <c r="F761" s="8"/>
      <c r="G761" s="8"/>
      <c r="H761" s="8"/>
      <c r="I761" s="8"/>
      <c r="J761" s="8"/>
      <c r="K761" s="8"/>
    </row>
    <row r="762" spans="1:11" x14ac:dyDescent="0.25">
      <c r="A762" s="44"/>
      <c r="B762" s="44"/>
      <c r="C762" s="44"/>
      <c r="D762" s="44"/>
      <c r="E762" s="8"/>
      <c r="F762" s="8"/>
      <c r="G762" s="8"/>
      <c r="H762" s="8"/>
      <c r="I762" s="8"/>
      <c r="J762" s="8"/>
      <c r="K762" s="8"/>
    </row>
    <row r="763" spans="1:11" x14ac:dyDescent="0.25">
      <c r="A763" s="44"/>
      <c r="B763" s="44"/>
      <c r="C763" s="44"/>
      <c r="D763" s="44"/>
      <c r="E763" s="8"/>
      <c r="F763" s="8"/>
      <c r="G763" s="8"/>
      <c r="H763" s="8"/>
      <c r="I763" s="8"/>
      <c r="J763" s="8"/>
      <c r="K763" s="8"/>
    </row>
    <row r="764" spans="1:11" x14ac:dyDescent="0.25">
      <c r="A764" s="44"/>
      <c r="B764" s="44"/>
      <c r="C764" s="44"/>
      <c r="D764" s="44"/>
      <c r="E764" s="8"/>
      <c r="F764" s="8"/>
      <c r="G764" s="8"/>
      <c r="H764" s="8"/>
      <c r="I764" s="8"/>
      <c r="J764" s="8"/>
      <c r="K764" s="8"/>
    </row>
    <row r="765" spans="1:11" x14ac:dyDescent="0.25">
      <c r="A765" s="44"/>
      <c r="B765" s="44"/>
      <c r="C765" s="44"/>
      <c r="D765" s="44"/>
      <c r="E765" s="8"/>
      <c r="F765" s="8"/>
      <c r="G765" s="8"/>
      <c r="H765" s="8"/>
      <c r="I765" s="8"/>
      <c r="J765" s="8"/>
      <c r="K765" s="8"/>
    </row>
    <row r="766" spans="1:11" x14ac:dyDescent="0.25">
      <c r="A766" s="44"/>
      <c r="B766" s="44"/>
      <c r="C766" s="44"/>
      <c r="D766" s="44"/>
      <c r="E766" s="8"/>
      <c r="F766" s="8"/>
      <c r="G766" s="8"/>
      <c r="H766" s="8"/>
      <c r="I766" s="8"/>
      <c r="J766" s="8"/>
      <c r="K766" s="8"/>
    </row>
    <row r="767" spans="1:11" x14ac:dyDescent="0.25">
      <c r="A767" s="44"/>
      <c r="B767" s="44"/>
      <c r="C767" s="44"/>
      <c r="D767" s="44"/>
      <c r="E767" s="8"/>
      <c r="F767" s="8"/>
      <c r="G767" s="8"/>
      <c r="H767" s="8"/>
      <c r="I767" s="8"/>
      <c r="J767" s="8"/>
      <c r="K767" s="8"/>
    </row>
    <row r="768" spans="1:11" x14ac:dyDescent="0.25">
      <c r="A768" s="44"/>
      <c r="B768" s="44"/>
      <c r="C768" s="44"/>
      <c r="D768" s="44"/>
      <c r="E768" s="8"/>
      <c r="F768" s="8"/>
      <c r="G768" s="8"/>
      <c r="H768" s="8"/>
      <c r="I768" s="8"/>
      <c r="J768" s="8"/>
      <c r="K768" s="8"/>
    </row>
    <row r="769" spans="1:11" x14ac:dyDescent="0.25">
      <c r="A769" s="44"/>
      <c r="B769" s="44"/>
      <c r="C769" s="44"/>
      <c r="D769" s="44"/>
      <c r="E769" s="8"/>
      <c r="F769" s="8"/>
      <c r="G769" s="8"/>
      <c r="H769" s="8"/>
      <c r="I769" s="8"/>
      <c r="J769" s="8"/>
      <c r="K769" s="8"/>
    </row>
    <row r="770" spans="1:11" x14ac:dyDescent="0.25">
      <c r="A770" s="44"/>
      <c r="B770" s="44"/>
      <c r="C770" s="44"/>
      <c r="D770" s="44"/>
      <c r="E770" s="8"/>
      <c r="F770" s="8"/>
      <c r="G770" s="8"/>
      <c r="H770" s="8"/>
      <c r="I770" s="8"/>
      <c r="J770" s="8"/>
      <c r="K770" s="8"/>
    </row>
    <row r="771" spans="1:11" x14ac:dyDescent="0.25">
      <c r="A771" s="44"/>
      <c r="B771" s="44"/>
      <c r="C771" s="44"/>
      <c r="D771" s="44"/>
      <c r="E771" s="8"/>
      <c r="F771" s="8"/>
      <c r="G771" s="8"/>
      <c r="H771" s="8"/>
      <c r="I771" s="8"/>
      <c r="J771" s="8"/>
      <c r="K771" s="8"/>
    </row>
    <row r="772" spans="1:11" x14ac:dyDescent="0.25">
      <c r="A772" s="44"/>
      <c r="B772" s="44"/>
      <c r="C772" s="44"/>
      <c r="D772" s="44"/>
      <c r="E772" s="8"/>
      <c r="F772" s="8"/>
      <c r="G772" s="8"/>
      <c r="H772" s="8"/>
      <c r="I772" s="8"/>
      <c r="J772" s="8"/>
      <c r="K772" s="8"/>
    </row>
    <row r="773" spans="1:11" x14ac:dyDescent="0.25">
      <c r="A773" s="44"/>
      <c r="B773" s="44"/>
      <c r="C773" s="44"/>
      <c r="D773" s="44"/>
      <c r="E773" s="8"/>
      <c r="F773" s="8"/>
      <c r="G773" s="8"/>
      <c r="H773" s="8"/>
      <c r="I773" s="8"/>
      <c r="J773" s="8"/>
      <c r="K773" s="8"/>
    </row>
    <row r="774" spans="1:11" x14ac:dyDescent="0.25">
      <c r="A774" s="44"/>
      <c r="B774" s="44"/>
      <c r="C774" s="44"/>
      <c r="D774" s="44"/>
      <c r="E774" s="8"/>
      <c r="F774" s="8"/>
      <c r="G774" s="8"/>
      <c r="H774" s="8"/>
      <c r="I774" s="8"/>
      <c r="J774" s="8"/>
      <c r="K774" s="8"/>
    </row>
    <row r="775" spans="1:11" x14ac:dyDescent="0.25">
      <c r="A775" s="44"/>
      <c r="B775" s="44"/>
      <c r="C775" s="44"/>
      <c r="D775" s="44"/>
      <c r="E775" s="8"/>
      <c r="F775" s="8"/>
      <c r="G775" s="8"/>
      <c r="H775" s="8"/>
      <c r="I775" s="8"/>
      <c r="J775" s="8"/>
      <c r="K775" s="8"/>
    </row>
    <row r="776" spans="1:11" x14ac:dyDescent="0.25">
      <c r="A776" s="44"/>
      <c r="B776" s="44"/>
      <c r="C776" s="44"/>
      <c r="D776" s="44"/>
      <c r="E776" s="8"/>
      <c r="F776" s="8"/>
      <c r="G776" s="8"/>
      <c r="H776" s="8"/>
      <c r="I776" s="8"/>
      <c r="J776" s="8"/>
      <c r="K776" s="8"/>
    </row>
    <row r="777" spans="1:11" x14ac:dyDescent="0.25">
      <c r="A777" s="44"/>
      <c r="B777" s="44"/>
      <c r="C777" s="44"/>
      <c r="D777" s="44"/>
      <c r="E777" s="8"/>
      <c r="F777" s="8"/>
      <c r="G777" s="8"/>
      <c r="H777" s="8"/>
      <c r="I777" s="8"/>
      <c r="J777" s="8"/>
      <c r="K777" s="8"/>
    </row>
    <row r="778" spans="1:11" x14ac:dyDescent="0.25">
      <c r="A778" s="44"/>
      <c r="B778" s="44"/>
      <c r="C778" s="44"/>
      <c r="D778" s="44"/>
      <c r="E778" s="8"/>
      <c r="F778" s="8"/>
      <c r="G778" s="8"/>
      <c r="H778" s="8"/>
      <c r="I778" s="8"/>
      <c r="J778" s="8"/>
      <c r="K778" s="8"/>
    </row>
    <row r="779" spans="1:11" x14ac:dyDescent="0.25">
      <c r="A779" s="44"/>
      <c r="B779" s="44"/>
      <c r="C779" s="44"/>
      <c r="D779" s="44"/>
      <c r="E779" s="8"/>
      <c r="F779" s="8"/>
      <c r="G779" s="8"/>
      <c r="H779" s="8"/>
      <c r="I779" s="8"/>
      <c r="J779" s="8"/>
      <c r="K779" s="8"/>
    </row>
    <row r="780" spans="1:11" x14ac:dyDescent="0.25">
      <c r="A780" s="44"/>
      <c r="B780" s="44"/>
      <c r="C780" s="44"/>
      <c r="D780" s="44"/>
      <c r="E780" s="8"/>
      <c r="F780" s="8"/>
      <c r="G780" s="8"/>
      <c r="H780" s="8"/>
      <c r="I780" s="8"/>
      <c r="J780" s="8"/>
      <c r="K780" s="8"/>
    </row>
    <row r="781" spans="1:11" x14ac:dyDescent="0.25">
      <c r="A781" s="44"/>
      <c r="B781" s="44"/>
      <c r="C781" s="44"/>
      <c r="D781" s="44"/>
      <c r="E781" s="8"/>
      <c r="F781" s="8"/>
      <c r="G781" s="8"/>
      <c r="H781" s="8"/>
      <c r="I781" s="8"/>
      <c r="J781" s="8"/>
      <c r="K781" s="8"/>
    </row>
    <row r="782" spans="1:11" x14ac:dyDescent="0.25">
      <c r="A782" s="44"/>
      <c r="B782" s="44"/>
      <c r="C782" s="44"/>
      <c r="D782" s="44"/>
      <c r="E782" s="8"/>
      <c r="F782" s="8"/>
      <c r="G782" s="8"/>
      <c r="H782" s="8"/>
      <c r="I782" s="8"/>
      <c r="J782" s="8"/>
      <c r="K782" s="8"/>
    </row>
    <row r="783" spans="1:11" x14ac:dyDescent="0.25">
      <c r="A783" s="44"/>
      <c r="B783" s="44"/>
      <c r="C783" s="44"/>
      <c r="D783" s="44"/>
      <c r="E783" s="8"/>
      <c r="F783" s="8"/>
      <c r="G783" s="8"/>
      <c r="H783" s="8"/>
      <c r="I783" s="8"/>
      <c r="J783" s="8"/>
      <c r="K783" s="8"/>
    </row>
    <row r="784" spans="1:11" x14ac:dyDescent="0.25">
      <c r="A784" s="44"/>
      <c r="B784" s="44"/>
      <c r="C784" s="44"/>
      <c r="D784" s="44"/>
      <c r="E784" s="8"/>
      <c r="F784" s="8"/>
      <c r="G784" s="8"/>
      <c r="H784" s="8"/>
      <c r="I784" s="8"/>
      <c r="J784" s="8"/>
      <c r="K784" s="8"/>
    </row>
    <row r="785" spans="1:11" x14ac:dyDescent="0.25">
      <c r="A785" s="44"/>
      <c r="B785" s="44"/>
      <c r="C785" s="44"/>
      <c r="D785" s="44"/>
      <c r="E785" s="8"/>
      <c r="F785" s="8"/>
      <c r="G785" s="8"/>
      <c r="H785" s="8"/>
      <c r="I785" s="8"/>
      <c r="J785" s="8"/>
      <c r="K785" s="8"/>
    </row>
    <row r="786" spans="1:11" x14ac:dyDescent="0.25">
      <c r="A786" s="44"/>
      <c r="B786" s="44"/>
      <c r="C786" s="44"/>
      <c r="D786" s="44"/>
      <c r="E786" s="8"/>
      <c r="F786" s="8"/>
      <c r="G786" s="8"/>
      <c r="H786" s="8"/>
      <c r="I786" s="8"/>
      <c r="J786" s="8"/>
      <c r="K786" s="8"/>
    </row>
    <row r="787" spans="1:11" x14ac:dyDescent="0.25">
      <c r="A787" s="44"/>
      <c r="B787" s="44"/>
      <c r="C787" s="44"/>
      <c r="D787" s="44"/>
      <c r="E787" s="8"/>
      <c r="F787" s="8"/>
      <c r="G787" s="8"/>
      <c r="H787" s="8"/>
      <c r="I787" s="8"/>
      <c r="J787" s="8"/>
      <c r="K787" s="8"/>
    </row>
    <row r="788" spans="1:11" x14ac:dyDescent="0.25">
      <c r="A788" s="44"/>
      <c r="B788" s="44"/>
      <c r="C788" s="44"/>
      <c r="D788" s="44"/>
      <c r="E788" s="8"/>
      <c r="F788" s="8"/>
      <c r="G788" s="8"/>
      <c r="H788" s="8"/>
      <c r="I788" s="8"/>
      <c r="J788" s="8"/>
      <c r="K788" s="8"/>
    </row>
    <row r="789" spans="1:11" x14ac:dyDescent="0.25">
      <c r="A789" s="44"/>
      <c r="B789" s="44"/>
      <c r="C789" s="44"/>
      <c r="D789" s="44"/>
      <c r="E789" s="8"/>
      <c r="F789" s="8"/>
      <c r="G789" s="8"/>
      <c r="H789" s="8"/>
      <c r="I789" s="8"/>
      <c r="J789" s="8"/>
      <c r="K789" s="8"/>
    </row>
    <row r="790" spans="1:11" x14ac:dyDescent="0.25">
      <c r="A790" s="44"/>
      <c r="B790" s="44"/>
      <c r="C790" s="44"/>
      <c r="D790" s="44"/>
      <c r="E790" s="8"/>
      <c r="F790" s="8"/>
      <c r="G790" s="8"/>
      <c r="H790" s="8"/>
      <c r="I790" s="8"/>
      <c r="J790" s="8"/>
      <c r="K790" s="8"/>
    </row>
    <row r="791" spans="1:11" x14ac:dyDescent="0.25">
      <c r="A791" s="44"/>
      <c r="B791" s="44"/>
      <c r="C791" s="44"/>
      <c r="D791" s="44"/>
      <c r="E791" s="8"/>
      <c r="F791" s="8"/>
      <c r="G791" s="8"/>
      <c r="H791" s="8"/>
      <c r="I791" s="8"/>
      <c r="J791" s="8"/>
      <c r="K791" s="8"/>
    </row>
    <row r="792" spans="1:11" x14ac:dyDescent="0.25">
      <c r="A792" s="44"/>
      <c r="B792" s="44"/>
      <c r="C792" s="44"/>
      <c r="D792" s="44"/>
      <c r="E792" s="8"/>
      <c r="F792" s="8"/>
      <c r="G792" s="8"/>
      <c r="H792" s="8"/>
      <c r="I792" s="8"/>
      <c r="J792" s="8"/>
      <c r="K792" s="8"/>
    </row>
    <row r="793" spans="1:11" x14ac:dyDescent="0.25">
      <c r="A793" s="44"/>
      <c r="B793" s="44"/>
      <c r="C793" s="44"/>
      <c r="D793" s="44"/>
      <c r="E793" s="8"/>
      <c r="F793" s="8"/>
      <c r="G793" s="8"/>
      <c r="H793" s="8"/>
      <c r="I793" s="8"/>
      <c r="J793" s="8"/>
      <c r="K793" s="8"/>
    </row>
    <row r="794" spans="1:11" x14ac:dyDescent="0.25">
      <c r="A794" s="44"/>
      <c r="B794" s="44"/>
      <c r="C794" s="44"/>
      <c r="D794" s="44"/>
      <c r="E794" s="8"/>
      <c r="F794" s="8"/>
      <c r="G794" s="8"/>
      <c r="H794" s="8"/>
      <c r="I794" s="8"/>
      <c r="J794" s="8"/>
      <c r="K794" s="8"/>
    </row>
    <row r="795" spans="1:11" x14ac:dyDescent="0.25">
      <c r="A795" s="44"/>
      <c r="B795" s="44"/>
      <c r="C795" s="44"/>
      <c r="D795" s="44"/>
      <c r="E795" s="8"/>
      <c r="F795" s="8"/>
      <c r="G795" s="8"/>
      <c r="H795" s="8"/>
      <c r="I795" s="8"/>
      <c r="J795" s="8"/>
      <c r="K795" s="8"/>
    </row>
    <row r="796" spans="1:11" x14ac:dyDescent="0.25">
      <c r="A796" s="44"/>
      <c r="B796" s="44"/>
      <c r="C796" s="44"/>
      <c r="D796" s="44"/>
      <c r="E796" s="8"/>
      <c r="F796" s="8"/>
      <c r="G796" s="8"/>
      <c r="H796" s="8"/>
      <c r="I796" s="8"/>
      <c r="J796" s="8"/>
      <c r="K796" s="8"/>
    </row>
    <row r="797" spans="1:11" x14ac:dyDescent="0.25">
      <c r="A797" s="44"/>
      <c r="B797" s="44"/>
      <c r="C797" s="44"/>
      <c r="D797" s="44"/>
      <c r="E797" s="8"/>
      <c r="F797" s="8"/>
      <c r="G797" s="8"/>
      <c r="H797" s="8"/>
      <c r="I797" s="8"/>
      <c r="J797" s="8"/>
      <c r="K797" s="8"/>
    </row>
    <row r="798" spans="1:11" x14ac:dyDescent="0.25">
      <c r="A798" s="44"/>
      <c r="B798" s="44"/>
      <c r="C798" s="44"/>
      <c r="D798" s="44"/>
      <c r="E798" s="8"/>
      <c r="F798" s="8"/>
      <c r="G798" s="8"/>
      <c r="H798" s="8"/>
      <c r="I798" s="8"/>
      <c r="J798" s="8"/>
      <c r="K798" s="8"/>
    </row>
    <row r="799" spans="1:11" x14ac:dyDescent="0.25">
      <c r="A799" s="44"/>
      <c r="B799" s="44"/>
      <c r="C799" s="44"/>
      <c r="D799" s="44"/>
      <c r="E799" s="8"/>
      <c r="F799" s="8"/>
      <c r="G799" s="8"/>
      <c r="H799" s="8"/>
      <c r="I799" s="8"/>
      <c r="J799" s="8"/>
      <c r="K799" s="8"/>
    </row>
    <row r="800" spans="1:11" x14ac:dyDescent="0.25">
      <c r="A800" s="44"/>
      <c r="B800" s="44"/>
      <c r="C800" s="44"/>
      <c r="D800" s="44"/>
      <c r="E800" s="8"/>
      <c r="F800" s="8"/>
      <c r="G800" s="8"/>
      <c r="H800" s="8"/>
      <c r="I800" s="8"/>
      <c r="J800" s="8"/>
      <c r="K800" s="8"/>
    </row>
    <row r="801" spans="1:11" x14ac:dyDescent="0.25">
      <c r="A801" s="44"/>
      <c r="B801" s="44"/>
      <c r="C801" s="44"/>
      <c r="D801" s="44"/>
      <c r="E801" s="8"/>
      <c r="F801" s="8"/>
      <c r="G801" s="8"/>
      <c r="H801" s="8"/>
      <c r="I801" s="8"/>
      <c r="J801" s="8"/>
      <c r="K801" s="8"/>
    </row>
    <row r="802" spans="1:11" x14ac:dyDescent="0.25">
      <c r="A802" s="44"/>
      <c r="B802" s="44"/>
      <c r="C802" s="44"/>
      <c r="D802" s="44"/>
      <c r="E802" s="8"/>
      <c r="F802" s="8"/>
      <c r="G802" s="8"/>
      <c r="H802" s="8"/>
      <c r="I802" s="8"/>
      <c r="J802" s="8"/>
      <c r="K802" s="8"/>
    </row>
    <row r="803" spans="1:11" x14ac:dyDescent="0.25">
      <c r="A803" s="44"/>
      <c r="B803" s="44"/>
      <c r="C803" s="44"/>
      <c r="D803" s="44"/>
      <c r="E803" s="8"/>
      <c r="F803" s="8"/>
      <c r="G803" s="8"/>
      <c r="H803" s="8"/>
      <c r="I803" s="8"/>
      <c r="J803" s="8"/>
      <c r="K803" s="8"/>
    </row>
    <row r="804" spans="1:11" x14ac:dyDescent="0.25">
      <c r="A804" s="44"/>
      <c r="B804" s="44"/>
      <c r="C804" s="44"/>
      <c r="D804" s="44"/>
      <c r="E804" s="8"/>
      <c r="F804" s="8"/>
      <c r="G804" s="8"/>
      <c r="H804" s="8"/>
      <c r="I804" s="8"/>
      <c r="J804" s="8"/>
      <c r="K804" s="8"/>
    </row>
    <row r="805" spans="1:11" x14ac:dyDescent="0.25">
      <c r="A805" s="44"/>
      <c r="B805" s="44"/>
      <c r="C805" s="44"/>
      <c r="D805" s="44"/>
      <c r="E805" s="8"/>
      <c r="F805" s="8"/>
      <c r="G805" s="8"/>
      <c r="H805" s="8"/>
      <c r="I805" s="8"/>
      <c r="J805" s="8"/>
      <c r="K805" s="8"/>
    </row>
    <row r="806" spans="1:11" x14ac:dyDescent="0.25">
      <c r="A806" s="44"/>
      <c r="B806" s="44"/>
      <c r="C806" s="44"/>
      <c r="D806" s="44"/>
      <c r="E806" s="8"/>
      <c r="F806" s="8"/>
      <c r="G806" s="8"/>
      <c r="H806" s="8"/>
      <c r="I806" s="8"/>
      <c r="J806" s="8"/>
      <c r="K806" s="8"/>
    </row>
    <row r="807" spans="1:11" x14ac:dyDescent="0.25">
      <c r="A807" s="44"/>
      <c r="B807" s="44"/>
      <c r="C807" s="44"/>
      <c r="D807" s="44"/>
      <c r="E807" s="8"/>
      <c r="F807" s="8"/>
      <c r="G807" s="8"/>
      <c r="H807" s="8"/>
      <c r="I807" s="8"/>
      <c r="J807" s="8"/>
      <c r="K807" s="8"/>
    </row>
    <row r="808" spans="1:11" x14ac:dyDescent="0.25">
      <c r="A808" s="44"/>
      <c r="B808" s="44"/>
      <c r="C808" s="44"/>
      <c r="D808" s="44"/>
      <c r="E808" s="8"/>
      <c r="F808" s="8"/>
      <c r="G808" s="8"/>
      <c r="H808" s="8"/>
      <c r="I808" s="8"/>
      <c r="J808" s="8"/>
      <c r="K808" s="8"/>
    </row>
    <row r="809" spans="1:11" x14ac:dyDescent="0.25">
      <c r="A809" s="44"/>
      <c r="B809" s="44"/>
      <c r="C809" s="44"/>
      <c r="D809" s="44"/>
      <c r="E809" s="8"/>
      <c r="F809" s="8"/>
      <c r="G809" s="8"/>
      <c r="H809" s="8"/>
      <c r="I809" s="8"/>
      <c r="J809" s="8"/>
      <c r="K809" s="8"/>
    </row>
    <row r="810" spans="1:11" x14ac:dyDescent="0.25">
      <c r="A810" s="44"/>
      <c r="B810" s="44"/>
      <c r="C810" s="44"/>
      <c r="D810" s="44"/>
      <c r="E810" s="8"/>
      <c r="F810" s="8"/>
      <c r="G810" s="8"/>
      <c r="H810" s="8"/>
      <c r="I810" s="8"/>
      <c r="J810" s="8"/>
      <c r="K810" s="8"/>
    </row>
    <row r="811" spans="1:11" x14ac:dyDescent="0.25">
      <c r="A811" s="44"/>
      <c r="B811" s="44"/>
      <c r="C811" s="44"/>
      <c r="D811" s="44"/>
      <c r="E811" s="8"/>
      <c r="F811" s="8"/>
      <c r="G811" s="8"/>
      <c r="H811" s="8"/>
      <c r="I811" s="8"/>
      <c r="J811" s="8"/>
      <c r="K811" s="8"/>
    </row>
    <row r="812" spans="1:11" x14ac:dyDescent="0.25">
      <c r="A812" s="44"/>
      <c r="B812" s="44"/>
      <c r="C812" s="44"/>
      <c r="D812" s="44"/>
      <c r="E812" s="8"/>
      <c r="F812" s="8"/>
      <c r="G812" s="8"/>
      <c r="H812" s="8"/>
      <c r="I812" s="8"/>
      <c r="J812" s="8"/>
      <c r="K812" s="8"/>
    </row>
    <row r="813" spans="1:11" x14ac:dyDescent="0.25">
      <c r="A813" s="44"/>
      <c r="B813" s="44"/>
      <c r="C813" s="44"/>
      <c r="D813" s="44"/>
      <c r="E813" s="8"/>
      <c r="F813" s="8"/>
      <c r="G813" s="8"/>
      <c r="H813" s="8"/>
      <c r="I813" s="8"/>
      <c r="J813" s="8"/>
      <c r="K813" s="8"/>
    </row>
    <row r="814" spans="1:11" x14ac:dyDescent="0.25">
      <c r="A814" s="44"/>
      <c r="B814" s="44"/>
      <c r="C814" s="44"/>
      <c r="D814" s="44"/>
      <c r="E814" s="8"/>
      <c r="F814" s="8"/>
      <c r="G814" s="8"/>
      <c r="H814" s="8"/>
      <c r="I814" s="8"/>
      <c r="J814" s="8"/>
      <c r="K814" s="8"/>
    </row>
    <row r="815" spans="1:11" x14ac:dyDescent="0.25">
      <c r="A815" s="44"/>
      <c r="B815" s="44"/>
      <c r="C815" s="44"/>
      <c r="D815" s="44"/>
      <c r="E815" s="8"/>
      <c r="F815" s="8"/>
      <c r="G815" s="8"/>
      <c r="H815" s="8"/>
      <c r="I815" s="8"/>
      <c r="J815" s="8"/>
      <c r="K815" s="8"/>
    </row>
    <row r="816" spans="1:11" x14ac:dyDescent="0.25">
      <c r="A816" s="44"/>
      <c r="B816" s="44"/>
      <c r="C816" s="44"/>
      <c r="D816" s="44"/>
      <c r="E816" s="8"/>
      <c r="F816" s="8"/>
      <c r="G816" s="8"/>
      <c r="H816" s="8"/>
      <c r="I816" s="8"/>
      <c r="J816" s="8"/>
      <c r="K816" s="8"/>
    </row>
    <row r="817" spans="1:11" x14ac:dyDescent="0.25">
      <c r="A817" s="44"/>
      <c r="B817" s="44"/>
      <c r="C817" s="44"/>
      <c r="D817" s="44"/>
      <c r="E817" s="8"/>
      <c r="F817" s="8"/>
      <c r="G817" s="8"/>
      <c r="H817" s="8"/>
      <c r="I817" s="8"/>
      <c r="J817" s="8"/>
      <c r="K817" s="8"/>
    </row>
    <row r="818" spans="1:11" x14ac:dyDescent="0.25">
      <c r="A818" s="44"/>
      <c r="B818" s="44"/>
      <c r="C818" s="44"/>
      <c r="D818" s="44"/>
      <c r="E818" s="8"/>
      <c r="F818" s="8"/>
      <c r="G818" s="8"/>
      <c r="H818" s="8"/>
      <c r="I818" s="8"/>
      <c r="J818" s="8"/>
      <c r="K818" s="8"/>
    </row>
    <row r="819" spans="1:11" x14ac:dyDescent="0.25">
      <c r="A819" s="44"/>
      <c r="B819" s="44"/>
      <c r="C819" s="44"/>
      <c r="D819" s="44"/>
      <c r="E819" s="8"/>
      <c r="F819" s="8"/>
      <c r="G819" s="8"/>
      <c r="H819" s="8"/>
      <c r="I819" s="8"/>
      <c r="J819" s="8"/>
      <c r="K819" s="8"/>
    </row>
    <row r="820" spans="1:11" x14ac:dyDescent="0.25">
      <c r="A820" s="44"/>
      <c r="B820" s="44"/>
      <c r="C820" s="44"/>
      <c r="D820" s="44"/>
      <c r="E820" s="8"/>
      <c r="F820" s="8"/>
      <c r="G820" s="8"/>
      <c r="H820" s="8"/>
      <c r="I820" s="8"/>
      <c r="J820" s="8"/>
      <c r="K820" s="8"/>
    </row>
    <row r="821" spans="1:11" x14ac:dyDescent="0.25">
      <c r="A821" s="44"/>
      <c r="B821" s="44"/>
      <c r="C821" s="44"/>
      <c r="D821" s="44"/>
      <c r="E821" s="8"/>
      <c r="F821" s="8"/>
      <c r="G821" s="8"/>
      <c r="H821" s="8"/>
      <c r="I821" s="8"/>
      <c r="J821" s="8"/>
      <c r="K821" s="8"/>
    </row>
    <row r="822" spans="1:11" x14ac:dyDescent="0.25">
      <c r="A822" s="44"/>
      <c r="B822" s="44"/>
      <c r="C822" s="44"/>
      <c r="D822" s="44"/>
      <c r="E822" s="8"/>
      <c r="F822" s="8"/>
      <c r="G822" s="8"/>
      <c r="H822" s="8"/>
      <c r="I822" s="8"/>
      <c r="J822" s="8"/>
      <c r="K822" s="8"/>
    </row>
    <row r="823" spans="1:11" x14ac:dyDescent="0.25">
      <c r="A823" s="44"/>
      <c r="B823" s="44"/>
      <c r="C823" s="44"/>
      <c r="D823" s="44"/>
      <c r="E823" s="8"/>
      <c r="F823" s="8"/>
      <c r="G823" s="8"/>
      <c r="H823" s="8"/>
      <c r="I823" s="8"/>
      <c r="J823" s="8"/>
      <c r="K823" s="8"/>
    </row>
    <row r="824" spans="1:11" x14ac:dyDescent="0.25">
      <c r="A824" s="44"/>
      <c r="B824" s="44"/>
      <c r="C824" s="44"/>
      <c r="D824" s="44"/>
      <c r="E824" s="8"/>
      <c r="F824" s="8"/>
      <c r="G824" s="8"/>
      <c r="H824" s="8"/>
      <c r="I824" s="8"/>
      <c r="J824" s="8"/>
      <c r="K824" s="8"/>
    </row>
    <row r="825" spans="1:11" x14ac:dyDescent="0.25">
      <c r="A825" s="44"/>
      <c r="B825" s="44"/>
      <c r="C825" s="44"/>
      <c r="D825" s="44"/>
      <c r="E825" s="8"/>
      <c r="F825" s="8"/>
      <c r="G825" s="8"/>
      <c r="H825" s="8"/>
      <c r="I825" s="8"/>
      <c r="J825" s="8"/>
      <c r="K825" s="8"/>
    </row>
    <row r="826" spans="1:11" x14ac:dyDescent="0.25">
      <c r="A826" s="44"/>
      <c r="B826" s="44"/>
      <c r="C826" s="44"/>
      <c r="D826" s="44"/>
      <c r="E826" s="8"/>
      <c r="F826" s="8"/>
      <c r="G826" s="8"/>
      <c r="H826" s="8"/>
      <c r="I826" s="8"/>
      <c r="J826" s="8"/>
      <c r="K826" s="8"/>
    </row>
    <row r="827" spans="1:11" x14ac:dyDescent="0.25">
      <c r="A827" s="44"/>
      <c r="B827" s="44"/>
      <c r="C827" s="44"/>
      <c r="D827" s="44"/>
      <c r="E827" s="8"/>
      <c r="F827" s="8"/>
      <c r="G827" s="8"/>
      <c r="H827" s="8"/>
      <c r="I827" s="8"/>
      <c r="J827" s="8"/>
      <c r="K827" s="8"/>
    </row>
    <row r="828" spans="1:11" x14ac:dyDescent="0.25">
      <c r="A828" s="44"/>
      <c r="B828" s="44"/>
      <c r="C828" s="44"/>
      <c r="D828" s="44"/>
      <c r="E828" s="8"/>
      <c r="F828" s="8"/>
      <c r="G828" s="8"/>
      <c r="H828" s="8"/>
      <c r="I828" s="8"/>
      <c r="J828" s="8"/>
      <c r="K828" s="8"/>
    </row>
    <row r="829" spans="1:11" x14ac:dyDescent="0.25">
      <c r="A829" s="44"/>
      <c r="B829" s="44"/>
      <c r="C829" s="44"/>
      <c r="D829" s="44"/>
      <c r="E829" s="8"/>
      <c r="F829" s="8"/>
      <c r="G829" s="8"/>
      <c r="H829" s="8"/>
      <c r="I829" s="8"/>
      <c r="J829" s="8"/>
      <c r="K829" s="8"/>
    </row>
    <row r="830" spans="1:11" x14ac:dyDescent="0.25">
      <c r="A830" s="44"/>
      <c r="B830" s="44"/>
      <c r="C830" s="44"/>
      <c r="D830" s="44"/>
      <c r="E830" s="8"/>
      <c r="F830" s="8"/>
      <c r="G830" s="8"/>
      <c r="H830" s="8"/>
      <c r="I830" s="8"/>
      <c r="J830" s="8"/>
      <c r="K830" s="8"/>
    </row>
    <row r="831" spans="1:11" x14ac:dyDescent="0.25">
      <c r="A831" s="44"/>
      <c r="B831" s="44"/>
      <c r="C831" s="44"/>
      <c r="D831" s="44"/>
      <c r="E831" s="8"/>
      <c r="F831" s="8"/>
      <c r="G831" s="8"/>
      <c r="H831" s="8"/>
      <c r="I831" s="8"/>
      <c r="J831" s="8"/>
      <c r="K831" s="8"/>
    </row>
    <row r="832" spans="1:11" x14ac:dyDescent="0.25">
      <c r="A832" s="44"/>
      <c r="B832" s="44"/>
      <c r="C832" s="44"/>
      <c r="D832" s="44"/>
      <c r="E832" s="8"/>
      <c r="F832" s="8"/>
      <c r="G832" s="8"/>
      <c r="H832" s="8"/>
      <c r="I832" s="8"/>
      <c r="J832" s="8"/>
      <c r="K832" s="8"/>
    </row>
    <row r="833" spans="1:11" x14ac:dyDescent="0.25">
      <c r="A833" s="44"/>
      <c r="B833" s="44"/>
      <c r="C833" s="44"/>
      <c r="D833" s="44"/>
      <c r="E833" s="8"/>
      <c r="F833" s="8"/>
      <c r="G833" s="8"/>
      <c r="H833" s="8"/>
      <c r="I833" s="8"/>
      <c r="J833" s="8"/>
      <c r="K833" s="8"/>
    </row>
    <row r="834" spans="1:11" x14ac:dyDescent="0.25">
      <c r="A834" s="44"/>
      <c r="B834" s="44"/>
      <c r="C834" s="44"/>
      <c r="D834" s="44"/>
      <c r="E834" s="8"/>
      <c r="F834" s="8"/>
      <c r="G834" s="8"/>
      <c r="H834" s="8"/>
      <c r="I834" s="8"/>
      <c r="J834" s="8"/>
      <c r="K834" s="8"/>
    </row>
    <row r="835" spans="1:11" x14ac:dyDescent="0.25">
      <c r="A835" s="44"/>
      <c r="B835" s="44"/>
      <c r="C835" s="44"/>
      <c r="D835" s="44"/>
      <c r="E835" s="8"/>
      <c r="F835" s="8"/>
      <c r="G835" s="8"/>
      <c r="H835" s="8"/>
      <c r="I835" s="8"/>
      <c r="J835" s="8"/>
      <c r="K835" s="8"/>
    </row>
    <row r="836" spans="1:11" x14ac:dyDescent="0.25">
      <c r="A836" s="44"/>
      <c r="B836" s="44"/>
      <c r="C836" s="44"/>
      <c r="D836" s="44"/>
      <c r="E836" s="8"/>
      <c r="F836" s="8"/>
      <c r="G836" s="8"/>
      <c r="H836" s="8"/>
      <c r="I836" s="8"/>
      <c r="J836" s="8"/>
      <c r="K836" s="8"/>
    </row>
    <row r="837" spans="1:11" x14ac:dyDescent="0.25">
      <c r="A837" s="44"/>
      <c r="B837" s="44"/>
      <c r="C837" s="44"/>
      <c r="D837" s="44"/>
      <c r="E837" s="8"/>
      <c r="F837" s="8"/>
      <c r="G837" s="8"/>
      <c r="H837" s="8"/>
      <c r="I837" s="8"/>
      <c r="J837" s="8"/>
      <c r="K837" s="8"/>
    </row>
    <row r="838" spans="1:11" x14ac:dyDescent="0.25">
      <c r="A838" s="44"/>
      <c r="B838" s="44"/>
      <c r="C838" s="44"/>
      <c r="D838" s="44"/>
      <c r="E838" s="8"/>
      <c r="F838" s="8"/>
      <c r="G838" s="8"/>
      <c r="H838" s="8"/>
      <c r="I838" s="8"/>
      <c r="J838" s="8"/>
      <c r="K838" s="8"/>
    </row>
    <row r="839" spans="1:11" x14ac:dyDescent="0.25">
      <c r="A839" s="44"/>
      <c r="B839" s="44"/>
      <c r="C839" s="44"/>
      <c r="D839" s="44"/>
      <c r="E839" s="8"/>
      <c r="F839" s="8"/>
      <c r="G839" s="8"/>
      <c r="H839" s="8"/>
      <c r="I839" s="8"/>
      <c r="J839" s="8"/>
      <c r="K839" s="8"/>
    </row>
    <row r="840" spans="1:11" x14ac:dyDescent="0.25">
      <c r="A840" s="44"/>
      <c r="B840" s="44"/>
      <c r="C840" s="44"/>
      <c r="D840" s="44"/>
      <c r="E840" s="8"/>
      <c r="F840" s="8"/>
      <c r="G840" s="8"/>
      <c r="H840" s="8"/>
      <c r="I840" s="8"/>
      <c r="J840" s="8"/>
      <c r="K840" s="8"/>
    </row>
    <row r="841" spans="1:11" x14ac:dyDescent="0.25">
      <c r="A841" s="44"/>
      <c r="B841" s="44"/>
      <c r="C841" s="44"/>
      <c r="D841" s="44"/>
      <c r="E841" s="8"/>
      <c r="F841" s="8"/>
      <c r="G841" s="8"/>
      <c r="H841" s="8"/>
      <c r="I841" s="8"/>
      <c r="J841" s="8"/>
      <c r="K841" s="8"/>
    </row>
    <row r="842" spans="1:11" x14ac:dyDescent="0.25">
      <c r="A842" s="44"/>
      <c r="B842" s="44"/>
      <c r="C842" s="44"/>
      <c r="D842" s="44"/>
      <c r="E842" s="8"/>
      <c r="F842" s="8"/>
      <c r="G842" s="8"/>
      <c r="H842" s="8"/>
      <c r="I842" s="8"/>
      <c r="J842" s="8"/>
      <c r="K842" s="8"/>
    </row>
    <row r="843" spans="1:11" x14ac:dyDescent="0.25">
      <c r="A843" s="44"/>
      <c r="B843" s="44"/>
      <c r="C843" s="44"/>
      <c r="D843" s="44"/>
      <c r="E843" s="8"/>
      <c r="F843" s="8"/>
      <c r="G843" s="8"/>
      <c r="H843" s="8"/>
      <c r="I843" s="8"/>
      <c r="J843" s="8"/>
      <c r="K843" s="8"/>
    </row>
    <row r="844" spans="1:11" x14ac:dyDescent="0.25">
      <c r="A844" s="44"/>
      <c r="B844" s="44"/>
      <c r="C844" s="44"/>
      <c r="D844" s="44"/>
      <c r="E844" s="8"/>
      <c r="F844" s="8"/>
      <c r="G844" s="8"/>
      <c r="H844" s="8"/>
      <c r="I844" s="8"/>
      <c r="J844" s="8"/>
      <c r="K844" s="8"/>
    </row>
    <row r="845" spans="1:11" x14ac:dyDescent="0.25">
      <c r="A845" s="44"/>
      <c r="B845" s="44"/>
      <c r="C845" s="44"/>
      <c r="D845" s="44"/>
      <c r="E845" s="8"/>
      <c r="F845" s="8"/>
      <c r="G845" s="8"/>
      <c r="H845" s="8"/>
      <c r="I845" s="8"/>
      <c r="J845" s="8"/>
      <c r="K845" s="8"/>
    </row>
    <row r="846" spans="1:11" x14ac:dyDescent="0.25">
      <c r="A846" s="44"/>
      <c r="B846" s="44"/>
      <c r="C846" s="44"/>
      <c r="D846" s="44"/>
      <c r="E846" s="8"/>
      <c r="F846" s="8"/>
      <c r="G846" s="8"/>
      <c r="H846" s="8"/>
      <c r="I846" s="8"/>
      <c r="J846" s="8"/>
      <c r="K846" s="8"/>
    </row>
    <row r="847" spans="1:11" x14ac:dyDescent="0.25">
      <c r="A847" s="44"/>
      <c r="B847" s="44"/>
      <c r="C847" s="44"/>
      <c r="D847" s="44"/>
      <c r="E847" s="8"/>
      <c r="F847" s="8"/>
      <c r="G847" s="8"/>
      <c r="H847" s="8"/>
      <c r="I847" s="8"/>
      <c r="J847" s="8"/>
      <c r="K847" s="8"/>
    </row>
    <row r="848" spans="1:11" x14ac:dyDescent="0.25">
      <c r="A848" s="44"/>
      <c r="B848" s="44"/>
      <c r="C848" s="44"/>
      <c r="D848" s="44"/>
      <c r="E848" s="8"/>
      <c r="F848" s="8"/>
      <c r="G848" s="8"/>
      <c r="H848" s="8"/>
      <c r="I848" s="8"/>
      <c r="J848" s="8"/>
      <c r="K848" s="8"/>
    </row>
    <row r="849" spans="1:11" x14ac:dyDescent="0.25">
      <c r="A849" s="44"/>
      <c r="B849" s="44"/>
      <c r="C849" s="44"/>
      <c r="D849" s="44"/>
      <c r="E849" s="8"/>
      <c r="F849" s="8"/>
      <c r="G849" s="8"/>
      <c r="H849" s="8"/>
      <c r="I849" s="8"/>
      <c r="J849" s="8"/>
      <c r="K849" s="8"/>
    </row>
    <row r="850" spans="1:11" x14ac:dyDescent="0.25">
      <c r="A850" s="44"/>
      <c r="B850" s="44"/>
      <c r="C850" s="44"/>
      <c r="D850" s="44"/>
      <c r="E850" s="8"/>
      <c r="F850" s="8"/>
      <c r="G850" s="8"/>
      <c r="H850" s="8"/>
      <c r="I850" s="8"/>
      <c r="J850" s="8"/>
      <c r="K850" s="8"/>
    </row>
    <row r="851" spans="1:11" x14ac:dyDescent="0.25">
      <c r="A851" s="44"/>
      <c r="B851" s="44"/>
      <c r="C851" s="44"/>
      <c r="D851" s="44"/>
      <c r="E851" s="8"/>
      <c r="F851" s="8"/>
      <c r="G851" s="8"/>
      <c r="H851" s="8"/>
      <c r="I851" s="8"/>
      <c r="J851" s="8"/>
      <c r="K851" s="8"/>
    </row>
    <row r="852" spans="1:11" x14ac:dyDescent="0.25">
      <c r="A852" s="44"/>
      <c r="B852" s="44"/>
      <c r="C852" s="44"/>
      <c r="D852" s="44"/>
      <c r="E852" s="8"/>
      <c r="F852" s="8"/>
      <c r="G852" s="8"/>
      <c r="H852" s="8"/>
      <c r="I852" s="8"/>
      <c r="J852" s="8"/>
      <c r="K852" s="8"/>
    </row>
    <row r="853" spans="1:11" x14ac:dyDescent="0.25">
      <c r="A853" s="44"/>
      <c r="B853" s="44"/>
      <c r="C853" s="44"/>
      <c r="D853" s="44"/>
      <c r="E853" s="8"/>
      <c r="F853" s="8"/>
      <c r="G853" s="8"/>
      <c r="H853" s="8"/>
      <c r="I853" s="8"/>
      <c r="J853" s="8"/>
      <c r="K853" s="8"/>
    </row>
    <row r="854" spans="1:11" x14ac:dyDescent="0.25">
      <c r="A854" s="44"/>
      <c r="B854" s="44"/>
      <c r="C854" s="44"/>
      <c r="D854" s="44"/>
      <c r="E854" s="8"/>
      <c r="F854" s="8"/>
      <c r="G854" s="8"/>
      <c r="H854" s="8"/>
      <c r="I854" s="8"/>
      <c r="J854" s="8"/>
      <c r="K854" s="8"/>
    </row>
    <row r="855" spans="1:11" x14ac:dyDescent="0.25">
      <c r="A855" s="44"/>
      <c r="B855" s="44"/>
      <c r="C855" s="44"/>
      <c r="D855" s="44"/>
      <c r="E855" s="8"/>
      <c r="F855" s="8"/>
      <c r="G855" s="8"/>
      <c r="H855" s="8"/>
      <c r="I855" s="8"/>
      <c r="J855" s="8"/>
      <c r="K855" s="8"/>
    </row>
    <row r="856" spans="1:11" x14ac:dyDescent="0.25">
      <c r="A856" s="44"/>
      <c r="B856" s="44"/>
      <c r="C856" s="44"/>
      <c r="D856" s="44"/>
      <c r="E856" s="8"/>
      <c r="F856" s="8"/>
      <c r="G856" s="8"/>
      <c r="H856" s="8"/>
      <c r="I856" s="8"/>
      <c r="J856" s="8"/>
      <c r="K856" s="8"/>
    </row>
    <row r="857" spans="1:11" x14ac:dyDescent="0.25">
      <c r="A857" s="44"/>
      <c r="B857" s="44"/>
      <c r="C857" s="44"/>
      <c r="D857" s="44"/>
      <c r="E857" s="8"/>
      <c r="F857" s="8"/>
      <c r="G857" s="8"/>
      <c r="H857" s="8"/>
      <c r="I857" s="8"/>
      <c r="J857" s="8"/>
      <c r="K857" s="8"/>
    </row>
    <row r="858" spans="1:11" x14ac:dyDescent="0.25">
      <c r="A858" s="44"/>
      <c r="B858" s="44"/>
      <c r="C858" s="44"/>
      <c r="D858" s="44"/>
      <c r="E858" s="8"/>
      <c r="F858" s="8"/>
      <c r="G858" s="8"/>
      <c r="H858" s="8"/>
      <c r="I858" s="8"/>
      <c r="J858" s="8"/>
      <c r="K858" s="8"/>
    </row>
    <row r="859" spans="1:11" x14ac:dyDescent="0.25">
      <c r="A859" s="44"/>
      <c r="B859" s="44"/>
      <c r="C859" s="44"/>
      <c r="D859" s="44"/>
      <c r="E859" s="8"/>
      <c r="F859" s="8"/>
      <c r="G859" s="8"/>
      <c r="H859" s="8"/>
      <c r="I859" s="8"/>
      <c r="J859" s="8"/>
      <c r="K859" s="8"/>
    </row>
    <row r="860" spans="1:11" x14ac:dyDescent="0.25">
      <c r="A860" s="44"/>
      <c r="B860" s="44"/>
      <c r="C860" s="44"/>
      <c r="D860" s="44"/>
      <c r="E860" s="8"/>
      <c r="F860" s="8"/>
      <c r="G860" s="8"/>
      <c r="H860" s="8"/>
      <c r="I860" s="8"/>
      <c r="J860" s="8"/>
      <c r="K860" s="8"/>
    </row>
    <row r="861" spans="1:11" x14ac:dyDescent="0.25">
      <c r="A861" s="44"/>
      <c r="B861" s="44"/>
      <c r="C861" s="44"/>
      <c r="D861" s="44"/>
      <c r="E861" s="8"/>
      <c r="F861" s="8"/>
      <c r="G861" s="8"/>
      <c r="H861" s="8"/>
      <c r="I861" s="8"/>
      <c r="J861" s="8"/>
      <c r="K861" s="8"/>
    </row>
    <row r="862" spans="1:11" x14ac:dyDescent="0.25">
      <c r="A862" s="44"/>
      <c r="B862" s="44"/>
      <c r="C862" s="44"/>
      <c r="D862" s="44"/>
      <c r="E862" s="8"/>
      <c r="F862" s="8"/>
      <c r="G862" s="8"/>
      <c r="H862" s="8"/>
      <c r="I862" s="8"/>
      <c r="J862" s="8"/>
      <c r="K862" s="8"/>
    </row>
    <row r="863" spans="1:11" x14ac:dyDescent="0.25">
      <c r="A863" s="44"/>
      <c r="B863" s="44"/>
      <c r="C863" s="44"/>
      <c r="D863" s="44"/>
      <c r="E863" s="8"/>
      <c r="F863" s="8"/>
      <c r="G863" s="8"/>
      <c r="H863" s="8"/>
      <c r="I863" s="8"/>
      <c r="J863" s="8"/>
      <c r="K863" s="8"/>
    </row>
    <row r="864" spans="1:11" x14ac:dyDescent="0.25">
      <c r="A864" s="44"/>
      <c r="B864" s="44"/>
      <c r="C864" s="44"/>
      <c r="D864" s="44"/>
      <c r="E864" s="8"/>
      <c r="F864" s="8"/>
      <c r="G864" s="8"/>
      <c r="H864" s="8"/>
      <c r="I864" s="8"/>
      <c r="J864" s="8"/>
      <c r="K864" s="8"/>
    </row>
    <row r="865" spans="1:11" x14ac:dyDescent="0.25">
      <c r="A865" s="44"/>
      <c r="B865" s="44"/>
      <c r="C865" s="44"/>
      <c r="D865" s="44"/>
      <c r="E865" s="8"/>
      <c r="F865" s="8"/>
      <c r="G865" s="8"/>
      <c r="H865" s="8"/>
      <c r="I865" s="8"/>
      <c r="J865" s="8"/>
      <c r="K865" s="8"/>
    </row>
    <row r="866" spans="1:11" x14ac:dyDescent="0.25">
      <c r="A866" s="44"/>
      <c r="B866" s="44"/>
      <c r="C866" s="44"/>
      <c r="D866" s="44"/>
      <c r="E866" s="8"/>
      <c r="F866" s="8"/>
      <c r="G866" s="8"/>
      <c r="H866" s="8"/>
      <c r="I866" s="8"/>
      <c r="J866" s="8"/>
      <c r="K866" s="8"/>
    </row>
    <row r="867" spans="1:11" x14ac:dyDescent="0.25">
      <c r="A867" s="44"/>
      <c r="B867" s="44"/>
      <c r="C867" s="44"/>
      <c r="D867" s="44"/>
      <c r="E867" s="8"/>
      <c r="F867" s="8"/>
      <c r="G867" s="8"/>
      <c r="H867" s="8"/>
      <c r="I867" s="8"/>
      <c r="J867" s="8"/>
      <c r="K867" s="8"/>
    </row>
    <row r="868" spans="1:11" x14ac:dyDescent="0.25">
      <c r="A868" s="44"/>
      <c r="B868" s="44"/>
      <c r="C868" s="44"/>
      <c r="D868" s="44"/>
      <c r="E868" s="8"/>
      <c r="F868" s="8"/>
      <c r="G868" s="8"/>
      <c r="H868" s="8"/>
      <c r="I868" s="8"/>
      <c r="J868" s="8"/>
      <c r="K868" s="8"/>
    </row>
    <row r="869" spans="1:11" x14ac:dyDescent="0.25">
      <c r="A869" s="44"/>
      <c r="B869" s="44"/>
      <c r="C869" s="44"/>
      <c r="D869" s="44"/>
      <c r="E869" s="8"/>
      <c r="F869" s="8"/>
      <c r="G869" s="8"/>
      <c r="H869" s="8"/>
      <c r="I869" s="8"/>
      <c r="J869" s="8"/>
      <c r="K869" s="8"/>
    </row>
    <row r="870" spans="1:11" x14ac:dyDescent="0.25">
      <c r="A870" s="44"/>
      <c r="B870" s="44"/>
      <c r="C870" s="44"/>
      <c r="D870" s="44"/>
      <c r="E870" s="8"/>
      <c r="F870" s="8"/>
      <c r="G870" s="8"/>
      <c r="H870" s="8"/>
      <c r="I870" s="8"/>
      <c r="J870" s="8"/>
      <c r="K870" s="8"/>
    </row>
    <row r="871" spans="1:11" x14ac:dyDescent="0.25">
      <c r="A871" s="44"/>
      <c r="B871" s="44"/>
      <c r="C871" s="44"/>
      <c r="D871" s="44"/>
      <c r="E871" s="8"/>
      <c r="F871" s="8"/>
      <c r="G871" s="8"/>
      <c r="H871" s="8"/>
      <c r="I871" s="8"/>
      <c r="J871" s="8"/>
      <c r="K871" s="8"/>
    </row>
    <row r="872" spans="1:11" x14ac:dyDescent="0.25">
      <c r="A872" s="44"/>
      <c r="B872" s="44"/>
      <c r="C872" s="44"/>
      <c r="D872" s="44"/>
      <c r="E872" s="8"/>
      <c r="F872" s="8"/>
      <c r="G872" s="8"/>
      <c r="H872" s="8"/>
      <c r="I872" s="8"/>
      <c r="J872" s="8"/>
      <c r="K872" s="8"/>
    </row>
    <row r="873" spans="1:11" x14ac:dyDescent="0.25">
      <c r="A873" s="44"/>
      <c r="B873" s="44"/>
      <c r="C873" s="44"/>
      <c r="D873" s="44"/>
      <c r="E873" s="8"/>
      <c r="F873" s="8"/>
      <c r="G873" s="8"/>
      <c r="H873" s="8"/>
      <c r="I873" s="8"/>
      <c r="J873" s="8"/>
      <c r="K873" s="8"/>
    </row>
    <row r="874" spans="1:11" x14ac:dyDescent="0.25">
      <c r="A874" s="44"/>
      <c r="B874" s="44"/>
      <c r="C874" s="44"/>
      <c r="D874" s="44"/>
      <c r="E874" s="8"/>
      <c r="F874" s="8"/>
      <c r="G874" s="8"/>
      <c r="H874" s="8"/>
      <c r="I874" s="8"/>
      <c r="J874" s="8"/>
      <c r="K874" s="8"/>
    </row>
    <row r="875" spans="1:11" x14ac:dyDescent="0.25">
      <c r="A875" s="44"/>
      <c r="B875" s="44"/>
      <c r="C875" s="44"/>
      <c r="D875" s="44"/>
      <c r="E875" s="8"/>
      <c r="F875" s="8"/>
      <c r="G875" s="8"/>
      <c r="H875" s="8"/>
      <c r="I875" s="8"/>
      <c r="J875" s="8"/>
      <c r="K875" s="8"/>
    </row>
    <row r="876" spans="1:11" x14ac:dyDescent="0.25">
      <c r="A876" s="44"/>
      <c r="B876" s="44"/>
      <c r="C876" s="44"/>
      <c r="D876" s="44"/>
      <c r="E876" s="8"/>
      <c r="F876" s="8"/>
      <c r="G876" s="8"/>
      <c r="H876" s="8"/>
      <c r="I876" s="8"/>
      <c r="J876" s="8"/>
      <c r="K876" s="8"/>
    </row>
    <row r="877" spans="1:11" x14ac:dyDescent="0.25">
      <c r="A877" s="44"/>
      <c r="B877" s="44"/>
      <c r="C877" s="44"/>
      <c r="D877" s="44"/>
      <c r="E877" s="8"/>
      <c r="F877" s="8"/>
      <c r="G877" s="8"/>
      <c r="H877" s="8"/>
      <c r="I877" s="8"/>
      <c r="J877" s="8"/>
      <c r="K877" s="8"/>
    </row>
    <row r="878" spans="1:11" x14ac:dyDescent="0.25">
      <c r="A878" s="44"/>
      <c r="B878" s="44"/>
      <c r="C878" s="44"/>
      <c r="D878" s="44"/>
      <c r="E878" s="8"/>
      <c r="F878" s="8"/>
      <c r="G878" s="8"/>
      <c r="H878" s="8"/>
      <c r="I878" s="8"/>
      <c r="J878" s="8"/>
      <c r="K878" s="8"/>
    </row>
    <row r="879" spans="1:11" x14ac:dyDescent="0.25">
      <c r="A879" s="44"/>
      <c r="B879" s="44"/>
      <c r="C879" s="44"/>
      <c r="D879" s="44"/>
      <c r="E879" s="8"/>
      <c r="F879" s="8"/>
      <c r="G879" s="8"/>
      <c r="H879" s="8"/>
      <c r="I879" s="8"/>
      <c r="J879" s="8"/>
      <c r="K879" s="8"/>
    </row>
    <row r="880" spans="1:11" x14ac:dyDescent="0.25">
      <c r="A880" s="44"/>
      <c r="B880" s="44"/>
      <c r="C880" s="44"/>
      <c r="D880" s="44"/>
      <c r="E880" s="8"/>
      <c r="F880" s="8"/>
      <c r="G880" s="8"/>
      <c r="H880" s="8"/>
      <c r="I880" s="8"/>
      <c r="J880" s="8"/>
      <c r="K880" s="8"/>
    </row>
    <row r="881" spans="1:11" x14ac:dyDescent="0.25">
      <c r="A881" s="44"/>
      <c r="B881" s="44"/>
      <c r="C881" s="44"/>
      <c r="D881" s="44"/>
      <c r="E881" s="8"/>
      <c r="F881" s="8"/>
      <c r="G881" s="8"/>
      <c r="H881" s="8"/>
      <c r="I881" s="8"/>
      <c r="J881" s="8"/>
      <c r="K881" s="8"/>
    </row>
    <row r="882" spans="1:11" x14ac:dyDescent="0.25">
      <c r="A882" s="44"/>
      <c r="B882" s="44"/>
      <c r="C882" s="44"/>
      <c r="D882" s="44"/>
      <c r="E882" s="8"/>
      <c r="F882" s="8"/>
      <c r="G882" s="8"/>
      <c r="H882" s="8"/>
      <c r="I882" s="8"/>
      <c r="J882" s="8"/>
      <c r="K882" s="8"/>
    </row>
    <row r="883" spans="1:11" x14ac:dyDescent="0.25">
      <c r="A883" s="44"/>
      <c r="B883" s="44"/>
      <c r="C883" s="44"/>
      <c r="D883" s="44"/>
      <c r="E883" s="8"/>
      <c r="F883" s="8"/>
      <c r="G883" s="8"/>
      <c r="H883" s="8"/>
      <c r="I883" s="8"/>
      <c r="J883" s="8"/>
      <c r="K883" s="8"/>
    </row>
    <row r="884" spans="1:11" x14ac:dyDescent="0.25">
      <c r="A884" s="44"/>
      <c r="B884" s="44"/>
      <c r="C884" s="44"/>
      <c r="D884" s="44"/>
      <c r="E884" s="8"/>
      <c r="F884" s="8"/>
      <c r="G884" s="8"/>
      <c r="H884" s="8"/>
      <c r="I884" s="8"/>
      <c r="J884" s="8"/>
      <c r="K884" s="8"/>
    </row>
    <row r="885" spans="1:11" x14ac:dyDescent="0.25">
      <c r="A885" s="44"/>
      <c r="B885" s="44"/>
      <c r="C885" s="44"/>
      <c r="D885" s="44"/>
      <c r="E885" s="8"/>
      <c r="F885" s="8"/>
      <c r="G885" s="8"/>
      <c r="H885" s="8"/>
      <c r="I885" s="8"/>
      <c r="J885" s="8"/>
      <c r="K885" s="8"/>
    </row>
    <row r="886" spans="1:11" x14ac:dyDescent="0.25">
      <c r="A886" s="44"/>
      <c r="B886" s="44"/>
      <c r="C886" s="44"/>
      <c r="D886" s="44"/>
      <c r="E886" s="8"/>
      <c r="F886" s="8"/>
      <c r="G886" s="8"/>
      <c r="H886" s="8"/>
      <c r="I886" s="8"/>
      <c r="J886" s="8"/>
      <c r="K886" s="8"/>
    </row>
    <row r="887" spans="1:11" x14ac:dyDescent="0.25">
      <c r="A887" s="44"/>
      <c r="B887" s="44"/>
      <c r="C887" s="44"/>
      <c r="D887" s="44"/>
      <c r="E887" s="8"/>
      <c r="F887" s="8"/>
      <c r="G887" s="8"/>
      <c r="H887" s="8"/>
      <c r="I887" s="8"/>
      <c r="J887" s="8"/>
      <c r="K887" s="8"/>
    </row>
    <row r="888" spans="1:11" x14ac:dyDescent="0.25">
      <c r="A888" s="44"/>
      <c r="B888" s="44"/>
      <c r="C888" s="44"/>
      <c r="D888" s="44"/>
      <c r="E888" s="8"/>
      <c r="F888" s="8"/>
      <c r="G888" s="8"/>
      <c r="H888" s="8"/>
      <c r="I888" s="8"/>
      <c r="J888" s="8"/>
      <c r="K888" s="8"/>
    </row>
    <row r="889" spans="1:11" x14ac:dyDescent="0.25">
      <c r="A889" s="44"/>
      <c r="B889" s="44"/>
      <c r="C889" s="44"/>
      <c r="D889" s="44"/>
      <c r="E889" s="8"/>
      <c r="F889" s="8"/>
      <c r="G889" s="8"/>
      <c r="H889" s="8"/>
      <c r="I889" s="8"/>
      <c r="J889" s="8"/>
      <c r="K889" s="8"/>
    </row>
    <row r="890" spans="1:11" x14ac:dyDescent="0.25">
      <c r="A890" s="44"/>
      <c r="B890" s="44"/>
      <c r="C890" s="44"/>
      <c r="D890" s="44"/>
      <c r="E890" s="8"/>
      <c r="F890" s="8"/>
      <c r="G890" s="8"/>
      <c r="H890" s="8"/>
      <c r="I890" s="8"/>
      <c r="J890" s="8"/>
      <c r="K890" s="8"/>
    </row>
    <row r="891" spans="1:11" x14ac:dyDescent="0.25">
      <c r="A891" s="44"/>
      <c r="B891" s="44"/>
      <c r="C891" s="44"/>
      <c r="D891" s="44"/>
      <c r="E891" s="8"/>
      <c r="F891" s="8"/>
      <c r="G891" s="8"/>
      <c r="H891" s="8"/>
      <c r="I891" s="8"/>
      <c r="J891" s="8"/>
      <c r="K891" s="8"/>
    </row>
    <row r="892" spans="1:11" x14ac:dyDescent="0.25">
      <c r="A892" s="44"/>
      <c r="B892" s="44"/>
      <c r="C892" s="44"/>
      <c r="D892" s="44"/>
      <c r="E892" s="8"/>
      <c r="F892" s="8"/>
      <c r="G892" s="8"/>
      <c r="H892" s="8"/>
      <c r="I892" s="8"/>
      <c r="J892" s="8"/>
      <c r="K892" s="8"/>
    </row>
    <row r="893" spans="1:11" x14ac:dyDescent="0.25">
      <c r="A893" s="44"/>
      <c r="B893" s="44"/>
      <c r="C893" s="44"/>
      <c r="D893" s="44"/>
      <c r="E893" s="8"/>
      <c r="F893" s="8"/>
      <c r="G893" s="8"/>
      <c r="H893" s="8"/>
      <c r="I893" s="8"/>
      <c r="J893" s="8"/>
      <c r="K893" s="8"/>
    </row>
    <row r="894" spans="1:11" x14ac:dyDescent="0.25">
      <c r="A894" s="44"/>
      <c r="B894" s="44"/>
      <c r="C894" s="44"/>
      <c r="D894" s="44"/>
      <c r="E894" s="8"/>
      <c r="F894" s="8"/>
      <c r="G894" s="8"/>
      <c r="H894" s="8"/>
      <c r="I894" s="8"/>
      <c r="J894" s="8"/>
      <c r="K894" s="8"/>
    </row>
    <row r="895" spans="1:11" x14ac:dyDescent="0.25">
      <c r="A895" s="44"/>
      <c r="B895" s="44"/>
      <c r="C895" s="44"/>
      <c r="D895" s="44"/>
      <c r="E895" s="8"/>
      <c r="F895" s="8"/>
      <c r="G895" s="8"/>
      <c r="H895" s="8"/>
      <c r="I895" s="8"/>
      <c r="J895" s="8"/>
      <c r="K895" s="8"/>
    </row>
    <row r="896" spans="1:11" x14ac:dyDescent="0.25">
      <c r="A896" s="44"/>
      <c r="B896" s="44"/>
      <c r="C896" s="44"/>
      <c r="D896" s="44"/>
      <c r="E896" s="8"/>
      <c r="F896" s="8"/>
      <c r="G896" s="8"/>
      <c r="H896" s="8"/>
      <c r="I896" s="8"/>
      <c r="J896" s="8"/>
      <c r="K896" s="8"/>
    </row>
    <row r="897" spans="1:11" x14ac:dyDescent="0.25">
      <c r="A897" s="44"/>
      <c r="B897" s="44"/>
      <c r="C897" s="44"/>
      <c r="D897" s="44"/>
      <c r="E897" s="8"/>
      <c r="F897" s="8"/>
      <c r="G897" s="8"/>
      <c r="H897" s="8"/>
      <c r="I897" s="8"/>
      <c r="J897" s="8"/>
      <c r="K897" s="8"/>
    </row>
    <row r="898" spans="1:11" x14ac:dyDescent="0.25">
      <c r="A898" s="44"/>
      <c r="B898" s="44"/>
      <c r="C898" s="44"/>
      <c r="D898" s="44"/>
      <c r="E898" s="8"/>
      <c r="F898" s="8"/>
      <c r="G898" s="8"/>
      <c r="H898" s="8"/>
      <c r="I898" s="8"/>
      <c r="J898" s="8"/>
      <c r="K898" s="8"/>
    </row>
    <row r="899" spans="1:11" x14ac:dyDescent="0.25">
      <c r="A899" s="44"/>
      <c r="B899" s="44"/>
      <c r="C899" s="44"/>
      <c r="D899" s="44"/>
      <c r="E899" s="8"/>
      <c r="F899" s="8"/>
      <c r="G899" s="8"/>
      <c r="H899" s="8"/>
      <c r="I899" s="8"/>
      <c r="J899" s="8"/>
      <c r="K899" s="8"/>
    </row>
    <row r="900" spans="1:11" x14ac:dyDescent="0.25">
      <c r="A900" s="44"/>
      <c r="B900" s="44"/>
      <c r="C900" s="44"/>
      <c r="D900" s="44"/>
      <c r="E900" s="8"/>
      <c r="F900" s="8"/>
      <c r="G900" s="8"/>
      <c r="H900" s="8"/>
      <c r="I900" s="8"/>
      <c r="J900" s="8"/>
      <c r="K900" s="8"/>
    </row>
    <row r="901" spans="1:11" x14ac:dyDescent="0.25">
      <c r="A901" s="44"/>
      <c r="B901" s="44"/>
      <c r="C901" s="44"/>
      <c r="D901" s="44"/>
      <c r="E901" s="8"/>
      <c r="F901" s="8"/>
      <c r="G901" s="8"/>
      <c r="H901" s="8"/>
      <c r="I901" s="8"/>
      <c r="J901" s="8"/>
      <c r="K901" s="8"/>
    </row>
    <row r="902" spans="1:11" x14ac:dyDescent="0.25">
      <c r="A902" s="44"/>
      <c r="B902" s="44"/>
      <c r="C902" s="44"/>
      <c r="D902" s="44"/>
      <c r="E902" s="8"/>
      <c r="F902" s="8"/>
      <c r="G902" s="8"/>
      <c r="H902" s="8"/>
      <c r="I902" s="8"/>
      <c r="J902" s="8"/>
      <c r="K902" s="8"/>
    </row>
    <row r="903" spans="1:11" x14ac:dyDescent="0.25">
      <c r="A903" s="44"/>
      <c r="B903" s="44"/>
      <c r="C903" s="44"/>
      <c r="D903" s="44"/>
      <c r="E903" s="8"/>
      <c r="F903" s="8"/>
      <c r="G903" s="8"/>
      <c r="H903" s="8"/>
      <c r="I903" s="8"/>
      <c r="J903" s="8"/>
      <c r="K903" s="8"/>
    </row>
    <row r="904" spans="1:11" x14ac:dyDescent="0.25">
      <c r="A904" s="44"/>
      <c r="B904" s="44"/>
      <c r="C904" s="44"/>
      <c r="D904" s="44"/>
      <c r="E904" s="8"/>
      <c r="F904" s="8"/>
      <c r="G904" s="8"/>
      <c r="H904" s="8"/>
      <c r="I904" s="8"/>
      <c r="J904" s="8"/>
      <c r="K904" s="8"/>
    </row>
    <row r="905" spans="1:11" x14ac:dyDescent="0.25">
      <c r="A905" s="44"/>
      <c r="B905" s="44"/>
      <c r="C905" s="44"/>
      <c r="D905" s="44"/>
      <c r="E905" s="8"/>
      <c r="F905" s="8"/>
      <c r="G905" s="8"/>
      <c r="H905" s="8"/>
      <c r="I905" s="8"/>
      <c r="J905" s="8"/>
      <c r="K905" s="8"/>
    </row>
    <row r="906" spans="1:11" x14ac:dyDescent="0.25">
      <c r="A906" s="44"/>
      <c r="B906" s="44"/>
      <c r="C906" s="44"/>
      <c r="D906" s="44"/>
      <c r="E906" s="8"/>
      <c r="F906" s="8"/>
      <c r="G906" s="8"/>
      <c r="H906" s="8"/>
      <c r="I906" s="8"/>
      <c r="J906" s="8"/>
      <c r="K906" s="8"/>
    </row>
    <row r="907" spans="1:11" x14ac:dyDescent="0.25">
      <c r="A907" s="44"/>
      <c r="B907" s="44"/>
      <c r="C907" s="44"/>
      <c r="D907" s="44"/>
      <c r="E907" s="8"/>
      <c r="F907" s="8"/>
      <c r="G907" s="8"/>
      <c r="H907" s="8"/>
      <c r="I907" s="8"/>
      <c r="J907" s="8"/>
      <c r="K907" s="8"/>
    </row>
    <row r="908" spans="1:11" x14ac:dyDescent="0.25">
      <c r="A908" s="44"/>
      <c r="B908" s="44"/>
      <c r="C908" s="44"/>
      <c r="D908" s="44"/>
      <c r="E908" s="8"/>
      <c r="F908" s="8"/>
      <c r="G908" s="8"/>
      <c r="H908" s="8"/>
      <c r="I908" s="8"/>
      <c r="J908" s="8"/>
      <c r="K908" s="8"/>
    </row>
    <row r="909" spans="1:11" x14ac:dyDescent="0.25">
      <c r="A909" s="44"/>
      <c r="B909" s="44"/>
      <c r="C909" s="44"/>
      <c r="D909" s="44"/>
      <c r="E909" s="8"/>
      <c r="F909" s="8"/>
      <c r="G909" s="8"/>
      <c r="H909" s="8"/>
      <c r="I909" s="8"/>
      <c r="J909" s="8"/>
      <c r="K909" s="8"/>
    </row>
    <row r="910" spans="1:11" x14ac:dyDescent="0.25">
      <c r="A910" s="44"/>
      <c r="B910" s="44"/>
      <c r="C910" s="44"/>
      <c r="D910" s="44"/>
      <c r="E910" s="8"/>
      <c r="F910" s="8"/>
      <c r="G910" s="8"/>
      <c r="H910" s="8"/>
      <c r="I910" s="8"/>
      <c r="J910" s="8"/>
      <c r="K910" s="8"/>
    </row>
    <row r="911" spans="1:11" x14ac:dyDescent="0.25">
      <c r="A911" s="44"/>
      <c r="B911" s="44"/>
      <c r="C911" s="44"/>
      <c r="D911" s="44"/>
      <c r="E911" s="8"/>
      <c r="F911" s="8"/>
      <c r="G911" s="8"/>
      <c r="H911" s="8"/>
      <c r="I911" s="8"/>
      <c r="J911" s="8"/>
      <c r="K911" s="8"/>
    </row>
    <row r="912" spans="1:11" x14ac:dyDescent="0.25">
      <c r="A912" s="44"/>
      <c r="B912" s="44"/>
      <c r="C912" s="44"/>
      <c r="D912" s="44"/>
      <c r="E912" s="8"/>
      <c r="F912" s="8"/>
      <c r="G912" s="8"/>
      <c r="H912" s="8"/>
      <c r="I912" s="8"/>
      <c r="J912" s="8"/>
      <c r="K912" s="8"/>
    </row>
    <row r="913" spans="1:11" x14ac:dyDescent="0.25">
      <c r="A913" s="44"/>
      <c r="B913" s="44"/>
      <c r="C913" s="44"/>
      <c r="D913" s="44"/>
      <c r="E913" s="8"/>
      <c r="F913" s="8"/>
      <c r="G913" s="8"/>
      <c r="H913" s="8"/>
      <c r="I913" s="8"/>
      <c r="J913" s="8"/>
      <c r="K913" s="8"/>
    </row>
    <row r="914" spans="1:11" x14ac:dyDescent="0.25">
      <c r="A914" s="44"/>
      <c r="B914" s="44"/>
      <c r="C914" s="44"/>
      <c r="D914" s="44"/>
      <c r="E914" s="8"/>
      <c r="F914" s="8"/>
      <c r="G914" s="8"/>
      <c r="H914" s="8"/>
      <c r="I914" s="8"/>
      <c r="J914" s="8"/>
      <c r="K914" s="8"/>
    </row>
    <row r="915" spans="1:11" x14ac:dyDescent="0.25">
      <c r="A915" s="44"/>
      <c r="B915" s="44"/>
      <c r="C915" s="44"/>
      <c r="D915" s="44"/>
      <c r="E915" s="8"/>
      <c r="F915" s="8"/>
      <c r="G915" s="8"/>
      <c r="H915" s="8"/>
      <c r="I915" s="8"/>
      <c r="J915" s="8"/>
      <c r="K915" s="8"/>
    </row>
    <row r="916" spans="1:11" x14ac:dyDescent="0.25">
      <c r="A916" s="44"/>
      <c r="B916" s="44"/>
      <c r="C916" s="44"/>
      <c r="D916" s="44"/>
      <c r="E916" s="8"/>
      <c r="F916" s="8"/>
      <c r="G916" s="8"/>
      <c r="H916" s="8"/>
      <c r="I916" s="8"/>
      <c r="J916" s="8"/>
      <c r="K916" s="8"/>
    </row>
    <row r="917" spans="1:11" x14ac:dyDescent="0.25">
      <c r="A917" s="44"/>
      <c r="B917" s="44"/>
      <c r="C917" s="44"/>
      <c r="D917" s="44"/>
      <c r="E917" s="8"/>
      <c r="F917" s="8"/>
      <c r="G917" s="8"/>
      <c r="H917" s="8"/>
      <c r="I917" s="8"/>
      <c r="J917" s="8"/>
      <c r="K917" s="8"/>
    </row>
    <row r="918" spans="1:11" x14ac:dyDescent="0.25">
      <c r="A918" s="44"/>
      <c r="B918" s="44"/>
      <c r="C918" s="44"/>
      <c r="D918" s="44"/>
      <c r="E918" s="8"/>
      <c r="F918" s="8"/>
      <c r="G918" s="8"/>
      <c r="H918" s="8"/>
      <c r="I918" s="8"/>
      <c r="J918" s="8"/>
      <c r="K918" s="8"/>
    </row>
    <row r="919" spans="1:11" x14ac:dyDescent="0.25">
      <c r="A919" s="44"/>
      <c r="B919" s="44"/>
      <c r="C919" s="44"/>
      <c r="D919" s="44"/>
      <c r="E919" s="8"/>
      <c r="F919" s="8"/>
      <c r="G919" s="8"/>
      <c r="H919" s="8"/>
      <c r="I919" s="8"/>
      <c r="J919" s="8"/>
      <c r="K919" s="8"/>
    </row>
    <row r="920" spans="1:11" x14ac:dyDescent="0.25">
      <c r="A920" s="44"/>
      <c r="B920" s="44"/>
      <c r="C920" s="44"/>
      <c r="D920" s="44"/>
      <c r="E920" s="8"/>
      <c r="F920" s="8"/>
      <c r="G920" s="8"/>
      <c r="H920" s="8"/>
      <c r="I920" s="8"/>
      <c r="J920" s="8"/>
      <c r="K920" s="8"/>
    </row>
    <row r="921" spans="1:11" x14ac:dyDescent="0.25">
      <c r="A921" s="44"/>
      <c r="B921" s="44"/>
      <c r="C921" s="44"/>
      <c r="D921" s="44"/>
      <c r="E921" s="8"/>
      <c r="F921" s="8"/>
      <c r="G921" s="8"/>
      <c r="H921" s="8"/>
      <c r="I921" s="8"/>
      <c r="J921" s="8"/>
      <c r="K921" s="8"/>
    </row>
    <row r="922" spans="1:11" x14ac:dyDescent="0.25">
      <c r="A922" s="44"/>
      <c r="B922" s="44"/>
      <c r="C922" s="44"/>
      <c r="D922" s="44"/>
      <c r="E922" s="8"/>
      <c r="F922" s="8"/>
      <c r="G922" s="8"/>
      <c r="H922" s="8"/>
      <c r="I922" s="8"/>
      <c r="J922" s="8"/>
      <c r="K922" s="8"/>
    </row>
    <row r="923" spans="1:11" x14ac:dyDescent="0.25">
      <c r="A923" s="44"/>
      <c r="B923" s="44"/>
      <c r="C923" s="44"/>
      <c r="D923" s="44"/>
      <c r="E923" s="8"/>
      <c r="F923" s="8"/>
      <c r="G923" s="8"/>
      <c r="H923" s="8"/>
      <c r="I923" s="8"/>
      <c r="J923" s="8"/>
      <c r="K923" s="8"/>
    </row>
    <row r="924" spans="1:11" x14ac:dyDescent="0.25">
      <c r="A924" s="44"/>
      <c r="B924" s="44"/>
      <c r="C924" s="44"/>
      <c r="D924" s="44"/>
      <c r="E924" s="8"/>
      <c r="F924" s="8"/>
      <c r="G924" s="8"/>
      <c r="H924" s="8"/>
      <c r="I924" s="8"/>
      <c r="J924" s="8"/>
      <c r="K924" s="8"/>
    </row>
    <row r="925" spans="1:11" x14ac:dyDescent="0.25">
      <c r="A925" s="44"/>
      <c r="B925" s="44"/>
      <c r="C925" s="44"/>
      <c r="D925" s="44"/>
      <c r="E925" s="8"/>
      <c r="F925" s="8"/>
      <c r="G925" s="8"/>
      <c r="H925" s="8"/>
      <c r="I925" s="8"/>
      <c r="J925" s="8"/>
      <c r="K925" s="8"/>
    </row>
    <row r="926" spans="1:11" x14ac:dyDescent="0.25">
      <c r="A926" s="44"/>
      <c r="B926" s="44"/>
      <c r="C926" s="44"/>
      <c r="D926" s="44"/>
      <c r="E926" s="8"/>
      <c r="F926" s="8"/>
      <c r="G926" s="8"/>
      <c r="H926" s="8"/>
      <c r="I926" s="8"/>
      <c r="J926" s="8"/>
      <c r="K926" s="8"/>
    </row>
    <row r="927" spans="1:11" x14ac:dyDescent="0.25">
      <c r="A927" s="44"/>
      <c r="B927" s="44"/>
      <c r="C927" s="44"/>
      <c r="D927" s="44"/>
      <c r="E927" s="8"/>
      <c r="F927" s="8"/>
      <c r="G927" s="8"/>
      <c r="H927" s="8"/>
      <c r="I927" s="8"/>
      <c r="J927" s="8"/>
      <c r="K927" s="8"/>
    </row>
    <row r="928" spans="1:11" x14ac:dyDescent="0.25">
      <c r="A928" s="44"/>
      <c r="B928" s="44"/>
      <c r="C928" s="44"/>
      <c r="D928" s="44"/>
      <c r="E928" s="8"/>
      <c r="F928" s="8"/>
      <c r="G928" s="8"/>
      <c r="H928" s="8"/>
      <c r="I928" s="8"/>
      <c r="J928" s="8"/>
      <c r="K928" s="8"/>
    </row>
    <row r="929" spans="1:11" x14ac:dyDescent="0.25">
      <c r="A929" s="44"/>
      <c r="B929" s="44"/>
      <c r="C929" s="44"/>
      <c r="D929" s="44"/>
      <c r="E929" s="8"/>
      <c r="F929" s="8"/>
      <c r="G929" s="8"/>
      <c r="H929" s="8"/>
      <c r="I929" s="8"/>
      <c r="J929" s="8"/>
      <c r="K929" s="8"/>
    </row>
    <row r="930" spans="1:11" x14ac:dyDescent="0.25">
      <c r="A930" s="44"/>
      <c r="B930" s="44"/>
      <c r="C930" s="44"/>
      <c r="D930" s="44"/>
      <c r="E930" s="8"/>
      <c r="F930" s="8"/>
      <c r="G930" s="8"/>
      <c r="H930" s="8"/>
      <c r="I930" s="8"/>
      <c r="J930" s="8"/>
      <c r="K930" s="8"/>
    </row>
    <row r="931" spans="1:11" x14ac:dyDescent="0.25">
      <c r="A931" s="44"/>
      <c r="B931" s="44"/>
      <c r="C931" s="44"/>
      <c r="D931" s="44"/>
      <c r="E931" s="8"/>
      <c r="F931" s="8"/>
      <c r="G931" s="8"/>
      <c r="H931" s="8"/>
      <c r="I931" s="8"/>
      <c r="J931" s="8"/>
      <c r="K931" s="8"/>
    </row>
    <row r="932" spans="1:11" x14ac:dyDescent="0.25">
      <c r="A932" s="44"/>
      <c r="B932" s="44"/>
      <c r="C932" s="44"/>
      <c r="D932" s="44"/>
      <c r="E932" s="8"/>
      <c r="F932" s="8"/>
      <c r="G932" s="8"/>
      <c r="H932" s="8"/>
      <c r="I932" s="8"/>
      <c r="J932" s="8"/>
      <c r="K932" s="8"/>
    </row>
    <row r="933" spans="1:11" x14ac:dyDescent="0.25">
      <c r="A933" s="44"/>
      <c r="B933" s="44"/>
      <c r="C933" s="44"/>
      <c r="D933" s="44"/>
      <c r="E933" s="8"/>
      <c r="F933" s="8"/>
      <c r="G933" s="8"/>
      <c r="H933" s="8"/>
      <c r="I933" s="8"/>
      <c r="J933" s="8"/>
      <c r="K933" s="8"/>
    </row>
    <row r="934" spans="1:11" x14ac:dyDescent="0.25">
      <c r="A934" s="44"/>
      <c r="B934" s="44"/>
      <c r="C934" s="44"/>
      <c r="D934" s="44"/>
      <c r="E934" s="8"/>
      <c r="F934" s="8"/>
      <c r="G934" s="8"/>
      <c r="H934" s="8"/>
      <c r="I934" s="8"/>
      <c r="J934" s="8"/>
      <c r="K934" s="8"/>
    </row>
    <row r="935" spans="1:11" x14ac:dyDescent="0.25">
      <c r="A935" s="44"/>
      <c r="B935" s="44"/>
      <c r="C935" s="44"/>
      <c r="D935" s="44"/>
      <c r="E935" s="8"/>
      <c r="F935" s="8"/>
      <c r="G935" s="8"/>
      <c r="H935" s="8"/>
      <c r="I935" s="8"/>
      <c r="J935" s="8"/>
      <c r="K935" s="8"/>
    </row>
    <row r="936" spans="1:11" x14ac:dyDescent="0.25">
      <c r="A936" s="44"/>
      <c r="B936" s="44"/>
      <c r="C936" s="44"/>
      <c r="D936" s="44"/>
      <c r="E936" s="8"/>
      <c r="F936" s="8"/>
      <c r="G936" s="8"/>
      <c r="H936" s="8"/>
      <c r="I936" s="8"/>
      <c r="J936" s="8"/>
      <c r="K936" s="8"/>
    </row>
    <row r="937" spans="1:11" x14ac:dyDescent="0.25">
      <c r="A937" s="44"/>
      <c r="B937" s="44"/>
      <c r="C937" s="44"/>
      <c r="D937" s="44"/>
      <c r="E937" s="8"/>
      <c r="F937" s="8"/>
      <c r="G937" s="8"/>
      <c r="H937" s="8"/>
      <c r="I937" s="8"/>
      <c r="J937" s="8"/>
      <c r="K937" s="8"/>
    </row>
    <row r="938" spans="1:11" x14ac:dyDescent="0.25">
      <c r="A938" s="44"/>
      <c r="B938" s="44"/>
      <c r="C938" s="44"/>
      <c r="D938" s="44"/>
      <c r="E938" s="8"/>
      <c r="F938" s="8"/>
      <c r="G938" s="8"/>
      <c r="H938" s="8"/>
      <c r="I938" s="8"/>
      <c r="J938" s="8"/>
      <c r="K938" s="8"/>
    </row>
    <row r="939" spans="1:11" x14ac:dyDescent="0.25">
      <c r="A939" s="44"/>
      <c r="B939" s="44"/>
      <c r="C939" s="44"/>
      <c r="D939" s="44"/>
      <c r="E939" s="8"/>
      <c r="F939" s="8"/>
      <c r="G939" s="8"/>
      <c r="H939" s="8"/>
      <c r="I939" s="8"/>
      <c r="J939" s="8"/>
      <c r="K939" s="8"/>
    </row>
    <row r="940" spans="1:11" x14ac:dyDescent="0.25">
      <c r="A940" s="44"/>
      <c r="B940" s="44"/>
      <c r="C940" s="44"/>
      <c r="D940" s="44"/>
      <c r="E940" s="8"/>
      <c r="F940" s="8"/>
      <c r="G940" s="8"/>
      <c r="H940" s="8"/>
      <c r="I940" s="8"/>
      <c r="J940" s="8"/>
      <c r="K940" s="8"/>
    </row>
    <row r="941" spans="1:11" x14ac:dyDescent="0.25">
      <c r="A941" s="44"/>
      <c r="B941" s="44"/>
      <c r="C941" s="44"/>
      <c r="D941" s="44"/>
      <c r="E941" s="8"/>
      <c r="F941" s="8"/>
      <c r="G941" s="8"/>
      <c r="H941" s="8"/>
      <c r="I941" s="8"/>
      <c r="J941" s="8"/>
      <c r="K941" s="8"/>
    </row>
    <row r="942" spans="1:11" x14ac:dyDescent="0.25">
      <c r="A942" s="44"/>
      <c r="B942" s="44"/>
      <c r="C942" s="44"/>
      <c r="D942" s="44"/>
      <c r="E942" s="8"/>
      <c r="F942" s="8"/>
      <c r="G942" s="8"/>
      <c r="H942" s="8"/>
      <c r="I942" s="8"/>
      <c r="J942" s="8"/>
      <c r="K942" s="8"/>
    </row>
    <row r="943" spans="1:11" x14ac:dyDescent="0.25">
      <c r="A943" s="44"/>
      <c r="B943" s="44"/>
      <c r="C943" s="44"/>
      <c r="D943" s="44"/>
      <c r="E943" s="8"/>
      <c r="F943" s="8"/>
      <c r="G943" s="8"/>
      <c r="H943" s="8"/>
      <c r="I943" s="8"/>
      <c r="J943" s="8"/>
      <c r="K943" s="8"/>
    </row>
    <row r="944" spans="1:11" x14ac:dyDescent="0.25">
      <c r="A944" s="44"/>
      <c r="B944" s="44"/>
      <c r="C944" s="44"/>
      <c r="D944" s="44"/>
      <c r="E944" s="8"/>
      <c r="F944" s="8"/>
      <c r="G944" s="8"/>
      <c r="H944" s="8"/>
      <c r="I944" s="8"/>
      <c r="J944" s="8"/>
      <c r="K944" s="8"/>
    </row>
    <row r="945" spans="1:11" x14ac:dyDescent="0.25">
      <c r="A945" s="44"/>
      <c r="B945" s="44"/>
      <c r="C945" s="44"/>
      <c r="D945" s="44"/>
      <c r="E945" s="8"/>
      <c r="F945" s="8"/>
      <c r="G945" s="8"/>
      <c r="H945" s="8"/>
      <c r="I945" s="8"/>
      <c r="J945" s="8"/>
      <c r="K945" s="8"/>
    </row>
    <row r="946" spans="1:11" x14ac:dyDescent="0.25">
      <c r="A946" s="44"/>
      <c r="B946" s="44"/>
      <c r="C946" s="44"/>
      <c r="D946" s="44"/>
      <c r="E946" s="8"/>
      <c r="F946" s="8"/>
      <c r="G946" s="8"/>
      <c r="H946" s="8"/>
      <c r="I946" s="8"/>
      <c r="J946" s="8"/>
      <c r="K946" s="8"/>
    </row>
    <row r="947" spans="1:11" x14ac:dyDescent="0.25">
      <c r="A947" s="44"/>
      <c r="B947" s="44"/>
      <c r="C947" s="44"/>
      <c r="D947" s="44"/>
      <c r="E947" s="8"/>
      <c r="F947" s="8"/>
      <c r="G947" s="8"/>
      <c r="H947" s="8"/>
      <c r="I947" s="8"/>
      <c r="J947" s="8"/>
      <c r="K947" s="8"/>
    </row>
    <row r="948" spans="1:11" x14ac:dyDescent="0.25">
      <c r="A948" s="44"/>
      <c r="B948" s="44"/>
      <c r="C948" s="44"/>
      <c r="D948" s="44"/>
      <c r="E948" s="8"/>
      <c r="F948" s="8"/>
      <c r="G948" s="8"/>
      <c r="H948" s="8"/>
      <c r="I948" s="8"/>
      <c r="J948" s="8"/>
      <c r="K948" s="8"/>
    </row>
    <row r="949" spans="1:11" x14ac:dyDescent="0.25">
      <c r="A949" s="44"/>
      <c r="B949" s="44"/>
      <c r="C949" s="44"/>
      <c r="D949" s="44"/>
      <c r="E949" s="8"/>
      <c r="F949" s="8"/>
      <c r="G949" s="8"/>
      <c r="H949" s="8"/>
      <c r="I949" s="8"/>
      <c r="J949" s="8"/>
      <c r="K949" s="8"/>
    </row>
    <row r="950" spans="1:11" x14ac:dyDescent="0.25">
      <c r="A950" s="44"/>
      <c r="B950" s="44"/>
      <c r="C950" s="44"/>
      <c r="D950" s="44"/>
      <c r="E950" s="8"/>
      <c r="F950" s="8"/>
      <c r="G950" s="8"/>
      <c r="H950" s="8"/>
      <c r="I950" s="8"/>
      <c r="J950" s="8"/>
      <c r="K950" s="8"/>
    </row>
    <row r="951" spans="1:11" x14ac:dyDescent="0.25">
      <c r="A951" s="44"/>
      <c r="B951" s="44"/>
      <c r="C951" s="44"/>
      <c r="D951" s="44"/>
      <c r="E951" s="8"/>
      <c r="F951" s="8"/>
      <c r="G951" s="8"/>
      <c r="H951" s="8"/>
      <c r="I951" s="8"/>
      <c r="J951" s="8"/>
      <c r="K951" s="8"/>
    </row>
    <row r="952" spans="1:11" x14ac:dyDescent="0.25">
      <c r="A952" s="44"/>
      <c r="B952" s="44"/>
      <c r="C952" s="44"/>
      <c r="D952" s="44"/>
      <c r="E952" s="8"/>
      <c r="F952" s="8"/>
      <c r="G952" s="8"/>
      <c r="H952" s="8"/>
      <c r="I952" s="8"/>
      <c r="J952" s="8"/>
      <c r="K952" s="8"/>
    </row>
    <row r="953" spans="1:11" x14ac:dyDescent="0.25">
      <c r="A953" s="44"/>
      <c r="B953" s="44"/>
      <c r="C953" s="44"/>
      <c r="D953" s="44"/>
      <c r="E953" s="8"/>
      <c r="F953" s="8"/>
      <c r="G953" s="8"/>
      <c r="H953" s="8"/>
      <c r="I953" s="8"/>
      <c r="J953" s="8"/>
      <c r="K953" s="8"/>
    </row>
    <row r="954" spans="1:11" x14ac:dyDescent="0.25">
      <c r="A954" s="44"/>
      <c r="B954" s="44"/>
      <c r="C954" s="44"/>
      <c r="D954" s="44"/>
      <c r="E954" s="8"/>
      <c r="F954" s="8"/>
      <c r="G954" s="8"/>
      <c r="H954" s="8"/>
      <c r="I954" s="8"/>
      <c r="J954" s="8"/>
      <c r="K954" s="8"/>
    </row>
    <row r="955" spans="1:11" x14ac:dyDescent="0.25">
      <c r="A955" s="44"/>
      <c r="B955" s="44"/>
      <c r="C955" s="44"/>
      <c r="D955" s="44"/>
      <c r="E955" s="8"/>
      <c r="F955" s="8"/>
      <c r="G955" s="8"/>
      <c r="H955" s="8"/>
      <c r="I955" s="8"/>
      <c r="J955" s="8"/>
      <c r="K955" s="8"/>
    </row>
    <row r="956" spans="1:11" x14ac:dyDescent="0.25">
      <c r="A956" s="44"/>
      <c r="B956" s="44"/>
      <c r="C956" s="44"/>
      <c r="D956" s="44"/>
      <c r="E956" s="8"/>
      <c r="F956" s="8"/>
      <c r="G956" s="8"/>
      <c r="H956" s="8"/>
      <c r="I956" s="8"/>
      <c r="J956" s="8"/>
      <c r="K956" s="8"/>
    </row>
    <row r="957" spans="1:11" x14ac:dyDescent="0.25">
      <c r="A957" s="44"/>
      <c r="B957" s="44"/>
      <c r="C957" s="44"/>
      <c r="D957" s="44"/>
      <c r="E957" s="8"/>
      <c r="F957" s="8"/>
      <c r="G957" s="8"/>
      <c r="H957" s="8"/>
      <c r="I957" s="8"/>
      <c r="J957" s="8"/>
      <c r="K957" s="8"/>
    </row>
    <row r="958" spans="1:11" x14ac:dyDescent="0.25">
      <c r="A958" s="44"/>
      <c r="B958" s="44"/>
      <c r="C958" s="44"/>
      <c r="D958" s="44"/>
      <c r="E958" s="8"/>
      <c r="F958" s="8"/>
      <c r="G958" s="8"/>
      <c r="H958" s="8"/>
      <c r="I958" s="8"/>
      <c r="J958" s="8"/>
      <c r="K958" s="8"/>
    </row>
    <row r="959" spans="1:11" x14ac:dyDescent="0.25">
      <c r="A959" s="44"/>
      <c r="B959" s="44"/>
      <c r="C959" s="44"/>
      <c r="D959" s="44"/>
      <c r="E959" s="8"/>
      <c r="F959" s="8"/>
      <c r="G959" s="8"/>
      <c r="H959" s="8"/>
      <c r="I959" s="8"/>
      <c r="J959" s="8"/>
      <c r="K959" s="8"/>
    </row>
    <row r="960" spans="1:11" x14ac:dyDescent="0.25">
      <c r="A960" s="44"/>
      <c r="B960" s="44"/>
      <c r="C960" s="44"/>
      <c r="D960" s="44"/>
      <c r="E960" s="8"/>
      <c r="F960" s="8"/>
      <c r="G960" s="8"/>
      <c r="H960" s="8"/>
      <c r="I960" s="8"/>
      <c r="J960" s="8"/>
      <c r="K960" s="8"/>
    </row>
    <row r="961" spans="1:11" x14ac:dyDescent="0.25">
      <c r="A961" s="44"/>
      <c r="B961" s="44"/>
      <c r="C961" s="44"/>
      <c r="D961" s="44"/>
      <c r="E961" s="8"/>
      <c r="F961" s="8"/>
      <c r="G961" s="8"/>
      <c r="H961" s="8"/>
      <c r="I961" s="8"/>
      <c r="J961" s="8"/>
      <c r="K961" s="8"/>
    </row>
    <row r="962" spans="1:11" x14ac:dyDescent="0.25">
      <c r="A962" s="44"/>
      <c r="B962" s="44"/>
      <c r="C962" s="44"/>
      <c r="D962" s="44"/>
      <c r="E962" s="8"/>
      <c r="F962" s="8"/>
      <c r="G962" s="8"/>
      <c r="H962" s="8"/>
      <c r="I962" s="8"/>
      <c r="J962" s="8"/>
      <c r="K962" s="8"/>
    </row>
    <row r="963" spans="1:11" x14ac:dyDescent="0.25">
      <c r="A963" s="44"/>
      <c r="B963" s="44"/>
      <c r="C963" s="44"/>
      <c r="D963" s="44"/>
      <c r="E963" s="8"/>
      <c r="F963" s="8"/>
      <c r="G963" s="8"/>
      <c r="H963" s="8"/>
      <c r="I963" s="8"/>
      <c r="J963" s="8"/>
      <c r="K963" s="8"/>
    </row>
    <row r="964" spans="1:11" x14ac:dyDescent="0.25">
      <c r="A964" s="44"/>
      <c r="B964" s="44"/>
      <c r="C964" s="44"/>
      <c r="D964" s="44"/>
      <c r="E964" s="8"/>
      <c r="F964" s="8"/>
      <c r="G964" s="8"/>
      <c r="H964" s="8"/>
      <c r="I964" s="8"/>
      <c r="J964" s="8"/>
      <c r="K964" s="8"/>
    </row>
    <row r="965" spans="1:11" x14ac:dyDescent="0.25">
      <c r="A965" s="44"/>
      <c r="B965" s="44"/>
      <c r="C965" s="44"/>
      <c r="D965" s="44"/>
      <c r="E965" s="8"/>
      <c r="F965" s="8"/>
      <c r="G965" s="8"/>
      <c r="H965" s="8"/>
      <c r="I965" s="8"/>
      <c r="J965" s="8"/>
      <c r="K965" s="8"/>
    </row>
    <row r="966" spans="1:11" x14ac:dyDescent="0.25">
      <c r="A966" s="44"/>
      <c r="B966" s="44"/>
      <c r="C966" s="44"/>
      <c r="D966" s="44"/>
      <c r="E966" s="8"/>
      <c r="F966" s="8"/>
      <c r="G966" s="8"/>
      <c r="H966" s="8"/>
      <c r="I966" s="8"/>
      <c r="J966" s="8"/>
      <c r="K966" s="8"/>
    </row>
    <row r="967" spans="1:11" x14ac:dyDescent="0.25">
      <c r="A967" s="44"/>
      <c r="B967" s="44"/>
      <c r="C967" s="44"/>
      <c r="D967" s="44"/>
      <c r="E967" s="8"/>
      <c r="F967" s="8"/>
      <c r="G967" s="8"/>
      <c r="H967" s="8"/>
      <c r="I967" s="8"/>
      <c r="J967" s="8"/>
      <c r="K967" s="8"/>
    </row>
    <row r="968" spans="1:11" x14ac:dyDescent="0.25">
      <c r="A968" s="44"/>
      <c r="B968" s="44"/>
      <c r="C968" s="44"/>
      <c r="D968" s="44"/>
      <c r="E968" s="8"/>
      <c r="F968" s="8"/>
      <c r="G968" s="8"/>
      <c r="H968" s="8"/>
      <c r="I968" s="8"/>
      <c r="J968" s="8"/>
      <c r="K968" s="8"/>
    </row>
    <row r="969" spans="1:11" x14ac:dyDescent="0.25">
      <c r="A969" s="44"/>
      <c r="B969" s="44"/>
      <c r="C969" s="44"/>
      <c r="D969" s="44"/>
      <c r="E969" s="8"/>
      <c r="F969" s="8"/>
      <c r="G969" s="8"/>
      <c r="H969" s="8"/>
      <c r="I969" s="8"/>
      <c r="J969" s="8"/>
      <c r="K969" s="8"/>
    </row>
    <row r="970" spans="1:11" x14ac:dyDescent="0.25">
      <c r="A970" s="44"/>
      <c r="B970" s="44"/>
      <c r="C970" s="44"/>
      <c r="D970" s="44"/>
      <c r="E970" s="8"/>
      <c r="F970" s="8"/>
      <c r="G970" s="8"/>
      <c r="H970" s="8"/>
      <c r="I970" s="8"/>
      <c r="J970" s="8"/>
      <c r="K970" s="8"/>
    </row>
    <row r="971" spans="1:11" x14ac:dyDescent="0.25">
      <c r="A971" s="44"/>
      <c r="B971" s="44"/>
      <c r="C971" s="44"/>
      <c r="D971" s="44"/>
      <c r="E971" s="8"/>
      <c r="F971" s="8"/>
      <c r="G971" s="8"/>
      <c r="H971" s="8"/>
      <c r="I971" s="8"/>
      <c r="J971" s="8"/>
      <c r="K971" s="8"/>
    </row>
    <row r="972" spans="1:11" x14ac:dyDescent="0.25">
      <c r="A972" s="44"/>
      <c r="B972" s="44"/>
      <c r="C972" s="44"/>
      <c r="D972" s="44"/>
      <c r="E972" s="8"/>
      <c r="F972" s="8"/>
      <c r="G972" s="8"/>
      <c r="H972" s="8"/>
      <c r="I972" s="8"/>
      <c r="J972" s="8"/>
      <c r="K972" s="8"/>
    </row>
    <row r="973" spans="1:11" x14ac:dyDescent="0.25">
      <c r="A973" s="44"/>
      <c r="B973" s="44"/>
      <c r="C973" s="44"/>
      <c r="D973" s="44"/>
      <c r="E973" s="8"/>
      <c r="F973" s="8"/>
      <c r="G973" s="8"/>
      <c r="H973" s="8"/>
      <c r="I973" s="8"/>
      <c r="J973" s="8"/>
      <c r="K973" s="8"/>
    </row>
    <row r="974" spans="1:11" x14ac:dyDescent="0.25">
      <c r="A974" s="44"/>
      <c r="B974" s="44"/>
      <c r="C974" s="44"/>
      <c r="D974" s="44"/>
      <c r="E974" s="8"/>
      <c r="F974" s="8"/>
      <c r="G974" s="8"/>
      <c r="H974" s="8"/>
      <c r="I974" s="8"/>
      <c r="J974" s="8"/>
      <c r="K974" s="8"/>
    </row>
    <row r="975" spans="1:11" x14ac:dyDescent="0.25">
      <c r="A975" s="44"/>
      <c r="B975" s="44"/>
      <c r="C975" s="44"/>
      <c r="D975" s="44"/>
      <c r="E975" s="8"/>
      <c r="F975" s="8"/>
      <c r="G975" s="8"/>
      <c r="H975" s="8"/>
      <c r="I975" s="8"/>
      <c r="J975" s="8"/>
      <c r="K975" s="8"/>
    </row>
    <row r="976" spans="1:11" x14ac:dyDescent="0.25">
      <c r="A976" s="44"/>
      <c r="B976" s="44"/>
      <c r="C976" s="44"/>
      <c r="D976" s="44"/>
      <c r="E976" s="8"/>
      <c r="F976" s="8"/>
      <c r="G976" s="8"/>
      <c r="H976" s="8"/>
      <c r="I976" s="8"/>
      <c r="J976" s="8"/>
      <c r="K976" s="8"/>
    </row>
    <row r="977" spans="1:11" x14ac:dyDescent="0.25">
      <c r="A977" s="44"/>
      <c r="B977" s="44"/>
      <c r="C977" s="44"/>
      <c r="D977" s="44"/>
      <c r="E977" s="8"/>
      <c r="F977" s="8"/>
      <c r="G977" s="8"/>
      <c r="H977" s="8"/>
      <c r="I977" s="8"/>
      <c r="J977" s="8"/>
      <c r="K977" s="8"/>
    </row>
    <row r="978" spans="1:11" x14ac:dyDescent="0.25">
      <c r="A978" s="44"/>
      <c r="B978" s="44"/>
      <c r="C978" s="44"/>
      <c r="D978" s="44"/>
      <c r="E978" s="8"/>
      <c r="F978" s="8"/>
      <c r="G978" s="8"/>
      <c r="H978" s="8"/>
      <c r="I978" s="8"/>
      <c r="J978" s="8"/>
      <c r="K978" s="8"/>
    </row>
    <row r="979" spans="1:11" x14ac:dyDescent="0.25">
      <c r="A979" s="44"/>
      <c r="B979" s="44"/>
      <c r="C979" s="44"/>
      <c r="D979" s="44"/>
      <c r="E979" s="8"/>
      <c r="F979" s="8"/>
      <c r="G979" s="8"/>
      <c r="H979" s="8"/>
      <c r="I979" s="8"/>
      <c r="J979" s="8"/>
      <c r="K979" s="8"/>
    </row>
    <row r="980" spans="1:11" x14ac:dyDescent="0.25">
      <c r="A980" s="44"/>
      <c r="B980" s="44"/>
      <c r="C980" s="44"/>
      <c r="D980" s="44"/>
      <c r="E980" s="8"/>
      <c r="F980" s="8"/>
      <c r="G980" s="8"/>
      <c r="H980" s="8"/>
      <c r="I980" s="8"/>
      <c r="J980" s="8"/>
      <c r="K980" s="8"/>
    </row>
    <row r="981" spans="1:11" x14ac:dyDescent="0.25">
      <c r="A981" s="44"/>
      <c r="B981" s="44"/>
      <c r="C981" s="44"/>
      <c r="D981" s="44"/>
      <c r="E981" s="8"/>
      <c r="F981" s="8"/>
      <c r="G981" s="8"/>
      <c r="H981" s="8"/>
      <c r="I981" s="8"/>
      <c r="J981" s="8"/>
      <c r="K981" s="8"/>
    </row>
    <row r="982" spans="1:11" x14ac:dyDescent="0.25">
      <c r="A982" s="44"/>
      <c r="B982" s="44"/>
      <c r="C982" s="44"/>
      <c r="D982" s="44"/>
      <c r="E982" s="8"/>
      <c r="F982" s="8"/>
      <c r="G982" s="8"/>
      <c r="H982" s="8"/>
      <c r="I982" s="8"/>
      <c r="J982" s="8"/>
      <c r="K982" s="8"/>
    </row>
    <row r="983" spans="1:11" x14ac:dyDescent="0.25">
      <c r="A983" s="44"/>
      <c r="B983" s="44"/>
      <c r="C983" s="44"/>
      <c r="D983" s="44"/>
      <c r="E983" s="8"/>
      <c r="F983" s="8"/>
      <c r="G983" s="8"/>
      <c r="H983" s="8"/>
      <c r="I983" s="8"/>
      <c r="J983" s="8"/>
      <c r="K983" s="8"/>
    </row>
    <row r="984" spans="1:11" x14ac:dyDescent="0.25">
      <c r="A984" s="44"/>
      <c r="B984" s="44"/>
      <c r="C984" s="44"/>
      <c r="D984" s="44"/>
      <c r="E984" s="8"/>
      <c r="F984" s="8"/>
      <c r="G984" s="8"/>
      <c r="H984" s="8"/>
      <c r="I984" s="8"/>
      <c r="J984" s="8"/>
      <c r="K984" s="8"/>
    </row>
    <row r="985" spans="1:11" x14ac:dyDescent="0.25">
      <c r="A985" s="44"/>
      <c r="B985" s="44"/>
      <c r="C985" s="44"/>
      <c r="D985" s="44"/>
      <c r="E985" s="8"/>
      <c r="F985" s="8"/>
      <c r="G985" s="8"/>
      <c r="H985" s="8"/>
      <c r="I985" s="8"/>
      <c r="J985" s="8"/>
      <c r="K985" s="8"/>
    </row>
    <row r="986" spans="1:11" x14ac:dyDescent="0.25">
      <c r="A986" s="44"/>
      <c r="B986" s="44"/>
      <c r="C986" s="44"/>
      <c r="D986" s="44"/>
      <c r="E986" s="8"/>
      <c r="F986" s="8"/>
      <c r="G986" s="8"/>
      <c r="H986" s="8"/>
      <c r="I986" s="8"/>
      <c r="J986" s="8"/>
      <c r="K986" s="8"/>
    </row>
    <row r="987" spans="1:11" x14ac:dyDescent="0.25">
      <c r="A987" s="44"/>
      <c r="B987" s="44"/>
      <c r="C987" s="44"/>
      <c r="D987" s="44"/>
      <c r="E987" s="8"/>
      <c r="F987" s="8"/>
      <c r="G987" s="8"/>
      <c r="H987" s="8"/>
      <c r="I987" s="8"/>
      <c r="J987" s="8"/>
      <c r="K987" s="8"/>
    </row>
    <row r="988" spans="1:11" x14ac:dyDescent="0.25">
      <c r="A988" s="44"/>
      <c r="B988" s="44"/>
      <c r="C988" s="44"/>
      <c r="D988" s="44"/>
      <c r="E988" s="8"/>
      <c r="F988" s="8"/>
      <c r="G988" s="8"/>
      <c r="H988" s="8"/>
      <c r="I988" s="8"/>
      <c r="J988" s="8"/>
      <c r="K988" s="8"/>
    </row>
    <row r="989" spans="1:11" x14ac:dyDescent="0.25">
      <c r="A989" s="44"/>
      <c r="B989" s="44"/>
      <c r="C989" s="44"/>
      <c r="D989" s="44"/>
      <c r="E989" s="8"/>
      <c r="F989" s="8"/>
      <c r="G989" s="8"/>
      <c r="H989" s="8"/>
      <c r="I989" s="8"/>
      <c r="J989" s="8"/>
      <c r="K989" s="8"/>
    </row>
    <row r="990" spans="1:11" x14ac:dyDescent="0.25">
      <c r="A990" s="44"/>
      <c r="B990" s="44"/>
      <c r="C990" s="44"/>
      <c r="D990" s="44"/>
      <c r="E990" s="8"/>
      <c r="F990" s="8"/>
      <c r="G990" s="8"/>
      <c r="H990" s="8"/>
      <c r="I990" s="8"/>
      <c r="J990" s="8"/>
      <c r="K990" s="8"/>
    </row>
    <row r="991" spans="1:11" x14ac:dyDescent="0.25">
      <c r="A991" s="44"/>
      <c r="B991" s="44"/>
      <c r="C991" s="44"/>
      <c r="D991" s="44"/>
      <c r="E991" s="8"/>
      <c r="F991" s="8"/>
      <c r="G991" s="8"/>
      <c r="H991" s="8"/>
      <c r="I991" s="8"/>
      <c r="J991" s="8"/>
      <c r="K991" s="8"/>
    </row>
    <row r="992" spans="1:11" x14ac:dyDescent="0.25">
      <c r="A992" s="44"/>
      <c r="B992" s="44"/>
      <c r="C992" s="44"/>
      <c r="D992" s="44"/>
      <c r="E992" s="8"/>
      <c r="F992" s="8"/>
      <c r="G992" s="8"/>
      <c r="H992" s="8"/>
      <c r="I992" s="8"/>
      <c r="J992" s="8"/>
      <c r="K992" s="8"/>
    </row>
    <row r="993" spans="1:11" x14ac:dyDescent="0.25">
      <c r="A993" s="44"/>
      <c r="B993" s="44"/>
      <c r="C993" s="44"/>
      <c r="D993" s="44"/>
      <c r="E993" s="8"/>
      <c r="F993" s="8"/>
      <c r="G993" s="8"/>
      <c r="H993" s="8"/>
      <c r="I993" s="8"/>
      <c r="J993" s="8"/>
      <c r="K993" s="8"/>
    </row>
    <row r="994" spans="1:11" x14ac:dyDescent="0.25">
      <c r="A994" s="44"/>
      <c r="B994" s="44"/>
      <c r="C994" s="44"/>
      <c r="D994" s="44"/>
      <c r="E994" s="8"/>
      <c r="F994" s="8"/>
      <c r="G994" s="8"/>
      <c r="H994" s="8"/>
      <c r="I994" s="8"/>
      <c r="J994" s="8"/>
      <c r="K994" s="8"/>
    </row>
    <row r="995" spans="1:11" x14ac:dyDescent="0.25">
      <c r="A995" s="44"/>
      <c r="B995" s="44"/>
      <c r="C995" s="44"/>
      <c r="D995" s="44"/>
      <c r="E995" s="8"/>
      <c r="F995" s="8"/>
      <c r="G995" s="8"/>
      <c r="H995" s="8"/>
      <c r="I995" s="8"/>
      <c r="J995" s="8"/>
      <c r="K995" s="8"/>
    </row>
    <row r="996" spans="1:11" x14ac:dyDescent="0.25">
      <c r="A996" s="44"/>
      <c r="B996" s="44"/>
      <c r="C996" s="44"/>
      <c r="D996" s="44"/>
      <c r="E996" s="8"/>
      <c r="F996" s="8"/>
      <c r="G996" s="8"/>
      <c r="H996" s="8"/>
      <c r="I996" s="8"/>
      <c r="J996" s="8"/>
      <c r="K996" s="8"/>
    </row>
    <row r="997" spans="1:11" x14ac:dyDescent="0.25">
      <c r="A997" s="44"/>
      <c r="B997" s="44"/>
      <c r="C997" s="44"/>
      <c r="D997" s="44"/>
      <c r="E997" s="8"/>
      <c r="F997" s="8"/>
      <c r="G997" s="8"/>
      <c r="H997" s="8"/>
      <c r="I997" s="8"/>
      <c r="J997" s="8"/>
      <c r="K997" s="8"/>
    </row>
    <row r="998" spans="1:11" x14ac:dyDescent="0.25">
      <c r="A998" s="44"/>
      <c r="B998" s="44"/>
      <c r="C998" s="44"/>
      <c r="D998" s="44"/>
      <c r="E998" s="8"/>
      <c r="F998" s="8"/>
      <c r="G998" s="8"/>
      <c r="H998" s="8"/>
      <c r="I998" s="8"/>
      <c r="J998" s="8"/>
      <c r="K998" s="8"/>
    </row>
    <row r="999" spans="1:11" x14ac:dyDescent="0.25">
      <c r="A999" s="44"/>
      <c r="B999" s="44"/>
      <c r="C999" s="44"/>
      <c r="D999" s="44"/>
      <c r="E999" s="8"/>
      <c r="F999" s="8"/>
      <c r="G999" s="8"/>
      <c r="H999" s="8"/>
      <c r="I999" s="8"/>
      <c r="J999" s="8"/>
      <c r="K999" s="8"/>
    </row>
    <row r="1000" spans="1:11" x14ac:dyDescent="0.25">
      <c r="A1000" s="44"/>
      <c r="B1000" s="44"/>
      <c r="C1000" s="44"/>
      <c r="D1000" s="44"/>
      <c r="E1000" s="8"/>
      <c r="F1000" s="8"/>
      <c r="G1000" s="8"/>
      <c r="H1000" s="8"/>
      <c r="I1000" s="8"/>
      <c r="J1000" s="8"/>
      <c r="K1000" s="8"/>
    </row>
    <row r="1001" spans="1:11" x14ac:dyDescent="0.25">
      <c r="A1001" s="44"/>
      <c r="B1001" s="44"/>
      <c r="C1001" s="44"/>
      <c r="D1001" s="44"/>
      <c r="E1001" s="8"/>
      <c r="F1001" s="8"/>
      <c r="G1001" s="8"/>
      <c r="H1001" s="8"/>
      <c r="I1001" s="8"/>
      <c r="J1001" s="8"/>
      <c r="K1001" s="8"/>
    </row>
    <row r="1002" spans="1:11" x14ac:dyDescent="0.25">
      <c r="A1002" s="44"/>
      <c r="B1002" s="44"/>
      <c r="C1002" s="44"/>
      <c r="D1002" s="44"/>
      <c r="E1002" s="8"/>
      <c r="F1002" s="8"/>
      <c r="G1002" s="8"/>
      <c r="H1002" s="8"/>
      <c r="I1002" s="8"/>
      <c r="J1002" s="8"/>
      <c r="K1002" s="8"/>
    </row>
  </sheetData>
  <mergeCells count="15">
    <mergeCell ref="J138:L138"/>
    <mergeCell ref="J155:K155"/>
    <mergeCell ref="J163:K163"/>
    <mergeCell ref="J2:L2"/>
    <mergeCell ref="J7:M7"/>
    <mergeCell ref="J61:K61"/>
    <mergeCell ref="J62:K62"/>
    <mergeCell ref="J65:K65"/>
    <mergeCell ref="J75:K75"/>
    <mergeCell ref="J103:L103"/>
    <mergeCell ref="J112:K112"/>
    <mergeCell ref="J113:K113"/>
    <mergeCell ref="J118:K118"/>
    <mergeCell ref="J130:K130"/>
    <mergeCell ref="J131:K13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W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3" x14ac:dyDescent="0.25">
      <c r="A1" s="54" t="s">
        <v>0</v>
      </c>
      <c r="B1" s="54" t="s">
        <v>4354</v>
      </c>
      <c r="C1" s="54" t="s">
        <v>4355</v>
      </c>
      <c r="D1" s="54" t="s">
        <v>6</v>
      </c>
      <c r="E1" s="54" t="s">
        <v>4356</v>
      </c>
      <c r="F1" s="54" t="s">
        <v>4357</v>
      </c>
      <c r="G1" s="54" t="s">
        <v>4358</v>
      </c>
      <c r="H1" s="38" t="s">
        <v>4359</v>
      </c>
      <c r="I1" s="38" t="s">
        <v>4360</v>
      </c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</row>
    <row r="2" spans="1:23" x14ac:dyDescent="0.25">
      <c r="A2" s="11" t="s">
        <v>4194</v>
      </c>
      <c r="B2" s="11">
        <v>174840800</v>
      </c>
      <c r="C2" s="11">
        <v>255138000</v>
      </c>
      <c r="D2" s="11">
        <v>45.925893727322226</v>
      </c>
      <c r="E2" s="55">
        <v>2</v>
      </c>
      <c r="F2" s="55">
        <v>0</v>
      </c>
      <c r="G2" s="55">
        <v>0</v>
      </c>
      <c r="H2" s="8">
        <v>100</v>
      </c>
      <c r="I2" s="8">
        <v>0</v>
      </c>
    </row>
    <row r="3" spans="1:23" x14ac:dyDescent="0.25">
      <c r="A3" s="11" t="s">
        <v>4230</v>
      </c>
      <c r="B3" s="11">
        <v>7202789969.0999994</v>
      </c>
      <c r="C3" s="11">
        <v>9618553595.1000004</v>
      </c>
      <c r="D3" s="11">
        <v>33.539276257722875</v>
      </c>
      <c r="E3" s="55">
        <v>1</v>
      </c>
      <c r="F3" s="55">
        <v>0</v>
      </c>
      <c r="G3" s="55">
        <v>0</v>
      </c>
      <c r="H3" s="8">
        <v>100</v>
      </c>
      <c r="I3" s="8">
        <v>0</v>
      </c>
      <c r="J3" s="69" t="s">
        <v>4458</v>
      </c>
      <c r="K3" s="67"/>
    </row>
    <row r="4" spans="1:23" x14ac:dyDescent="0.25">
      <c r="A4" s="11" t="s">
        <v>4133</v>
      </c>
      <c r="B4" s="11">
        <v>3422187720</v>
      </c>
      <c r="C4" s="11">
        <v>4448844036</v>
      </c>
      <c r="D4" s="11">
        <v>30</v>
      </c>
      <c r="E4" s="55">
        <v>1</v>
      </c>
      <c r="F4" s="55">
        <v>0</v>
      </c>
      <c r="G4" s="55">
        <v>0</v>
      </c>
      <c r="H4" s="8">
        <v>100</v>
      </c>
      <c r="I4" s="8">
        <v>0</v>
      </c>
    </row>
    <row r="5" spans="1:23" x14ac:dyDescent="0.25">
      <c r="A5" s="11" t="s">
        <v>3023</v>
      </c>
      <c r="B5" s="11">
        <v>30126553935.399998</v>
      </c>
      <c r="C5" s="11">
        <v>38620427703.650002</v>
      </c>
      <c r="D5" s="11">
        <v>28.193977268237564</v>
      </c>
      <c r="E5" s="55">
        <v>11</v>
      </c>
      <c r="F5" s="55">
        <v>0</v>
      </c>
      <c r="G5" s="55">
        <v>0</v>
      </c>
      <c r="H5" s="8">
        <v>100</v>
      </c>
      <c r="I5" s="8">
        <v>0</v>
      </c>
    </row>
    <row r="6" spans="1:23" x14ac:dyDescent="0.25">
      <c r="A6" s="11" t="s">
        <v>4077</v>
      </c>
      <c r="B6" s="11">
        <v>3454161165.0000005</v>
      </c>
      <c r="C6" s="11">
        <v>4397985247.5</v>
      </c>
      <c r="D6" s="11">
        <v>27.324263038548736</v>
      </c>
      <c r="E6" s="55">
        <v>1</v>
      </c>
      <c r="F6" s="55">
        <v>0</v>
      </c>
      <c r="G6" s="55">
        <v>0</v>
      </c>
      <c r="H6" s="8">
        <v>100</v>
      </c>
      <c r="I6" s="8">
        <v>0</v>
      </c>
    </row>
    <row r="7" spans="1:23" x14ac:dyDescent="0.25">
      <c r="A7" s="11" t="s">
        <v>668</v>
      </c>
      <c r="B7" s="11">
        <v>56652365876.25</v>
      </c>
      <c r="C7" s="11">
        <v>68249062312.900009</v>
      </c>
      <c r="D7" s="11">
        <v>20.469924348758074</v>
      </c>
      <c r="E7" s="55">
        <v>2</v>
      </c>
      <c r="F7" s="55">
        <v>0</v>
      </c>
      <c r="G7" s="55">
        <v>0</v>
      </c>
      <c r="H7" s="8">
        <v>100</v>
      </c>
      <c r="I7" s="8">
        <v>0</v>
      </c>
    </row>
    <row r="8" spans="1:23" x14ac:dyDescent="0.25">
      <c r="A8" s="11" t="s">
        <v>3501</v>
      </c>
      <c r="B8" s="11">
        <v>19543334878.900002</v>
      </c>
      <c r="C8" s="11">
        <v>23417079834.900002</v>
      </c>
      <c r="D8" s="11">
        <v>19.821309822523155</v>
      </c>
      <c r="E8" s="55">
        <v>4</v>
      </c>
      <c r="F8" s="55">
        <v>0</v>
      </c>
      <c r="G8" s="55">
        <v>0</v>
      </c>
      <c r="H8" s="8">
        <v>100</v>
      </c>
      <c r="I8" s="8">
        <v>0</v>
      </c>
    </row>
    <row r="9" spans="1:23" x14ac:dyDescent="0.25">
      <c r="A9" s="11" t="s">
        <v>659</v>
      </c>
      <c r="B9" s="11">
        <v>73767625505.149994</v>
      </c>
      <c r="C9" s="11">
        <v>87989331409.5</v>
      </c>
      <c r="D9" s="11">
        <v>19.279061521855731</v>
      </c>
      <c r="E9" s="55">
        <v>2</v>
      </c>
      <c r="F9" s="55">
        <v>0</v>
      </c>
      <c r="G9" s="55">
        <v>0</v>
      </c>
      <c r="H9" s="8">
        <v>100</v>
      </c>
      <c r="I9" s="8">
        <v>0</v>
      </c>
    </row>
    <row r="10" spans="1:23" x14ac:dyDescent="0.25">
      <c r="A10" s="11" t="s">
        <v>3068</v>
      </c>
      <c r="B10" s="11">
        <v>2815345702.2800002</v>
      </c>
      <c r="C10" s="11">
        <v>3291688263.6800003</v>
      </c>
      <c r="D10" s="11">
        <v>16.919505161097455</v>
      </c>
      <c r="E10" s="55">
        <v>4</v>
      </c>
      <c r="F10" s="55">
        <v>0</v>
      </c>
      <c r="G10" s="55">
        <v>0</v>
      </c>
      <c r="H10" s="8">
        <v>100</v>
      </c>
      <c r="I10" s="8">
        <v>0</v>
      </c>
    </row>
    <row r="11" spans="1:23" x14ac:dyDescent="0.25">
      <c r="A11" s="11" t="s">
        <v>3663</v>
      </c>
      <c r="B11" s="11">
        <v>75797479990</v>
      </c>
      <c r="C11" s="11">
        <v>88607487413.199997</v>
      </c>
      <c r="D11" s="11">
        <v>16.900307800325322</v>
      </c>
      <c r="E11" s="55">
        <v>2</v>
      </c>
      <c r="F11" s="55">
        <v>0</v>
      </c>
      <c r="G11" s="55">
        <v>0</v>
      </c>
      <c r="H11" s="8">
        <v>100</v>
      </c>
      <c r="I11" s="8">
        <v>0</v>
      </c>
    </row>
    <row r="12" spans="1:23" x14ac:dyDescent="0.25">
      <c r="A12" s="11" t="s">
        <v>2247</v>
      </c>
      <c r="B12" s="11">
        <v>120508471008.78999</v>
      </c>
      <c r="C12" s="11">
        <v>136292149973.09</v>
      </c>
      <c r="D12" s="11">
        <v>13.097568023370512</v>
      </c>
      <c r="E12" s="55">
        <v>4</v>
      </c>
      <c r="F12" s="55">
        <v>0</v>
      </c>
      <c r="G12" s="55">
        <v>0</v>
      </c>
      <c r="H12" s="8">
        <v>100</v>
      </c>
      <c r="I12" s="8">
        <v>0</v>
      </c>
    </row>
    <row r="13" spans="1:23" x14ac:dyDescent="0.25">
      <c r="A13" s="11" t="s">
        <v>3867</v>
      </c>
      <c r="B13" s="11">
        <v>3200634404</v>
      </c>
      <c r="C13" s="11">
        <v>3619229771.2999997</v>
      </c>
      <c r="D13" s="11">
        <v>13.078512396694206</v>
      </c>
      <c r="E13" s="55">
        <v>1</v>
      </c>
      <c r="F13" s="55">
        <v>0</v>
      </c>
      <c r="G13" s="55">
        <v>0</v>
      </c>
      <c r="H13" s="8">
        <v>100</v>
      </c>
      <c r="I13" s="8">
        <v>0</v>
      </c>
    </row>
    <row r="14" spans="1:23" x14ac:dyDescent="0.25">
      <c r="A14" s="11" t="s">
        <v>3772</v>
      </c>
      <c r="B14" s="11">
        <v>515486679068.5</v>
      </c>
      <c r="C14" s="11">
        <v>581233835121.85999</v>
      </c>
      <c r="D14" s="11">
        <v>12.754385073959057</v>
      </c>
      <c r="E14" s="55">
        <v>5</v>
      </c>
      <c r="F14" s="55">
        <v>0</v>
      </c>
      <c r="G14" s="55">
        <v>0</v>
      </c>
      <c r="H14" s="8">
        <v>100</v>
      </c>
      <c r="I14" s="8">
        <v>0</v>
      </c>
    </row>
    <row r="15" spans="1:23" x14ac:dyDescent="0.25">
      <c r="A15" s="11" t="s">
        <v>96</v>
      </c>
      <c r="B15" s="11">
        <v>18347513156.099998</v>
      </c>
      <c r="C15" s="11">
        <v>20562704791.200001</v>
      </c>
      <c r="D15" s="11">
        <v>12.073525257909502</v>
      </c>
      <c r="E15" s="55">
        <v>3</v>
      </c>
      <c r="F15" s="55">
        <v>0</v>
      </c>
      <c r="G15" s="55">
        <v>0</v>
      </c>
      <c r="H15" s="8">
        <v>100</v>
      </c>
      <c r="I15" s="8">
        <v>0</v>
      </c>
    </row>
    <row r="16" spans="1:23" x14ac:dyDescent="0.25">
      <c r="A16" s="11" t="s">
        <v>2265</v>
      </c>
      <c r="B16" s="11">
        <v>16113430074.349998</v>
      </c>
      <c r="C16" s="11">
        <v>17987523971.399998</v>
      </c>
      <c r="D16" s="11">
        <v>11.630632884510771</v>
      </c>
      <c r="E16" s="55">
        <v>5</v>
      </c>
      <c r="F16" s="55">
        <v>0</v>
      </c>
      <c r="G16" s="55">
        <v>0</v>
      </c>
      <c r="H16" s="8">
        <v>100</v>
      </c>
      <c r="I16" s="8">
        <v>0</v>
      </c>
    </row>
    <row r="17" spans="1:9" x14ac:dyDescent="0.25">
      <c r="A17" s="11" t="s">
        <v>3618</v>
      </c>
      <c r="B17" s="11">
        <v>108953870800.10001</v>
      </c>
      <c r="C17" s="11">
        <v>121546650054.85001</v>
      </c>
      <c r="D17" s="11">
        <v>11.557899836210723</v>
      </c>
      <c r="E17" s="55">
        <v>5</v>
      </c>
      <c r="F17" s="55">
        <v>0</v>
      </c>
      <c r="G17" s="55">
        <v>0</v>
      </c>
      <c r="H17" s="8">
        <v>100</v>
      </c>
      <c r="I17" s="8">
        <v>0</v>
      </c>
    </row>
    <row r="18" spans="1:9" x14ac:dyDescent="0.25">
      <c r="A18" s="11" t="s">
        <v>4068</v>
      </c>
      <c r="B18" s="11">
        <v>24834482939.139999</v>
      </c>
      <c r="C18" s="11">
        <v>27665693865.799999</v>
      </c>
      <c r="D18" s="11">
        <v>11.400321615707625</v>
      </c>
      <c r="E18" s="55">
        <v>2</v>
      </c>
      <c r="F18" s="55">
        <v>0</v>
      </c>
      <c r="G18" s="55">
        <v>0</v>
      </c>
      <c r="H18" s="8">
        <v>100</v>
      </c>
      <c r="I18" s="8">
        <v>0</v>
      </c>
    </row>
    <row r="19" spans="1:9" x14ac:dyDescent="0.25">
      <c r="A19" s="11" t="s">
        <v>4145</v>
      </c>
      <c r="B19" s="11">
        <v>9026283013160.6387</v>
      </c>
      <c r="C19" s="11">
        <v>10050669943731.49</v>
      </c>
      <c r="D19" s="11">
        <v>11.348934318559028</v>
      </c>
      <c r="E19" s="55">
        <v>12</v>
      </c>
      <c r="F19" s="55">
        <v>0</v>
      </c>
      <c r="G19" s="55">
        <v>0</v>
      </c>
      <c r="H19" s="8">
        <v>100</v>
      </c>
      <c r="I19" s="8">
        <v>0</v>
      </c>
    </row>
    <row r="20" spans="1:9" x14ac:dyDescent="0.25">
      <c r="A20" s="11" t="s">
        <v>4051</v>
      </c>
      <c r="B20" s="11">
        <v>24776544365.779999</v>
      </c>
      <c r="C20" s="11">
        <v>27170399570</v>
      </c>
      <c r="D20" s="11">
        <v>9.6617799838393221</v>
      </c>
      <c r="E20" s="55">
        <v>1</v>
      </c>
      <c r="F20" s="55">
        <v>0</v>
      </c>
      <c r="G20" s="55">
        <v>0</v>
      </c>
      <c r="H20" s="8">
        <v>100</v>
      </c>
      <c r="I20" s="8">
        <v>0</v>
      </c>
    </row>
    <row r="21" spans="1:9" x14ac:dyDescent="0.25">
      <c r="A21" s="11" t="s">
        <v>2778</v>
      </c>
      <c r="B21" s="11">
        <v>3528131812.1400003</v>
      </c>
      <c r="C21" s="11">
        <v>3845413287.8599997</v>
      </c>
      <c r="D21" s="11">
        <v>8.9929031174022711</v>
      </c>
      <c r="E21" s="55">
        <v>2</v>
      </c>
      <c r="F21" s="55">
        <v>0</v>
      </c>
      <c r="G21" s="55">
        <v>0</v>
      </c>
      <c r="H21" s="8">
        <v>100</v>
      </c>
      <c r="I21" s="8">
        <v>0</v>
      </c>
    </row>
    <row r="22" spans="1:9" x14ac:dyDescent="0.25">
      <c r="A22" s="11" t="s">
        <v>3707</v>
      </c>
      <c r="B22" s="11">
        <v>163735067796.29999</v>
      </c>
      <c r="C22" s="11">
        <v>178392330038.39999</v>
      </c>
      <c r="D22" s="11">
        <v>8.9518161499373221</v>
      </c>
      <c r="E22" s="55">
        <v>10</v>
      </c>
      <c r="F22" s="55">
        <v>0</v>
      </c>
      <c r="G22" s="55">
        <v>0</v>
      </c>
      <c r="H22" s="8">
        <v>100</v>
      </c>
      <c r="I22" s="8">
        <v>0</v>
      </c>
    </row>
    <row r="23" spans="1:9" x14ac:dyDescent="0.25">
      <c r="A23" s="11" t="s">
        <v>2787</v>
      </c>
      <c r="B23" s="11">
        <v>528915730384.76001</v>
      </c>
      <c r="C23" s="11">
        <v>574514949365.41003</v>
      </c>
      <c r="D23" s="11">
        <v>8.6212635323738329</v>
      </c>
      <c r="E23" s="55">
        <v>7</v>
      </c>
      <c r="F23" s="55">
        <v>0</v>
      </c>
      <c r="G23" s="55">
        <v>0</v>
      </c>
      <c r="H23" s="8">
        <v>100</v>
      </c>
      <c r="I23" s="8">
        <v>0</v>
      </c>
    </row>
    <row r="24" spans="1:9" x14ac:dyDescent="0.25">
      <c r="A24" s="11" t="s">
        <v>4168</v>
      </c>
      <c r="B24" s="11">
        <v>67024884446.899994</v>
      </c>
      <c r="C24" s="11">
        <v>72051969620.299988</v>
      </c>
      <c r="D24" s="11">
        <v>7.5003265054230228</v>
      </c>
      <c r="E24" s="55">
        <v>2</v>
      </c>
      <c r="F24" s="55">
        <v>0</v>
      </c>
      <c r="G24" s="55">
        <v>0</v>
      </c>
      <c r="H24" s="8">
        <v>100</v>
      </c>
      <c r="I24" s="8">
        <v>0</v>
      </c>
    </row>
    <row r="25" spans="1:9" x14ac:dyDescent="0.25">
      <c r="A25" s="11" t="s">
        <v>4053</v>
      </c>
      <c r="B25" s="11">
        <v>12529259725.4</v>
      </c>
      <c r="C25" s="11">
        <v>13391565032.35</v>
      </c>
      <c r="D25" s="11">
        <v>6.882332443008492</v>
      </c>
      <c r="E25" s="55">
        <v>4</v>
      </c>
      <c r="F25" s="55">
        <v>0</v>
      </c>
      <c r="G25" s="55">
        <v>0</v>
      </c>
      <c r="H25" s="8">
        <v>100</v>
      </c>
      <c r="I25" s="8">
        <v>0</v>
      </c>
    </row>
    <row r="26" spans="1:9" x14ac:dyDescent="0.25">
      <c r="A26" s="11" t="s">
        <v>3672</v>
      </c>
      <c r="B26" s="11">
        <v>7539338307.21</v>
      </c>
      <c r="C26" s="11">
        <v>8040330638.8999996</v>
      </c>
      <c r="D26" s="11">
        <v>6.6450437860162328</v>
      </c>
      <c r="E26" s="55">
        <v>4</v>
      </c>
      <c r="F26" s="55">
        <v>0</v>
      </c>
      <c r="G26" s="55">
        <v>0</v>
      </c>
      <c r="H26" s="8">
        <v>100</v>
      </c>
      <c r="I26" s="8">
        <v>0</v>
      </c>
    </row>
    <row r="27" spans="1:9" x14ac:dyDescent="0.25">
      <c r="A27" s="11" t="s">
        <v>4033</v>
      </c>
      <c r="B27" s="11">
        <v>2828680347263.4502</v>
      </c>
      <c r="C27" s="11">
        <v>3009353926324.2002</v>
      </c>
      <c r="D27" s="11">
        <v>6.3872038152186059</v>
      </c>
      <c r="E27" s="55">
        <v>4</v>
      </c>
      <c r="F27" s="55">
        <v>0</v>
      </c>
      <c r="G27" s="55">
        <v>0</v>
      </c>
      <c r="H27" s="8">
        <v>100</v>
      </c>
      <c r="I27" s="8">
        <v>0</v>
      </c>
    </row>
    <row r="28" spans="1:9" x14ac:dyDescent="0.25">
      <c r="A28" s="11" t="s">
        <v>3402</v>
      </c>
      <c r="B28" s="11">
        <v>5600940981138.25</v>
      </c>
      <c r="C28" s="11">
        <v>5917492004952.5293</v>
      </c>
      <c r="D28" s="11">
        <v>5.6517471774885282</v>
      </c>
      <c r="E28" s="55">
        <v>7</v>
      </c>
      <c r="F28" s="55">
        <v>0</v>
      </c>
      <c r="G28" s="55">
        <v>0</v>
      </c>
      <c r="H28" s="8">
        <v>100</v>
      </c>
      <c r="I28" s="8">
        <v>0</v>
      </c>
    </row>
    <row r="29" spans="1:9" x14ac:dyDescent="0.25">
      <c r="A29" s="11" t="s">
        <v>2816</v>
      </c>
      <c r="B29" s="11">
        <v>265704434410.35001</v>
      </c>
      <c r="C29" s="11">
        <v>280693482628.29999</v>
      </c>
      <c r="D29" s="11">
        <v>5.6412488000863084</v>
      </c>
      <c r="E29" s="55">
        <v>2</v>
      </c>
      <c r="F29" s="55">
        <v>0</v>
      </c>
      <c r="G29" s="55">
        <v>0</v>
      </c>
      <c r="H29" s="8">
        <v>100</v>
      </c>
      <c r="I29" s="8">
        <v>0</v>
      </c>
    </row>
    <row r="30" spans="1:9" x14ac:dyDescent="0.25">
      <c r="A30" s="11" t="s">
        <v>324</v>
      </c>
      <c r="B30" s="11">
        <v>270785437746.90002</v>
      </c>
      <c r="C30" s="11">
        <v>285840472399.04999</v>
      </c>
      <c r="D30" s="11">
        <v>5.5597652434403537</v>
      </c>
      <c r="E30" s="55">
        <v>6</v>
      </c>
      <c r="F30" s="55">
        <v>0</v>
      </c>
      <c r="G30" s="55">
        <v>0</v>
      </c>
      <c r="H30" s="8">
        <v>100</v>
      </c>
      <c r="I30" s="8">
        <v>0</v>
      </c>
    </row>
    <row r="31" spans="1:9" x14ac:dyDescent="0.25">
      <c r="A31" s="11" t="s">
        <v>41</v>
      </c>
      <c r="B31" s="11">
        <v>409423852836.09998</v>
      </c>
      <c r="C31" s="11">
        <v>429260753748.40002</v>
      </c>
      <c r="D31" s="11">
        <v>4.845076996586501</v>
      </c>
      <c r="E31" s="55">
        <v>3</v>
      </c>
      <c r="F31" s="55">
        <v>0</v>
      </c>
      <c r="G31" s="55">
        <v>0</v>
      </c>
      <c r="H31" s="8">
        <v>100</v>
      </c>
      <c r="I31" s="8">
        <v>0</v>
      </c>
    </row>
    <row r="32" spans="1:9" x14ac:dyDescent="0.25">
      <c r="A32" s="11" t="s">
        <v>4210</v>
      </c>
      <c r="B32" s="11">
        <v>21751909629.200001</v>
      </c>
      <c r="C32" s="11">
        <v>22751610608.700001</v>
      </c>
      <c r="D32" s="11">
        <v>4.5959228248998913</v>
      </c>
      <c r="E32" s="55">
        <v>1</v>
      </c>
      <c r="F32" s="55">
        <v>0</v>
      </c>
      <c r="G32" s="55">
        <v>0</v>
      </c>
      <c r="H32" s="8">
        <v>100</v>
      </c>
      <c r="I32" s="8">
        <v>0</v>
      </c>
    </row>
    <row r="33" spans="1:9" x14ac:dyDescent="0.25">
      <c r="A33" s="11" t="s">
        <v>788</v>
      </c>
      <c r="B33" s="11">
        <v>17895467305149.23</v>
      </c>
      <c r="C33" s="11">
        <v>18664914144549.438</v>
      </c>
      <c r="D33" s="11">
        <v>4.2996744721989284</v>
      </c>
      <c r="E33" s="55">
        <v>10</v>
      </c>
      <c r="F33" s="55">
        <v>0</v>
      </c>
      <c r="G33" s="55">
        <v>0</v>
      </c>
      <c r="H33" s="8">
        <v>100</v>
      </c>
      <c r="I33" s="8">
        <v>0</v>
      </c>
    </row>
    <row r="34" spans="1:9" x14ac:dyDescent="0.25">
      <c r="A34" s="11" t="s">
        <v>1616</v>
      </c>
      <c r="B34" s="11">
        <v>470251537648.89996</v>
      </c>
      <c r="C34" s="11">
        <v>489612080816.41992</v>
      </c>
      <c r="D34" s="11">
        <v>4.117061108256272</v>
      </c>
      <c r="E34" s="55">
        <v>4</v>
      </c>
      <c r="F34" s="55">
        <v>0</v>
      </c>
      <c r="G34" s="55">
        <v>0</v>
      </c>
      <c r="H34" s="8">
        <v>100</v>
      </c>
      <c r="I34" s="8">
        <v>0</v>
      </c>
    </row>
    <row r="35" spans="1:9" x14ac:dyDescent="0.25">
      <c r="A35" s="11" t="s">
        <v>4177</v>
      </c>
      <c r="B35" s="11">
        <v>39990654089</v>
      </c>
      <c r="C35" s="11">
        <v>41515209724.25</v>
      </c>
      <c r="D35" s="11">
        <v>3.8122798188223452</v>
      </c>
      <c r="E35" s="55">
        <v>1</v>
      </c>
      <c r="F35" s="55">
        <v>0</v>
      </c>
      <c r="G35" s="55">
        <v>0</v>
      </c>
      <c r="H35" s="8">
        <v>100</v>
      </c>
      <c r="I35" s="8">
        <v>0</v>
      </c>
    </row>
    <row r="36" spans="1:9" x14ac:dyDescent="0.25">
      <c r="A36" s="11" t="s">
        <v>1563</v>
      </c>
      <c r="B36" s="11">
        <v>40061501161.010002</v>
      </c>
      <c r="C36" s="11">
        <v>41292565903.459999</v>
      </c>
      <c r="D36" s="11">
        <v>3.072937126100844</v>
      </c>
      <c r="E36" s="55">
        <v>5</v>
      </c>
      <c r="F36" s="55">
        <v>0</v>
      </c>
      <c r="G36" s="55">
        <v>0</v>
      </c>
      <c r="H36" s="8">
        <v>100</v>
      </c>
      <c r="I36" s="8">
        <v>0</v>
      </c>
    </row>
    <row r="37" spans="1:9" x14ac:dyDescent="0.25">
      <c r="A37" s="11" t="s">
        <v>1351</v>
      </c>
      <c r="B37" s="11">
        <v>37958068055.199997</v>
      </c>
      <c r="C37" s="11">
        <v>39036442211.949997</v>
      </c>
      <c r="D37" s="11">
        <v>2.8409616505818716</v>
      </c>
      <c r="E37" s="55">
        <v>6</v>
      </c>
      <c r="F37" s="55">
        <v>0</v>
      </c>
      <c r="G37" s="55">
        <v>0</v>
      </c>
      <c r="H37" s="8">
        <v>100</v>
      </c>
      <c r="I37" s="8">
        <v>0</v>
      </c>
    </row>
    <row r="38" spans="1:9" x14ac:dyDescent="0.25">
      <c r="A38" s="11" t="s">
        <v>342</v>
      </c>
      <c r="B38" s="11">
        <v>1157810842935.8999</v>
      </c>
      <c r="C38" s="11">
        <v>1186506827004.3501</v>
      </c>
      <c r="D38" s="11">
        <v>2.4784691077589862</v>
      </c>
      <c r="E38" s="55">
        <v>3</v>
      </c>
      <c r="F38" s="55">
        <v>0</v>
      </c>
      <c r="G38" s="55">
        <v>0</v>
      </c>
      <c r="H38" s="8">
        <v>100</v>
      </c>
      <c r="I38" s="8">
        <v>0</v>
      </c>
    </row>
    <row r="39" spans="1:9" x14ac:dyDescent="0.25">
      <c r="A39" s="11" t="s">
        <v>1333</v>
      </c>
      <c r="B39" s="11">
        <v>69919549830.039993</v>
      </c>
      <c r="C39" s="11">
        <v>71509182680.470001</v>
      </c>
      <c r="D39" s="11">
        <v>2.2735169981701508</v>
      </c>
      <c r="E39" s="55">
        <v>4</v>
      </c>
      <c r="F39" s="55">
        <v>0</v>
      </c>
      <c r="G39" s="55">
        <v>0</v>
      </c>
      <c r="H39" s="8">
        <v>100</v>
      </c>
      <c r="I39" s="8">
        <v>0</v>
      </c>
    </row>
    <row r="40" spans="1:9" x14ac:dyDescent="0.25">
      <c r="A40" s="11" t="s">
        <v>3883</v>
      </c>
      <c r="B40" s="11">
        <v>358593460777.79999</v>
      </c>
      <c r="C40" s="11">
        <v>364525393462.20001</v>
      </c>
      <c r="D40" s="11">
        <v>1.6542222135154068</v>
      </c>
      <c r="E40" s="55">
        <v>4</v>
      </c>
      <c r="F40" s="55">
        <v>0</v>
      </c>
      <c r="G40" s="55">
        <v>0</v>
      </c>
      <c r="H40" s="8">
        <v>100</v>
      </c>
      <c r="I40" s="8">
        <v>0</v>
      </c>
    </row>
    <row r="41" spans="1:9" x14ac:dyDescent="0.25">
      <c r="A41" s="11" t="s">
        <v>4191</v>
      </c>
      <c r="B41" s="11">
        <v>6788993320.8000011</v>
      </c>
      <c r="C41" s="11">
        <v>6850182533.6500006</v>
      </c>
      <c r="D41" s="11">
        <v>0.90130023640661083</v>
      </c>
      <c r="E41" s="55">
        <v>1</v>
      </c>
      <c r="F41" s="55">
        <v>0</v>
      </c>
      <c r="G41" s="55">
        <v>0</v>
      </c>
      <c r="H41" s="8">
        <v>100</v>
      </c>
      <c r="I41" s="8">
        <v>0</v>
      </c>
    </row>
    <row r="42" spans="1:9" x14ac:dyDescent="0.25">
      <c r="A42" s="11" t="s">
        <v>110</v>
      </c>
      <c r="B42" s="11">
        <v>370512882806.74005</v>
      </c>
      <c r="C42" s="11">
        <v>394968005050.17993</v>
      </c>
      <c r="D42" s="11">
        <v>6.6003433020156823</v>
      </c>
      <c r="E42" s="55">
        <v>22</v>
      </c>
      <c r="F42" s="55">
        <v>0</v>
      </c>
      <c r="G42" s="55">
        <v>1</v>
      </c>
      <c r="H42" s="8">
        <v>95.652173913043484</v>
      </c>
      <c r="I42" s="8">
        <v>0</v>
      </c>
    </row>
    <row r="43" spans="1:9" x14ac:dyDescent="0.25">
      <c r="A43" s="11" t="s">
        <v>2422</v>
      </c>
      <c r="B43" s="11">
        <v>433122438922.93011</v>
      </c>
      <c r="C43" s="11">
        <v>454641598952.34003</v>
      </c>
      <c r="D43" s="11">
        <v>4.9683780140606002</v>
      </c>
      <c r="E43" s="55">
        <v>35</v>
      </c>
      <c r="F43" s="55">
        <v>1</v>
      </c>
      <c r="G43" s="55">
        <v>1</v>
      </c>
      <c r="H43" s="8">
        <v>94.594594594594597</v>
      </c>
      <c r="I43" s="8">
        <v>2.7027027027027026</v>
      </c>
    </row>
    <row r="44" spans="1:9" x14ac:dyDescent="0.25">
      <c r="A44" s="11" t="s">
        <v>3611</v>
      </c>
      <c r="B44" s="11">
        <v>160735620534.91</v>
      </c>
      <c r="C44" s="11">
        <v>170353339454.98999</v>
      </c>
      <c r="D44" s="11">
        <v>5.9835641210537549</v>
      </c>
      <c r="E44" s="55">
        <v>11</v>
      </c>
      <c r="F44" s="55">
        <v>1</v>
      </c>
      <c r="G44" s="55">
        <v>0</v>
      </c>
      <c r="H44" s="8">
        <v>91.666666666666657</v>
      </c>
      <c r="I44" s="8">
        <v>8.3333333333333321</v>
      </c>
    </row>
    <row r="45" spans="1:9" x14ac:dyDescent="0.25">
      <c r="A45" s="11" t="s">
        <v>206</v>
      </c>
      <c r="B45" s="11">
        <v>944905373209.70032</v>
      </c>
      <c r="C45" s="11">
        <v>1034469139766.49</v>
      </c>
      <c r="D45" s="11">
        <v>9.4785963860651083</v>
      </c>
      <c r="E45" s="55">
        <v>30</v>
      </c>
      <c r="F45" s="55">
        <v>3</v>
      </c>
      <c r="G45" s="55">
        <v>0</v>
      </c>
      <c r="H45" s="8">
        <v>90.909090909090907</v>
      </c>
      <c r="I45" s="8">
        <v>9.0909090909090917</v>
      </c>
    </row>
    <row r="46" spans="1:9" x14ac:dyDescent="0.25">
      <c r="A46" s="11" t="s">
        <v>1001</v>
      </c>
      <c r="B46" s="11">
        <v>746436321107.72998</v>
      </c>
      <c r="C46" s="11">
        <v>814798759443.47986</v>
      </c>
      <c r="D46" s="11">
        <v>9.1585090921484529</v>
      </c>
      <c r="E46" s="55">
        <v>10</v>
      </c>
      <c r="F46" s="55">
        <v>1</v>
      </c>
      <c r="G46" s="55">
        <v>0</v>
      </c>
      <c r="H46" s="8">
        <v>90.909090909090907</v>
      </c>
      <c r="I46" s="8">
        <v>9.0909090909090917</v>
      </c>
    </row>
    <row r="47" spans="1:9" x14ac:dyDescent="0.25">
      <c r="A47" s="11" t="s">
        <v>2905</v>
      </c>
      <c r="B47" s="11">
        <v>50447808383.490005</v>
      </c>
      <c r="C47" s="11">
        <v>54491727432.540001</v>
      </c>
      <c r="D47" s="11">
        <v>8.0160450545428343</v>
      </c>
      <c r="E47" s="55">
        <v>10</v>
      </c>
      <c r="F47" s="55">
        <v>1</v>
      </c>
      <c r="G47" s="55">
        <v>0</v>
      </c>
      <c r="H47" s="8">
        <v>90.909090909090907</v>
      </c>
      <c r="I47" s="8">
        <v>9.0909090909090917</v>
      </c>
    </row>
    <row r="48" spans="1:9" x14ac:dyDescent="0.25">
      <c r="A48" s="11" t="s">
        <v>3974</v>
      </c>
      <c r="B48" s="11">
        <v>197833051324.97003</v>
      </c>
      <c r="C48" s="11">
        <v>213855236605.5</v>
      </c>
      <c r="D48" s="11">
        <v>8.0988415096581416</v>
      </c>
      <c r="E48" s="55">
        <v>9</v>
      </c>
      <c r="F48" s="55">
        <v>1</v>
      </c>
      <c r="G48" s="55">
        <v>0</v>
      </c>
      <c r="H48" s="8">
        <v>90</v>
      </c>
      <c r="I48" s="8">
        <v>10</v>
      </c>
    </row>
    <row r="49" spans="1:11" x14ac:dyDescent="0.25">
      <c r="A49" s="11" t="s">
        <v>3190</v>
      </c>
      <c r="B49" s="11">
        <v>82005437988</v>
      </c>
      <c r="C49" s="11">
        <v>87640244436.080002</v>
      </c>
      <c r="D49" s="11">
        <v>6.8712594997718961</v>
      </c>
      <c r="E49" s="55">
        <v>9</v>
      </c>
      <c r="F49" s="55">
        <v>1</v>
      </c>
      <c r="G49" s="55">
        <v>0</v>
      </c>
      <c r="H49" s="8">
        <v>90</v>
      </c>
      <c r="I49" s="8">
        <v>10</v>
      </c>
    </row>
    <row r="50" spans="1:11" x14ac:dyDescent="0.25">
      <c r="A50" s="11" t="s">
        <v>11</v>
      </c>
      <c r="B50" s="11">
        <v>1200155187880.2803</v>
      </c>
      <c r="C50" s="11">
        <v>1342001416980.5298</v>
      </c>
      <c r="D50" s="11">
        <v>11.818990621602776</v>
      </c>
      <c r="E50" s="55">
        <v>8</v>
      </c>
      <c r="F50" s="55">
        <v>0</v>
      </c>
      <c r="G50" s="55">
        <v>1</v>
      </c>
      <c r="H50" s="8">
        <v>88.888888888888886</v>
      </c>
      <c r="I50" s="8">
        <v>0</v>
      </c>
    </row>
    <row r="51" spans="1:11" x14ac:dyDescent="0.25">
      <c r="A51" s="11" t="s">
        <v>3361</v>
      </c>
      <c r="B51" s="11">
        <v>126630226127.75</v>
      </c>
      <c r="C51" s="11">
        <v>133251103483.26001</v>
      </c>
      <c r="D51" s="11">
        <v>5.2285126213314861</v>
      </c>
      <c r="E51" s="55">
        <v>8</v>
      </c>
      <c r="F51" s="55">
        <v>1</v>
      </c>
      <c r="G51" s="55">
        <v>0</v>
      </c>
      <c r="H51" s="8">
        <v>88.888888888888886</v>
      </c>
      <c r="I51" s="8">
        <v>11.111111111111111</v>
      </c>
    </row>
    <row r="52" spans="1:11" x14ac:dyDescent="0.25">
      <c r="A52" s="11" t="s">
        <v>1760</v>
      </c>
      <c r="B52" s="11">
        <v>194515634621.94</v>
      </c>
      <c r="C52" s="11">
        <v>196688988203.48999</v>
      </c>
      <c r="D52" s="11">
        <v>1.1173156264657651</v>
      </c>
      <c r="E52" s="55">
        <v>8</v>
      </c>
      <c r="F52" s="55">
        <v>1</v>
      </c>
      <c r="G52" s="55">
        <v>0</v>
      </c>
      <c r="H52" s="8">
        <v>88.888888888888886</v>
      </c>
      <c r="I52" s="8">
        <v>11.111111111111111</v>
      </c>
    </row>
    <row r="53" spans="1:11" x14ac:dyDescent="0.25">
      <c r="A53" s="11" t="s">
        <v>262</v>
      </c>
      <c r="B53" s="11">
        <v>9902935696.3000011</v>
      </c>
      <c r="C53" s="11">
        <v>11496375049.02</v>
      </c>
      <c r="D53" s="11">
        <v>16.090575578667551</v>
      </c>
      <c r="E53" s="55">
        <v>7</v>
      </c>
      <c r="F53" s="55">
        <v>1</v>
      </c>
      <c r="G53" s="55">
        <v>0</v>
      </c>
      <c r="H53" s="8">
        <v>87.5</v>
      </c>
      <c r="I53" s="8">
        <v>12.5</v>
      </c>
    </row>
    <row r="54" spans="1:11" x14ac:dyDescent="0.25">
      <c r="A54" s="11" t="s">
        <v>677</v>
      </c>
      <c r="B54" s="11">
        <v>254186739571.48001</v>
      </c>
      <c r="C54" s="11">
        <v>293475262904.63</v>
      </c>
      <c r="D54" s="11">
        <v>15.456558984699376</v>
      </c>
      <c r="E54" s="55">
        <v>7</v>
      </c>
      <c r="F54" s="55">
        <v>1</v>
      </c>
      <c r="G54" s="55">
        <v>0</v>
      </c>
      <c r="H54" s="8">
        <v>87.5</v>
      </c>
      <c r="I54" s="8">
        <v>12.5</v>
      </c>
    </row>
    <row r="55" spans="1:11" x14ac:dyDescent="0.25">
      <c r="A55" s="11" t="s">
        <v>3847</v>
      </c>
      <c r="B55" s="11">
        <v>721215302642.16003</v>
      </c>
      <c r="C55" s="11">
        <v>794628578380.75989</v>
      </c>
      <c r="D55" s="11">
        <v>10.179106775695352</v>
      </c>
      <c r="E55" s="55">
        <v>7</v>
      </c>
      <c r="F55" s="55">
        <v>1</v>
      </c>
      <c r="G55" s="55">
        <v>0</v>
      </c>
      <c r="H55" s="8">
        <v>87.5</v>
      </c>
      <c r="I55" s="8">
        <v>12.5</v>
      </c>
      <c r="J55" s="69" t="s">
        <v>4459</v>
      </c>
      <c r="K55" s="67"/>
    </row>
    <row r="56" spans="1:11" x14ac:dyDescent="0.25">
      <c r="A56" s="11" t="s">
        <v>2575</v>
      </c>
      <c r="B56" s="11">
        <v>796057030130.09009</v>
      </c>
      <c r="C56" s="11">
        <v>845252444776.36023</v>
      </c>
      <c r="D56" s="11">
        <v>6.1798857097249336</v>
      </c>
      <c r="E56" s="55">
        <v>21</v>
      </c>
      <c r="F56" s="55">
        <v>3</v>
      </c>
      <c r="G56" s="55">
        <v>0</v>
      </c>
      <c r="H56" s="8">
        <v>87.5</v>
      </c>
      <c r="I56" s="8">
        <v>12.5</v>
      </c>
      <c r="J56" s="69" t="s">
        <v>4460</v>
      </c>
      <c r="K56" s="67"/>
    </row>
    <row r="57" spans="1:11" x14ac:dyDescent="0.25">
      <c r="A57" s="11" t="s">
        <v>1935</v>
      </c>
      <c r="B57" s="11">
        <v>388536971949.59998</v>
      </c>
      <c r="C57" s="11">
        <v>404417975761.90002</v>
      </c>
      <c r="D57" s="11">
        <v>4.0873854893685877</v>
      </c>
      <c r="E57" s="55">
        <v>7</v>
      </c>
      <c r="F57" s="55">
        <v>1</v>
      </c>
      <c r="G57" s="55">
        <v>0</v>
      </c>
      <c r="H57" s="8">
        <v>87.5</v>
      </c>
      <c r="I57" s="8">
        <v>12.5</v>
      </c>
    </row>
    <row r="58" spans="1:11" x14ac:dyDescent="0.25">
      <c r="A58" s="11" t="s">
        <v>807</v>
      </c>
      <c r="B58" s="11">
        <v>3486589032967.02</v>
      </c>
      <c r="C58" s="11">
        <v>3616738425844.1904</v>
      </c>
      <c r="D58" s="11">
        <v>3.7328572896478076</v>
      </c>
      <c r="E58" s="55">
        <v>26</v>
      </c>
      <c r="F58" s="55">
        <v>4</v>
      </c>
      <c r="G58" s="55">
        <v>0</v>
      </c>
      <c r="H58" s="8">
        <v>86.666666666666671</v>
      </c>
      <c r="I58" s="8">
        <v>13.333333333333334</v>
      </c>
    </row>
    <row r="59" spans="1:11" x14ac:dyDescent="0.25">
      <c r="A59" s="11" t="s">
        <v>1907</v>
      </c>
      <c r="B59" s="11">
        <v>477210310875.79004</v>
      </c>
      <c r="C59" s="11">
        <v>486478211881.12</v>
      </c>
      <c r="D59" s="11">
        <v>1.9420999073388081</v>
      </c>
      <c r="E59" s="55">
        <v>13</v>
      </c>
      <c r="F59" s="55">
        <v>1</v>
      </c>
      <c r="G59" s="55">
        <v>1</v>
      </c>
      <c r="H59" s="8">
        <v>86.666666666666671</v>
      </c>
      <c r="I59" s="8">
        <v>6.666666666666667</v>
      </c>
    </row>
    <row r="60" spans="1:11" x14ac:dyDescent="0.25">
      <c r="A60" s="11" t="s">
        <v>1046</v>
      </c>
      <c r="B60" s="11">
        <v>765123807930.16016</v>
      </c>
      <c r="C60" s="11">
        <v>768726482052.82019</v>
      </c>
      <c r="D60" s="11">
        <v>0.47086158936893036</v>
      </c>
      <c r="E60" s="55">
        <v>19</v>
      </c>
      <c r="F60" s="55">
        <v>3</v>
      </c>
      <c r="G60" s="55">
        <v>0</v>
      </c>
      <c r="H60" s="8">
        <v>86.36363636363636</v>
      </c>
      <c r="I60" s="8">
        <v>13.636363636363635</v>
      </c>
    </row>
    <row r="61" spans="1:11" x14ac:dyDescent="0.25">
      <c r="A61" s="11" t="s">
        <v>9</v>
      </c>
      <c r="B61" s="11">
        <v>2914041480553.77</v>
      </c>
      <c r="C61" s="11">
        <v>3161355422875.9497</v>
      </c>
      <c r="D61" s="11">
        <v>8.4869739834719642</v>
      </c>
      <c r="E61" s="55">
        <v>6</v>
      </c>
      <c r="F61" s="55">
        <v>1</v>
      </c>
      <c r="G61" s="55">
        <v>0</v>
      </c>
      <c r="H61" s="8">
        <v>85.714285714285708</v>
      </c>
      <c r="I61" s="8">
        <v>14.285714285714285</v>
      </c>
    </row>
    <row r="62" spans="1:11" x14ac:dyDescent="0.25">
      <c r="A62" s="11" t="s">
        <v>4094</v>
      </c>
      <c r="B62" s="11">
        <v>28295383783.43</v>
      </c>
      <c r="C62" s="11">
        <v>30631827188.420006</v>
      </c>
      <c r="D62" s="11">
        <v>8.2573306758194427</v>
      </c>
      <c r="E62" s="55">
        <v>18</v>
      </c>
      <c r="F62" s="55">
        <v>1</v>
      </c>
      <c r="G62" s="55">
        <v>2</v>
      </c>
      <c r="H62" s="8">
        <v>85.714285714285708</v>
      </c>
      <c r="I62" s="8">
        <v>4.7619047619047619</v>
      </c>
    </row>
    <row r="63" spans="1:11" x14ac:dyDescent="0.25">
      <c r="A63" s="11" t="s">
        <v>108</v>
      </c>
      <c r="B63" s="55">
        <v>2105742035918.5898</v>
      </c>
      <c r="C63" s="55">
        <v>2260080943990.0996</v>
      </c>
      <c r="D63" s="11">
        <v>7.3294309292820072</v>
      </c>
      <c r="E63" s="55">
        <v>12</v>
      </c>
      <c r="F63" s="55">
        <v>2</v>
      </c>
      <c r="G63" s="55">
        <v>0</v>
      </c>
      <c r="H63" s="8">
        <v>85.714285714285708</v>
      </c>
      <c r="I63" s="8">
        <v>14.285714285714285</v>
      </c>
    </row>
    <row r="64" spans="1:11" x14ac:dyDescent="0.25">
      <c r="A64" s="11" t="s">
        <v>67</v>
      </c>
      <c r="B64" s="11">
        <v>721113573989.25</v>
      </c>
      <c r="C64" s="11">
        <v>753626063015.00012</v>
      </c>
      <c r="D64" s="11">
        <v>4.5086502596101186</v>
      </c>
      <c r="E64" s="55">
        <v>6</v>
      </c>
      <c r="F64" s="55">
        <v>1</v>
      </c>
      <c r="G64" s="55">
        <v>0</v>
      </c>
      <c r="H64" s="8">
        <v>85.714285714285708</v>
      </c>
      <c r="I64" s="8">
        <v>14.285714285714285</v>
      </c>
    </row>
    <row r="65" spans="1:11" x14ac:dyDescent="0.25">
      <c r="A65" s="11" t="s">
        <v>1970</v>
      </c>
      <c r="B65" s="11">
        <v>690865691579.34998</v>
      </c>
      <c r="C65" s="11">
        <v>720178982483</v>
      </c>
      <c r="D65" s="11">
        <v>4.2429796791093395</v>
      </c>
      <c r="E65" s="55">
        <v>6</v>
      </c>
      <c r="F65" s="55">
        <v>1</v>
      </c>
      <c r="G65" s="55">
        <v>0</v>
      </c>
      <c r="H65" s="8">
        <v>85.714285714285708</v>
      </c>
      <c r="I65" s="8">
        <v>14.285714285714285</v>
      </c>
    </row>
    <row r="66" spans="1:11" x14ac:dyDescent="0.25">
      <c r="A66" s="11" t="s">
        <v>680</v>
      </c>
      <c r="B66" s="11">
        <v>24327348745870.238</v>
      </c>
      <c r="C66" s="11">
        <v>25626763342325.234</v>
      </c>
      <c r="D66" s="11">
        <v>5.3413736532863334</v>
      </c>
      <c r="E66" s="55">
        <v>17</v>
      </c>
      <c r="F66" s="55">
        <v>3</v>
      </c>
      <c r="G66" s="55">
        <v>0</v>
      </c>
      <c r="H66" s="8">
        <v>85</v>
      </c>
      <c r="I66" s="8">
        <v>15</v>
      </c>
    </row>
    <row r="67" spans="1:11" x14ac:dyDescent="0.25">
      <c r="A67" s="11" t="s">
        <v>985</v>
      </c>
      <c r="B67" s="11">
        <v>1919682473156.26</v>
      </c>
      <c r="C67" s="11">
        <v>2003463544339.1804</v>
      </c>
      <c r="D67" s="11">
        <v>4.3643192222915461</v>
      </c>
      <c r="E67" s="55">
        <v>17</v>
      </c>
      <c r="F67" s="55">
        <v>3</v>
      </c>
      <c r="G67" s="55">
        <v>0</v>
      </c>
      <c r="H67" s="8">
        <v>85</v>
      </c>
      <c r="I67" s="8">
        <v>15</v>
      </c>
    </row>
    <row r="68" spans="1:11" x14ac:dyDescent="0.25">
      <c r="A68" s="11" t="s">
        <v>1478</v>
      </c>
      <c r="B68" s="11">
        <v>356947850613.53998</v>
      </c>
      <c r="C68" s="11">
        <v>383091775802.22009</v>
      </c>
      <c r="D68" s="11">
        <v>7.324298253580352</v>
      </c>
      <c r="E68" s="55">
        <v>39</v>
      </c>
      <c r="F68" s="55">
        <v>6</v>
      </c>
      <c r="G68" s="55">
        <v>1</v>
      </c>
      <c r="H68" s="8">
        <v>84.782608695652172</v>
      </c>
      <c r="I68" s="8">
        <v>13.043478260869565</v>
      </c>
    </row>
    <row r="69" spans="1:11" x14ac:dyDescent="0.25">
      <c r="A69" s="11" t="s">
        <v>935</v>
      </c>
      <c r="B69" s="11">
        <v>2885670632233.71</v>
      </c>
      <c r="C69" s="11">
        <v>3135922442142.9497</v>
      </c>
      <c r="D69" s="11">
        <v>8.6722236111724023</v>
      </c>
      <c r="E69" s="55">
        <v>11</v>
      </c>
      <c r="F69" s="55">
        <v>2</v>
      </c>
      <c r="G69" s="55">
        <v>0</v>
      </c>
      <c r="H69" s="8">
        <v>84.615384615384613</v>
      </c>
      <c r="I69" s="8">
        <v>15.384615384615385</v>
      </c>
    </row>
    <row r="70" spans="1:11" x14ac:dyDescent="0.25">
      <c r="A70" s="11" t="s">
        <v>1064</v>
      </c>
      <c r="B70" s="11">
        <v>971643840646.93005</v>
      </c>
      <c r="C70" s="11">
        <v>1057675411744.7902</v>
      </c>
      <c r="D70" s="11">
        <v>8.8542290393751113</v>
      </c>
      <c r="E70" s="55">
        <v>43</v>
      </c>
      <c r="F70" s="55">
        <v>5</v>
      </c>
      <c r="G70" s="55">
        <v>3</v>
      </c>
      <c r="H70" s="8">
        <v>84.313725490196077</v>
      </c>
      <c r="I70" s="8">
        <v>9.8039215686274517</v>
      </c>
    </row>
    <row r="71" spans="1:11" x14ac:dyDescent="0.25">
      <c r="A71" s="11" t="s">
        <v>15</v>
      </c>
      <c r="B71" s="11">
        <v>10399417253292.396</v>
      </c>
      <c r="C71" s="11">
        <v>10910575983529.492</v>
      </c>
      <c r="D71" s="11">
        <v>4.9152632093424824</v>
      </c>
      <c r="E71" s="55">
        <v>135</v>
      </c>
      <c r="F71" s="55">
        <v>23</v>
      </c>
      <c r="G71" s="55">
        <v>3</v>
      </c>
      <c r="H71" s="8">
        <v>83.850931677018636</v>
      </c>
      <c r="I71" s="8">
        <v>14.285714285714285</v>
      </c>
    </row>
    <row r="72" spans="1:11" x14ac:dyDescent="0.25">
      <c r="A72" s="11" t="s">
        <v>2929</v>
      </c>
      <c r="B72" s="11">
        <v>326777246243.98999</v>
      </c>
      <c r="C72" s="11">
        <v>361446753552.58002</v>
      </c>
      <c r="D72" s="11">
        <v>10.609523064131537</v>
      </c>
      <c r="E72" s="55">
        <v>51</v>
      </c>
      <c r="F72" s="55">
        <v>9</v>
      </c>
      <c r="G72" s="55">
        <v>1</v>
      </c>
      <c r="H72" s="8">
        <v>83.606557377049185</v>
      </c>
      <c r="I72" s="8">
        <v>14.754098360655737</v>
      </c>
    </row>
    <row r="73" spans="1:11" x14ac:dyDescent="0.25">
      <c r="A73" s="11" t="s">
        <v>3262</v>
      </c>
      <c r="B73" s="11">
        <v>1669914901266.25</v>
      </c>
      <c r="C73" s="11">
        <v>1840422801355.6499</v>
      </c>
      <c r="D73" s="11">
        <v>10.210574201122974</v>
      </c>
      <c r="E73" s="55">
        <v>5</v>
      </c>
      <c r="F73" s="55">
        <v>1</v>
      </c>
      <c r="G73" s="55">
        <v>0</v>
      </c>
      <c r="H73" s="8">
        <v>83.333333333333343</v>
      </c>
      <c r="I73" s="8">
        <v>16.666666666666664</v>
      </c>
    </row>
    <row r="74" spans="1:11" x14ac:dyDescent="0.25">
      <c r="A74" s="11" t="s">
        <v>376</v>
      </c>
      <c r="B74" s="11">
        <v>4116266597052.8896</v>
      </c>
      <c r="C74" s="11">
        <v>4304658842465.189</v>
      </c>
      <c r="D74" s="11">
        <v>4.5767746323132208</v>
      </c>
      <c r="E74" s="55">
        <v>90</v>
      </c>
      <c r="F74" s="55">
        <v>15</v>
      </c>
      <c r="G74" s="55">
        <v>3</v>
      </c>
      <c r="H74" s="8">
        <v>83.333333333333343</v>
      </c>
      <c r="I74" s="8">
        <v>13.888888888888889</v>
      </c>
      <c r="J74" s="69" t="s">
        <v>4461</v>
      </c>
      <c r="K74" s="67"/>
    </row>
    <row r="75" spans="1:11" x14ac:dyDescent="0.25">
      <c r="A75" s="11" t="s">
        <v>3183</v>
      </c>
      <c r="B75" s="11">
        <v>3575371552524.3501</v>
      </c>
      <c r="C75" s="11">
        <v>3727182968960.4507</v>
      </c>
      <c r="D75" s="11">
        <v>4.2460318936339885</v>
      </c>
      <c r="E75" s="55">
        <v>5</v>
      </c>
      <c r="F75" s="55">
        <v>1</v>
      </c>
      <c r="G75" s="55">
        <v>0</v>
      </c>
      <c r="H75" s="8">
        <v>83.333333333333343</v>
      </c>
      <c r="I75" s="8">
        <v>16.666666666666664</v>
      </c>
    </row>
    <row r="76" spans="1:11" x14ac:dyDescent="0.25">
      <c r="A76" s="11" t="s">
        <v>1807</v>
      </c>
      <c r="B76" s="11">
        <v>1116634195266.3901</v>
      </c>
      <c r="C76" s="11">
        <v>1162251057162.49</v>
      </c>
      <c r="D76" s="11">
        <v>4.0852109033986057</v>
      </c>
      <c r="E76" s="55">
        <v>15</v>
      </c>
      <c r="F76" s="55">
        <v>3</v>
      </c>
      <c r="G76" s="55">
        <v>0</v>
      </c>
      <c r="H76" s="8">
        <v>83.333333333333343</v>
      </c>
      <c r="I76" s="8">
        <v>16.666666666666664</v>
      </c>
    </row>
    <row r="77" spans="1:11" x14ac:dyDescent="0.25">
      <c r="A77" s="11" t="s">
        <v>831</v>
      </c>
      <c r="B77" s="11">
        <v>148983122570.55002</v>
      </c>
      <c r="C77" s="11">
        <v>153742321277.60001</v>
      </c>
      <c r="D77" s="11">
        <v>3.1944549321660909</v>
      </c>
      <c r="E77" s="55">
        <v>5</v>
      </c>
      <c r="F77" s="55">
        <v>1</v>
      </c>
      <c r="G77" s="55">
        <v>0</v>
      </c>
      <c r="H77" s="8">
        <v>83.333333333333343</v>
      </c>
      <c r="I77" s="8">
        <v>16.666666666666664</v>
      </c>
    </row>
    <row r="78" spans="1:11" x14ac:dyDescent="0.25">
      <c r="A78" s="11" t="s">
        <v>3536</v>
      </c>
      <c r="B78" s="11">
        <v>2238334512076.8096</v>
      </c>
      <c r="C78" s="11">
        <v>2305178512577.8896</v>
      </c>
      <c r="D78" s="11">
        <v>2.9863275636607032</v>
      </c>
      <c r="E78" s="55">
        <v>5</v>
      </c>
      <c r="F78" s="55">
        <v>1</v>
      </c>
      <c r="G78" s="55">
        <v>0</v>
      </c>
      <c r="H78" s="8">
        <v>83.333333333333343</v>
      </c>
      <c r="I78" s="8">
        <v>16.666666666666664</v>
      </c>
    </row>
    <row r="79" spans="1:11" x14ac:dyDescent="0.25">
      <c r="A79" s="11" t="s">
        <v>850</v>
      </c>
      <c r="B79" s="11">
        <v>432082208910.15002</v>
      </c>
      <c r="C79" s="11">
        <v>442964221169.54999</v>
      </c>
      <c r="D79" s="11">
        <v>2.5185050518159242</v>
      </c>
      <c r="E79" s="55">
        <v>5</v>
      </c>
      <c r="F79" s="55">
        <v>1</v>
      </c>
      <c r="G79" s="55">
        <v>0</v>
      </c>
      <c r="H79" s="8">
        <v>83.333333333333343</v>
      </c>
      <c r="I79" s="8">
        <v>16.666666666666664</v>
      </c>
    </row>
    <row r="80" spans="1:11" x14ac:dyDescent="0.25">
      <c r="A80" s="11" t="s">
        <v>3085</v>
      </c>
      <c r="B80" s="11">
        <v>6828476383005.5498</v>
      </c>
      <c r="C80" s="11">
        <v>6980785659114.9502</v>
      </c>
      <c r="D80" s="11">
        <v>2.2305016165606411</v>
      </c>
      <c r="E80" s="55">
        <v>5</v>
      </c>
      <c r="F80" s="55">
        <v>1</v>
      </c>
      <c r="G80" s="55">
        <v>0</v>
      </c>
      <c r="H80" s="8">
        <v>83.333333333333343</v>
      </c>
      <c r="I80" s="8">
        <v>16.666666666666664</v>
      </c>
    </row>
    <row r="81" spans="1:9" x14ac:dyDescent="0.25">
      <c r="A81" s="11" t="s">
        <v>3906</v>
      </c>
      <c r="B81" s="11">
        <v>234162348189.68005</v>
      </c>
      <c r="C81" s="11">
        <v>258085508250.61005</v>
      </c>
      <c r="D81" s="11">
        <v>10.216484522759977</v>
      </c>
      <c r="E81" s="55">
        <v>35</v>
      </c>
      <c r="F81" s="55">
        <v>5</v>
      </c>
      <c r="G81" s="55">
        <v>3</v>
      </c>
      <c r="H81" s="8">
        <v>81.395348837209298</v>
      </c>
      <c r="I81" s="8">
        <v>11.627906976744185</v>
      </c>
    </row>
    <row r="82" spans="1:9" x14ac:dyDescent="0.25">
      <c r="A82" s="11" t="s">
        <v>1633</v>
      </c>
      <c r="B82" s="11">
        <v>1131973270667.3301</v>
      </c>
      <c r="C82" s="11">
        <v>1216772931752.5601</v>
      </c>
      <c r="D82" s="11">
        <v>7.4913130267853578</v>
      </c>
      <c r="E82" s="55">
        <v>59</v>
      </c>
      <c r="F82" s="55">
        <v>10</v>
      </c>
      <c r="G82" s="55">
        <v>4</v>
      </c>
      <c r="H82" s="8">
        <v>80.821917808219183</v>
      </c>
      <c r="I82" s="8">
        <v>13.698630136986301</v>
      </c>
    </row>
    <row r="83" spans="1:9" x14ac:dyDescent="0.25">
      <c r="A83" s="11" t="s">
        <v>3951</v>
      </c>
      <c r="B83" s="11">
        <v>744333260079.21985</v>
      </c>
      <c r="C83" s="11">
        <v>881700001637.41016</v>
      </c>
      <c r="D83" s="11">
        <v>18.455005160399558</v>
      </c>
      <c r="E83" s="55">
        <v>16</v>
      </c>
      <c r="F83" s="55">
        <v>4</v>
      </c>
      <c r="G83" s="55">
        <v>0</v>
      </c>
      <c r="H83" s="8">
        <v>80</v>
      </c>
      <c r="I83" s="8">
        <v>20</v>
      </c>
    </row>
    <row r="84" spans="1:9" x14ac:dyDescent="0.25">
      <c r="A84" s="11" t="s">
        <v>1584</v>
      </c>
      <c r="B84" s="11">
        <v>197948110480.38998</v>
      </c>
      <c r="C84" s="11">
        <v>220872489147.10001</v>
      </c>
      <c r="D84" s="11">
        <v>11.581004037409622</v>
      </c>
      <c r="E84" s="55">
        <v>4</v>
      </c>
      <c r="F84" s="55">
        <v>0</v>
      </c>
      <c r="G84" s="55">
        <v>1</v>
      </c>
      <c r="H84" s="8">
        <v>80</v>
      </c>
      <c r="I84" s="8">
        <v>0</v>
      </c>
    </row>
    <row r="85" spans="1:9" x14ac:dyDescent="0.25">
      <c r="A85" s="11" t="s">
        <v>2757</v>
      </c>
      <c r="B85" s="11">
        <v>506292396638.58002</v>
      </c>
      <c r="C85" s="11">
        <v>540449631744.28009</v>
      </c>
      <c r="D85" s="11">
        <v>6.7465431700100025</v>
      </c>
      <c r="E85" s="55">
        <v>4</v>
      </c>
      <c r="F85" s="55">
        <v>0</v>
      </c>
      <c r="G85" s="55">
        <v>1</v>
      </c>
      <c r="H85" s="8">
        <v>80</v>
      </c>
      <c r="I85" s="8">
        <v>0</v>
      </c>
    </row>
    <row r="86" spans="1:9" x14ac:dyDescent="0.25">
      <c r="A86" s="11" t="s">
        <v>183</v>
      </c>
      <c r="B86" s="11">
        <v>762707950642.52002</v>
      </c>
      <c r="C86" s="11">
        <v>810985823793.33008</v>
      </c>
      <c r="D86" s="11">
        <v>6.329798071481993</v>
      </c>
      <c r="E86" s="55">
        <v>4</v>
      </c>
      <c r="F86" s="55">
        <v>1</v>
      </c>
      <c r="G86" s="55">
        <v>0</v>
      </c>
      <c r="H86" s="8">
        <v>80</v>
      </c>
      <c r="I86" s="8">
        <v>20</v>
      </c>
    </row>
    <row r="87" spans="1:9" x14ac:dyDescent="0.25">
      <c r="A87" s="11" t="s">
        <v>2501</v>
      </c>
      <c r="B87" s="11">
        <v>98194876107.649994</v>
      </c>
      <c r="C87" s="11">
        <v>100247251183.72998</v>
      </c>
      <c r="D87" s="11">
        <v>2.0901040435449909</v>
      </c>
      <c r="E87" s="55">
        <v>4</v>
      </c>
      <c r="F87" s="55">
        <v>0</v>
      </c>
      <c r="G87" s="55">
        <v>1</v>
      </c>
      <c r="H87" s="8">
        <v>80</v>
      </c>
      <c r="I87" s="8">
        <v>0</v>
      </c>
    </row>
    <row r="88" spans="1:9" x14ac:dyDescent="0.25">
      <c r="A88" s="11" t="s">
        <v>1868</v>
      </c>
      <c r="B88" s="11">
        <v>4552676995773.0391</v>
      </c>
      <c r="C88" s="11">
        <v>4831140793940.3799</v>
      </c>
      <c r="D88" s="11">
        <v>6.1164848379509955</v>
      </c>
      <c r="E88" s="55">
        <v>75</v>
      </c>
      <c r="F88" s="55">
        <v>16</v>
      </c>
      <c r="G88" s="55">
        <v>3</v>
      </c>
      <c r="H88" s="8">
        <v>79.787234042553195</v>
      </c>
      <c r="I88" s="8">
        <v>17.021276595744681</v>
      </c>
    </row>
    <row r="89" spans="1:9" x14ac:dyDescent="0.25">
      <c r="A89" s="11" t="s">
        <v>1685</v>
      </c>
      <c r="B89" s="11">
        <v>215679724292.33994</v>
      </c>
      <c r="C89" s="11">
        <v>234259006754.80997</v>
      </c>
      <c r="D89" s="11">
        <v>8.6142925689607317</v>
      </c>
      <c r="E89" s="55">
        <v>43</v>
      </c>
      <c r="F89" s="55">
        <v>8</v>
      </c>
      <c r="G89" s="55">
        <v>3</v>
      </c>
      <c r="H89" s="8">
        <v>79.629629629629633</v>
      </c>
      <c r="I89" s="8">
        <v>14.814814814814813</v>
      </c>
    </row>
    <row r="90" spans="1:9" x14ac:dyDescent="0.25">
      <c r="A90" s="11" t="s">
        <v>2286</v>
      </c>
      <c r="B90" s="11">
        <v>450937287280.91998</v>
      </c>
      <c r="C90" s="11">
        <v>465821050269.12994</v>
      </c>
      <c r="D90" s="11">
        <v>3.3006281378851332</v>
      </c>
      <c r="E90" s="55">
        <v>26</v>
      </c>
      <c r="F90" s="55">
        <v>5</v>
      </c>
      <c r="G90" s="55">
        <v>2</v>
      </c>
      <c r="H90" s="8">
        <v>78.787878787878782</v>
      </c>
      <c r="I90" s="8">
        <v>15.151515151515152</v>
      </c>
    </row>
    <row r="91" spans="1:9" x14ac:dyDescent="0.25">
      <c r="A91" s="11" t="s">
        <v>2261</v>
      </c>
      <c r="B91" s="11">
        <v>43671056363.379997</v>
      </c>
      <c r="C91" s="11">
        <v>49093436248.490013</v>
      </c>
      <c r="D91" s="11">
        <v>12.416415668975912</v>
      </c>
      <c r="E91" s="55">
        <v>11</v>
      </c>
      <c r="F91" s="55">
        <v>3</v>
      </c>
      <c r="G91" s="55">
        <v>0</v>
      </c>
      <c r="H91" s="8">
        <v>78.571428571428569</v>
      </c>
      <c r="I91" s="8">
        <v>21.428571428571427</v>
      </c>
    </row>
    <row r="92" spans="1:9" x14ac:dyDescent="0.25">
      <c r="A92" s="11" t="s">
        <v>1606</v>
      </c>
      <c r="B92" s="11">
        <v>165106240047.78</v>
      </c>
      <c r="C92" s="11">
        <v>174621880920.30002</v>
      </c>
      <c r="D92" s="11">
        <v>5.7633441775224812</v>
      </c>
      <c r="E92" s="55">
        <v>7</v>
      </c>
      <c r="F92" s="55">
        <v>1</v>
      </c>
      <c r="G92" s="55">
        <v>1</v>
      </c>
      <c r="H92" s="8">
        <v>77.777777777777786</v>
      </c>
      <c r="I92" s="8">
        <v>11.111111111111111</v>
      </c>
    </row>
    <row r="93" spans="1:9" x14ac:dyDescent="0.25">
      <c r="A93" s="11" t="s">
        <v>1501</v>
      </c>
      <c r="B93" s="11">
        <v>627273327746.31006</v>
      </c>
      <c r="C93" s="11">
        <v>657380345873.28992</v>
      </c>
      <c r="D93" s="11">
        <v>4.7996649618674887</v>
      </c>
      <c r="E93" s="55">
        <v>7</v>
      </c>
      <c r="F93" s="55">
        <v>2</v>
      </c>
      <c r="G93" s="55">
        <v>0</v>
      </c>
      <c r="H93" s="8">
        <v>77.777777777777786</v>
      </c>
      <c r="I93" s="8">
        <v>22.222222222222221</v>
      </c>
    </row>
    <row r="94" spans="1:9" x14ac:dyDescent="0.25">
      <c r="A94" s="11" t="s">
        <v>2627</v>
      </c>
      <c r="B94" s="11">
        <v>414554420564.79999</v>
      </c>
      <c r="C94" s="11">
        <v>422744666261.56995</v>
      </c>
      <c r="D94" s="11">
        <v>1.9756744327105109</v>
      </c>
      <c r="E94" s="55">
        <v>10</v>
      </c>
      <c r="F94" s="55">
        <v>2</v>
      </c>
      <c r="G94" s="55">
        <v>1</v>
      </c>
      <c r="H94" s="8">
        <v>76.923076923076934</v>
      </c>
      <c r="I94" s="8">
        <v>15.384615384615385</v>
      </c>
    </row>
    <row r="95" spans="1:9" x14ac:dyDescent="0.25">
      <c r="A95" s="11" t="s">
        <v>4016</v>
      </c>
      <c r="B95" s="11">
        <v>1383105873438.99</v>
      </c>
      <c r="C95" s="11">
        <v>1494315751131.22</v>
      </c>
      <c r="D95" s="11">
        <v>8.040590371850195</v>
      </c>
      <c r="E95" s="55">
        <v>3</v>
      </c>
      <c r="F95" s="55">
        <v>1</v>
      </c>
      <c r="G95" s="55">
        <v>0</v>
      </c>
      <c r="H95" s="8">
        <v>75</v>
      </c>
      <c r="I95" s="8">
        <v>25</v>
      </c>
    </row>
    <row r="96" spans="1:9" x14ac:dyDescent="0.25">
      <c r="A96" s="11" t="s">
        <v>3918</v>
      </c>
      <c r="B96" s="11">
        <v>48308670665.919998</v>
      </c>
      <c r="C96" s="11">
        <v>51386257059.029999</v>
      </c>
      <c r="D96" s="11">
        <v>6.3706708354554777</v>
      </c>
      <c r="E96" s="55">
        <v>6</v>
      </c>
      <c r="F96" s="55">
        <v>2</v>
      </c>
      <c r="G96" s="55">
        <v>0</v>
      </c>
      <c r="H96" s="8">
        <v>75</v>
      </c>
      <c r="I96" s="8">
        <v>25</v>
      </c>
    </row>
    <row r="97" spans="1:11" x14ac:dyDescent="0.25">
      <c r="A97" s="11" t="s">
        <v>833</v>
      </c>
      <c r="B97" s="11">
        <v>251587988117.57999</v>
      </c>
      <c r="C97" s="11">
        <v>266965718195.80002</v>
      </c>
      <c r="D97" s="11">
        <v>6.1122672005442604</v>
      </c>
      <c r="E97" s="55">
        <v>3</v>
      </c>
      <c r="F97" s="55">
        <v>1</v>
      </c>
      <c r="G97" s="55">
        <v>0</v>
      </c>
      <c r="H97" s="8">
        <v>75</v>
      </c>
      <c r="I97" s="8">
        <v>25</v>
      </c>
    </row>
    <row r="98" spans="1:11" x14ac:dyDescent="0.25">
      <c r="A98" s="11" t="s">
        <v>642</v>
      </c>
      <c r="B98" s="11">
        <v>1238686237473.8901</v>
      </c>
      <c r="C98" s="11">
        <v>1313924312633.95</v>
      </c>
      <c r="D98" s="11">
        <v>6.0740220472212787</v>
      </c>
      <c r="E98" s="55">
        <v>3</v>
      </c>
      <c r="F98" s="55">
        <v>1</v>
      </c>
      <c r="G98" s="55">
        <v>0</v>
      </c>
      <c r="H98" s="8">
        <v>75</v>
      </c>
      <c r="I98" s="8">
        <v>25</v>
      </c>
    </row>
    <row r="99" spans="1:11" x14ac:dyDescent="0.25">
      <c r="A99" s="11" t="s">
        <v>2721</v>
      </c>
      <c r="B99" s="11">
        <v>5159275226011.8701</v>
      </c>
      <c r="C99" s="11">
        <v>5422414196263.6797</v>
      </c>
      <c r="D99" s="11">
        <v>5.1003088365033111</v>
      </c>
      <c r="E99" s="55">
        <v>6</v>
      </c>
      <c r="F99" s="55">
        <v>2</v>
      </c>
      <c r="G99" s="55">
        <v>0</v>
      </c>
      <c r="H99" s="8">
        <v>75</v>
      </c>
      <c r="I99" s="8">
        <v>25</v>
      </c>
    </row>
    <row r="100" spans="1:11" x14ac:dyDescent="0.25">
      <c r="A100" s="11" t="s">
        <v>2671</v>
      </c>
      <c r="B100" s="11">
        <v>212131639226.30002</v>
      </c>
      <c r="C100" s="11">
        <v>221778695789.27002</v>
      </c>
      <c r="D100" s="11">
        <v>4.5476745468782305</v>
      </c>
      <c r="E100" s="55">
        <v>9</v>
      </c>
      <c r="F100" s="55">
        <v>2</v>
      </c>
      <c r="G100" s="55">
        <v>1</v>
      </c>
      <c r="H100" s="8">
        <v>75</v>
      </c>
      <c r="I100" s="8">
        <v>16.666666666666664</v>
      </c>
    </row>
    <row r="101" spans="1:11" x14ac:dyDescent="0.25">
      <c r="A101" s="11" t="s">
        <v>166</v>
      </c>
      <c r="B101" s="11">
        <v>491044463172.29999</v>
      </c>
      <c r="C101" s="11">
        <v>493584228714.29999</v>
      </c>
      <c r="D101" s="11">
        <v>0.5172170205509139</v>
      </c>
      <c r="E101" s="55">
        <v>3</v>
      </c>
      <c r="F101" s="55">
        <v>1</v>
      </c>
      <c r="G101" s="55">
        <v>0</v>
      </c>
      <c r="H101" s="8">
        <v>75</v>
      </c>
      <c r="I101" s="8">
        <v>25</v>
      </c>
    </row>
    <row r="102" spans="1:11" x14ac:dyDescent="0.25">
      <c r="A102" s="11" t="s">
        <v>815</v>
      </c>
      <c r="B102" s="11">
        <v>28143885744.5</v>
      </c>
      <c r="C102" s="11">
        <v>28175384597.400002</v>
      </c>
      <c r="D102" s="11">
        <v>0.11192076739494712</v>
      </c>
      <c r="E102" s="55">
        <v>3</v>
      </c>
      <c r="F102" s="55">
        <v>1</v>
      </c>
      <c r="G102" s="55">
        <v>0</v>
      </c>
      <c r="H102" s="8">
        <v>75</v>
      </c>
      <c r="I102" s="8">
        <v>25</v>
      </c>
    </row>
    <row r="103" spans="1:11" x14ac:dyDescent="0.25">
      <c r="A103" s="11" t="s">
        <v>3140</v>
      </c>
      <c r="B103" s="11">
        <v>2382297129973.2104</v>
      </c>
      <c r="C103" s="11">
        <v>2358841997998.8296</v>
      </c>
      <c r="D103" s="11">
        <v>-0.98455946906356795</v>
      </c>
      <c r="E103" s="55">
        <v>9</v>
      </c>
      <c r="F103" s="55">
        <v>3</v>
      </c>
      <c r="G103" s="55">
        <v>0</v>
      </c>
      <c r="H103" s="8">
        <v>75</v>
      </c>
      <c r="I103" s="8">
        <v>25</v>
      </c>
    </row>
    <row r="104" spans="1:11" x14ac:dyDescent="0.25">
      <c r="A104" s="11" t="s">
        <v>1271</v>
      </c>
      <c r="B104" s="11">
        <v>889971611788.75012</v>
      </c>
      <c r="C104" s="11">
        <v>865638600594.73999</v>
      </c>
      <c r="D104" s="11">
        <v>-2.7341334118628029</v>
      </c>
      <c r="E104" s="55">
        <v>12</v>
      </c>
      <c r="F104" s="55">
        <v>4</v>
      </c>
      <c r="G104" s="55">
        <v>0</v>
      </c>
      <c r="H104" s="8">
        <v>75</v>
      </c>
      <c r="I104" s="8">
        <v>25</v>
      </c>
    </row>
    <row r="105" spans="1:11" x14ac:dyDescent="0.25">
      <c r="A105" s="11" t="s">
        <v>3475</v>
      </c>
      <c r="B105" s="11">
        <v>6002363983858.0908</v>
      </c>
      <c r="C105" s="11">
        <v>6377852748785.2021</v>
      </c>
      <c r="D105" s="11">
        <v>6.2556813604922619</v>
      </c>
      <c r="E105" s="55">
        <v>26</v>
      </c>
      <c r="F105" s="55">
        <v>8</v>
      </c>
      <c r="G105" s="55">
        <v>1</v>
      </c>
      <c r="H105" s="8">
        <v>74.285714285714292</v>
      </c>
      <c r="I105" s="8">
        <v>22.857142857142858</v>
      </c>
    </row>
    <row r="106" spans="1:11" x14ac:dyDescent="0.25">
      <c r="A106" s="11" t="s">
        <v>3561</v>
      </c>
      <c r="B106" s="11">
        <v>315129421641.23999</v>
      </c>
      <c r="C106" s="11">
        <v>352626699871.98999</v>
      </c>
      <c r="D106" s="11">
        <v>11.899008996195501</v>
      </c>
      <c r="E106" s="55">
        <v>37</v>
      </c>
      <c r="F106" s="55">
        <v>8</v>
      </c>
      <c r="G106" s="55">
        <v>5</v>
      </c>
      <c r="H106" s="8">
        <v>74</v>
      </c>
      <c r="I106" s="8">
        <v>16</v>
      </c>
    </row>
    <row r="107" spans="1:11" x14ac:dyDescent="0.25">
      <c r="A107" s="11" t="s">
        <v>1999</v>
      </c>
      <c r="B107" s="11">
        <v>678935730068.72986</v>
      </c>
      <c r="C107" s="11">
        <v>751640070465.27014</v>
      </c>
      <c r="D107" s="11">
        <v>10.70857478500657</v>
      </c>
      <c r="E107" s="55">
        <v>42</v>
      </c>
      <c r="F107" s="55">
        <v>9</v>
      </c>
      <c r="G107" s="55">
        <v>6</v>
      </c>
      <c r="H107" s="8">
        <v>73.68421052631578</v>
      </c>
      <c r="I107" s="8">
        <v>15.789473684210526</v>
      </c>
    </row>
    <row r="108" spans="1:11" x14ac:dyDescent="0.25">
      <c r="A108" s="11" t="s">
        <v>893</v>
      </c>
      <c r="B108" s="11">
        <v>1183957712363.7397</v>
      </c>
      <c r="C108" s="11">
        <v>1215371709593.24</v>
      </c>
      <c r="D108" s="11">
        <v>2.6533039906284359</v>
      </c>
      <c r="E108" s="55">
        <v>11</v>
      </c>
      <c r="F108" s="55">
        <v>4</v>
      </c>
      <c r="G108" s="55">
        <v>0</v>
      </c>
      <c r="H108" s="8">
        <v>73.333333333333329</v>
      </c>
      <c r="I108" s="8">
        <v>26.666666666666668</v>
      </c>
    </row>
    <row r="109" spans="1:11" x14ac:dyDescent="0.25">
      <c r="A109" s="11" t="s">
        <v>1136</v>
      </c>
      <c r="B109" s="11">
        <v>6572814957927.1191</v>
      </c>
      <c r="C109" s="11">
        <v>6611218041764.3398</v>
      </c>
      <c r="D109" s="11">
        <v>0.58427148920273198</v>
      </c>
      <c r="E109" s="55">
        <v>32</v>
      </c>
      <c r="F109" s="55">
        <v>10</v>
      </c>
      <c r="G109" s="55">
        <v>2</v>
      </c>
      <c r="H109" s="8">
        <v>72.727272727272734</v>
      </c>
      <c r="I109" s="8">
        <v>22.727272727272727</v>
      </c>
    </row>
    <row r="110" spans="1:11" x14ac:dyDescent="0.25">
      <c r="A110" s="11" t="s">
        <v>1645</v>
      </c>
      <c r="B110" s="11">
        <v>485691207984.47003</v>
      </c>
      <c r="C110" s="11">
        <v>534807485135.77002</v>
      </c>
      <c r="D110" s="11">
        <v>10.112655189935099</v>
      </c>
      <c r="E110" s="55">
        <v>29</v>
      </c>
      <c r="F110" s="55">
        <v>7</v>
      </c>
      <c r="G110" s="55">
        <v>4</v>
      </c>
      <c r="H110" s="8">
        <v>72.5</v>
      </c>
      <c r="I110" s="8">
        <v>17.5</v>
      </c>
    </row>
    <row r="111" spans="1:11" x14ac:dyDescent="0.25">
      <c r="A111" s="11" t="s">
        <v>1695</v>
      </c>
      <c r="B111" s="11">
        <v>118843270179.90001</v>
      </c>
      <c r="C111" s="11">
        <v>127997480862.96999</v>
      </c>
      <c r="D111" s="11">
        <v>7.7027589944409236</v>
      </c>
      <c r="E111" s="55">
        <v>13</v>
      </c>
      <c r="F111" s="55">
        <v>5</v>
      </c>
      <c r="G111" s="55">
        <v>0</v>
      </c>
      <c r="H111" s="8">
        <v>72.222222222222214</v>
      </c>
      <c r="I111" s="8">
        <v>27.777777777777779</v>
      </c>
      <c r="J111" s="69" t="s">
        <v>4462</v>
      </c>
      <c r="K111" s="67"/>
    </row>
    <row r="112" spans="1:11" x14ac:dyDescent="0.25">
      <c r="A112" s="11" t="s">
        <v>3976</v>
      </c>
      <c r="B112" s="11">
        <v>1046703301303.0402</v>
      </c>
      <c r="C112" s="11">
        <v>1118704868460.9099</v>
      </c>
      <c r="D112" s="11">
        <v>6.8788898504700473</v>
      </c>
      <c r="E112" s="55">
        <v>13</v>
      </c>
      <c r="F112" s="55">
        <v>4</v>
      </c>
      <c r="G112" s="55">
        <v>1</v>
      </c>
      <c r="H112" s="8">
        <v>72.222222222222214</v>
      </c>
      <c r="I112" s="8">
        <v>22.222222222222221</v>
      </c>
    </row>
    <row r="113" spans="1:9" x14ac:dyDescent="0.25">
      <c r="A113" s="11" t="s">
        <v>3683</v>
      </c>
      <c r="B113" s="11">
        <v>3889343262746.3389</v>
      </c>
      <c r="C113" s="11">
        <v>4277272862460.8994</v>
      </c>
      <c r="D113" s="11">
        <v>9.9741671924487356</v>
      </c>
      <c r="E113" s="55">
        <v>28</v>
      </c>
      <c r="F113" s="55">
        <v>10</v>
      </c>
      <c r="G113" s="55">
        <v>1</v>
      </c>
      <c r="H113" s="8">
        <v>71.794871794871796</v>
      </c>
      <c r="I113" s="8">
        <v>25.641025641025639</v>
      </c>
    </row>
    <row r="114" spans="1:9" x14ac:dyDescent="0.25">
      <c r="A114" s="11" t="s">
        <v>3209</v>
      </c>
      <c r="B114" s="11">
        <v>287599915751.10004</v>
      </c>
      <c r="C114" s="11">
        <v>298598287356.48999</v>
      </c>
      <c r="D114" s="11">
        <v>3.8241915254621861</v>
      </c>
      <c r="E114" s="55">
        <v>33</v>
      </c>
      <c r="F114" s="55">
        <v>8</v>
      </c>
      <c r="G114" s="55">
        <v>5</v>
      </c>
      <c r="H114" s="8">
        <v>71.739130434782609</v>
      </c>
      <c r="I114" s="8">
        <v>17.391304347826086</v>
      </c>
    </row>
    <row r="115" spans="1:9" x14ac:dyDescent="0.25">
      <c r="A115" s="11" t="s">
        <v>3652</v>
      </c>
      <c r="B115" s="11">
        <v>95688776265.639999</v>
      </c>
      <c r="C115" s="11">
        <v>99471548597.919998</v>
      </c>
      <c r="D115" s="11">
        <v>3.9532037924476202</v>
      </c>
      <c r="E115" s="55">
        <v>5</v>
      </c>
      <c r="F115" s="55">
        <v>2</v>
      </c>
      <c r="G115" s="55">
        <v>0</v>
      </c>
      <c r="H115" s="8">
        <v>71.428571428571431</v>
      </c>
      <c r="I115" s="8">
        <v>28.571428571428569</v>
      </c>
    </row>
    <row r="116" spans="1:9" x14ac:dyDescent="0.25">
      <c r="A116" s="11" t="s">
        <v>2444</v>
      </c>
      <c r="B116" s="11">
        <v>1089009572480.1299</v>
      </c>
      <c r="C116" s="11">
        <v>1110748454536.1797</v>
      </c>
      <c r="D116" s="11">
        <v>1.9962067006023911</v>
      </c>
      <c r="E116" s="55">
        <v>10</v>
      </c>
      <c r="F116" s="55">
        <v>4</v>
      </c>
      <c r="G116" s="55">
        <v>0</v>
      </c>
      <c r="H116" s="8">
        <v>71.428571428571431</v>
      </c>
      <c r="I116" s="8">
        <v>28.571428571428569</v>
      </c>
    </row>
    <row r="117" spans="1:9" x14ac:dyDescent="0.25">
      <c r="A117" s="11" t="s">
        <v>1793</v>
      </c>
      <c r="B117" s="11">
        <v>864031128285.65002</v>
      </c>
      <c r="C117" s="11">
        <v>958917692182.40002</v>
      </c>
      <c r="D117" s="11">
        <v>10.981845536632143</v>
      </c>
      <c r="E117" s="55">
        <v>165</v>
      </c>
      <c r="F117" s="55">
        <v>52</v>
      </c>
      <c r="G117" s="55">
        <v>15</v>
      </c>
      <c r="H117" s="8">
        <v>71.120689655172413</v>
      </c>
      <c r="I117" s="8">
        <v>22.413793103448278</v>
      </c>
    </row>
    <row r="118" spans="1:9" x14ac:dyDescent="0.25">
      <c r="A118" s="11" t="s">
        <v>3872</v>
      </c>
      <c r="B118" s="11">
        <v>531907425513.35004</v>
      </c>
      <c r="C118" s="11">
        <v>527788592178.29004</v>
      </c>
      <c r="D118" s="11">
        <v>-0.77435153891391217</v>
      </c>
      <c r="E118" s="55">
        <v>17</v>
      </c>
      <c r="F118" s="55">
        <v>5</v>
      </c>
      <c r="G118" s="55">
        <v>2</v>
      </c>
      <c r="H118" s="8">
        <v>70.833333333333343</v>
      </c>
      <c r="I118" s="8">
        <v>20.833333333333336</v>
      </c>
    </row>
    <row r="119" spans="1:9" x14ac:dyDescent="0.25">
      <c r="A119" s="11" t="s">
        <v>3431</v>
      </c>
      <c r="B119" s="11">
        <v>3775163108486.8706</v>
      </c>
      <c r="C119" s="11">
        <v>3740396866321.3496</v>
      </c>
      <c r="D119" s="11">
        <v>-0.92092026665983473</v>
      </c>
      <c r="E119" s="55">
        <v>12</v>
      </c>
      <c r="F119" s="55">
        <v>5</v>
      </c>
      <c r="G119" s="55">
        <v>0</v>
      </c>
      <c r="H119" s="8">
        <v>70.588235294117652</v>
      </c>
      <c r="I119" s="8">
        <v>29.411764705882355</v>
      </c>
    </row>
    <row r="120" spans="1:9" x14ac:dyDescent="0.25">
      <c r="A120" s="11" t="s">
        <v>3110</v>
      </c>
      <c r="B120" s="11">
        <v>1118821035684.24</v>
      </c>
      <c r="C120" s="11">
        <v>1146474961405.2498</v>
      </c>
      <c r="D120" s="11">
        <v>2.4717023401421292</v>
      </c>
      <c r="E120" s="55">
        <v>26</v>
      </c>
      <c r="F120" s="55">
        <v>8</v>
      </c>
      <c r="G120" s="55">
        <v>3</v>
      </c>
      <c r="H120" s="8">
        <v>70.270270270270274</v>
      </c>
      <c r="I120" s="8">
        <v>21.621621621621621</v>
      </c>
    </row>
    <row r="121" spans="1:9" x14ac:dyDescent="0.25">
      <c r="A121" s="11" t="s">
        <v>3369</v>
      </c>
      <c r="B121" s="11">
        <v>81696435019.699997</v>
      </c>
      <c r="C121" s="11">
        <v>91187715514.290009</v>
      </c>
      <c r="D121" s="11">
        <v>11.617741327759672</v>
      </c>
      <c r="E121" s="55">
        <v>14</v>
      </c>
      <c r="F121" s="55">
        <v>4</v>
      </c>
      <c r="G121" s="55">
        <v>2</v>
      </c>
      <c r="H121" s="8">
        <v>70</v>
      </c>
      <c r="I121" s="8">
        <v>20</v>
      </c>
    </row>
    <row r="122" spans="1:9" x14ac:dyDescent="0.25">
      <c r="A122" s="11" t="s">
        <v>858</v>
      </c>
      <c r="B122" s="11">
        <v>3114685810193.2798</v>
      </c>
      <c r="C122" s="11">
        <v>3501781931051.3198</v>
      </c>
      <c r="D122" s="11">
        <v>12.428095302300139</v>
      </c>
      <c r="E122" s="55">
        <v>109</v>
      </c>
      <c r="F122" s="55">
        <v>28</v>
      </c>
      <c r="G122" s="55">
        <v>22</v>
      </c>
      <c r="H122" s="8">
        <v>68.55345911949685</v>
      </c>
      <c r="I122" s="8">
        <v>17.610062893081761</v>
      </c>
    </row>
    <row r="123" spans="1:9" x14ac:dyDescent="0.25">
      <c r="A123" s="11" t="s">
        <v>2753</v>
      </c>
      <c r="B123" s="11">
        <v>1005776201995.1801</v>
      </c>
      <c r="C123" s="11">
        <v>1076077611943.9901</v>
      </c>
      <c r="D123" s="11">
        <v>6.989766690577051</v>
      </c>
      <c r="E123" s="55">
        <v>39</v>
      </c>
      <c r="F123" s="55">
        <v>19</v>
      </c>
      <c r="G123" s="55">
        <v>0</v>
      </c>
      <c r="H123" s="8">
        <v>67.241379310344826</v>
      </c>
      <c r="I123" s="8">
        <v>32.758620689655174</v>
      </c>
    </row>
    <row r="124" spans="1:9" x14ac:dyDescent="0.25">
      <c r="A124" s="11" t="s">
        <v>2892</v>
      </c>
      <c r="B124" s="11">
        <v>1962876205963.74</v>
      </c>
      <c r="C124" s="11">
        <v>2197956455504.1001</v>
      </c>
      <c r="D124" s="11">
        <v>11.976315614103619</v>
      </c>
      <c r="E124" s="55">
        <v>2</v>
      </c>
      <c r="F124" s="55">
        <v>1</v>
      </c>
      <c r="G124" s="55">
        <v>0</v>
      </c>
      <c r="H124" s="8">
        <v>66.666666666666657</v>
      </c>
      <c r="I124" s="8">
        <v>33.333333333333329</v>
      </c>
    </row>
    <row r="125" spans="1:9" x14ac:dyDescent="0.25">
      <c r="A125" s="11" t="s">
        <v>1538</v>
      </c>
      <c r="B125" s="11">
        <v>812203817.8599999</v>
      </c>
      <c r="C125" s="11">
        <v>908660311.50999999</v>
      </c>
      <c r="D125" s="11">
        <v>11.875897592324094</v>
      </c>
      <c r="E125" s="55">
        <v>4</v>
      </c>
      <c r="F125" s="55">
        <v>2</v>
      </c>
      <c r="G125" s="55">
        <v>0</v>
      </c>
      <c r="H125" s="8">
        <v>66.666666666666657</v>
      </c>
      <c r="I125" s="8">
        <v>33.333333333333329</v>
      </c>
    </row>
    <row r="126" spans="1:9" x14ac:dyDescent="0.25">
      <c r="A126" s="11" t="s">
        <v>2998</v>
      </c>
      <c r="B126" s="11">
        <v>10595714837.82</v>
      </c>
      <c r="C126" s="11">
        <v>11739546641.870001</v>
      </c>
      <c r="D126" s="11">
        <v>10.795230161982513</v>
      </c>
      <c r="E126" s="55">
        <v>4</v>
      </c>
      <c r="F126" s="55">
        <v>1</v>
      </c>
      <c r="G126" s="55">
        <v>1</v>
      </c>
      <c r="H126" s="8">
        <v>66.666666666666657</v>
      </c>
      <c r="I126" s="8">
        <v>16.666666666666664</v>
      </c>
    </row>
    <row r="127" spans="1:9" x14ac:dyDescent="0.25">
      <c r="A127" s="11" t="s">
        <v>4066</v>
      </c>
      <c r="B127" s="11">
        <v>52586468812.120003</v>
      </c>
      <c r="C127" s="11">
        <v>55913638983.57</v>
      </c>
      <c r="D127" s="11">
        <v>6.3270461900327462</v>
      </c>
      <c r="E127" s="55">
        <v>6</v>
      </c>
      <c r="F127" s="55">
        <v>3</v>
      </c>
      <c r="G127" s="55">
        <v>0</v>
      </c>
      <c r="H127" s="8">
        <v>66.666666666666657</v>
      </c>
      <c r="I127" s="8">
        <v>33.333333333333329</v>
      </c>
    </row>
    <row r="128" spans="1:9" x14ac:dyDescent="0.25">
      <c r="A128" s="11" t="s">
        <v>3287</v>
      </c>
      <c r="B128" s="11">
        <v>181707328592.25</v>
      </c>
      <c r="C128" s="11">
        <v>191205761062.16</v>
      </c>
      <c r="D128" s="11">
        <v>5.2273249205178844</v>
      </c>
      <c r="E128" s="55">
        <v>4</v>
      </c>
      <c r="F128" s="55">
        <v>2</v>
      </c>
      <c r="G128" s="55">
        <v>0</v>
      </c>
      <c r="H128" s="8">
        <v>66.666666666666657</v>
      </c>
      <c r="I128" s="8">
        <v>33.333333333333329</v>
      </c>
    </row>
    <row r="129" spans="1:9" x14ac:dyDescent="0.25">
      <c r="A129" s="11" t="s">
        <v>350</v>
      </c>
      <c r="B129" s="11">
        <v>682178046223.48999</v>
      </c>
      <c r="C129" s="11">
        <v>708693158280.8501</v>
      </c>
      <c r="D129" s="11">
        <v>3.8868316276295745</v>
      </c>
      <c r="E129" s="55">
        <v>4</v>
      </c>
      <c r="F129" s="55">
        <v>2</v>
      </c>
      <c r="G129" s="55">
        <v>0</v>
      </c>
      <c r="H129" s="8">
        <v>66.666666666666657</v>
      </c>
      <c r="I129" s="8">
        <v>33.333333333333329</v>
      </c>
    </row>
    <row r="130" spans="1:9" x14ac:dyDescent="0.25">
      <c r="A130" s="11" t="s">
        <v>3118</v>
      </c>
      <c r="B130" s="11">
        <v>9971081531711.4004</v>
      </c>
      <c r="C130" s="11">
        <v>10278009592840.35</v>
      </c>
      <c r="D130" s="11">
        <v>3.0781822428471228</v>
      </c>
      <c r="E130" s="55">
        <v>2</v>
      </c>
      <c r="F130" s="55">
        <v>1</v>
      </c>
      <c r="G130" s="55">
        <v>0</v>
      </c>
      <c r="H130" s="8">
        <v>66.666666666666657</v>
      </c>
      <c r="I130" s="8">
        <v>33.333333333333329</v>
      </c>
    </row>
    <row r="131" spans="1:9" x14ac:dyDescent="0.25">
      <c r="A131" s="56" t="s">
        <v>2567</v>
      </c>
      <c r="B131" s="11">
        <v>153526939212.04999</v>
      </c>
      <c r="C131" s="11">
        <v>155985150557.04999</v>
      </c>
      <c r="D131" s="11">
        <v>1.6011596125190388</v>
      </c>
      <c r="E131" s="55">
        <v>2</v>
      </c>
      <c r="F131" s="55">
        <v>1</v>
      </c>
      <c r="G131" s="55">
        <v>0</v>
      </c>
      <c r="H131" s="8">
        <v>66.666666666666657</v>
      </c>
      <c r="I131" s="8">
        <v>33.333333333333329</v>
      </c>
    </row>
    <row r="132" spans="1:9" x14ac:dyDescent="0.25">
      <c r="A132" s="11" t="s">
        <v>3232</v>
      </c>
      <c r="B132" s="11">
        <v>938056690701.75989</v>
      </c>
      <c r="C132" s="11">
        <v>944172108115.43994</v>
      </c>
      <c r="D132" s="11">
        <v>0.6519240760497228</v>
      </c>
      <c r="E132" s="55">
        <v>22</v>
      </c>
      <c r="F132" s="55">
        <v>7</v>
      </c>
      <c r="G132" s="55">
        <v>4</v>
      </c>
      <c r="H132" s="8">
        <v>66.666666666666657</v>
      </c>
      <c r="I132" s="8">
        <v>21.212121212121211</v>
      </c>
    </row>
    <row r="133" spans="1:9" x14ac:dyDescent="0.25">
      <c r="A133" s="11" t="s">
        <v>52</v>
      </c>
      <c r="B133" s="11">
        <v>693158965155.58008</v>
      </c>
      <c r="C133" s="11">
        <v>693378037317.56995</v>
      </c>
      <c r="D133" s="11">
        <v>3.1604894836885972E-2</v>
      </c>
      <c r="E133" s="55">
        <v>2</v>
      </c>
      <c r="F133" s="55">
        <v>1</v>
      </c>
      <c r="G133" s="55">
        <v>0</v>
      </c>
      <c r="H133" s="8">
        <v>66.666666666666657</v>
      </c>
      <c r="I133" s="8">
        <v>33.333333333333329</v>
      </c>
    </row>
    <row r="134" spans="1:9" x14ac:dyDescent="0.25">
      <c r="A134" s="11" t="s">
        <v>2321</v>
      </c>
      <c r="B134" s="11">
        <v>113631366167.7</v>
      </c>
      <c r="C134" s="11">
        <v>113062045444.75002</v>
      </c>
      <c r="D134" s="11">
        <v>-0.50102427010317208</v>
      </c>
      <c r="E134" s="55">
        <v>4</v>
      </c>
      <c r="F134" s="55">
        <v>2</v>
      </c>
      <c r="G134" s="55">
        <v>0</v>
      </c>
      <c r="H134" s="8">
        <v>66.666666666666657</v>
      </c>
      <c r="I134" s="8">
        <v>33.333333333333329</v>
      </c>
    </row>
    <row r="135" spans="1:9" x14ac:dyDescent="0.25">
      <c r="A135" s="11" t="s">
        <v>3639</v>
      </c>
      <c r="B135" s="11">
        <v>3062806862.8499999</v>
      </c>
      <c r="C135" s="11">
        <v>2648280297.6400003</v>
      </c>
      <c r="D135" s="11">
        <v>-13.534205184073366</v>
      </c>
      <c r="E135" s="55">
        <v>2</v>
      </c>
      <c r="F135" s="55">
        <v>1</v>
      </c>
      <c r="G135" s="55">
        <v>0</v>
      </c>
      <c r="H135" s="8">
        <v>66.666666666666657</v>
      </c>
      <c r="I135" s="8">
        <v>33.333333333333329</v>
      </c>
    </row>
    <row r="136" spans="1:9" x14ac:dyDescent="0.25">
      <c r="A136" s="11" t="s">
        <v>3831</v>
      </c>
      <c r="B136" s="11">
        <v>2975237645.6099997</v>
      </c>
      <c r="C136" s="11">
        <v>3136947169.9100003</v>
      </c>
      <c r="D136" s="11">
        <v>5.4351800952305469</v>
      </c>
      <c r="E136" s="55">
        <v>11</v>
      </c>
      <c r="F136" s="55">
        <v>4</v>
      </c>
      <c r="G136" s="55">
        <v>2</v>
      </c>
      <c r="H136" s="8">
        <v>64.705882352941174</v>
      </c>
      <c r="I136" s="8">
        <v>23.52941176470588</v>
      </c>
    </row>
    <row r="137" spans="1:9" x14ac:dyDescent="0.25">
      <c r="A137" s="11" t="s">
        <v>204</v>
      </c>
      <c r="B137" s="11">
        <v>1040277212331.9601</v>
      </c>
      <c r="C137" s="11">
        <v>1122060423693.3401</v>
      </c>
      <c r="D137" s="11">
        <v>7.8616747912846119</v>
      </c>
      <c r="E137" s="55">
        <v>9</v>
      </c>
      <c r="F137" s="55">
        <v>5</v>
      </c>
      <c r="G137" s="55">
        <v>0</v>
      </c>
      <c r="H137" s="8">
        <v>64.285714285714292</v>
      </c>
      <c r="I137" s="8">
        <v>35.714285714285715</v>
      </c>
    </row>
    <row r="138" spans="1:9" x14ac:dyDescent="0.25">
      <c r="A138" s="11" t="s">
        <v>4036</v>
      </c>
      <c r="B138" s="11">
        <v>142279045611.09</v>
      </c>
      <c r="C138" s="11">
        <v>141958331475.59</v>
      </c>
      <c r="D138" s="11">
        <v>-0.2254120655100893</v>
      </c>
      <c r="E138" s="55">
        <v>18</v>
      </c>
      <c r="F138" s="55">
        <v>6</v>
      </c>
      <c r="G138" s="55">
        <v>4</v>
      </c>
      <c r="H138" s="8">
        <v>64.285714285714292</v>
      </c>
      <c r="I138" s="8">
        <v>21.428571428571427</v>
      </c>
    </row>
    <row r="139" spans="1:9" x14ac:dyDescent="0.25">
      <c r="A139" s="11" t="s">
        <v>1968</v>
      </c>
      <c r="B139" s="11">
        <v>27305845459196.48</v>
      </c>
      <c r="C139" s="11">
        <v>26666852119885.758</v>
      </c>
      <c r="D139" s="11">
        <v>-2.3401338745052946</v>
      </c>
      <c r="E139" s="55">
        <v>46</v>
      </c>
      <c r="F139" s="55">
        <v>20</v>
      </c>
      <c r="G139" s="55">
        <v>6</v>
      </c>
      <c r="H139" s="8">
        <v>63.888888888888886</v>
      </c>
      <c r="I139" s="8">
        <v>27.777777777777779</v>
      </c>
    </row>
    <row r="140" spans="1:9" x14ac:dyDescent="0.25">
      <c r="A140" s="11" t="s">
        <v>1337</v>
      </c>
      <c r="B140" s="11">
        <v>898963661042.51013</v>
      </c>
      <c r="C140" s="11">
        <v>933630858700.76001</v>
      </c>
      <c r="D140" s="11">
        <v>3.8563513922294725</v>
      </c>
      <c r="E140" s="55">
        <v>40</v>
      </c>
      <c r="F140" s="55">
        <v>15</v>
      </c>
      <c r="G140" s="55">
        <v>8</v>
      </c>
      <c r="H140" s="8">
        <v>63.492063492063487</v>
      </c>
      <c r="I140" s="8">
        <v>23.809523809523807</v>
      </c>
    </row>
    <row r="141" spans="1:9" x14ac:dyDescent="0.25">
      <c r="A141" s="11" t="s">
        <v>356</v>
      </c>
      <c r="B141" s="11">
        <v>2707924375445</v>
      </c>
      <c r="C141" s="11">
        <v>2800240085557.2813</v>
      </c>
      <c r="D141" s="11">
        <v>3.4090948384446955</v>
      </c>
      <c r="E141" s="55">
        <v>46</v>
      </c>
      <c r="F141" s="55">
        <v>18</v>
      </c>
      <c r="G141" s="55">
        <v>9</v>
      </c>
      <c r="H141" s="8">
        <v>63.013698630136986</v>
      </c>
      <c r="I141" s="8">
        <v>24.657534246575342</v>
      </c>
    </row>
    <row r="142" spans="1:9" x14ac:dyDescent="0.25">
      <c r="A142" s="11" t="s">
        <v>2228</v>
      </c>
      <c r="B142" s="11">
        <v>4244587854556.8003</v>
      </c>
      <c r="C142" s="11">
        <v>4447895657685.54</v>
      </c>
      <c r="D142" s="11">
        <v>4.7898125824036732</v>
      </c>
      <c r="E142" s="55">
        <v>10</v>
      </c>
      <c r="F142" s="55">
        <v>5</v>
      </c>
      <c r="G142" s="55">
        <v>1</v>
      </c>
      <c r="H142" s="8">
        <v>62.5</v>
      </c>
      <c r="I142" s="8">
        <v>31.25</v>
      </c>
    </row>
    <row r="143" spans="1:9" x14ac:dyDescent="0.25">
      <c r="A143" s="11" t="s">
        <v>711</v>
      </c>
      <c r="B143" s="11">
        <v>307416095659.56006</v>
      </c>
      <c r="C143" s="11">
        <v>316338768847.71997</v>
      </c>
      <c r="D143" s="11">
        <v>2.9024743057179068</v>
      </c>
      <c r="E143" s="55">
        <v>14</v>
      </c>
      <c r="F143" s="55">
        <v>7</v>
      </c>
      <c r="G143" s="55">
        <v>2</v>
      </c>
      <c r="H143" s="8">
        <v>60.869565217391312</v>
      </c>
      <c r="I143" s="8">
        <v>30.434782608695656</v>
      </c>
    </row>
    <row r="144" spans="1:9" x14ac:dyDescent="0.25">
      <c r="A144" s="11" t="s">
        <v>13</v>
      </c>
      <c r="B144" s="11">
        <v>7440130877908.6699</v>
      </c>
      <c r="C144" s="11">
        <v>7992949211763.3809</v>
      </c>
      <c r="D144" s="11">
        <v>7.430223243735484</v>
      </c>
      <c r="E144" s="55">
        <v>168</v>
      </c>
      <c r="F144" s="55">
        <v>67</v>
      </c>
      <c r="G144" s="55">
        <v>44</v>
      </c>
      <c r="H144" s="8">
        <v>60.215053763440864</v>
      </c>
      <c r="I144" s="8">
        <v>24.014336917562723</v>
      </c>
    </row>
    <row r="145" spans="1:9" x14ac:dyDescent="0.25">
      <c r="A145" s="11" t="s">
        <v>3793</v>
      </c>
      <c r="B145" s="11">
        <v>919785743814.00012</v>
      </c>
      <c r="C145" s="11">
        <v>938247965446.19995</v>
      </c>
      <c r="D145" s="11">
        <v>2.0072306791409975</v>
      </c>
      <c r="E145" s="55">
        <v>3</v>
      </c>
      <c r="F145" s="55">
        <v>2</v>
      </c>
      <c r="G145" s="55">
        <v>0</v>
      </c>
      <c r="H145" s="8">
        <v>60</v>
      </c>
      <c r="I145" s="8">
        <v>40</v>
      </c>
    </row>
    <row r="146" spans="1:9" x14ac:dyDescent="0.25">
      <c r="A146" s="11" t="s">
        <v>3744</v>
      </c>
      <c r="B146" s="11">
        <v>994526171203.23987</v>
      </c>
      <c r="C146" s="11">
        <v>1061720617614.6602</v>
      </c>
      <c r="D146" s="11">
        <v>6.7564281722344468</v>
      </c>
      <c r="E146" s="55">
        <v>32</v>
      </c>
      <c r="F146" s="55">
        <v>19</v>
      </c>
      <c r="G146" s="55">
        <v>3</v>
      </c>
      <c r="H146" s="8">
        <v>59.259259259259252</v>
      </c>
      <c r="I146" s="8">
        <v>35.185185185185183</v>
      </c>
    </row>
    <row r="147" spans="1:9" x14ac:dyDescent="0.25">
      <c r="A147" s="11" t="s">
        <v>3503</v>
      </c>
      <c r="B147" s="11">
        <v>1725274468554.9102</v>
      </c>
      <c r="C147" s="11">
        <v>1788650681920.9702</v>
      </c>
      <c r="D147" s="11">
        <v>3.6733989009380039</v>
      </c>
      <c r="E147" s="55">
        <v>16</v>
      </c>
      <c r="F147" s="55">
        <v>10</v>
      </c>
      <c r="G147" s="55">
        <v>1</v>
      </c>
      <c r="H147" s="8">
        <v>59.259259259259252</v>
      </c>
      <c r="I147" s="8">
        <v>37.037037037037038</v>
      </c>
    </row>
    <row r="148" spans="1:9" x14ac:dyDescent="0.25">
      <c r="A148" s="11" t="s">
        <v>2297</v>
      </c>
      <c r="B148" s="11">
        <v>1067039561997.5499</v>
      </c>
      <c r="C148" s="11">
        <v>1114464361315.3003</v>
      </c>
      <c r="D148" s="11">
        <v>4.444521178668281</v>
      </c>
      <c r="E148" s="55">
        <v>65</v>
      </c>
      <c r="F148" s="55">
        <v>30</v>
      </c>
      <c r="G148" s="55">
        <v>16</v>
      </c>
      <c r="H148" s="8">
        <v>58.558558558558559</v>
      </c>
      <c r="I148" s="8">
        <v>27.027027027027028</v>
      </c>
    </row>
    <row r="149" spans="1:9" x14ac:dyDescent="0.25">
      <c r="A149" s="11" t="s">
        <v>2755</v>
      </c>
      <c r="B149" s="11">
        <v>3327709518793.5796</v>
      </c>
      <c r="C149" s="11">
        <v>3610301475825.3003</v>
      </c>
      <c r="D149" s="11">
        <v>8.4920860861127974</v>
      </c>
      <c r="E149" s="55">
        <v>24</v>
      </c>
      <c r="F149" s="55">
        <v>15</v>
      </c>
      <c r="G149" s="55">
        <v>2</v>
      </c>
      <c r="H149" s="8">
        <v>58.536585365853654</v>
      </c>
      <c r="I149" s="8">
        <v>36.585365853658537</v>
      </c>
    </row>
    <row r="150" spans="1:9" x14ac:dyDescent="0.25">
      <c r="A150" s="11" t="s">
        <v>2522</v>
      </c>
      <c r="B150" s="11">
        <v>249652135655.30002</v>
      </c>
      <c r="C150" s="11">
        <v>254058195470.47</v>
      </c>
      <c r="D150" s="11">
        <v>1.7648796809227072</v>
      </c>
      <c r="E150" s="55">
        <v>7</v>
      </c>
      <c r="F150" s="55">
        <v>5</v>
      </c>
      <c r="G150" s="55">
        <v>0</v>
      </c>
      <c r="H150" s="8">
        <v>58.333333333333336</v>
      </c>
      <c r="I150" s="8">
        <v>41.666666666666671</v>
      </c>
    </row>
    <row r="151" spans="1:9" x14ac:dyDescent="0.25">
      <c r="A151" s="11" t="s">
        <v>3312</v>
      </c>
      <c r="B151" s="11">
        <v>160103523738.07001</v>
      </c>
      <c r="C151" s="11">
        <v>162836787377.26999</v>
      </c>
      <c r="D151" s="11">
        <v>1.707185185799915</v>
      </c>
      <c r="E151" s="55">
        <v>7</v>
      </c>
      <c r="F151" s="55">
        <v>4</v>
      </c>
      <c r="G151" s="55">
        <v>1</v>
      </c>
      <c r="H151" s="8">
        <v>58.333333333333336</v>
      </c>
      <c r="I151" s="8">
        <v>33.333333333333329</v>
      </c>
    </row>
    <row r="152" spans="1:9" x14ac:dyDescent="0.25">
      <c r="A152" s="11" t="s">
        <v>4111</v>
      </c>
      <c r="B152" s="11">
        <v>34620564631.369995</v>
      </c>
      <c r="C152" s="11">
        <v>38457035435.299995</v>
      </c>
      <c r="D152" s="11">
        <v>11.08147959104555</v>
      </c>
      <c r="E152" s="55">
        <v>4</v>
      </c>
      <c r="F152" s="55">
        <v>2</v>
      </c>
      <c r="G152" s="55">
        <v>1</v>
      </c>
      <c r="H152" s="8">
        <v>57.142857142857139</v>
      </c>
      <c r="I152" s="8">
        <v>28.571428571428569</v>
      </c>
    </row>
    <row r="153" spans="1:9" x14ac:dyDescent="0.25">
      <c r="A153" s="11" t="s">
        <v>1453</v>
      </c>
      <c r="B153" s="11">
        <v>377089621638.87006</v>
      </c>
      <c r="C153" s="11">
        <v>375035449524.78003</v>
      </c>
      <c r="D153" s="11">
        <v>-0.54474374159712613</v>
      </c>
      <c r="E153" s="55">
        <v>5</v>
      </c>
      <c r="F153" s="55">
        <v>4</v>
      </c>
      <c r="G153" s="55">
        <v>0</v>
      </c>
      <c r="H153" s="8">
        <v>55.555555555555557</v>
      </c>
      <c r="I153" s="8">
        <v>44.444444444444443</v>
      </c>
    </row>
    <row r="154" spans="1:9" x14ac:dyDescent="0.25">
      <c r="A154" s="11" t="s">
        <v>2346</v>
      </c>
      <c r="B154" s="11">
        <v>21698592247.970005</v>
      </c>
      <c r="C154" s="11">
        <v>23226418421.149998</v>
      </c>
      <c r="D154" s="11">
        <v>7.0411303909493368</v>
      </c>
      <c r="E154" s="55">
        <v>13</v>
      </c>
      <c r="F154" s="55">
        <v>5</v>
      </c>
      <c r="G154" s="55">
        <v>6</v>
      </c>
      <c r="H154" s="8">
        <v>54.166666666666664</v>
      </c>
      <c r="I154" s="8">
        <v>20.833333333333336</v>
      </c>
    </row>
    <row r="155" spans="1:9" x14ac:dyDescent="0.25">
      <c r="A155" s="11" t="s">
        <v>1376</v>
      </c>
      <c r="B155" s="11">
        <v>5485159920640.8193</v>
      </c>
      <c r="C155" s="11">
        <v>5736591969557.209</v>
      </c>
      <c r="D155" s="11">
        <v>4.5838599522001786</v>
      </c>
      <c r="E155" s="55">
        <v>10</v>
      </c>
      <c r="F155" s="55">
        <v>7</v>
      </c>
      <c r="G155" s="55">
        <v>2</v>
      </c>
      <c r="H155" s="8">
        <v>52.631578947368418</v>
      </c>
      <c r="I155" s="8">
        <v>36.84210526315789</v>
      </c>
    </row>
    <row r="156" spans="1:9" x14ac:dyDescent="0.25">
      <c r="A156" s="11" t="s">
        <v>1171</v>
      </c>
      <c r="B156" s="11">
        <v>619469491997.87988</v>
      </c>
      <c r="C156" s="11">
        <v>666520895513.11987</v>
      </c>
      <c r="D156" s="11">
        <v>7.5954351462074934</v>
      </c>
      <c r="E156" s="55">
        <v>66</v>
      </c>
      <c r="F156" s="55">
        <v>33</v>
      </c>
      <c r="G156" s="55">
        <v>27</v>
      </c>
      <c r="H156" s="8">
        <v>52.380952380952387</v>
      </c>
      <c r="I156" s="8">
        <v>26.190476190476193</v>
      </c>
    </row>
    <row r="157" spans="1:9" x14ac:dyDescent="0.25">
      <c r="A157" s="11" t="s">
        <v>2749</v>
      </c>
      <c r="B157" s="11">
        <v>11805055219.540001</v>
      </c>
      <c r="C157" s="11">
        <v>12904968238.74</v>
      </c>
      <c r="D157" s="11">
        <v>9.3173051607534827</v>
      </c>
      <c r="E157" s="55">
        <v>1</v>
      </c>
      <c r="F157" s="55">
        <v>1</v>
      </c>
      <c r="G157" s="55">
        <v>0</v>
      </c>
      <c r="H157" s="8">
        <v>50</v>
      </c>
      <c r="I157" s="8">
        <v>50</v>
      </c>
    </row>
    <row r="158" spans="1:9" x14ac:dyDescent="0.25">
      <c r="A158" s="11" t="s">
        <v>3874</v>
      </c>
      <c r="B158" s="11">
        <v>197187419572.95001</v>
      </c>
      <c r="C158" s="11">
        <v>211979887165.40002</v>
      </c>
      <c r="D158" s="11">
        <v>7.5017298895062119</v>
      </c>
      <c r="E158" s="55">
        <v>1</v>
      </c>
      <c r="F158" s="55">
        <v>1</v>
      </c>
      <c r="G158" s="55">
        <v>0</v>
      </c>
      <c r="H158" s="8">
        <v>50</v>
      </c>
      <c r="I158" s="8">
        <v>50</v>
      </c>
    </row>
    <row r="159" spans="1:9" x14ac:dyDescent="0.25">
      <c r="A159" s="11" t="s">
        <v>3814</v>
      </c>
      <c r="B159" s="11">
        <v>2825973705.1399999</v>
      </c>
      <c r="C159" s="11">
        <v>3009568244.1799998</v>
      </c>
      <c r="D159" s="11">
        <v>6.4966824958799325</v>
      </c>
      <c r="E159" s="55">
        <v>2</v>
      </c>
      <c r="F159" s="55">
        <v>2</v>
      </c>
      <c r="G159" s="55">
        <v>0</v>
      </c>
      <c r="H159" s="8">
        <v>50</v>
      </c>
      <c r="I159" s="8">
        <v>50</v>
      </c>
    </row>
    <row r="160" spans="1:9" x14ac:dyDescent="0.25">
      <c r="A160" s="11" t="s">
        <v>4082</v>
      </c>
      <c r="B160" s="11">
        <v>1258354533059.75</v>
      </c>
      <c r="C160" s="11">
        <v>1328245874932.5</v>
      </c>
      <c r="D160" s="11">
        <v>5.554185250384549</v>
      </c>
      <c r="E160" s="55">
        <v>1</v>
      </c>
      <c r="F160" s="55">
        <v>0</v>
      </c>
      <c r="G160" s="55">
        <v>1</v>
      </c>
      <c r="H160" s="8">
        <v>50</v>
      </c>
      <c r="I160" s="8">
        <v>0</v>
      </c>
    </row>
    <row r="161" spans="1:11" x14ac:dyDescent="0.25">
      <c r="A161" s="11" t="s">
        <v>3900</v>
      </c>
      <c r="B161" s="11">
        <v>221416231360.89999</v>
      </c>
      <c r="C161" s="11">
        <v>233072519438.85001</v>
      </c>
      <c r="D161" s="11">
        <v>5.2644234825543164</v>
      </c>
      <c r="E161" s="55">
        <v>2</v>
      </c>
      <c r="F161" s="55">
        <v>2</v>
      </c>
      <c r="G161" s="55">
        <v>0</v>
      </c>
      <c r="H161" s="8">
        <v>50</v>
      </c>
      <c r="I161" s="8">
        <v>50</v>
      </c>
    </row>
    <row r="162" spans="1:11" x14ac:dyDescent="0.25">
      <c r="A162" s="11" t="s">
        <v>758</v>
      </c>
      <c r="B162" s="11">
        <v>62164894331.5</v>
      </c>
      <c r="C162" s="11">
        <v>64594637712</v>
      </c>
      <c r="D162" s="11">
        <v>3.9085458225717726</v>
      </c>
      <c r="E162" s="55">
        <v>1</v>
      </c>
      <c r="F162" s="55">
        <v>1</v>
      </c>
      <c r="G162" s="55">
        <v>0</v>
      </c>
      <c r="H162" s="8">
        <v>50</v>
      </c>
      <c r="I162" s="8">
        <v>50</v>
      </c>
    </row>
    <row r="163" spans="1:11" x14ac:dyDescent="0.25">
      <c r="A163" s="11" t="s">
        <v>2825</v>
      </c>
      <c r="B163" s="11">
        <v>1463379416.7</v>
      </c>
      <c r="C163" s="11">
        <v>1513903729.5</v>
      </c>
      <c r="D163" s="11">
        <v>3.4525777951650447</v>
      </c>
      <c r="E163" s="55">
        <v>1</v>
      </c>
      <c r="F163" s="55">
        <v>1</v>
      </c>
      <c r="G163" s="55">
        <v>0</v>
      </c>
      <c r="H163" s="8">
        <v>50</v>
      </c>
      <c r="I163" s="8">
        <v>50</v>
      </c>
    </row>
    <row r="164" spans="1:11" x14ac:dyDescent="0.25">
      <c r="A164" s="11" t="s">
        <v>56</v>
      </c>
      <c r="B164" s="11">
        <v>14531790881.149998</v>
      </c>
      <c r="C164" s="11">
        <v>14761773490.850002</v>
      </c>
      <c r="D164" s="11">
        <v>1.5826171156806828</v>
      </c>
      <c r="E164" s="55">
        <v>6</v>
      </c>
      <c r="F164" s="55">
        <v>6</v>
      </c>
      <c r="G164" s="55">
        <v>0</v>
      </c>
      <c r="H164" s="8">
        <v>50</v>
      </c>
      <c r="I164" s="8">
        <v>50</v>
      </c>
    </row>
    <row r="165" spans="1:11" x14ac:dyDescent="0.25">
      <c r="A165" s="11" t="s">
        <v>959</v>
      </c>
      <c r="B165" s="11">
        <v>183027176491.04999</v>
      </c>
      <c r="C165" s="11">
        <v>183848255809.64996</v>
      </c>
      <c r="D165" s="11">
        <v>0.44861060217476845</v>
      </c>
      <c r="E165" s="55">
        <v>5</v>
      </c>
      <c r="F165" s="55">
        <v>4</v>
      </c>
      <c r="G165" s="55">
        <v>1</v>
      </c>
      <c r="H165" s="8">
        <v>50</v>
      </c>
      <c r="I165" s="8">
        <v>40</v>
      </c>
    </row>
    <row r="166" spans="1:11" x14ac:dyDescent="0.25">
      <c r="A166" s="11" t="s">
        <v>2867</v>
      </c>
      <c r="B166" s="11">
        <v>4662633893.1999998</v>
      </c>
      <c r="C166" s="11">
        <v>4651473768.9499998</v>
      </c>
      <c r="D166" s="11">
        <v>-0.23935235975262739</v>
      </c>
      <c r="E166" s="55">
        <v>3</v>
      </c>
      <c r="F166" s="55">
        <v>2</v>
      </c>
      <c r="G166" s="55">
        <v>1</v>
      </c>
      <c r="H166" s="8">
        <v>50</v>
      </c>
      <c r="I166" s="8">
        <v>33.333333333333329</v>
      </c>
    </row>
    <row r="167" spans="1:11" x14ac:dyDescent="0.25">
      <c r="A167" s="56" t="s">
        <v>2577</v>
      </c>
      <c r="B167" s="11">
        <v>547514026388.25</v>
      </c>
      <c r="C167" s="11">
        <v>540076351103.34998</v>
      </c>
      <c r="D167" s="11">
        <v>-1.3584447021318615</v>
      </c>
      <c r="E167" s="55">
        <v>2</v>
      </c>
      <c r="F167" s="55">
        <v>2</v>
      </c>
      <c r="G167" s="55">
        <v>0</v>
      </c>
      <c r="H167" s="8">
        <v>50</v>
      </c>
      <c r="I167" s="8">
        <v>50</v>
      </c>
    </row>
    <row r="168" spans="1:11" x14ac:dyDescent="0.25">
      <c r="A168" s="11" t="s">
        <v>3519</v>
      </c>
      <c r="B168" s="11">
        <v>7295898755.3000002</v>
      </c>
      <c r="C168" s="11">
        <v>7155795285.6000004</v>
      </c>
      <c r="D168" s="11">
        <v>-1.9203044669201812</v>
      </c>
      <c r="E168" s="55">
        <v>2</v>
      </c>
      <c r="F168" s="55">
        <v>2</v>
      </c>
      <c r="G168" s="55">
        <v>0</v>
      </c>
      <c r="H168" s="8">
        <v>50</v>
      </c>
      <c r="I168" s="8">
        <v>50</v>
      </c>
    </row>
    <row r="169" spans="1:11" x14ac:dyDescent="0.25">
      <c r="A169" s="11" t="s">
        <v>3690</v>
      </c>
      <c r="B169" s="11">
        <v>92284051222.040009</v>
      </c>
      <c r="C169" s="11">
        <v>86863587459.240005</v>
      </c>
      <c r="D169" s="11">
        <v>-5.8736733932043119</v>
      </c>
      <c r="E169" s="55">
        <v>2</v>
      </c>
      <c r="F169" s="55">
        <v>1</v>
      </c>
      <c r="G169" s="55">
        <v>1</v>
      </c>
      <c r="H169" s="8">
        <v>50</v>
      </c>
      <c r="I169" s="8">
        <v>25</v>
      </c>
    </row>
    <row r="170" spans="1:11" x14ac:dyDescent="0.25">
      <c r="A170" s="11" t="s">
        <v>2951</v>
      </c>
      <c r="B170" s="11">
        <v>278666278108.50989</v>
      </c>
      <c r="C170" s="11">
        <v>289767122858.95001</v>
      </c>
      <c r="D170" s="11">
        <v>3.9835622830967603</v>
      </c>
      <c r="E170" s="55">
        <v>106</v>
      </c>
      <c r="F170" s="55">
        <v>56</v>
      </c>
      <c r="G170" s="55">
        <v>56</v>
      </c>
      <c r="H170" s="8">
        <v>48.623853211009177</v>
      </c>
      <c r="I170" s="8">
        <v>25.688073394495415</v>
      </c>
    </row>
    <row r="171" spans="1:11" x14ac:dyDescent="0.25">
      <c r="A171" s="11" t="s">
        <v>2681</v>
      </c>
      <c r="B171" s="11">
        <v>322067883961.39008</v>
      </c>
      <c r="C171" s="11">
        <v>344324968023.8399</v>
      </c>
      <c r="D171" s="11">
        <v>6.9106809995119036</v>
      </c>
      <c r="E171" s="55">
        <v>49</v>
      </c>
      <c r="F171" s="55">
        <v>19</v>
      </c>
      <c r="G171" s="55">
        <v>40</v>
      </c>
      <c r="H171" s="8">
        <v>45.370370370370374</v>
      </c>
      <c r="I171" s="8">
        <v>17.592592592592592</v>
      </c>
      <c r="J171" s="69" t="s">
        <v>4463</v>
      </c>
      <c r="K171" s="67"/>
    </row>
    <row r="172" spans="1:11" x14ac:dyDescent="0.25">
      <c r="A172" s="11" t="s">
        <v>2834</v>
      </c>
      <c r="B172" s="11">
        <v>25937720159.75</v>
      </c>
      <c r="C172" s="11">
        <v>28192702152.349998</v>
      </c>
      <c r="D172" s="11">
        <v>8.6938326834879884</v>
      </c>
      <c r="E172" s="55">
        <v>4</v>
      </c>
      <c r="F172" s="55">
        <v>5</v>
      </c>
      <c r="G172" s="55">
        <v>0</v>
      </c>
      <c r="H172" s="8">
        <v>44.444444444444443</v>
      </c>
      <c r="I172" s="8">
        <v>55.555555555555557</v>
      </c>
      <c r="J172" s="69" t="s">
        <v>4464</v>
      </c>
      <c r="K172" s="67"/>
    </row>
    <row r="173" spans="1:11" x14ac:dyDescent="0.25">
      <c r="A173" s="11" t="s">
        <v>1598</v>
      </c>
      <c r="B173" s="11">
        <v>1358839910151.6799</v>
      </c>
      <c r="C173" s="11">
        <v>1439652073606.4299</v>
      </c>
      <c r="D173" s="11">
        <v>5.9471437989872831</v>
      </c>
      <c r="E173" s="55">
        <v>2</v>
      </c>
      <c r="F173" s="55">
        <v>1</v>
      </c>
      <c r="G173" s="55">
        <v>2</v>
      </c>
      <c r="H173" s="8">
        <v>40</v>
      </c>
      <c r="I173" s="8">
        <v>20</v>
      </c>
    </row>
    <row r="174" spans="1:11" x14ac:dyDescent="0.25">
      <c r="A174" s="11" t="s">
        <v>1315</v>
      </c>
      <c r="B174" s="11">
        <v>140375288174.08002</v>
      </c>
      <c r="C174" s="11">
        <v>141269591856.64999</v>
      </c>
      <c r="D174" s="11">
        <v>0.63708056752905595</v>
      </c>
      <c r="E174" s="55">
        <v>2</v>
      </c>
      <c r="F174" s="55">
        <v>2</v>
      </c>
      <c r="G174" s="55">
        <v>1</v>
      </c>
      <c r="H174" s="8">
        <v>40</v>
      </c>
      <c r="I174" s="8">
        <v>40</v>
      </c>
    </row>
    <row r="175" spans="1:11" x14ac:dyDescent="0.25">
      <c r="A175" s="11" t="s">
        <v>3454</v>
      </c>
      <c r="B175" s="11">
        <v>30782336261.360001</v>
      </c>
      <c r="C175" s="11">
        <v>25357959024.019997</v>
      </c>
      <c r="D175" s="11">
        <v>-17.621720428507682</v>
      </c>
      <c r="E175" s="55">
        <v>2</v>
      </c>
      <c r="F175" s="55">
        <v>3</v>
      </c>
      <c r="G175" s="55">
        <v>0</v>
      </c>
      <c r="H175" s="8">
        <v>40</v>
      </c>
      <c r="I175" s="8">
        <v>60</v>
      </c>
    </row>
    <row r="176" spans="1:11" x14ac:dyDescent="0.25">
      <c r="A176" s="11" t="s">
        <v>2594</v>
      </c>
      <c r="B176" s="11">
        <v>3418976713.5</v>
      </c>
      <c r="C176" s="11">
        <v>3212291617.25</v>
      </c>
      <c r="D176" s="11">
        <v>-6.0452326403363204</v>
      </c>
      <c r="E176" s="55">
        <v>3</v>
      </c>
      <c r="F176" s="55">
        <v>4</v>
      </c>
      <c r="G176" s="55">
        <v>1</v>
      </c>
      <c r="H176" s="8">
        <v>37.5</v>
      </c>
      <c r="I176" s="8">
        <v>50</v>
      </c>
    </row>
    <row r="177" spans="1:9" x14ac:dyDescent="0.25">
      <c r="A177" s="11" t="s">
        <v>1672</v>
      </c>
      <c r="B177" s="11">
        <v>348738605191.01996</v>
      </c>
      <c r="C177" s="11">
        <v>346182789655.12</v>
      </c>
      <c r="D177" s="11">
        <v>-0.73287427828646245</v>
      </c>
      <c r="E177" s="55">
        <v>1</v>
      </c>
      <c r="F177" s="55">
        <v>2</v>
      </c>
      <c r="G177" s="55">
        <v>0</v>
      </c>
      <c r="H177" s="8">
        <v>33.333333333333329</v>
      </c>
      <c r="I177" s="8">
        <v>66.666666666666657</v>
      </c>
    </row>
    <row r="178" spans="1:9" x14ac:dyDescent="0.25">
      <c r="A178" s="11" t="s">
        <v>295</v>
      </c>
      <c r="B178" s="11">
        <v>83757542573.300003</v>
      </c>
      <c r="C178" s="11">
        <v>89277045589.649994</v>
      </c>
      <c r="D178" s="11">
        <v>6.589857876405131</v>
      </c>
      <c r="E178" s="55">
        <v>2</v>
      </c>
      <c r="F178" s="55">
        <v>4</v>
      </c>
      <c r="G178" s="55">
        <v>1</v>
      </c>
      <c r="H178" s="8">
        <v>28.571428571428569</v>
      </c>
      <c r="I178" s="8">
        <v>57.142857142857139</v>
      </c>
    </row>
    <row r="179" spans="1:9" x14ac:dyDescent="0.25">
      <c r="A179" s="11" t="s">
        <v>876</v>
      </c>
      <c r="B179" s="11">
        <v>681864341.17000008</v>
      </c>
      <c r="C179" s="11">
        <v>726320894.54999995</v>
      </c>
      <c r="D179" s="11">
        <v>6.5198530991835684</v>
      </c>
      <c r="E179" s="55">
        <v>1</v>
      </c>
      <c r="F179" s="55">
        <v>1</v>
      </c>
      <c r="G179" s="55">
        <v>2</v>
      </c>
      <c r="H179" s="8">
        <v>25</v>
      </c>
      <c r="I179" s="8">
        <v>25</v>
      </c>
    </row>
    <row r="180" spans="1:9" x14ac:dyDescent="0.25">
      <c r="A180" s="11" t="s">
        <v>767</v>
      </c>
      <c r="B180" s="11">
        <v>632411444414.5</v>
      </c>
      <c r="C180" s="11">
        <v>645757525259.76001</v>
      </c>
      <c r="D180" s="11">
        <v>2.1103477748755948</v>
      </c>
      <c r="E180" s="55">
        <v>1</v>
      </c>
      <c r="F180" s="55">
        <v>2</v>
      </c>
      <c r="G180" s="55">
        <v>2</v>
      </c>
      <c r="H180" s="8">
        <v>20</v>
      </c>
      <c r="I180" s="8">
        <v>40</v>
      </c>
    </row>
    <row r="181" spans="1:9" x14ac:dyDescent="0.25">
      <c r="A181" s="11" t="s">
        <v>4128</v>
      </c>
      <c r="B181" s="11">
        <v>23196387500</v>
      </c>
      <c r="C181" s="11">
        <v>23073600000</v>
      </c>
      <c r="D181" s="11">
        <v>-0.52933888951458496</v>
      </c>
      <c r="E181" s="55">
        <v>0</v>
      </c>
      <c r="F181" s="55">
        <v>1</v>
      </c>
      <c r="G181" s="55">
        <v>0</v>
      </c>
      <c r="H181" s="8">
        <v>0</v>
      </c>
      <c r="I181" s="8">
        <v>100</v>
      </c>
    </row>
    <row r="182" spans="1:9" x14ac:dyDescent="0.25">
      <c r="A182" s="11" t="s">
        <v>3131</v>
      </c>
      <c r="B182" s="11">
        <v>1047944264493.0399</v>
      </c>
      <c r="C182" s="11">
        <v>1036631798613.7701</v>
      </c>
      <c r="D182" s="11">
        <v>-1.0794911773998175</v>
      </c>
      <c r="E182" s="55">
        <v>0</v>
      </c>
      <c r="F182" s="55">
        <v>2</v>
      </c>
      <c r="G182" s="55">
        <v>0</v>
      </c>
      <c r="H182" s="8">
        <v>0</v>
      </c>
      <c r="I182" s="8">
        <v>100</v>
      </c>
    </row>
    <row r="183" spans="1:9" x14ac:dyDescent="0.25">
      <c r="A183" s="11" t="s">
        <v>4057</v>
      </c>
      <c r="B183" s="11">
        <v>4221814363</v>
      </c>
      <c r="C183" s="11">
        <v>4138872142.6599998</v>
      </c>
      <c r="D183" s="11">
        <v>-1.964610785990643</v>
      </c>
      <c r="E183" s="55">
        <v>0</v>
      </c>
      <c r="F183" s="55">
        <v>2</v>
      </c>
      <c r="G183" s="55">
        <v>0</v>
      </c>
      <c r="H183" s="8">
        <v>0</v>
      </c>
      <c r="I183" s="8">
        <v>100</v>
      </c>
    </row>
    <row r="184" spans="1:9" x14ac:dyDescent="0.25">
      <c r="A184" s="11" t="s">
        <v>4200</v>
      </c>
      <c r="B184" s="11">
        <v>81917202060</v>
      </c>
      <c r="C184" s="11">
        <v>78873684492.600006</v>
      </c>
      <c r="D184" s="11">
        <v>-3.7153583018750798</v>
      </c>
      <c r="E184" s="55">
        <v>0</v>
      </c>
      <c r="F184" s="55">
        <v>2</v>
      </c>
      <c r="G184" s="55">
        <v>0</v>
      </c>
      <c r="H184" s="8">
        <v>0</v>
      </c>
      <c r="I184" s="8">
        <v>100</v>
      </c>
    </row>
    <row r="185" spans="1:9" x14ac:dyDescent="0.25">
      <c r="A185" s="11"/>
      <c r="B185" s="11"/>
      <c r="C185" s="11"/>
      <c r="D185" s="11"/>
      <c r="E185" s="11"/>
      <c r="F185" s="11"/>
      <c r="G185" s="11"/>
      <c r="H185" s="8"/>
      <c r="I185" s="8"/>
    </row>
    <row r="186" spans="1:9" x14ac:dyDescent="0.25">
      <c r="A186" s="11"/>
      <c r="B186" s="11"/>
      <c r="C186" s="11"/>
      <c r="D186" s="11"/>
      <c r="E186" s="11"/>
      <c r="F186" s="11"/>
      <c r="G186" s="11"/>
      <c r="H186" s="8"/>
      <c r="I186" s="8"/>
    </row>
    <row r="187" spans="1:9" x14ac:dyDescent="0.25">
      <c r="A187" s="11"/>
      <c r="B187" s="11"/>
      <c r="C187" s="11"/>
      <c r="D187" s="11"/>
      <c r="E187" s="11"/>
      <c r="F187" s="11"/>
      <c r="G187" s="11"/>
      <c r="H187" s="8"/>
      <c r="I187" s="8"/>
    </row>
    <row r="188" spans="1:9" x14ac:dyDescent="0.25">
      <c r="A188" s="11"/>
      <c r="B188" s="11"/>
      <c r="C188" s="11"/>
      <c r="D188" s="11"/>
      <c r="E188" s="11"/>
      <c r="F188" s="11"/>
      <c r="G188" s="11"/>
      <c r="H188" s="8"/>
      <c r="I188" s="8"/>
    </row>
    <row r="189" spans="1:9" x14ac:dyDescent="0.25">
      <c r="A189" s="11"/>
      <c r="B189" s="11"/>
      <c r="C189" s="11"/>
      <c r="D189" s="11"/>
      <c r="E189" s="11"/>
      <c r="F189" s="11"/>
      <c r="G189" s="11"/>
      <c r="H189" s="8"/>
      <c r="I189" s="8"/>
    </row>
    <row r="190" spans="1:9" x14ac:dyDescent="0.25">
      <c r="A190" s="11"/>
      <c r="B190" s="11"/>
      <c r="C190" s="11"/>
      <c r="D190" s="11"/>
      <c r="E190" s="11"/>
      <c r="F190" s="11"/>
      <c r="G190" s="11"/>
      <c r="H190" s="8"/>
      <c r="I190" s="8"/>
    </row>
    <row r="191" spans="1:9" x14ac:dyDescent="0.25">
      <c r="A191" s="11"/>
      <c r="B191" s="11"/>
      <c r="C191" s="11"/>
      <c r="D191" s="11"/>
      <c r="E191" s="11"/>
      <c r="F191" s="11"/>
      <c r="G191" s="11"/>
      <c r="H191" s="8"/>
      <c r="I191" s="8"/>
    </row>
    <row r="192" spans="1:9" x14ac:dyDescent="0.25">
      <c r="A192" s="11"/>
      <c r="B192" s="11"/>
      <c r="C192" s="11"/>
      <c r="D192" s="11"/>
      <c r="E192" s="11"/>
      <c r="F192" s="11"/>
      <c r="G192" s="11"/>
      <c r="H192" s="8"/>
      <c r="I192" s="8"/>
    </row>
    <row r="193" spans="1:9" x14ac:dyDescent="0.25">
      <c r="A193" s="11"/>
      <c r="B193" s="11"/>
      <c r="C193" s="11"/>
      <c r="D193" s="11"/>
      <c r="E193" s="11"/>
      <c r="F193" s="11"/>
      <c r="G193" s="11"/>
      <c r="H193" s="8"/>
      <c r="I193" s="8"/>
    </row>
    <row r="194" spans="1:9" x14ac:dyDescent="0.25">
      <c r="A194" s="11"/>
      <c r="B194" s="11"/>
      <c r="C194" s="11"/>
      <c r="D194" s="11"/>
      <c r="E194" s="11"/>
      <c r="F194" s="11"/>
      <c r="G194" s="11"/>
      <c r="H194" s="8"/>
      <c r="I194" s="8"/>
    </row>
    <row r="195" spans="1:9" x14ac:dyDescent="0.25">
      <c r="A195" s="11"/>
      <c r="B195" s="11"/>
      <c r="C195" s="11"/>
      <c r="D195" s="11"/>
      <c r="E195" s="11"/>
      <c r="F195" s="11"/>
      <c r="G195" s="11"/>
      <c r="H195" s="8"/>
      <c r="I195" s="8"/>
    </row>
    <row r="196" spans="1:9" x14ac:dyDescent="0.25">
      <c r="A196" s="11"/>
      <c r="B196" s="11"/>
      <c r="C196" s="11"/>
      <c r="D196" s="11"/>
      <c r="E196" s="11"/>
      <c r="F196" s="11"/>
      <c r="G196" s="11"/>
      <c r="H196" s="8"/>
      <c r="I196" s="8"/>
    </row>
    <row r="197" spans="1:9" x14ac:dyDescent="0.25">
      <c r="A197" s="11"/>
      <c r="B197" s="11"/>
      <c r="C197" s="11"/>
      <c r="D197" s="11"/>
      <c r="E197" s="11"/>
      <c r="F197" s="11"/>
      <c r="G197" s="11"/>
      <c r="H197" s="8"/>
      <c r="I197" s="8"/>
    </row>
    <row r="198" spans="1:9" x14ac:dyDescent="0.25">
      <c r="A198" s="11"/>
      <c r="B198" s="11"/>
      <c r="C198" s="11"/>
      <c r="D198" s="11"/>
      <c r="E198" s="11"/>
      <c r="F198" s="11"/>
      <c r="G198" s="11"/>
      <c r="H198" s="8"/>
      <c r="I198" s="8"/>
    </row>
    <row r="199" spans="1:9" x14ac:dyDescent="0.25">
      <c r="A199" s="11"/>
      <c r="B199" s="11"/>
      <c r="C199" s="11"/>
      <c r="D199" s="11"/>
      <c r="E199" s="11"/>
      <c r="F199" s="11"/>
      <c r="G199" s="11"/>
      <c r="H199" s="8"/>
      <c r="I199" s="8"/>
    </row>
    <row r="200" spans="1:9" x14ac:dyDescent="0.25">
      <c r="A200" s="11"/>
      <c r="B200" s="11"/>
      <c r="C200" s="11"/>
      <c r="D200" s="11"/>
      <c r="E200" s="11"/>
      <c r="F200" s="11"/>
      <c r="G200" s="11"/>
      <c r="H200" s="8"/>
      <c r="I200" s="8"/>
    </row>
    <row r="201" spans="1:9" x14ac:dyDescent="0.25">
      <c r="A201" s="11"/>
      <c r="B201" s="11"/>
      <c r="C201" s="11"/>
      <c r="D201" s="11"/>
      <c r="E201" s="11"/>
      <c r="F201" s="11"/>
      <c r="G201" s="11"/>
      <c r="H201" s="8"/>
      <c r="I201" s="8"/>
    </row>
    <row r="202" spans="1:9" x14ac:dyDescent="0.25">
      <c r="A202" s="11"/>
      <c r="B202" s="11"/>
      <c r="C202" s="11"/>
      <c r="D202" s="11"/>
      <c r="E202" s="11"/>
      <c r="F202" s="11"/>
      <c r="G202" s="11"/>
      <c r="H202" s="8"/>
      <c r="I202" s="8"/>
    </row>
    <row r="203" spans="1:9" x14ac:dyDescent="0.25">
      <c r="A203" s="11"/>
      <c r="B203" s="11"/>
      <c r="C203" s="11"/>
      <c r="D203" s="11"/>
      <c r="E203" s="11"/>
      <c r="F203" s="11"/>
      <c r="G203" s="11"/>
      <c r="H203" s="8"/>
      <c r="I203" s="8"/>
    </row>
    <row r="204" spans="1:9" x14ac:dyDescent="0.25">
      <c r="A204" s="11"/>
      <c r="B204" s="11"/>
      <c r="C204" s="11"/>
      <c r="D204" s="11"/>
      <c r="E204" s="11"/>
      <c r="F204" s="11"/>
      <c r="G204" s="11"/>
      <c r="H204" s="8"/>
      <c r="I204" s="8"/>
    </row>
    <row r="205" spans="1:9" x14ac:dyDescent="0.25">
      <c r="A205" s="11"/>
      <c r="B205" s="11"/>
      <c r="C205" s="11"/>
      <c r="D205" s="11"/>
      <c r="E205" s="11"/>
      <c r="F205" s="11"/>
      <c r="G205" s="11"/>
      <c r="H205" s="8"/>
      <c r="I205" s="8"/>
    </row>
    <row r="206" spans="1:9" x14ac:dyDescent="0.25">
      <c r="A206" s="11"/>
      <c r="B206" s="11"/>
      <c r="C206" s="11"/>
      <c r="D206" s="11"/>
      <c r="E206" s="11"/>
      <c r="F206" s="11"/>
      <c r="G206" s="11"/>
      <c r="H206" s="8"/>
      <c r="I206" s="8"/>
    </row>
    <row r="207" spans="1:9" x14ac:dyDescent="0.25">
      <c r="A207" s="11"/>
      <c r="B207" s="11"/>
      <c r="C207" s="11"/>
      <c r="D207" s="11"/>
      <c r="E207" s="11"/>
      <c r="F207" s="11"/>
      <c r="G207" s="11"/>
      <c r="H207" s="8"/>
      <c r="I207" s="8"/>
    </row>
    <row r="208" spans="1:9" x14ac:dyDescent="0.25">
      <c r="A208" s="11"/>
      <c r="B208" s="11"/>
      <c r="C208" s="11"/>
      <c r="D208" s="11"/>
      <c r="E208" s="11"/>
      <c r="F208" s="11"/>
      <c r="G208" s="11"/>
      <c r="H208" s="8"/>
      <c r="I208" s="8"/>
    </row>
    <row r="209" spans="1:9" x14ac:dyDescent="0.25">
      <c r="A209" s="11"/>
      <c r="B209" s="11"/>
      <c r="C209" s="11"/>
      <c r="D209" s="11"/>
      <c r="E209" s="11"/>
      <c r="F209" s="11"/>
      <c r="G209" s="11"/>
      <c r="H209" s="8"/>
      <c r="I209" s="8"/>
    </row>
    <row r="210" spans="1:9" x14ac:dyDescent="0.25">
      <c r="A210" s="11"/>
      <c r="B210" s="11"/>
      <c r="C210" s="11"/>
      <c r="D210" s="11"/>
      <c r="E210" s="11"/>
      <c r="F210" s="11"/>
      <c r="G210" s="11"/>
      <c r="H210" s="8"/>
      <c r="I210" s="8"/>
    </row>
    <row r="211" spans="1:9" x14ac:dyDescent="0.25">
      <c r="A211" s="11"/>
      <c r="B211" s="11"/>
      <c r="C211" s="11"/>
      <c r="D211" s="11"/>
      <c r="E211" s="11"/>
      <c r="F211" s="11"/>
      <c r="G211" s="11"/>
      <c r="H211" s="8"/>
      <c r="I211" s="8"/>
    </row>
    <row r="212" spans="1:9" x14ac:dyDescent="0.25">
      <c r="A212" s="11"/>
      <c r="B212" s="11"/>
      <c r="C212" s="11"/>
      <c r="D212" s="11"/>
      <c r="E212" s="11"/>
      <c r="F212" s="11"/>
      <c r="G212" s="11"/>
      <c r="H212" s="8"/>
      <c r="I212" s="8"/>
    </row>
    <row r="213" spans="1:9" x14ac:dyDescent="0.25">
      <c r="A213" s="11"/>
      <c r="B213" s="11"/>
      <c r="C213" s="11"/>
      <c r="D213" s="11"/>
      <c r="E213" s="11"/>
      <c r="F213" s="11"/>
      <c r="G213" s="11"/>
      <c r="H213" s="8"/>
      <c r="I213" s="8"/>
    </row>
    <row r="214" spans="1:9" x14ac:dyDescent="0.25">
      <c r="A214" s="11"/>
      <c r="B214" s="11"/>
      <c r="C214" s="11"/>
      <c r="D214" s="11"/>
      <c r="E214" s="11"/>
      <c r="F214" s="11"/>
      <c r="G214" s="11"/>
      <c r="H214" s="8"/>
      <c r="I214" s="8"/>
    </row>
    <row r="215" spans="1:9" x14ac:dyDescent="0.25">
      <c r="A215" s="11"/>
      <c r="B215" s="11"/>
      <c r="C215" s="11"/>
      <c r="D215" s="11"/>
      <c r="E215" s="11"/>
      <c r="F215" s="11"/>
      <c r="G215" s="11"/>
      <c r="H215" s="8"/>
      <c r="I215" s="8"/>
    </row>
    <row r="216" spans="1:9" x14ac:dyDescent="0.25">
      <c r="A216" s="11"/>
      <c r="B216" s="11"/>
      <c r="C216" s="11"/>
      <c r="D216" s="11"/>
      <c r="E216" s="11"/>
      <c r="F216" s="11"/>
      <c r="G216" s="11"/>
      <c r="H216" s="8"/>
      <c r="I216" s="8"/>
    </row>
    <row r="217" spans="1:9" x14ac:dyDescent="0.25">
      <c r="A217" s="11"/>
      <c r="B217" s="11"/>
      <c r="C217" s="11"/>
      <c r="D217" s="11"/>
      <c r="E217" s="11"/>
      <c r="F217" s="11"/>
      <c r="G217" s="11"/>
      <c r="H217" s="8"/>
      <c r="I217" s="8"/>
    </row>
    <row r="218" spans="1:9" x14ac:dyDescent="0.25">
      <c r="A218" s="11"/>
      <c r="B218" s="11"/>
      <c r="C218" s="11"/>
      <c r="D218" s="11"/>
      <c r="E218" s="11"/>
      <c r="F218" s="11"/>
      <c r="G218" s="11"/>
      <c r="H218" s="8"/>
      <c r="I218" s="8"/>
    </row>
    <row r="219" spans="1:9" x14ac:dyDescent="0.25">
      <c r="A219" s="11"/>
      <c r="B219" s="11"/>
      <c r="C219" s="11"/>
      <c r="D219" s="11"/>
      <c r="E219" s="11"/>
      <c r="F219" s="11"/>
      <c r="G219" s="11"/>
      <c r="H219" s="8"/>
      <c r="I219" s="8"/>
    </row>
    <row r="220" spans="1:9" x14ac:dyDescent="0.25">
      <c r="A220" s="11"/>
      <c r="B220" s="11"/>
      <c r="C220" s="11"/>
      <c r="D220" s="11"/>
      <c r="E220" s="11"/>
      <c r="F220" s="11"/>
      <c r="G220" s="11"/>
      <c r="H220" s="8"/>
      <c r="I220" s="8"/>
    </row>
    <row r="221" spans="1:9" x14ac:dyDescent="0.25">
      <c r="A221" s="11"/>
      <c r="B221" s="11"/>
      <c r="C221" s="11"/>
      <c r="D221" s="11"/>
      <c r="E221" s="11"/>
      <c r="F221" s="11"/>
      <c r="G221" s="11"/>
      <c r="H221" s="8"/>
      <c r="I221" s="8"/>
    </row>
    <row r="222" spans="1:9" x14ac:dyDescent="0.25">
      <c r="A222" s="11"/>
      <c r="B222" s="11"/>
      <c r="C222" s="11"/>
      <c r="D222" s="11"/>
      <c r="E222" s="11"/>
      <c r="F222" s="11"/>
      <c r="G222" s="11"/>
      <c r="H222" s="8"/>
      <c r="I222" s="8"/>
    </row>
    <row r="223" spans="1:9" x14ac:dyDescent="0.25">
      <c r="A223" s="11"/>
      <c r="B223" s="11"/>
      <c r="C223" s="11"/>
      <c r="D223" s="11"/>
      <c r="E223" s="11"/>
      <c r="F223" s="11"/>
      <c r="G223" s="11"/>
      <c r="H223" s="8"/>
      <c r="I223" s="8"/>
    </row>
    <row r="224" spans="1:9" x14ac:dyDescent="0.25">
      <c r="A224" s="11"/>
      <c r="B224" s="11"/>
      <c r="C224" s="11"/>
      <c r="D224" s="11"/>
      <c r="E224" s="11"/>
      <c r="F224" s="11"/>
      <c r="G224" s="11"/>
      <c r="H224" s="8"/>
      <c r="I224" s="8"/>
    </row>
    <row r="225" spans="1:9" x14ac:dyDescent="0.25">
      <c r="A225" s="11"/>
      <c r="B225" s="11"/>
      <c r="C225" s="11"/>
      <c r="D225" s="11"/>
      <c r="E225" s="11"/>
      <c r="F225" s="11"/>
      <c r="G225" s="11"/>
      <c r="H225" s="8"/>
      <c r="I225" s="8"/>
    </row>
    <row r="226" spans="1:9" x14ac:dyDescent="0.25">
      <c r="A226" s="11"/>
      <c r="B226" s="11"/>
      <c r="C226" s="11"/>
      <c r="D226" s="11"/>
      <c r="E226" s="11"/>
      <c r="F226" s="11"/>
      <c r="G226" s="11"/>
      <c r="H226" s="8"/>
      <c r="I226" s="8"/>
    </row>
    <row r="227" spans="1:9" x14ac:dyDescent="0.25">
      <c r="A227" s="11"/>
      <c r="B227" s="11"/>
      <c r="C227" s="11"/>
      <c r="D227" s="11"/>
      <c r="E227" s="11"/>
      <c r="F227" s="11"/>
      <c r="G227" s="11"/>
      <c r="H227" s="8"/>
      <c r="I227" s="8"/>
    </row>
    <row r="228" spans="1:9" x14ac:dyDescent="0.25">
      <c r="A228" s="11"/>
      <c r="B228" s="11"/>
      <c r="C228" s="11"/>
      <c r="D228" s="11"/>
      <c r="E228" s="11"/>
      <c r="F228" s="11"/>
      <c r="G228" s="11"/>
      <c r="H228" s="8"/>
      <c r="I228" s="8"/>
    </row>
    <row r="229" spans="1:9" x14ac:dyDescent="0.25">
      <c r="A229" s="11"/>
      <c r="B229" s="11"/>
      <c r="C229" s="11"/>
      <c r="D229" s="11"/>
      <c r="E229" s="11"/>
      <c r="F229" s="11"/>
      <c r="G229" s="11"/>
      <c r="H229" s="8"/>
      <c r="I229" s="8"/>
    </row>
    <row r="230" spans="1:9" x14ac:dyDescent="0.25">
      <c r="A230" s="11"/>
      <c r="B230" s="11"/>
      <c r="C230" s="11"/>
      <c r="D230" s="11"/>
      <c r="E230" s="11"/>
      <c r="F230" s="11"/>
      <c r="G230" s="11"/>
      <c r="H230" s="8"/>
      <c r="I230" s="8"/>
    </row>
    <row r="231" spans="1:9" x14ac:dyDescent="0.25">
      <c r="A231" s="11"/>
      <c r="B231" s="11"/>
      <c r="C231" s="11"/>
      <c r="D231" s="11"/>
      <c r="E231" s="11"/>
      <c r="F231" s="11"/>
      <c r="G231" s="11"/>
      <c r="H231" s="8"/>
      <c r="I231" s="8"/>
    </row>
    <row r="232" spans="1:9" x14ac:dyDescent="0.25">
      <c r="A232" s="11"/>
      <c r="B232" s="11"/>
      <c r="C232" s="11"/>
      <c r="D232" s="11"/>
      <c r="E232" s="11"/>
      <c r="F232" s="11"/>
      <c r="G232" s="11"/>
      <c r="H232" s="8"/>
      <c r="I232" s="8"/>
    </row>
    <row r="233" spans="1:9" x14ac:dyDescent="0.25">
      <c r="A233" s="11"/>
      <c r="B233" s="11"/>
      <c r="C233" s="11"/>
      <c r="D233" s="11"/>
      <c r="E233" s="11"/>
      <c r="F233" s="11"/>
      <c r="G233" s="11"/>
      <c r="H233" s="8"/>
      <c r="I233" s="8"/>
    </row>
    <row r="234" spans="1:9" x14ac:dyDescent="0.25">
      <c r="A234" s="11"/>
      <c r="B234" s="11"/>
      <c r="C234" s="11"/>
      <c r="D234" s="11"/>
      <c r="E234" s="11"/>
      <c r="F234" s="11"/>
      <c r="G234" s="11"/>
      <c r="H234" s="8"/>
      <c r="I234" s="8"/>
    </row>
    <row r="235" spans="1:9" x14ac:dyDescent="0.25">
      <c r="A235" s="11"/>
      <c r="B235" s="11"/>
      <c r="C235" s="11"/>
      <c r="D235" s="11"/>
      <c r="E235" s="11"/>
      <c r="F235" s="11"/>
      <c r="G235" s="11"/>
      <c r="H235" s="8"/>
      <c r="I235" s="8"/>
    </row>
    <row r="236" spans="1:9" x14ac:dyDescent="0.25">
      <c r="A236" s="11"/>
      <c r="B236" s="11"/>
      <c r="C236" s="11"/>
      <c r="D236" s="11"/>
      <c r="E236" s="11"/>
      <c r="F236" s="11"/>
      <c r="G236" s="11"/>
      <c r="H236" s="8"/>
      <c r="I236" s="8"/>
    </row>
    <row r="237" spans="1:9" x14ac:dyDescent="0.25">
      <c r="A237" s="11"/>
      <c r="B237" s="11"/>
      <c r="C237" s="11"/>
      <c r="D237" s="11"/>
      <c r="E237" s="11"/>
      <c r="F237" s="11"/>
      <c r="G237" s="11"/>
      <c r="H237" s="8"/>
      <c r="I237" s="8"/>
    </row>
    <row r="238" spans="1:9" x14ac:dyDescent="0.25">
      <c r="A238" s="11"/>
      <c r="B238" s="11"/>
      <c r="C238" s="11"/>
      <c r="D238" s="11"/>
      <c r="E238" s="11"/>
      <c r="F238" s="11"/>
      <c r="G238" s="11"/>
      <c r="H238" s="8"/>
      <c r="I238" s="8"/>
    </row>
    <row r="239" spans="1:9" x14ac:dyDescent="0.25">
      <c r="A239" s="11"/>
      <c r="B239" s="11"/>
      <c r="C239" s="11"/>
      <c r="D239" s="11"/>
      <c r="E239" s="11"/>
      <c r="F239" s="11"/>
      <c r="G239" s="11"/>
      <c r="H239" s="8"/>
      <c r="I239" s="8"/>
    </row>
    <row r="240" spans="1:9" x14ac:dyDescent="0.25">
      <c r="A240" s="11"/>
      <c r="B240" s="11"/>
      <c r="C240" s="11"/>
      <c r="D240" s="11"/>
      <c r="E240" s="11"/>
      <c r="F240" s="11"/>
      <c r="G240" s="11"/>
      <c r="H240" s="8"/>
      <c r="I240" s="8"/>
    </row>
    <row r="241" spans="1:9" x14ac:dyDescent="0.25">
      <c r="A241" s="11"/>
      <c r="B241" s="11"/>
      <c r="C241" s="11"/>
      <c r="D241" s="11"/>
      <c r="E241" s="11"/>
      <c r="F241" s="11"/>
      <c r="G241" s="11"/>
      <c r="H241" s="8"/>
      <c r="I241" s="8"/>
    </row>
    <row r="242" spans="1:9" x14ac:dyDescent="0.25">
      <c r="A242" s="11"/>
      <c r="B242" s="11"/>
      <c r="C242" s="11"/>
      <c r="D242" s="11"/>
      <c r="E242" s="11"/>
      <c r="F242" s="11"/>
      <c r="G242" s="11"/>
      <c r="H242" s="8"/>
      <c r="I242" s="8"/>
    </row>
    <row r="243" spans="1:9" x14ac:dyDescent="0.25">
      <c r="A243" s="11"/>
      <c r="B243" s="11"/>
      <c r="C243" s="11"/>
      <c r="D243" s="11"/>
      <c r="E243" s="11"/>
      <c r="F243" s="11"/>
      <c r="G243" s="11"/>
      <c r="H243" s="8"/>
      <c r="I243" s="8"/>
    </row>
    <row r="244" spans="1:9" x14ac:dyDescent="0.25">
      <c r="A244" s="11"/>
      <c r="B244" s="11"/>
      <c r="C244" s="11"/>
      <c r="D244" s="11"/>
      <c r="E244" s="11"/>
      <c r="F244" s="11"/>
      <c r="G244" s="11"/>
      <c r="H244" s="8"/>
      <c r="I244" s="8"/>
    </row>
    <row r="245" spans="1:9" x14ac:dyDescent="0.25">
      <c r="A245" s="11"/>
      <c r="B245" s="11"/>
      <c r="C245" s="11"/>
      <c r="D245" s="11"/>
      <c r="E245" s="11"/>
      <c r="F245" s="11"/>
      <c r="G245" s="11"/>
      <c r="H245" s="8"/>
      <c r="I245" s="8"/>
    </row>
    <row r="246" spans="1:9" x14ac:dyDescent="0.25">
      <c r="A246" s="11"/>
      <c r="B246" s="11"/>
      <c r="C246" s="11"/>
      <c r="D246" s="11"/>
      <c r="E246" s="11"/>
      <c r="F246" s="11"/>
      <c r="G246" s="11"/>
      <c r="H246" s="8"/>
      <c r="I246" s="8"/>
    </row>
    <row r="247" spans="1:9" x14ac:dyDescent="0.25">
      <c r="A247" s="11"/>
      <c r="B247" s="11"/>
      <c r="C247" s="11"/>
      <c r="D247" s="11"/>
      <c r="E247" s="11"/>
      <c r="F247" s="11"/>
      <c r="G247" s="11"/>
      <c r="H247" s="8"/>
      <c r="I247" s="8"/>
    </row>
    <row r="248" spans="1:9" x14ac:dyDescent="0.25">
      <c r="A248" s="11"/>
      <c r="B248" s="11"/>
      <c r="C248" s="11"/>
      <c r="D248" s="11"/>
      <c r="E248" s="11"/>
      <c r="F248" s="11"/>
      <c r="G248" s="11"/>
      <c r="H248" s="8"/>
      <c r="I248" s="8"/>
    </row>
    <row r="249" spans="1:9" x14ac:dyDescent="0.25">
      <c r="A249" s="11"/>
      <c r="B249" s="11"/>
      <c r="C249" s="11"/>
      <c r="D249" s="11"/>
      <c r="E249" s="11"/>
      <c r="F249" s="11"/>
      <c r="G249" s="11"/>
      <c r="H249" s="8"/>
      <c r="I249" s="8"/>
    </row>
    <row r="250" spans="1:9" x14ac:dyDescent="0.25">
      <c r="A250" s="11"/>
      <c r="B250" s="11"/>
      <c r="C250" s="11"/>
      <c r="D250" s="11"/>
      <c r="E250" s="11"/>
      <c r="F250" s="11"/>
      <c r="G250" s="11"/>
      <c r="H250" s="8"/>
      <c r="I250" s="8"/>
    </row>
    <row r="251" spans="1:9" x14ac:dyDescent="0.25">
      <c r="A251" s="11"/>
      <c r="B251" s="11"/>
      <c r="C251" s="11"/>
      <c r="D251" s="11"/>
      <c r="E251" s="11"/>
      <c r="F251" s="11"/>
      <c r="G251" s="11"/>
      <c r="H251" s="8"/>
      <c r="I251" s="8"/>
    </row>
    <row r="252" spans="1:9" x14ac:dyDescent="0.25">
      <c r="A252" s="11"/>
      <c r="B252" s="11"/>
      <c r="C252" s="11"/>
      <c r="D252" s="11"/>
      <c r="E252" s="11"/>
      <c r="F252" s="11"/>
      <c r="G252" s="11"/>
      <c r="H252" s="8"/>
      <c r="I252" s="8"/>
    </row>
    <row r="253" spans="1:9" x14ac:dyDescent="0.25">
      <c r="A253" s="11"/>
      <c r="B253" s="11"/>
      <c r="C253" s="11"/>
      <c r="D253" s="11"/>
      <c r="E253" s="11"/>
      <c r="F253" s="11"/>
      <c r="G253" s="11"/>
      <c r="H253" s="8"/>
      <c r="I253" s="8"/>
    </row>
    <row r="254" spans="1:9" x14ac:dyDescent="0.25">
      <c r="A254" s="11"/>
      <c r="B254" s="11"/>
      <c r="C254" s="11"/>
      <c r="D254" s="11"/>
      <c r="E254" s="11"/>
      <c r="F254" s="11"/>
      <c r="G254" s="11"/>
      <c r="H254" s="8"/>
      <c r="I254" s="8"/>
    </row>
    <row r="255" spans="1:9" x14ac:dyDescent="0.25">
      <c r="A255" s="11"/>
      <c r="B255" s="11"/>
      <c r="C255" s="11"/>
      <c r="D255" s="11"/>
      <c r="E255" s="11"/>
      <c r="F255" s="11"/>
      <c r="G255" s="11"/>
      <c r="H255" s="8"/>
      <c r="I255" s="8"/>
    </row>
    <row r="256" spans="1:9" x14ac:dyDescent="0.25">
      <c r="A256" s="11"/>
      <c r="B256" s="11"/>
      <c r="C256" s="11"/>
      <c r="D256" s="11"/>
      <c r="E256" s="11"/>
      <c r="F256" s="11"/>
      <c r="G256" s="11"/>
      <c r="H256" s="8"/>
      <c r="I256" s="8"/>
    </row>
    <row r="257" spans="1:9" x14ac:dyDescent="0.25">
      <c r="A257" s="11"/>
      <c r="B257" s="11"/>
      <c r="C257" s="11"/>
      <c r="D257" s="11"/>
      <c r="E257" s="11"/>
      <c r="F257" s="11"/>
      <c r="G257" s="11"/>
      <c r="H257" s="8"/>
      <c r="I257" s="8"/>
    </row>
    <row r="258" spans="1:9" x14ac:dyDescent="0.25">
      <c r="A258" s="11"/>
      <c r="B258" s="11"/>
      <c r="C258" s="11"/>
      <c r="D258" s="11"/>
      <c r="E258" s="11"/>
      <c r="F258" s="11"/>
      <c r="G258" s="11"/>
      <c r="H258" s="8"/>
      <c r="I258" s="8"/>
    </row>
    <row r="259" spans="1:9" x14ac:dyDescent="0.25">
      <c r="A259" s="11"/>
      <c r="B259" s="11"/>
      <c r="C259" s="11"/>
      <c r="D259" s="11"/>
      <c r="E259" s="11"/>
      <c r="F259" s="11"/>
      <c r="G259" s="11"/>
      <c r="H259" s="8"/>
      <c r="I259" s="8"/>
    </row>
    <row r="260" spans="1:9" x14ac:dyDescent="0.25">
      <c r="A260" s="11"/>
      <c r="B260" s="11"/>
      <c r="C260" s="11"/>
      <c r="D260" s="11"/>
      <c r="E260" s="11"/>
      <c r="F260" s="11"/>
      <c r="G260" s="11"/>
      <c r="H260" s="8"/>
      <c r="I260" s="8"/>
    </row>
    <row r="261" spans="1:9" x14ac:dyDescent="0.25">
      <c r="A261" s="11"/>
      <c r="B261" s="11"/>
      <c r="C261" s="11"/>
      <c r="D261" s="11"/>
      <c r="E261" s="11"/>
      <c r="F261" s="11"/>
      <c r="G261" s="11"/>
      <c r="H261" s="8"/>
      <c r="I261" s="8"/>
    </row>
    <row r="262" spans="1:9" x14ac:dyDescent="0.25">
      <c r="A262" s="11"/>
      <c r="B262" s="11"/>
      <c r="C262" s="11"/>
      <c r="D262" s="11"/>
      <c r="E262" s="11"/>
      <c r="F262" s="11"/>
      <c r="G262" s="11"/>
      <c r="H262" s="8"/>
      <c r="I262" s="8"/>
    </row>
    <row r="263" spans="1:9" x14ac:dyDescent="0.25">
      <c r="A263" s="11"/>
      <c r="B263" s="11"/>
      <c r="C263" s="11"/>
      <c r="D263" s="11"/>
      <c r="E263" s="11"/>
      <c r="F263" s="11"/>
      <c r="G263" s="11"/>
      <c r="H263" s="8"/>
      <c r="I263" s="8"/>
    </row>
    <row r="264" spans="1:9" x14ac:dyDescent="0.25">
      <c r="A264" s="11"/>
      <c r="B264" s="11"/>
      <c r="C264" s="11"/>
      <c r="D264" s="11"/>
      <c r="E264" s="11"/>
      <c r="F264" s="11"/>
      <c r="G264" s="11"/>
      <c r="H264" s="8"/>
      <c r="I264" s="8"/>
    </row>
    <row r="265" spans="1:9" x14ac:dyDescent="0.25">
      <c r="A265" s="11"/>
      <c r="B265" s="11"/>
      <c r="C265" s="11"/>
      <c r="D265" s="11"/>
      <c r="E265" s="11"/>
      <c r="F265" s="11"/>
      <c r="G265" s="11"/>
      <c r="H265" s="8"/>
      <c r="I265" s="8"/>
    </row>
    <row r="266" spans="1:9" x14ac:dyDescent="0.25">
      <c r="A266" s="11"/>
      <c r="B266" s="11"/>
      <c r="C266" s="11"/>
      <c r="D266" s="11"/>
      <c r="E266" s="11"/>
      <c r="F266" s="11"/>
      <c r="G266" s="11"/>
      <c r="H266" s="8"/>
      <c r="I266" s="8"/>
    </row>
    <row r="267" spans="1:9" x14ac:dyDescent="0.25">
      <c r="A267" s="11"/>
      <c r="B267" s="11"/>
      <c r="C267" s="11"/>
      <c r="D267" s="11"/>
      <c r="E267" s="11"/>
      <c r="F267" s="11"/>
      <c r="G267" s="11"/>
      <c r="H267" s="8"/>
      <c r="I267" s="8"/>
    </row>
    <row r="268" spans="1:9" x14ac:dyDescent="0.25">
      <c r="A268" s="11"/>
      <c r="B268" s="11"/>
      <c r="C268" s="11"/>
      <c r="D268" s="11"/>
      <c r="E268" s="11"/>
      <c r="F268" s="11"/>
      <c r="G268" s="11"/>
      <c r="H268" s="8"/>
      <c r="I268" s="8"/>
    </row>
    <row r="269" spans="1:9" x14ac:dyDescent="0.25">
      <c r="A269" s="11"/>
      <c r="B269" s="11"/>
      <c r="C269" s="11"/>
      <c r="D269" s="11"/>
      <c r="E269" s="11"/>
      <c r="F269" s="11"/>
      <c r="G269" s="11"/>
      <c r="H269" s="8"/>
      <c r="I269" s="8"/>
    </row>
    <row r="270" spans="1:9" x14ac:dyDescent="0.25">
      <c r="A270" s="11"/>
      <c r="B270" s="11"/>
      <c r="C270" s="11"/>
      <c r="D270" s="11"/>
      <c r="E270" s="11"/>
      <c r="F270" s="11"/>
      <c r="G270" s="11"/>
      <c r="H270" s="8"/>
      <c r="I270" s="8"/>
    </row>
    <row r="271" spans="1:9" x14ac:dyDescent="0.25">
      <c r="A271" s="11"/>
      <c r="B271" s="11"/>
      <c r="C271" s="11"/>
      <c r="D271" s="11"/>
      <c r="E271" s="11"/>
      <c r="F271" s="11"/>
      <c r="G271" s="11"/>
      <c r="H271" s="8"/>
      <c r="I271" s="8"/>
    </row>
    <row r="272" spans="1:9" x14ac:dyDescent="0.25">
      <c r="A272" s="11"/>
      <c r="B272" s="11"/>
      <c r="C272" s="11"/>
      <c r="D272" s="11"/>
      <c r="E272" s="11"/>
      <c r="F272" s="11"/>
      <c r="G272" s="11"/>
      <c r="H272" s="8"/>
      <c r="I272" s="8"/>
    </row>
    <row r="273" spans="1:9" x14ac:dyDescent="0.25">
      <c r="A273" s="11"/>
      <c r="B273" s="11"/>
      <c r="C273" s="11"/>
      <c r="D273" s="11"/>
      <c r="E273" s="11"/>
      <c r="F273" s="11"/>
      <c r="G273" s="11"/>
      <c r="H273" s="8"/>
      <c r="I273" s="8"/>
    </row>
    <row r="274" spans="1:9" x14ac:dyDescent="0.25">
      <c r="A274" s="11"/>
      <c r="B274" s="11"/>
      <c r="C274" s="11"/>
      <c r="D274" s="11"/>
      <c r="E274" s="11"/>
      <c r="F274" s="11"/>
      <c r="G274" s="11"/>
      <c r="H274" s="8"/>
      <c r="I274" s="8"/>
    </row>
    <row r="275" spans="1:9" x14ac:dyDescent="0.25">
      <c r="A275" s="11"/>
      <c r="B275" s="11"/>
      <c r="C275" s="11"/>
      <c r="D275" s="11"/>
      <c r="E275" s="11"/>
      <c r="F275" s="11"/>
      <c r="G275" s="11"/>
      <c r="H275" s="8"/>
      <c r="I275" s="8"/>
    </row>
    <row r="276" spans="1:9" x14ac:dyDescent="0.25">
      <c r="A276" s="11"/>
      <c r="B276" s="11"/>
      <c r="C276" s="11"/>
      <c r="D276" s="11"/>
      <c r="E276" s="11"/>
      <c r="F276" s="11"/>
      <c r="G276" s="11"/>
      <c r="H276" s="8"/>
      <c r="I276" s="8"/>
    </row>
    <row r="277" spans="1:9" x14ac:dyDescent="0.25">
      <c r="A277" s="11"/>
      <c r="B277" s="11"/>
      <c r="C277" s="11"/>
      <c r="D277" s="11"/>
      <c r="E277" s="11"/>
      <c r="F277" s="11"/>
      <c r="G277" s="11"/>
      <c r="H277" s="8"/>
      <c r="I277" s="8"/>
    </row>
    <row r="278" spans="1:9" x14ac:dyDescent="0.25">
      <c r="A278" s="11"/>
      <c r="B278" s="11"/>
      <c r="C278" s="11"/>
      <c r="D278" s="11"/>
      <c r="E278" s="11"/>
      <c r="F278" s="11"/>
      <c r="G278" s="11"/>
      <c r="H278" s="8"/>
      <c r="I278" s="8"/>
    </row>
    <row r="279" spans="1:9" x14ac:dyDescent="0.25">
      <c r="A279" s="11"/>
      <c r="B279" s="11"/>
      <c r="C279" s="11"/>
      <c r="D279" s="11"/>
      <c r="E279" s="11"/>
      <c r="F279" s="11"/>
      <c r="G279" s="11"/>
      <c r="H279" s="8"/>
      <c r="I279" s="8"/>
    </row>
    <row r="280" spans="1:9" x14ac:dyDescent="0.25">
      <c r="A280" s="11"/>
      <c r="B280" s="11"/>
      <c r="C280" s="11"/>
      <c r="D280" s="11"/>
      <c r="E280" s="11"/>
      <c r="F280" s="11"/>
      <c r="G280" s="11"/>
      <c r="H280" s="8"/>
      <c r="I280" s="8"/>
    </row>
    <row r="281" spans="1:9" x14ac:dyDescent="0.25">
      <c r="A281" s="11"/>
      <c r="B281" s="11"/>
      <c r="C281" s="11"/>
      <c r="D281" s="11"/>
      <c r="E281" s="11"/>
      <c r="F281" s="11"/>
      <c r="G281" s="11"/>
      <c r="H281" s="8"/>
      <c r="I281" s="8"/>
    </row>
    <row r="282" spans="1:9" x14ac:dyDescent="0.25">
      <c r="A282" s="11"/>
      <c r="B282" s="11"/>
      <c r="C282" s="11"/>
      <c r="D282" s="11"/>
      <c r="E282" s="11"/>
      <c r="F282" s="11"/>
      <c r="G282" s="11"/>
      <c r="H282" s="8"/>
      <c r="I282" s="8"/>
    </row>
    <row r="283" spans="1:9" x14ac:dyDescent="0.25">
      <c r="A283" s="11"/>
      <c r="B283" s="11"/>
      <c r="C283" s="11"/>
      <c r="D283" s="11"/>
      <c r="E283" s="11"/>
      <c r="F283" s="11"/>
      <c r="G283" s="11"/>
      <c r="H283" s="8"/>
      <c r="I283" s="8"/>
    </row>
    <row r="284" spans="1:9" x14ac:dyDescent="0.25">
      <c r="A284" s="11"/>
      <c r="B284" s="11"/>
      <c r="C284" s="11"/>
      <c r="D284" s="11"/>
      <c r="E284" s="11"/>
      <c r="F284" s="11"/>
      <c r="G284" s="11"/>
      <c r="H284" s="8"/>
      <c r="I284" s="8"/>
    </row>
    <row r="285" spans="1:9" x14ac:dyDescent="0.25">
      <c r="A285" s="11"/>
      <c r="B285" s="11"/>
      <c r="C285" s="11"/>
      <c r="D285" s="11"/>
      <c r="E285" s="11"/>
      <c r="F285" s="11"/>
      <c r="G285" s="11"/>
      <c r="H285" s="8"/>
      <c r="I285" s="8"/>
    </row>
    <row r="286" spans="1:9" x14ac:dyDescent="0.25">
      <c r="A286" s="11"/>
      <c r="B286" s="11"/>
      <c r="C286" s="11"/>
      <c r="D286" s="11"/>
      <c r="E286" s="11"/>
      <c r="F286" s="11"/>
      <c r="G286" s="11"/>
      <c r="H286" s="8"/>
      <c r="I286" s="8"/>
    </row>
    <row r="287" spans="1:9" x14ac:dyDescent="0.25">
      <c r="A287" s="11"/>
      <c r="B287" s="11"/>
      <c r="C287" s="11"/>
      <c r="D287" s="11"/>
      <c r="E287" s="11"/>
      <c r="F287" s="11"/>
      <c r="G287" s="11"/>
      <c r="H287" s="8"/>
      <c r="I287" s="8"/>
    </row>
    <row r="288" spans="1:9" x14ac:dyDescent="0.25">
      <c r="A288" s="11"/>
      <c r="B288" s="11"/>
      <c r="C288" s="11"/>
      <c r="D288" s="11"/>
      <c r="E288" s="11"/>
      <c r="F288" s="11"/>
      <c r="G288" s="11"/>
      <c r="H288" s="8"/>
      <c r="I288" s="8"/>
    </row>
    <row r="289" spans="1:9" x14ac:dyDescent="0.25">
      <c r="A289" s="11"/>
      <c r="B289" s="11"/>
      <c r="C289" s="11"/>
      <c r="D289" s="11"/>
      <c r="E289" s="11"/>
      <c r="F289" s="11"/>
      <c r="G289" s="11"/>
      <c r="H289" s="8"/>
      <c r="I289" s="8"/>
    </row>
    <row r="290" spans="1:9" x14ac:dyDescent="0.25">
      <c r="A290" s="11"/>
      <c r="B290" s="11"/>
      <c r="C290" s="11"/>
      <c r="D290" s="11"/>
      <c r="E290" s="11"/>
      <c r="F290" s="11"/>
      <c r="G290" s="11"/>
      <c r="H290" s="8"/>
      <c r="I290" s="8"/>
    </row>
    <row r="291" spans="1:9" x14ac:dyDescent="0.25">
      <c r="A291" s="11"/>
      <c r="B291" s="11"/>
      <c r="C291" s="11"/>
      <c r="D291" s="11"/>
      <c r="E291" s="11"/>
      <c r="F291" s="11"/>
      <c r="G291" s="11"/>
      <c r="H291" s="8"/>
      <c r="I291" s="8"/>
    </row>
    <row r="292" spans="1:9" x14ac:dyDescent="0.25">
      <c r="A292" s="11"/>
      <c r="B292" s="11"/>
      <c r="C292" s="11"/>
      <c r="D292" s="11"/>
      <c r="E292" s="11"/>
      <c r="F292" s="11"/>
      <c r="G292" s="11"/>
      <c r="H292" s="8"/>
      <c r="I292" s="8"/>
    </row>
    <row r="293" spans="1:9" x14ac:dyDescent="0.25">
      <c r="A293" s="11"/>
      <c r="B293" s="11"/>
      <c r="C293" s="11"/>
      <c r="D293" s="11"/>
      <c r="E293" s="11"/>
      <c r="F293" s="11"/>
      <c r="G293" s="11"/>
      <c r="H293" s="8"/>
      <c r="I293" s="8"/>
    </row>
    <row r="294" spans="1:9" x14ac:dyDescent="0.25">
      <c r="A294" s="11"/>
      <c r="B294" s="11"/>
      <c r="C294" s="11"/>
      <c r="D294" s="11"/>
      <c r="E294" s="11"/>
      <c r="F294" s="11"/>
      <c r="G294" s="11"/>
      <c r="H294" s="8"/>
      <c r="I294" s="8"/>
    </row>
    <row r="295" spans="1:9" x14ac:dyDescent="0.25">
      <c r="A295" s="11"/>
      <c r="B295" s="11"/>
      <c r="C295" s="11"/>
      <c r="D295" s="11"/>
      <c r="E295" s="11"/>
      <c r="F295" s="11"/>
      <c r="G295" s="11"/>
      <c r="H295" s="8"/>
      <c r="I295" s="8"/>
    </row>
    <row r="296" spans="1:9" x14ac:dyDescent="0.25">
      <c r="A296" s="11"/>
      <c r="B296" s="11"/>
      <c r="C296" s="11"/>
      <c r="D296" s="11"/>
      <c r="E296" s="11"/>
      <c r="F296" s="11"/>
      <c r="G296" s="11"/>
      <c r="H296" s="8"/>
      <c r="I296" s="8"/>
    </row>
    <row r="297" spans="1:9" x14ac:dyDescent="0.25">
      <c r="A297" s="11"/>
      <c r="B297" s="11"/>
      <c r="C297" s="11"/>
      <c r="D297" s="11"/>
      <c r="E297" s="11"/>
      <c r="F297" s="11"/>
      <c r="G297" s="11"/>
      <c r="H297" s="8"/>
      <c r="I297" s="8"/>
    </row>
    <row r="298" spans="1:9" x14ac:dyDescent="0.25">
      <c r="A298" s="11"/>
      <c r="B298" s="11"/>
      <c r="C298" s="11"/>
      <c r="D298" s="11"/>
      <c r="E298" s="11"/>
      <c r="F298" s="11"/>
      <c r="G298" s="11"/>
      <c r="H298" s="8"/>
      <c r="I298" s="8"/>
    </row>
    <row r="299" spans="1:9" x14ac:dyDescent="0.25">
      <c r="A299" s="11"/>
      <c r="B299" s="11"/>
      <c r="C299" s="11"/>
      <c r="D299" s="11"/>
      <c r="E299" s="11"/>
      <c r="F299" s="11"/>
      <c r="G299" s="11"/>
      <c r="H299" s="8"/>
      <c r="I299" s="8"/>
    </row>
    <row r="300" spans="1:9" x14ac:dyDescent="0.25">
      <c r="A300" s="11"/>
      <c r="B300" s="11"/>
      <c r="C300" s="11"/>
      <c r="D300" s="11"/>
      <c r="E300" s="11"/>
      <c r="F300" s="11"/>
      <c r="G300" s="11"/>
      <c r="H300" s="8"/>
      <c r="I300" s="8"/>
    </row>
    <row r="301" spans="1:9" x14ac:dyDescent="0.25">
      <c r="A301" s="11"/>
      <c r="B301" s="11"/>
      <c r="C301" s="11"/>
      <c r="D301" s="11"/>
      <c r="E301" s="11"/>
      <c r="F301" s="11"/>
      <c r="G301" s="11"/>
      <c r="H301" s="8"/>
      <c r="I301" s="8"/>
    </row>
    <row r="302" spans="1:9" x14ac:dyDescent="0.25">
      <c r="A302" s="11"/>
      <c r="B302" s="11"/>
      <c r="C302" s="11"/>
      <c r="D302" s="11"/>
      <c r="E302" s="11"/>
      <c r="F302" s="11"/>
      <c r="G302" s="11"/>
      <c r="H302" s="8"/>
      <c r="I302" s="8"/>
    </row>
    <row r="303" spans="1:9" x14ac:dyDescent="0.25">
      <c r="A303" s="11"/>
      <c r="B303" s="11"/>
      <c r="C303" s="11"/>
      <c r="D303" s="11"/>
      <c r="E303" s="11"/>
      <c r="F303" s="11"/>
      <c r="G303" s="11"/>
      <c r="H303" s="8"/>
      <c r="I303" s="8"/>
    </row>
    <row r="304" spans="1:9" x14ac:dyDescent="0.25">
      <c r="A304" s="11"/>
      <c r="B304" s="11"/>
      <c r="C304" s="11"/>
      <c r="D304" s="11"/>
      <c r="E304" s="11"/>
      <c r="F304" s="11"/>
      <c r="G304" s="11"/>
      <c r="H304" s="8"/>
      <c r="I304" s="8"/>
    </row>
    <row r="305" spans="1:9" x14ac:dyDescent="0.25">
      <c r="A305" s="11"/>
      <c r="B305" s="11"/>
      <c r="C305" s="11"/>
      <c r="D305" s="11"/>
      <c r="E305" s="11"/>
      <c r="F305" s="11"/>
      <c r="G305" s="11"/>
      <c r="H305" s="8"/>
      <c r="I305" s="8"/>
    </row>
    <row r="306" spans="1:9" x14ac:dyDescent="0.25">
      <c r="A306" s="11"/>
      <c r="B306" s="11"/>
      <c r="C306" s="11"/>
      <c r="D306" s="11"/>
      <c r="E306" s="11"/>
      <c r="F306" s="11"/>
      <c r="G306" s="11"/>
      <c r="H306" s="8"/>
      <c r="I306" s="8"/>
    </row>
    <row r="307" spans="1:9" x14ac:dyDescent="0.25">
      <c r="A307" s="11"/>
      <c r="B307" s="11"/>
      <c r="C307" s="11"/>
      <c r="D307" s="11"/>
      <c r="E307" s="11"/>
      <c r="F307" s="11"/>
      <c r="G307" s="11"/>
      <c r="H307" s="8"/>
      <c r="I307" s="8"/>
    </row>
    <row r="308" spans="1:9" x14ac:dyDescent="0.25">
      <c r="A308" s="11"/>
      <c r="B308" s="11"/>
      <c r="C308" s="11"/>
      <c r="D308" s="11"/>
      <c r="E308" s="11"/>
      <c r="F308" s="11"/>
      <c r="G308" s="11"/>
      <c r="H308" s="8"/>
      <c r="I308" s="8"/>
    </row>
    <row r="309" spans="1:9" x14ac:dyDescent="0.25">
      <c r="A309" s="11"/>
      <c r="B309" s="11"/>
      <c r="C309" s="11"/>
      <c r="D309" s="11"/>
      <c r="E309" s="11"/>
      <c r="F309" s="11"/>
      <c r="G309" s="11"/>
      <c r="H309" s="8"/>
      <c r="I309" s="8"/>
    </row>
    <row r="310" spans="1:9" x14ac:dyDescent="0.25">
      <c r="A310" s="11"/>
      <c r="B310" s="11"/>
      <c r="C310" s="11"/>
      <c r="D310" s="11"/>
      <c r="E310" s="11"/>
      <c r="F310" s="11"/>
      <c r="G310" s="11"/>
      <c r="H310" s="8"/>
      <c r="I310" s="8"/>
    </row>
    <row r="311" spans="1:9" x14ac:dyDescent="0.25">
      <c r="A311" s="11"/>
      <c r="B311" s="11"/>
      <c r="C311" s="11"/>
      <c r="D311" s="11"/>
      <c r="E311" s="11"/>
      <c r="F311" s="11"/>
      <c r="G311" s="11"/>
      <c r="H311" s="8"/>
      <c r="I311" s="8"/>
    </row>
    <row r="312" spans="1:9" x14ac:dyDescent="0.25">
      <c r="A312" s="11"/>
      <c r="B312" s="11"/>
      <c r="C312" s="11"/>
      <c r="D312" s="11"/>
      <c r="E312" s="11"/>
      <c r="F312" s="11"/>
      <c r="G312" s="11"/>
      <c r="H312" s="8"/>
      <c r="I312" s="8"/>
    </row>
    <row r="313" spans="1:9" x14ac:dyDescent="0.25">
      <c r="A313" s="11"/>
      <c r="B313" s="11"/>
      <c r="C313" s="11"/>
      <c r="D313" s="11"/>
      <c r="E313" s="11"/>
      <c r="F313" s="11"/>
      <c r="G313" s="11"/>
      <c r="H313" s="8"/>
      <c r="I313" s="8"/>
    </row>
    <row r="314" spans="1:9" x14ac:dyDescent="0.25">
      <c r="A314" s="11"/>
      <c r="B314" s="11"/>
      <c r="C314" s="11"/>
      <c r="D314" s="11"/>
      <c r="E314" s="11"/>
      <c r="F314" s="11"/>
      <c r="G314" s="11"/>
      <c r="H314" s="8"/>
      <c r="I314" s="8"/>
    </row>
    <row r="315" spans="1:9" x14ac:dyDescent="0.25">
      <c r="A315" s="11"/>
      <c r="B315" s="11"/>
      <c r="C315" s="11"/>
      <c r="D315" s="11"/>
      <c r="E315" s="11"/>
      <c r="F315" s="11"/>
      <c r="G315" s="11"/>
      <c r="H315" s="8"/>
      <c r="I315" s="8"/>
    </row>
    <row r="316" spans="1:9" x14ac:dyDescent="0.25">
      <c r="A316" s="11"/>
      <c r="B316" s="11"/>
      <c r="C316" s="11"/>
      <c r="D316" s="11"/>
      <c r="E316" s="11"/>
      <c r="F316" s="11"/>
      <c r="G316" s="11"/>
      <c r="H316" s="8"/>
      <c r="I316" s="8"/>
    </row>
    <row r="317" spans="1:9" x14ac:dyDescent="0.25">
      <c r="A317" s="11"/>
      <c r="B317" s="11"/>
      <c r="C317" s="11"/>
      <c r="D317" s="11"/>
      <c r="E317" s="11"/>
      <c r="F317" s="11"/>
      <c r="G317" s="11"/>
      <c r="H317" s="8"/>
      <c r="I317" s="8"/>
    </row>
    <row r="318" spans="1:9" x14ac:dyDescent="0.25">
      <c r="A318" s="11"/>
      <c r="B318" s="11"/>
      <c r="C318" s="11"/>
      <c r="D318" s="11"/>
      <c r="E318" s="11"/>
      <c r="F318" s="11"/>
      <c r="G318" s="11"/>
      <c r="H318" s="8"/>
      <c r="I318" s="8"/>
    </row>
    <row r="319" spans="1:9" x14ac:dyDescent="0.25">
      <c r="A319" s="11"/>
      <c r="B319" s="11"/>
      <c r="C319" s="11"/>
      <c r="D319" s="11"/>
      <c r="E319" s="11"/>
      <c r="F319" s="11"/>
      <c r="G319" s="11"/>
      <c r="H319" s="8"/>
      <c r="I319" s="8"/>
    </row>
    <row r="320" spans="1:9" x14ac:dyDescent="0.25">
      <c r="A320" s="11"/>
      <c r="B320" s="11"/>
      <c r="C320" s="11"/>
      <c r="D320" s="11"/>
      <c r="E320" s="11"/>
      <c r="F320" s="11"/>
      <c r="G320" s="11"/>
      <c r="H320" s="8"/>
      <c r="I320" s="8"/>
    </row>
    <row r="321" spans="1:9" x14ac:dyDescent="0.25">
      <c r="A321" s="11"/>
      <c r="B321" s="11"/>
      <c r="C321" s="11"/>
      <c r="D321" s="11"/>
      <c r="E321" s="11"/>
      <c r="F321" s="11"/>
      <c r="G321" s="11"/>
      <c r="H321" s="8"/>
      <c r="I321" s="8"/>
    </row>
    <row r="322" spans="1:9" x14ac:dyDescent="0.25">
      <c r="A322" s="11"/>
      <c r="B322" s="11"/>
      <c r="C322" s="11"/>
      <c r="D322" s="11"/>
      <c r="E322" s="11"/>
      <c r="F322" s="11"/>
      <c r="G322" s="11"/>
      <c r="H322" s="8"/>
      <c r="I322" s="8"/>
    </row>
    <row r="323" spans="1:9" x14ac:dyDescent="0.25">
      <c r="A323" s="11"/>
      <c r="B323" s="11"/>
      <c r="C323" s="11"/>
      <c r="D323" s="11"/>
      <c r="E323" s="11"/>
      <c r="F323" s="11"/>
      <c r="G323" s="11"/>
      <c r="H323" s="8"/>
      <c r="I323" s="8"/>
    </row>
    <row r="324" spans="1:9" x14ac:dyDescent="0.25">
      <c r="A324" s="11"/>
      <c r="B324" s="11"/>
      <c r="C324" s="11"/>
      <c r="D324" s="11"/>
      <c r="E324" s="11"/>
      <c r="F324" s="11"/>
      <c r="G324" s="11"/>
      <c r="H324" s="8"/>
      <c r="I324" s="8"/>
    </row>
    <row r="325" spans="1:9" x14ac:dyDescent="0.25">
      <c r="A325" s="11"/>
      <c r="B325" s="11"/>
      <c r="C325" s="11"/>
      <c r="D325" s="11"/>
      <c r="E325" s="11"/>
      <c r="F325" s="11"/>
      <c r="G325" s="11"/>
      <c r="H325" s="8"/>
      <c r="I325" s="8"/>
    </row>
    <row r="326" spans="1:9" x14ac:dyDescent="0.25">
      <c r="A326" s="11"/>
      <c r="B326" s="11"/>
      <c r="C326" s="11"/>
      <c r="D326" s="11"/>
      <c r="E326" s="11"/>
      <c r="F326" s="11"/>
      <c r="G326" s="11"/>
      <c r="H326" s="8"/>
      <c r="I326" s="8"/>
    </row>
    <row r="327" spans="1:9" x14ac:dyDescent="0.25">
      <c r="A327" s="11"/>
      <c r="B327" s="11"/>
      <c r="C327" s="11"/>
      <c r="D327" s="11"/>
      <c r="E327" s="11"/>
      <c r="F327" s="11"/>
      <c r="G327" s="11"/>
      <c r="H327" s="8"/>
      <c r="I327" s="8"/>
    </row>
    <row r="328" spans="1:9" x14ac:dyDescent="0.25">
      <c r="A328" s="11"/>
      <c r="B328" s="11"/>
      <c r="C328" s="11"/>
      <c r="D328" s="11"/>
      <c r="E328" s="11"/>
      <c r="F328" s="11"/>
      <c r="G328" s="11"/>
      <c r="H328" s="8"/>
      <c r="I328" s="8"/>
    </row>
    <row r="329" spans="1:9" x14ac:dyDescent="0.25">
      <c r="A329" s="11"/>
      <c r="B329" s="11"/>
      <c r="C329" s="11"/>
      <c r="D329" s="11"/>
      <c r="E329" s="11"/>
      <c r="F329" s="11"/>
      <c r="G329" s="11"/>
      <c r="H329" s="8"/>
      <c r="I329" s="8"/>
    </row>
    <row r="330" spans="1:9" x14ac:dyDescent="0.25">
      <c r="A330" s="11"/>
      <c r="B330" s="11"/>
      <c r="C330" s="11"/>
      <c r="D330" s="11"/>
      <c r="E330" s="11"/>
      <c r="F330" s="11"/>
      <c r="G330" s="11"/>
      <c r="H330" s="8"/>
      <c r="I330" s="8"/>
    </row>
    <row r="331" spans="1:9" x14ac:dyDescent="0.25">
      <c r="A331" s="11"/>
      <c r="B331" s="11"/>
      <c r="C331" s="11"/>
      <c r="D331" s="11"/>
      <c r="E331" s="11"/>
      <c r="F331" s="11"/>
      <c r="G331" s="11"/>
      <c r="H331" s="8"/>
      <c r="I331" s="8"/>
    </row>
    <row r="332" spans="1:9" x14ac:dyDescent="0.25">
      <c r="A332" s="11"/>
      <c r="B332" s="11"/>
      <c r="C332" s="11"/>
      <c r="D332" s="11"/>
      <c r="E332" s="11"/>
      <c r="F332" s="11"/>
      <c r="G332" s="11"/>
      <c r="H332" s="8"/>
      <c r="I332" s="8"/>
    </row>
    <row r="333" spans="1:9" x14ac:dyDescent="0.25">
      <c r="A333" s="11"/>
      <c r="B333" s="11"/>
      <c r="C333" s="11"/>
      <c r="D333" s="11"/>
      <c r="E333" s="11"/>
      <c r="F333" s="11"/>
      <c r="G333" s="11"/>
      <c r="H333" s="8"/>
      <c r="I333" s="8"/>
    </row>
    <row r="334" spans="1:9" x14ac:dyDescent="0.25">
      <c r="A334" s="11"/>
      <c r="B334" s="11"/>
      <c r="C334" s="11"/>
      <c r="D334" s="11"/>
      <c r="E334" s="11"/>
      <c r="F334" s="11"/>
      <c r="G334" s="11"/>
      <c r="H334" s="8"/>
      <c r="I334" s="8"/>
    </row>
    <row r="335" spans="1:9" x14ac:dyDescent="0.25">
      <c r="A335" s="11"/>
      <c r="B335" s="11"/>
      <c r="C335" s="11"/>
      <c r="D335" s="11"/>
      <c r="E335" s="11"/>
      <c r="F335" s="11"/>
      <c r="G335" s="11"/>
      <c r="H335" s="8"/>
      <c r="I335" s="8"/>
    </row>
    <row r="336" spans="1:9" x14ac:dyDescent="0.25">
      <c r="A336" s="11"/>
      <c r="B336" s="11"/>
      <c r="C336" s="11"/>
      <c r="D336" s="11"/>
      <c r="E336" s="11"/>
      <c r="F336" s="11"/>
      <c r="G336" s="11"/>
      <c r="H336" s="8"/>
      <c r="I336" s="8"/>
    </row>
    <row r="337" spans="1:9" x14ac:dyDescent="0.25">
      <c r="A337" s="11"/>
      <c r="B337" s="11"/>
      <c r="C337" s="11"/>
      <c r="D337" s="11"/>
      <c r="E337" s="11"/>
      <c r="F337" s="11"/>
      <c r="G337" s="11"/>
      <c r="H337" s="8"/>
      <c r="I337" s="8"/>
    </row>
    <row r="338" spans="1:9" x14ac:dyDescent="0.25">
      <c r="A338" s="11"/>
      <c r="B338" s="11"/>
      <c r="C338" s="11"/>
      <c r="D338" s="11"/>
      <c r="E338" s="11"/>
      <c r="F338" s="11"/>
      <c r="G338" s="11"/>
      <c r="H338" s="8"/>
      <c r="I338" s="8"/>
    </row>
    <row r="339" spans="1:9" x14ac:dyDescent="0.25">
      <c r="A339" s="11"/>
      <c r="B339" s="11"/>
      <c r="C339" s="11"/>
      <c r="D339" s="11"/>
      <c r="E339" s="11"/>
      <c r="F339" s="11"/>
      <c r="G339" s="11"/>
      <c r="H339" s="8"/>
      <c r="I339" s="8"/>
    </row>
    <row r="340" spans="1:9" x14ac:dyDescent="0.25">
      <c r="A340" s="11"/>
      <c r="B340" s="11"/>
      <c r="C340" s="11"/>
      <c r="D340" s="11"/>
      <c r="E340" s="11"/>
      <c r="F340" s="11"/>
      <c r="G340" s="11"/>
      <c r="H340" s="8"/>
      <c r="I340" s="8"/>
    </row>
    <row r="341" spans="1:9" x14ac:dyDescent="0.25">
      <c r="A341" s="11"/>
      <c r="B341" s="11"/>
      <c r="C341" s="11"/>
      <c r="D341" s="11"/>
      <c r="E341" s="11"/>
      <c r="F341" s="11"/>
      <c r="G341" s="11"/>
      <c r="H341" s="8"/>
      <c r="I341" s="8"/>
    </row>
    <row r="342" spans="1:9" x14ac:dyDescent="0.25">
      <c r="A342" s="11"/>
      <c r="B342" s="11"/>
      <c r="C342" s="11"/>
      <c r="D342" s="11"/>
      <c r="E342" s="11"/>
      <c r="F342" s="11"/>
      <c r="G342" s="11"/>
      <c r="H342" s="8"/>
      <c r="I342" s="8"/>
    </row>
    <row r="343" spans="1:9" x14ac:dyDescent="0.25">
      <c r="A343" s="11"/>
      <c r="B343" s="11"/>
      <c r="C343" s="11"/>
      <c r="D343" s="11"/>
      <c r="E343" s="11"/>
      <c r="F343" s="11"/>
      <c r="G343" s="11"/>
      <c r="H343" s="8"/>
      <c r="I343" s="8"/>
    </row>
    <row r="344" spans="1:9" x14ac:dyDescent="0.25">
      <c r="A344" s="11"/>
      <c r="B344" s="11"/>
      <c r="C344" s="11"/>
      <c r="D344" s="11"/>
      <c r="E344" s="11"/>
      <c r="F344" s="11"/>
      <c r="G344" s="11"/>
      <c r="H344" s="8"/>
      <c r="I344" s="8"/>
    </row>
    <row r="345" spans="1:9" x14ac:dyDescent="0.25">
      <c r="A345" s="11"/>
      <c r="B345" s="11"/>
      <c r="C345" s="11"/>
      <c r="D345" s="11"/>
      <c r="E345" s="11"/>
      <c r="F345" s="11"/>
      <c r="G345" s="11"/>
      <c r="H345" s="8"/>
      <c r="I345" s="8"/>
    </row>
    <row r="346" spans="1:9" x14ac:dyDescent="0.25">
      <c r="A346" s="11"/>
      <c r="B346" s="11"/>
      <c r="C346" s="11"/>
      <c r="D346" s="11"/>
      <c r="E346" s="11"/>
      <c r="F346" s="11"/>
      <c r="G346" s="11"/>
      <c r="H346" s="8"/>
      <c r="I346" s="8"/>
    </row>
    <row r="347" spans="1:9" x14ac:dyDescent="0.25">
      <c r="A347" s="11"/>
      <c r="B347" s="11"/>
      <c r="C347" s="11"/>
      <c r="D347" s="11"/>
      <c r="E347" s="11"/>
      <c r="F347" s="11"/>
      <c r="G347" s="11"/>
      <c r="H347" s="8"/>
      <c r="I347" s="8"/>
    </row>
    <row r="348" spans="1:9" x14ac:dyDescent="0.25">
      <c r="A348" s="11"/>
      <c r="B348" s="11"/>
      <c r="C348" s="11"/>
      <c r="D348" s="11"/>
      <c r="E348" s="11"/>
      <c r="F348" s="11"/>
      <c r="G348" s="11"/>
      <c r="H348" s="8"/>
      <c r="I348" s="8"/>
    </row>
    <row r="349" spans="1:9" x14ac:dyDescent="0.25">
      <c r="A349" s="11"/>
      <c r="B349" s="11"/>
      <c r="C349" s="11"/>
      <c r="D349" s="11"/>
      <c r="E349" s="11"/>
      <c r="F349" s="11"/>
      <c r="G349" s="11"/>
      <c r="H349" s="8"/>
      <c r="I349" s="8"/>
    </row>
    <row r="350" spans="1:9" x14ac:dyDescent="0.25">
      <c r="A350" s="11"/>
      <c r="B350" s="11"/>
      <c r="C350" s="11"/>
      <c r="D350" s="11"/>
      <c r="E350" s="11"/>
      <c r="F350" s="11"/>
      <c r="G350" s="11"/>
      <c r="H350" s="8"/>
      <c r="I350" s="8"/>
    </row>
    <row r="351" spans="1:9" x14ac:dyDescent="0.25">
      <c r="A351" s="11"/>
      <c r="B351" s="11"/>
      <c r="C351" s="11"/>
      <c r="D351" s="11"/>
      <c r="E351" s="11"/>
      <c r="F351" s="11"/>
      <c r="G351" s="11"/>
      <c r="H351" s="8"/>
      <c r="I351" s="8"/>
    </row>
    <row r="352" spans="1:9" x14ac:dyDescent="0.25">
      <c r="A352" s="11"/>
      <c r="B352" s="11"/>
      <c r="C352" s="11"/>
      <c r="D352" s="11"/>
      <c r="E352" s="11"/>
      <c r="F352" s="11"/>
      <c r="G352" s="11"/>
      <c r="H352" s="8"/>
      <c r="I352" s="8"/>
    </row>
    <row r="353" spans="1:9" x14ac:dyDescent="0.25">
      <c r="A353" s="11"/>
      <c r="B353" s="11"/>
      <c r="C353" s="11"/>
      <c r="D353" s="11"/>
      <c r="E353" s="11"/>
      <c r="F353" s="11"/>
      <c r="G353" s="11"/>
      <c r="H353" s="8"/>
      <c r="I353" s="8"/>
    </row>
    <row r="354" spans="1:9" x14ac:dyDescent="0.25">
      <c r="A354" s="11"/>
      <c r="B354" s="11"/>
      <c r="C354" s="11"/>
      <c r="D354" s="11"/>
      <c r="E354" s="11"/>
      <c r="F354" s="11"/>
      <c r="G354" s="11"/>
      <c r="H354" s="8"/>
      <c r="I354" s="8"/>
    </row>
    <row r="355" spans="1:9" x14ac:dyDescent="0.25">
      <c r="A355" s="11"/>
      <c r="B355" s="11"/>
      <c r="C355" s="11"/>
      <c r="D355" s="11"/>
      <c r="E355" s="11"/>
      <c r="F355" s="11"/>
      <c r="G355" s="11"/>
      <c r="H355" s="8"/>
      <c r="I355" s="8"/>
    </row>
    <row r="356" spans="1:9" x14ac:dyDescent="0.25">
      <c r="A356" s="11"/>
      <c r="B356" s="11"/>
      <c r="C356" s="11"/>
      <c r="D356" s="11"/>
      <c r="E356" s="11"/>
      <c r="F356" s="11"/>
      <c r="G356" s="11"/>
      <c r="H356" s="8"/>
      <c r="I356" s="8"/>
    </row>
    <row r="357" spans="1:9" x14ac:dyDescent="0.25">
      <c r="A357" s="11"/>
      <c r="B357" s="11"/>
      <c r="C357" s="11"/>
      <c r="D357" s="11"/>
      <c r="E357" s="11"/>
      <c r="F357" s="11"/>
      <c r="G357" s="11"/>
      <c r="H357" s="8"/>
      <c r="I357" s="8"/>
    </row>
    <row r="358" spans="1:9" x14ac:dyDescent="0.25">
      <c r="A358" s="11"/>
      <c r="B358" s="11"/>
      <c r="C358" s="11"/>
      <c r="D358" s="11"/>
      <c r="E358" s="11"/>
      <c r="F358" s="11"/>
      <c r="G358" s="11"/>
      <c r="H358" s="8"/>
      <c r="I358" s="8"/>
    </row>
    <row r="359" spans="1:9" x14ac:dyDescent="0.25">
      <c r="A359" s="11"/>
      <c r="B359" s="11"/>
      <c r="C359" s="11"/>
      <c r="D359" s="11"/>
      <c r="E359" s="11"/>
      <c r="F359" s="11"/>
      <c r="G359" s="11"/>
      <c r="H359" s="8"/>
      <c r="I359" s="8"/>
    </row>
    <row r="360" spans="1:9" x14ac:dyDescent="0.25">
      <c r="A360" s="11"/>
      <c r="B360" s="11"/>
      <c r="C360" s="11"/>
      <c r="D360" s="11"/>
      <c r="E360" s="11"/>
      <c r="F360" s="11"/>
      <c r="G360" s="11"/>
      <c r="H360" s="8"/>
      <c r="I360" s="8"/>
    </row>
    <row r="361" spans="1:9" x14ac:dyDescent="0.25">
      <c r="A361" s="11"/>
      <c r="B361" s="11"/>
      <c r="C361" s="11"/>
      <c r="D361" s="11"/>
      <c r="E361" s="11"/>
      <c r="F361" s="11"/>
      <c r="G361" s="11"/>
      <c r="H361" s="8"/>
      <c r="I361" s="8"/>
    </row>
    <row r="362" spans="1:9" x14ac:dyDescent="0.25">
      <c r="A362" s="11"/>
      <c r="B362" s="11"/>
      <c r="C362" s="11"/>
      <c r="D362" s="11"/>
      <c r="E362" s="11"/>
      <c r="F362" s="11"/>
      <c r="G362" s="11"/>
      <c r="H362" s="8"/>
      <c r="I362" s="8"/>
    </row>
    <row r="363" spans="1:9" x14ac:dyDescent="0.25">
      <c r="A363" s="11"/>
      <c r="B363" s="11"/>
      <c r="C363" s="11"/>
      <c r="D363" s="11"/>
      <c r="E363" s="11"/>
      <c r="F363" s="11"/>
      <c r="G363" s="11"/>
      <c r="H363" s="8"/>
      <c r="I363" s="8"/>
    </row>
    <row r="364" spans="1:9" x14ac:dyDescent="0.25">
      <c r="A364" s="11"/>
      <c r="B364" s="11"/>
      <c r="C364" s="11"/>
      <c r="D364" s="11"/>
      <c r="E364" s="11"/>
      <c r="F364" s="11"/>
      <c r="G364" s="11"/>
      <c r="H364" s="8"/>
      <c r="I364" s="8"/>
    </row>
    <row r="365" spans="1:9" x14ac:dyDescent="0.25">
      <c r="A365" s="11"/>
      <c r="B365" s="11"/>
      <c r="C365" s="11"/>
      <c r="D365" s="11"/>
      <c r="E365" s="11"/>
      <c r="F365" s="11"/>
      <c r="G365" s="11"/>
      <c r="H365" s="8"/>
      <c r="I365" s="8"/>
    </row>
    <row r="366" spans="1:9" x14ac:dyDescent="0.25">
      <c r="A366" s="11"/>
      <c r="B366" s="11"/>
      <c r="C366" s="11"/>
      <c r="D366" s="11"/>
      <c r="E366" s="11"/>
      <c r="F366" s="11"/>
      <c r="G366" s="11"/>
      <c r="H366" s="8"/>
      <c r="I366" s="8"/>
    </row>
    <row r="367" spans="1:9" x14ac:dyDescent="0.25">
      <c r="A367" s="11"/>
      <c r="B367" s="11"/>
      <c r="C367" s="11"/>
      <c r="D367" s="11"/>
      <c r="E367" s="11"/>
      <c r="F367" s="11"/>
      <c r="G367" s="11"/>
      <c r="H367" s="8"/>
      <c r="I367" s="8"/>
    </row>
    <row r="368" spans="1:9" x14ac:dyDescent="0.25">
      <c r="A368" s="11"/>
      <c r="B368" s="11"/>
      <c r="C368" s="11"/>
      <c r="D368" s="11"/>
      <c r="E368" s="11"/>
      <c r="F368" s="11"/>
      <c r="G368" s="11"/>
      <c r="H368" s="8"/>
      <c r="I368" s="8"/>
    </row>
    <row r="369" spans="1:9" x14ac:dyDescent="0.25">
      <c r="A369" s="11"/>
      <c r="B369" s="11"/>
      <c r="C369" s="11"/>
      <c r="D369" s="11"/>
      <c r="E369" s="11"/>
      <c r="F369" s="11"/>
      <c r="G369" s="11"/>
      <c r="H369" s="8"/>
      <c r="I369" s="8"/>
    </row>
    <row r="370" spans="1:9" x14ac:dyDescent="0.25">
      <c r="A370" s="11"/>
      <c r="B370" s="11"/>
      <c r="C370" s="11"/>
      <c r="D370" s="11"/>
      <c r="E370" s="11"/>
      <c r="F370" s="11"/>
      <c r="G370" s="11"/>
      <c r="H370" s="8"/>
      <c r="I370" s="8"/>
    </row>
    <row r="371" spans="1:9" x14ac:dyDescent="0.25">
      <c r="A371" s="11"/>
      <c r="B371" s="11"/>
      <c r="C371" s="11"/>
      <c r="D371" s="11"/>
      <c r="E371" s="11"/>
      <c r="F371" s="11"/>
      <c r="G371" s="11"/>
      <c r="H371" s="8"/>
      <c r="I371" s="8"/>
    </row>
    <row r="372" spans="1:9" x14ac:dyDescent="0.25">
      <c r="A372" s="11"/>
      <c r="B372" s="11"/>
      <c r="C372" s="11"/>
      <c r="D372" s="11"/>
      <c r="E372" s="11"/>
      <c r="F372" s="11"/>
      <c r="G372" s="11"/>
      <c r="H372" s="8"/>
      <c r="I372" s="8"/>
    </row>
    <row r="373" spans="1:9" x14ac:dyDescent="0.25">
      <c r="A373" s="11"/>
      <c r="B373" s="11"/>
      <c r="C373" s="11"/>
      <c r="D373" s="11"/>
      <c r="E373" s="11"/>
      <c r="F373" s="11"/>
      <c r="G373" s="11"/>
      <c r="H373" s="8"/>
      <c r="I373" s="8"/>
    </row>
    <row r="374" spans="1:9" x14ac:dyDescent="0.25">
      <c r="A374" s="11"/>
      <c r="B374" s="11"/>
      <c r="C374" s="11"/>
      <c r="D374" s="11"/>
      <c r="E374" s="11"/>
      <c r="F374" s="11"/>
      <c r="G374" s="11"/>
      <c r="H374" s="8"/>
      <c r="I374" s="8"/>
    </row>
    <row r="375" spans="1:9" x14ac:dyDescent="0.25">
      <c r="A375" s="11"/>
      <c r="B375" s="11"/>
      <c r="C375" s="11"/>
      <c r="D375" s="11"/>
      <c r="E375" s="11"/>
      <c r="F375" s="11"/>
      <c r="G375" s="11"/>
      <c r="H375" s="8"/>
      <c r="I375" s="8"/>
    </row>
    <row r="376" spans="1:9" x14ac:dyDescent="0.25">
      <c r="A376" s="11"/>
      <c r="B376" s="11"/>
      <c r="C376" s="11"/>
      <c r="D376" s="11"/>
      <c r="E376" s="11"/>
      <c r="F376" s="11"/>
      <c r="G376" s="11"/>
      <c r="H376" s="8"/>
      <c r="I376" s="8"/>
    </row>
    <row r="377" spans="1:9" x14ac:dyDescent="0.25">
      <c r="A377" s="11"/>
      <c r="B377" s="11"/>
      <c r="C377" s="11"/>
      <c r="D377" s="11"/>
      <c r="E377" s="11"/>
      <c r="F377" s="11"/>
      <c r="G377" s="11"/>
      <c r="H377" s="8"/>
      <c r="I377" s="8"/>
    </row>
    <row r="378" spans="1:9" x14ac:dyDescent="0.25">
      <c r="A378" s="11"/>
      <c r="B378" s="11"/>
      <c r="C378" s="11"/>
      <c r="D378" s="11"/>
      <c r="E378" s="11"/>
      <c r="F378" s="11"/>
      <c r="G378" s="11"/>
      <c r="H378" s="8"/>
      <c r="I378" s="8"/>
    </row>
    <row r="379" spans="1:9" x14ac:dyDescent="0.25">
      <c r="A379" s="11"/>
      <c r="B379" s="11"/>
      <c r="C379" s="11"/>
      <c r="D379" s="11"/>
      <c r="E379" s="11"/>
      <c r="F379" s="11"/>
      <c r="G379" s="11"/>
      <c r="H379" s="8"/>
      <c r="I379" s="8"/>
    </row>
    <row r="380" spans="1:9" x14ac:dyDescent="0.25">
      <c r="A380" s="11"/>
      <c r="B380" s="11"/>
      <c r="C380" s="11"/>
      <c r="D380" s="11"/>
      <c r="E380" s="11"/>
      <c r="F380" s="11"/>
      <c r="G380" s="11"/>
      <c r="H380" s="8"/>
      <c r="I380" s="8"/>
    </row>
    <row r="381" spans="1:9" x14ac:dyDescent="0.25">
      <c r="A381" s="11"/>
      <c r="B381" s="11"/>
      <c r="C381" s="11"/>
      <c r="D381" s="11"/>
      <c r="E381" s="11"/>
      <c r="F381" s="11"/>
      <c r="G381" s="11"/>
      <c r="H381" s="8"/>
      <c r="I381" s="8"/>
    </row>
    <row r="382" spans="1:9" x14ac:dyDescent="0.25">
      <c r="A382" s="11"/>
      <c r="B382" s="11"/>
      <c r="C382" s="11"/>
      <c r="D382" s="11"/>
      <c r="E382" s="11"/>
      <c r="F382" s="11"/>
      <c r="G382" s="11"/>
      <c r="H382" s="8"/>
      <c r="I382" s="8"/>
    </row>
    <row r="383" spans="1:9" x14ac:dyDescent="0.25">
      <c r="A383" s="11"/>
      <c r="B383" s="11"/>
      <c r="C383" s="11"/>
      <c r="D383" s="11"/>
      <c r="E383" s="11"/>
      <c r="F383" s="11"/>
      <c r="G383" s="11"/>
      <c r="H383" s="8"/>
      <c r="I383" s="8"/>
    </row>
    <row r="384" spans="1:9" x14ac:dyDescent="0.25">
      <c r="A384" s="11"/>
      <c r="B384" s="11"/>
      <c r="C384" s="11"/>
      <c r="D384" s="11"/>
      <c r="E384" s="11"/>
      <c r="F384" s="11"/>
      <c r="G384" s="11"/>
      <c r="H384" s="8"/>
      <c r="I384" s="8"/>
    </row>
    <row r="385" spans="1:9" x14ac:dyDescent="0.25">
      <c r="A385" s="11"/>
      <c r="B385" s="11"/>
      <c r="C385" s="11"/>
      <c r="D385" s="11"/>
      <c r="E385" s="11"/>
      <c r="F385" s="11"/>
      <c r="G385" s="11"/>
      <c r="H385" s="8"/>
      <c r="I385" s="8"/>
    </row>
    <row r="386" spans="1:9" x14ac:dyDescent="0.25">
      <c r="A386" s="11"/>
      <c r="B386" s="11"/>
      <c r="C386" s="11"/>
      <c r="D386" s="11"/>
      <c r="E386" s="11"/>
      <c r="F386" s="11"/>
      <c r="G386" s="11"/>
      <c r="H386" s="8"/>
      <c r="I386" s="8"/>
    </row>
    <row r="387" spans="1:9" x14ac:dyDescent="0.25">
      <c r="A387" s="11"/>
      <c r="B387" s="11"/>
      <c r="C387" s="11"/>
      <c r="D387" s="11"/>
      <c r="E387" s="11"/>
      <c r="F387" s="11"/>
      <c r="G387" s="11"/>
      <c r="H387" s="8"/>
      <c r="I387" s="8"/>
    </row>
    <row r="388" spans="1:9" x14ac:dyDescent="0.25">
      <c r="A388" s="11"/>
      <c r="B388" s="11"/>
      <c r="C388" s="11"/>
      <c r="D388" s="11"/>
      <c r="E388" s="11"/>
      <c r="F388" s="11"/>
      <c r="G388" s="11"/>
      <c r="H388" s="8"/>
      <c r="I388" s="8"/>
    </row>
    <row r="389" spans="1:9" x14ac:dyDescent="0.25">
      <c r="A389" s="11"/>
      <c r="B389" s="11"/>
      <c r="C389" s="11"/>
      <c r="D389" s="11"/>
      <c r="E389" s="11"/>
      <c r="F389" s="11"/>
      <c r="G389" s="11"/>
      <c r="H389" s="8"/>
      <c r="I389" s="8"/>
    </row>
    <row r="390" spans="1:9" x14ac:dyDescent="0.25">
      <c r="A390" s="11"/>
      <c r="B390" s="11"/>
      <c r="C390" s="11"/>
      <c r="D390" s="11"/>
      <c r="E390" s="11"/>
      <c r="F390" s="11"/>
      <c r="G390" s="11"/>
      <c r="H390" s="8"/>
      <c r="I390" s="8"/>
    </row>
    <row r="391" spans="1:9" x14ac:dyDescent="0.25">
      <c r="A391" s="11"/>
      <c r="B391" s="11"/>
      <c r="C391" s="11"/>
      <c r="D391" s="11"/>
      <c r="E391" s="11"/>
      <c r="F391" s="11"/>
      <c r="G391" s="11"/>
      <c r="H391" s="8"/>
      <c r="I391" s="8"/>
    </row>
    <row r="392" spans="1:9" x14ac:dyDescent="0.25">
      <c r="A392" s="11"/>
      <c r="B392" s="11"/>
      <c r="C392" s="11"/>
      <c r="D392" s="11"/>
      <c r="E392" s="11"/>
      <c r="F392" s="11"/>
      <c r="G392" s="11"/>
      <c r="H392" s="8"/>
      <c r="I392" s="8"/>
    </row>
    <row r="393" spans="1:9" x14ac:dyDescent="0.25">
      <c r="A393" s="11"/>
      <c r="B393" s="11"/>
      <c r="C393" s="11"/>
      <c r="D393" s="11"/>
      <c r="E393" s="11"/>
      <c r="F393" s="11"/>
      <c r="G393" s="11"/>
      <c r="H393" s="8"/>
      <c r="I393" s="8"/>
    </row>
    <row r="394" spans="1:9" x14ac:dyDescent="0.25">
      <c r="A394" s="11"/>
      <c r="B394" s="11"/>
      <c r="C394" s="11"/>
      <c r="D394" s="11"/>
      <c r="E394" s="11"/>
      <c r="F394" s="11"/>
      <c r="G394" s="11"/>
      <c r="H394" s="8"/>
      <c r="I394" s="8"/>
    </row>
    <row r="395" spans="1:9" x14ac:dyDescent="0.25">
      <c r="A395" s="11"/>
      <c r="B395" s="11"/>
      <c r="C395" s="11"/>
      <c r="D395" s="11"/>
      <c r="E395" s="11"/>
      <c r="F395" s="11"/>
      <c r="G395" s="11"/>
      <c r="H395" s="8"/>
      <c r="I395" s="8"/>
    </row>
    <row r="396" spans="1:9" x14ac:dyDescent="0.25">
      <c r="A396" s="11"/>
      <c r="B396" s="11"/>
      <c r="C396" s="11"/>
      <c r="D396" s="11"/>
      <c r="E396" s="11"/>
      <c r="F396" s="11"/>
      <c r="G396" s="11"/>
      <c r="H396" s="8"/>
      <c r="I396" s="8"/>
    </row>
    <row r="397" spans="1:9" x14ac:dyDescent="0.25">
      <c r="A397" s="11"/>
      <c r="B397" s="11"/>
      <c r="C397" s="11"/>
      <c r="D397" s="11"/>
      <c r="E397" s="11"/>
      <c r="F397" s="11"/>
      <c r="G397" s="11"/>
      <c r="H397" s="8"/>
      <c r="I397" s="8"/>
    </row>
    <row r="398" spans="1:9" x14ac:dyDescent="0.25">
      <c r="A398" s="11"/>
      <c r="B398" s="11"/>
      <c r="C398" s="11"/>
      <c r="D398" s="11"/>
      <c r="E398" s="11"/>
      <c r="F398" s="11"/>
      <c r="G398" s="11"/>
      <c r="H398" s="8"/>
      <c r="I398" s="8"/>
    </row>
    <row r="399" spans="1:9" x14ac:dyDescent="0.25">
      <c r="A399" s="11"/>
      <c r="B399" s="11"/>
      <c r="C399" s="11"/>
      <c r="D399" s="11"/>
      <c r="E399" s="11"/>
      <c r="F399" s="11"/>
      <c r="G399" s="11"/>
      <c r="H399" s="8"/>
      <c r="I399" s="8"/>
    </row>
    <row r="400" spans="1:9" x14ac:dyDescent="0.25">
      <c r="A400" s="11"/>
      <c r="B400" s="11"/>
      <c r="C400" s="11"/>
      <c r="D400" s="11"/>
      <c r="E400" s="11"/>
      <c r="F400" s="11"/>
      <c r="G400" s="11"/>
      <c r="H400" s="8"/>
      <c r="I400" s="8"/>
    </row>
    <row r="401" spans="1:9" x14ac:dyDescent="0.25">
      <c r="A401" s="11"/>
      <c r="B401" s="11"/>
      <c r="C401" s="11"/>
      <c r="D401" s="11"/>
      <c r="E401" s="11"/>
      <c r="F401" s="11"/>
      <c r="G401" s="11"/>
      <c r="H401" s="8"/>
      <c r="I401" s="8"/>
    </row>
    <row r="402" spans="1:9" x14ac:dyDescent="0.25">
      <c r="A402" s="11"/>
      <c r="B402" s="11"/>
      <c r="C402" s="11"/>
      <c r="D402" s="11"/>
      <c r="E402" s="11"/>
      <c r="F402" s="11"/>
      <c r="G402" s="11"/>
      <c r="H402" s="8"/>
      <c r="I402" s="8"/>
    </row>
    <row r="403" spans="1:9" x14ac:dyDescent="0.25">
      <c r="A403" s="11"/>
      <c r="B403" s="11"/>
      <c r="C403" s="11"/>
      <c r="D403" s="11"/>
      <c r="E403" s="11"/>
      <c r="F403" s="11"/>
      <c r="G403" s="11"/>
      <c r="H403" s="8"/>
      <c r="I403" s="8"/>
    </row>
    <row r="404" spans="1:9" x14ac:dyDescent="0.25">
      <c r="A404" s="11"/>
      <c r="B404" s="11"/>
      <c r="C404" s="11"/>
      <c r="D404" s="11"/>
      <c r="E404" s="11"/>
      <c r="F404" s="11"/>
      <c r="G404" s="11"/>
      <c r="H404" s="8"/>
      <c r="I404" s="8"/>
    </row>
    <row r="405" spans="1:9" x14ac:dyDescent="0.25">
      <c r="A405" s="11"/>
      <c r="B405" s="11"/>
      <c r="C405" s="11"/>
      <c r="D405" s="11"/>
      <c r="E405" s="11"/>
      <c r="F405" s="11"/>
      <c r="G405" s="11"/>
      <c r="H405" s="8"/>
      <c r="I405" s="8"/>
    </row>
    <row r="406" spans="1:9" x14ac:dyDescent="0.25">
      <c r="A406" s="11"/>
      <c r="B406" s="11"/>
      <c r="C406" s="11"/>
      <c r="D406" s="11"/>
      <c r="E406" s="11"/>
      <c r="F406" s="11"/>
      <c r="G406" s="11"/>
      <c r="H406" s="8"/>
      <c r="I406" s="8"/>
    </row>
    <row r="407" spans="1:9" x14ac:dyDescent="0.25">
      <c r="A407" s="11"/>
      <c r="B407" s="11"/>
      <c r="C407" s="11"/>
      <c r="D407" s="11"/>
      <c r="E407" s="11"/>
      <c r="F407" s="11"/>
      <c r="G407" s="11"/>
      <c r="H407" s="8"/>
      <c r="I407" s="8"/>
    </row>
    <row r="408" spans="1:9" x14ac:dyDescent="0.25">
      <c r="A408" s="11"/>
      <c r="B408" s="11"/>
      <c r="C408" s="11"/>
      <c r="D408" s="11"/>
      <c r="E408" s="11"/>
      <c r="F408" s="11"/>
      <c r="G408" s="11"/>
      <c r="H408" s="8"/>
      <c r="I408" s="8"/>
    </row>
    <row r="409" spans="1:9" x14ac:dyDescent="0.25">
      <c r="A409" s="11"/>
      <c r="B409" s="11"/>
      <c r="C409" s="11"/>
      <c r="D409" s="11"/>
      <c r="E409" s="11"/>
      <c r="F409" s="11"/>
      <c r="G409" s="11"/>
      <c r="H409" s="8"/>
      <c r="I409" s="8"/>
    </row>
    <row r="410" spans="1:9" x14ac:dyDescent="0.25">
      <c r="A410" s="11"/>
      <c r="B410" s="11"/>
      <c r="C410" s="11"/>
      <c r="D410" s="11"/>
      <c r="E410" s="11"/>
      <c r="F410" s="11"/>
      <c r="G410" s="11"/>
      <c r="H410" s="8"/>
      <c r="I410" s="8"/>
    </row>
    <row r="411" spans="1:9" x14ac:dyDescent="0.25">
      <c r="A411" s="11"/>
      <c r="B411" s="11"/>
      <c r="C411" s="11"/>
      <c r="D411" s="11"/>
      <c r="E411" s="11"/>
      <c r="F411" s="11"/>
      <c r="G411" s="11"/>
      <c r="H411" s="8"/>
      <c r="I411" s="8"/>
    </row>
    <row r="412" spans="1:9" x14ac:dyDescent="0.25">
      <c r="A412" s="11"/>
      <c r="B412" s="11"/>
      <c r="C412" s="11"/>
      <c r="D412" s="11"/>
      <c r="E412" s="11"/>
      <c r="F412" s="11"/>
      <c r="G412" s="11"/>
      <c r="H412" s="8"/>
      <c r="I412" s="8"/>
    </row>
    <row r="413" spans="1:9" x14ac:dyDescent="0.25">
      <c r="A413" s="11"/>
      <c r="B413" s="11"/>
      <c r="C413" s="11"/>
      <c r="D413" s="11"/>
      <c r="E413" s="11"/>
      <c r="F413" s="11"/>
      <c r="G413" s="11"/>
      <c r="H413" s="8"/>
      <c r="I413" s="8"/>
    </row>
    <row r="414" spans="1:9" x14ac:dyDescent="0.25">
      <c r="A414" s="11"/>
      <c r="B414" s="11"/>
      <c r="C414" s="11"/>
      <c r="D414" s="11"/>
      <c r="E414" s="11"/>
      <c r="F414" s="11"/>
      <c r="G414" s="11"/>
      <c r="H414" s="8"/>
      <c r="I414" s="8"/>
    </row>
    <row r="415" spans="1:9" x14ac:dyDescent="0.25">
      <c r="A415" s="11"/>
      <c r="B415" s="11"/>
      <c r="C415" s="11"/>
      <c r="D415" s="11"/>
      <c r="E415" s="11"/>
      <c r="F415" s="11"/>
      <c r="G415" s="11"/>
      <c r="H415" s="8"/>
      <c r="I415" s="8"/>
    </row>
    <row r="416" spans="1:9" x14ac:dyDescent="0.25">
      <c r="A416" s="11"/>
      <c r="B416" s="11"/>
      <c r="C416" s="11"/>
      <c r="D416" s="11"/>
      <c r="E416" s="11"/>
      <c r="F416" s="11"/>
      <c r="G416" s="11"/>
      <c r="H416" s="8"/>
      <c r="I416" s="8"/>
    </row>
    <row r="417" spans="1:9" x14ac:dyDescent="0.25">
      <c r="A417" s="11"/>
      <c r="B417" s="11"/>
      <c r="C417" s="11"/>
      <c r="D417" s="11"/>
      <c r="E417" s="11"/>
      <c r="F417" s="11"/>
      <c r="G417" s="11"/>
      <c r="H417" s="8"/>
      <c r="I417" s="8"/>
    </row>
    <row r="418" spans="1:9" x14ac:dyDescent="0.25">
      <c r="A418" s="11"/>
      <c r="B418" s="11"/>
      <c r="C418" s="11"/>
      <c r="D418" s="11"/>
      <c r="E418" s="11"/>
      <c r="F418" s="11"/>
      <c r="G418" s="11"/>
      <c r="H418" s="8"/>
      <c r="I418" s="8"/>
    </row>
    <row r="419" spans="1:9" x14ac:dyDescent="0.25">
      <c r="A419" s="11"/>
      <c r="B419" s="11"/>
      <c r="C419" s="11"/>
      <c r="D419" s="11"/>
      <c r="E419" s="11"/>
      <c r="F419" s="11"/>
      <c r="G419" s="11"/>
      <c r="H419" s="8"/>
      <c r="I419" s="8"/>
    </row>
    <row r="420" spans="1:9" x14ac:dyDescent="0.25">
      <c r="A420" s="11"/>
      <c r="B420" s="11"/>
      <c r="C420" s="11"/>
      <c r="D420" s="11"/>
      <c r="E420" s="11"/>
      <c r="F420" s="11"/>
      <c r="G420" s="11"/>
      <c r="H420" s="8"/>
      <c r="I420" s="8"/>
    </row>
    <row r="421" spans="1:9" x14ac:dyDescent="0.25">
      <c r="A421" s="11"/>
      <c r="B421" s="11"/>
      <c r="C421" s="11"/>
      <c r="D421" s="11"/>
      <c r="E421" s="11"/>
      <c r="F421" s="11"/>
      <c r="G421" s="11"/>
      <c r="H421" s="8"/>
      <c r="I421" s="8"/>
    </row>
    <row r="422" spans="1:9" x14ac:dyDescent="0.25">
      <c r="A422" s="11"/>
      <c r="B422" s="11"/>
      <c r="C422" s="11"/>
      <c r="D422" s="11"/>
      <c r="E422" s="11"/>
      <c r="F422" s="11"/>
      <c r="G422" s="11"/>
      <c r="H422" s="8"/>
      <c r="I422" s="8"/>
    </row>
    <row r="423" spans="1:9" x14ac:dyDescent="0.25">
      <c r="A423" s="11"/>
      <c r="B423" s="11"/>
      <c r="C423" s="11"/>
      <c r="D423" s="11"/>
      <c r="E423" s="11"/>
      <c r="F423" s="11"/>
      <c r="G423" s="11"/>
      <c r="H423" s="8"/>
      <c r="I423" s="8"/>
    </row>
    <row r="424" spans="1:9" x14ac:dyDescent="0.25">
      <c r="A424" s="11"/>
      <c r="B424" s="11"/>
      <c r="C424" s="11"/>
      <c r="D424" s="11"/>
      <c r="E424" s="11"/>
      <c r="F424" s="11"/>
      <c r="G424" s="11"/>
      <c r="H424" s="8"/>
      <c r="I424" s="8"/>
    </row>
    <row r="425" spans="1:9" x14ac:dyDescent="0.25">
      <c r="A425" s="11"/>
      <c r="B425" s="11"/>
      <c r="C425" s="11"/>
      <c r="D425" s="11"/>
      <c r="E425" s="11"/>
      <c r="F425" s="11"/>
      <c r="G425" s="11"/>
      <c r="H425" s="8"/>
      <c r="I425" s="8"/>
    </row>
    <row r="426" spans="1:9" x14ac:dyDescent="0.25">
      <c r="A426" s="11"/>
      <c r="B426" s="11"/>
      <c r="C426" s="11"/>
      <c r="D426" s="11"/>
      <c r="E426" s="11"/>
      <c r="F426" s="11"/>
      <c r="G426" s="11"/>
      <c r="H426" s="8"/>
      <c r="I426" s="8"/>
    </row>
    <row r="427" spans="1:9" x14ac:dyDescent="0.25">
      <c r="A427" s="11"/>
      <c r="B427" s="11"/>
      <c r="C427" s="11"/>
      <c r="D427" s="11"/>
      <c r="E427" s="11"/>
      <c r="F427" s="11"/>
      <c r="G427" s="11"/>
      <c r="H427" s="8"/>
      <c r="I427" s="8"/>
    </row>
    <row r="428" spans="1:9" x14ac:dyDescent="0.25">
      <c r="A428" s="11"/>
      <c r="B428" s="11"/>
      <c r="C428" s="11"/>
      <c r="D428" s="11"/>
      <c r="E428" s="11"/>
      <c r="F428" s="11"/>
      <c r="G428" s="11"/>
      <c r="H428" s="8"/>
      <c r="I428" s="8"/>
    </row>
    <row r="429" spans="1:9" x14ac:dyDescent="0.25">
      <c r="A429" s="11"/>
      <c r="B429" s="11"/>
      <c r="C429" s="11"/>
      <c r="D429" s="11"/>
      <c r="E429" s="11"/>
      <c r="F429" s="11"/>
      <c r="G429" s="11"/>
      <c r="H429" s="8"/>
      <c r="I429" s="8"/>
    </row>
    <row r="430" spans="1:9" x14ac:dyDescent="0.25">
      <c r="A430" s="11"/>
      <c r="B430" s="11"/>
      <c r="C430" s="11"/>
      <c r="D430" s="11"/>
      <c r="E430" s="11"/>
      <c r="F430" s="11"/>
      <c r="G430" s="11"/>
      <c r="H430" s="8"/>
      <c r="I430" s="8"/>
    </row>
    <row r="431" spans="1:9" x14ac:dyDescent="0.25">
      <c r="A431" s="11"/>
      <c r="B431" s="11"/>
      <c r="C431" s="11"/>
      <c r="D431" s="11"/>
      <c r="E431" s="11"/>
      <c r="F431" s="11"/>
      <c r="G431" s="11"/>
      <c r="H431" s="8"/>
      <c r="I431" s="8"/>
    </row>
    <row r="432" spans="1:9" x14ac:dyDescent="0.25">
      <c r="A432" s="11"/>
      <c r="B432" s="11"/>
      <c r="C432" s="11"/>
      <c r="D432" s="11"/>
      <c r="E432" s="11"/>
      <c r="F432" s="11"/>
      <c r="G432" s="11"/>
      <c r="H432" s="8"/>
      <c r="I432" s="8"/>
    </row>
    <row r="433" spans="1:9" x14ac:dyDescent="0.25">
      <c r="A433" s="11"/>
      <c r="B433" s="11"/>
      <c r="C433" s="11"/>
      <c r="D433" s="11"/>
      <c r="E433" s="11"/>
      <c r="F433" s="11"/>
      <c r="G433" s="11"/>
      <c r="H433" s="8"/>
      <c r="I433" s="8"/>
    </row>
    <row r="434" spans="1:9" x14ac:dyDescent="0.25">
      <c r="A434" s="11"/>
      <c r="B434" s="11"/>
      <c r="C434" s="11"/>
      <c r="D434" s="11"/>
      <c r="E434" s="11"/>
      <c r="F434" s="11"/>
      <c r="G434" s="11"/>
      <c r="H434" s="8"/>
      <c r="I434" s="8"/>
    </row>
    <row r="435" spans="1:9" x14ac:dyDescent="0.25">
      <c r="A435" s="11"/>
      <c r="B435" s="11"/>
      <c r="C435" s="11"/>
      <c r="D435" s="11"/>
      <c r="E435" s="11"/>
      <c r="F435" s="11"/>
      <c r="G435" s="11"/>
      <c r="H435" s="8"/>
      <c r="I435" s="8"/>
    </row>
    <row r="436" spans="1:9" x14ac:dyDescent="0.25">
      <c r="A436" s="11"/>
      <c r="B436" s="11"/>
      <c r="C436" s="11"/>
      <c r="D436" s="11"/>
      <c r="E436" s="11"/>
      <c r="F436" s="11"/>
      <c r="G436" s="11"/>
      <c r="H436" s="8"/>
      <c r="I436" s="8"/>
    </row>
    <row r="437" spans="1:9" x14ac:dyDescent="0.25">
      <c r="A437" s="11"/>
      <c r="B437" s="11"/>
      <c r="C437" s="11"/>
      <c r="D437" s="11"/>
      <c r="E437" s="11"/>
      <c r="F437" s="11"/>
      <c r="G437" s="11"/>
      <c r="H437" s="8"/>
      <c r="I437" s="8"/>
    </row>
    <row r="438" spans="1:9" x14ac:dyDescent="0.25">
      <c r="A438" s="11"/>
      <c r="B438" s="11"/>
      <c r="C438" s="11"/>
      <c r="D438" s="11"/>
      <c r="E438" s="11"/>
      <c r="F438" s="11"/>
      <c r="G438" s="11"/>
      <c r="H438" s="8"/>
      <c r="I438" s="8"/>
    </row>
    <row r="439" spans="1:9" x14ac:dyDescent="0.25">
      <c r="A439" s="11"/>
      <c r="B439" s="11"/>
      <c r="C439" s="11"/>
      <c r="D439" s="11"/>
      <c r="E439" s="11"/>
      <c r="F439" s="11"/>
      <c r="G439" s="11"/>
      <c r="H439" s="8"/>
      <c r="I439" s="8"/>
    </row>
    <row r="440" spans="1:9" x14ac:dyDescent="0.25">
      <c r="A440" s="11"/>
      <c r="B440" s="11"/>
      <c r="C440" s="11"/>
      <c r="D440" s="11"/>
      <c r="E440" s="11"/>
      <c r="F440" s="11"/>
      <c r="G440" s="11"/>
      <c r="H440" s="8"/>
      <c r="I440" s="8"/>
    </row>
    <row r="441" spans="1:9" x14ac:dyDescent="0.25">
      <c r="A441" s="11"/>
      <c r="B441" s="11"/>
      <c r="C441" s="11"/>
      <c r="D441" s="11"/>
      <c r="E441" s="11"/>
      <c r="F441" s="11"/>
      <c r="G441" s="11"/>
      <c r="H441" s="8"/>
      <c r="I441" s="8"/>
    </row>
    <row r="442" spans="1:9" x14ac:dyDescent="0.25">
      <c r="A442" s="11"/>
      <c r="B442" s="11"/>
      <c r="C442" s="11"/>
      <c r="D442" s="11"/>
      <c r="E442" s="11"/>
      <c r="F442" s="11"/>
      <c r="G442" s="11"/>
      <c r="H442" s="8"/>
      <c r="I442" s="8"/>
    </row>
    <row r="443" spans="1:9" x14ac:dyDescent="0.25">
      <c r="A443" s="11"/>
      <c r="B443" s="11"/>
      <c r="C443" s="11"/>
      <c r="D443" s="11"/>
      <c r="E443" s="11"/>
      <c r="F443" s="11"/>
      <c r="G443" s="11"/>
      <c r="H443" s="8"/>
      <c r="I443" s="8"/>
    </row>
    <row r="444" spans="1:9" x14ac:dyDescent="0.25">
      <c r="A444" s="11"/>
      <c r="B444" s="11"/>
      <c r="C444" s="11"/>
      <c r="D444" s="11"/>
      <c r="E444" s="11"/>
      <c r="F444" s="11"/>
      <c r="G444" s="11"/>
      <c r="H444" s="8"/>
      <c r="I444" s="8"/>
    </row>
    <row r="445" spans="1:9" x14ac:dyDescent="0.25">
      <c r="A445" s="11"/>
      <c r="B445" s="11"/>
      <c r="C445" s="11"/>
      <c r="D445" s="11"/>
      <c r="E445" s="11"/>
      <c r="F445" s="11"/>
      <c r="G445" s="11"/>
      <c r="H445" s="8"/>
      <c r="I445" s="8"/>
    </row>
    <row r="446" spans="1:9" x14ac:dyDescent="0.25">
      <c r="A446" s="11"/>
      <c r="B446" s="11"/>
      <c r="C446" s="11"/>
      <c r="D446" s="11"/>
      <c r="E446" s="11"/>
      <c r="F446" s="11"/>
      <c r="G446" s="11"/>
      <c r="H446" s="8"/>
      <c r="I446" s="8"/>
    </row>
    <row r="447" spans="1:9" x14ac:dyDescent="0.25">
      <c r="A447" s="11"/>
      <c r="B447" s="11"/>
      <c r="C447" s="11"/>
      <c r="D447" s="11"/>
      <c r="E447" s="11"/>
      <c r="F447" s="11"/>
      <c r="G447" s="11"/>
      <c r="H447" s="8"/>
      <c r="I447" s="8"/>
    </row>
    <row r="448" spans="1:9" x14ac:dyDescent="0.25">
      <c r="A448" s="11"/>
      <c r="B448" s="11"/>
      <c r="C448" s="11"/>
      <c r="D448" s="11"/>
      <c r="E448" s="11"/>
      <c r="F448" s="11"/>
      <c r="G448" s="11"/>
      <c r="H448" s="8"/>
      <c r="I448" s="8"/>
    </row>
    <row r="449" spans="1:9" x14ac:dyDescent="0.25">
      <c r="A449" s="11"/>
      <c r="B449" s="11"/>
      <c r="C449" s="11"/>
      <c r="D449" s="11"/>
      <c r="E449" s="11"/>
      <c r="F449" s="11"/>
      <c r="G449" s="11"/>
      <c r="H449" s="8"/>
      <c r="I449" s="8"/>
    </row>
    <row r="450" spans="1:9" x14ac:dyDescent="0.25">
      <c r="A450" s="11"/>
      <c r="B450" s="11"/>
      <c r="C450" s="11"/>
      <c r="D450" s="11"/>
      <c r="E450" s="11"/>
      <c r="F450" s="11"/>
      <c r="G450" s="11"/>
      <c r="H450" s="8"/>
      <c r="I450" s="8"/>
    </row>
    <row r="451" spans="1:9" x14ac:dyDescent="0.25">
      <c r="A451" s="11"/>
      <c r="B451" s="11"/>
      <c r="C451" s="11"/>
      <c r="D451" s="11"/>
      <c r="E451" s="11"/>
      <c r="F451" s="11"/>
      <c r="G451" s="11"/>
      <c r="H451" s="8"/>
      <c r="I451" s="8"/>
    </row>
    <row r="452" spans="1:9" x14ac:dyDescent="0.25">
      <c r="A452" s="11"/>
      <c r="B452" s="11"/>
      <c r="C452" s="11"/>
      <c r="D452" s="11"/>
      <c r="E452" s="11"/>
      <c r="F452" s="11"/>
      <c r="G452" s="11"/>
      <c r="H452" s="8"/>
      <c r="I452" s="8"/>
    </row>
    <row r="453" spans="1:9" x14ac:dyDescent="0.25">
      <c r="A453" s="11"/>
      <c r="B453" s="11"/>
      <c r="C453" s="11"/>
      <c r="D453" s="11"/>
      <c r="E453" s="11"/>
      <c r="F453" s="11"/>
      <c r="G453" s="11"/>
      <c r="H453" s="8"/>
      <c r="I453" s="8"/>
    </row>
    <row r="454" spans="1:9" x14ac:dyDescent="0.25">
      <c r="A454" s="11"/>
      <c r="B454" s="11"/>
      <c r="C454" s="11"/>
      <c r="D454" s="11"/>
      <c r="E454" s="11"/>
      <c r="F454" s="11"/>
      <c r="G454" s="11"/>
      <c r="H454" s="8"/>
      <c r="I454" s="8"/>
    </row>
    <row r="455" spans="1:9" x14ac:dyDescent="0.25">
      <c r="A455" s="11"/>
      <c r="B455" s="11"/>
      <c r="C455" s="11"/>
      <c r="D455" s="11"/>
      <c r="E455" s="11"/>
      <c r="F455" s="11"/>
      <c r="G455" s="11"/>
      <c r="H455" s="8"/>
      <c r="I455" s="8"/>
    </row>
    <row r="456" spans="1:9" x14ac:dyDescent="0.25">
      <c r="A456" s="11"/>
      <c r="B456" s="11"/>
      <c r="C456" s="11"/>
      <c r="D456" s="11"/>
      <c r="E456" s="11"/>
      <c r="F456" s="11"/>
      <c r="G456" s="11"/>
      <c r="H456" s="8"/>
      <c r="I456" s="8"/>
    </row>
    <row r="457" spans="1:9" x14ac:dyDescent="0.25">
      <c r="A457" s="11"/>
      <c r="B457" s="11"/>
      <c r="C457" s="11"/>
      <c r="D457" s="11"/>
      <c r="E457" s="11"/>
      <c r="F457" s="11"/>
      <c r="G457" s="11"/>
      <c r="H457" s="8"/>
      <c r="I457" s="8"/>
    </row>
    <row r="458" spans="1:9" x14ac:dyDescent="0.25">
      <c r="A458" s="11"/>
      <c r="B458" s="11"/>
      <c r="C458" s="11"/>
      <c r="D458" s="11"/>
      <c r="E458" s="11"/>
      <c r="F458" s="11"/>
      <c r="G458" s="11"/>
      <c r="H458" s="8"/>
      <c r="I458" s="8"/>
    </row>
    <row r="459" spans="1:9" x14ac:dyDescent="0.25">
      <c r="A459" s="11"/>
      <c r="B459" s="11"/>
      <c r="C459" s="11"/>
      <c r="D459" s="11"/>
      <c r="E459" s="11"/>
      <c r="F459" s="11"/>
      <c r="G459" s="11"/>
      <c r="H459" s="8"/>
      <c r="I459" s="8"/>
    </row>
    <row r="460" spans="1:9" x14ac:dyDescent="0.25">
      <c r="A460" s="11"/>
      <c r="B460" s="11"/>
      <c r="C460" s="11"/>
      <c r="D460" s="11"/>
      <c r="E460" s="11"/>
      <c r="F460" s="11"/>
      <c r="G460" s="11"/>
      <c r="H460" s="8"/>
      <c r="I460" s="8"/>
    </row>
    <row r="461" spans="1:9" x14ac:dyDescent="0.25">
      <c r="A461" s="11"/>
      <c r="B461" s="11"/>
      <c r="C461" s="11"/>
      <c r="D461" s="11"/>
      <c r="E461" s="11"/>
      <c r="F461" s="11"/>
      <c r="G461" s="11"/>
      <c r="H461" s="8"/>
      <c r="I461" s="8"/>
    </row>
    <row r="462" spans="1:9" x14ac:dyDescent="0.25">
      <c r="A462" s="11"/>
      <c r="B462" s="11"/>
      <c r="C462" s="11"/>
      <c r="D462" s="11"/>
      <c r="E462" s="11"/>
      <c r="F462" s="11"/>
      <c r="G462" s="11"/>
      <c r="H462" s="8"/>
      <c r="I462" s="8"/>
    </row>
    <row r="463" spans="1:9" x14ac:dyDescent="0.25">
      <c r="A463" s="11"/>
      <c r="B463" s="11"/>
      <c r="C463" s="11"/>
      <c r="D463" s="11"/>
      <c r="E463" s="11"/>
      <c r="F463" s="11"/>
      <c r="G463" s="11"/>
      <c r="H463" s="8"/>
      <c r="I463" s="8"/>
    </row>
    <row r="464" spans="1:9" x14ac:dyDescent="0.25">
      <c r="A464" s="11"/>
      <c r="B464" s="11"/>
      <c r="C464" s="11"/>
      <c r="D464" s="11"/>
      <c r="E464" s="11"/>
      <c r="F464" s="11"/>
      <c r="G464" s="11"/>
      <c r="H464" s="8"/>
      <c r="I464" s="8"/>
    </row>
    <row r="465" spans="1:9" x14ac:dyDescent="0.25">
      <c r="A465" s="11"/>
      <c r="B465" s="11"/>
      <c r="C465" s="11"/>
      <c r="D465" s="11"/>
      <c r="E465" s="11"/>
      <c r="F465" s="11"/>
      <c r="G465" s="11"/>
      <c r="H465" s="8"/>
      <c r="I465" s="8"/>
    </row>
    <row r="466" spans="1:9" x14ac:dyDescent="0.25">
      <c r="A466" s="11"/>
      <c r="B466" s="11"/>
      <c r="C466" s="11"/>
      <c r="D466" s="11"/>
      <c r="E466" s="11"/>
      <c r="F466" s="11"/>
      <c r="G466" s="11"/>
      <c r="H466" s="8"/>
      <c r="I466" s="8"/>
    </row>
    <row r="467" spans="1:9" x14ac:dyDescent="0.25">
      <c r="A467" s="11"/>
      <c r="B467" s="11"/>
      <c r="C467" s="11"/>
      <c r="D467" s="11"/>
      <c r="E467" s="11"/>
      <c r="F467" s="11"/>
      <c r="G467" s="11"/>
      <c r="H467" s="8"/>
      <c r="I467" s="8"/>
    </row>
    <row r="468" spans="1:9" x14ac:dyDescent="0.25">
      <c r="A468" s="11"/>
      <c r="B468" s="11"/>
      <c r="C468" s="11"/>
      <c r="D468" s="11"/>
      <c r="E468" s="11"/>
      <c r="F468" s="11"/>
      <c r="G468" s="11"/>
      <c r="H468" s="8"/>
      <c r="I468" s="8"/>
    </row>
    <row r="469" spans="1:9" x14ac:dyDescent="0.25">
      <c r="A469" s="11"/>
      <c r="B469" s="11"/>
      <c r="C469" s="11"/>
      <c r="D469" s="11"/>
      <c r="E469" s="11"/>
      <c r="F469" s="11"/>
      <c r="G469" s="11"/>
      <c r="H469" s="8"/>
      <c r="I469" s="8"/>
    </row>
    <row r="470" spans="1:9" x14ac:dyDescent="0.25">
      <c r="A470" s="11"/>
      <c r="B470" s="11"/>
      <c r="C470" s="11"/>
      <c r="D470" s="11"/>
      <c r="E470" s="11"/>
      <c r="F470" s="11"/>
      <c r="G470" s="11"/>
      <c r="H470" s="8"/>
      <c r="I470" s="8"/>
    </row>
    <row r="471" spans="1:9" x14ac:dyDescent="0.25">
      <c r="A471" s="11"/>
      <c r="B471" s="11"/>
      <c r="C471" s="11"/>
      <c r="D471" s="11"/>
      <c r="E471" s="11"/>
      <c r="F471" s="11"/>
      <c r="G471" s="11"/>
      <c r="H471" s="8"/>
      <c r="I471" s="8"/>
    </row>
    <row r="472" spans="1:9" x14ac:dyDescent="0.25">
      <c r="A472" s="11"/>
      <c r="B472" s="11"/>
      <c r="C472" s="11"/>
      <c r="D472" s="11"/>
      <c r="E472" s="11"/>
      <c r="F472" s="11"/>
      <c r="G472" s="11"/>
      <c r="H472" s="8"/>
      <c r="I472" s="8"/>
    </row>
    <row r="473" spans="1:9" x14ac:dyDescent="0.25">
      <c r="A473" s="11"/>
      <c r="B473" s="11"/>
      <c r="C473" s="11"/>
      <c r="D473" s="11"/>
      <c r="E473" s="11"/>
      <c r="F473" s="11"/>
      <c r="G473" s="11"/>
      <c r="H473" s="8"/>
      <c r="I473" s="8"/>
    </row>
    <row r="474" spans="1:9" x14ac:dyDescent="0.25">
      <c r="A474" s="11"/>
      <c r="B474" s="11"/>
      <c r="C474" s="11"/>
      <c r="D474" s="11"/>
      <c r="E474" s="11"/>
      <c r="F474" s="11"/>
      <c r="G474" s="11"/>
      <c r="H474" s="8"/>
      <c r="I474" s="8"/>
    </row>
    <row r="475" spans="1:9" x14ac:dyDescent="0.25">
      <c r="A475" s="11"/>
      <c r="B475" s="11"/>
      <c r="C475" s="11"/>
      <c r="D475" s="11"/>
      <c r="E475" s="11"/>
      <c r="F475" s="11"/>
      <c r="G475" s="11"/>
      <c r="H475" s="8"/>
      <c r="I475" s="8"/>
    </row>
    <row r="476" spans="1:9" x14ac:dyDescent="0.25">
      <c r="A476" s="11"/>
      <c r="B476" s="11"/>
      <c r="C476" s="11"/>
      <c r="D476" s="11"/>
      <c r="E476" s="11"/>
      <c r="F476" s="11"/>
      <c r="G476" s="11"/>
      <c r="H476" s="8"/>
      <c r="I476" s="8"/>
    </row>
    <row r="477" spans="1:9" x14ac:dyDescent="0.25">
      <c r="A477" s="11"/>
      <c r="B477" s="11"/>
      <c r="C477" s="11"/>
      <c r="D477" s="11"/>
      <c r="E477" s="11"/>
      <c r="F477" s="11"/>
      <c r="G477" s="11"/>
      <c r="H477" s="8"/>
      <c r="I477" s="8"/>
    </row>
    <row r="478" spans="1:9" x14ac:dyDescent="0.25">
      <c r="A478" s="11"/>
      <c r="B478" s="11"/>
      <c r="C478" s="11"/>
      <c r="D478" s="11"/>
      <c r="E478" s="11"/>
      <c r="F478" s="11"/>
      <c r="G478" s="11"/>
      <c r="H478" s="8"/>
      <c r="I478" s="8"/>
    </row>
    <row r="479" spans="1:9" x14ac:dyDescent="0.25">
      <c r="A479" s="11"/>
      <c r="B479" s="11"/>
      <c r="C479" s="11"/>
      <c r="D479" s="11"/>
      <c r="E479" s="11"/>
      <c r="F479" s="11"/>
      <c r="G479" s="11"/>
      <c r="H479" s="8"/>
      <c r="I479" s="8"/>
    </row>
    <row r="480" spans="1:9" x14ac:dyDescent="0.25">
      <c r="A480" s="11"/>
      <c r="B480" s="11"/>
      <c r="C480" s="11"/>
      <c r="D480" s="11"/>
      <c r="E480" s="11"/>
      <c r="F480" s="11"/>
      <c r="G480" s="11"/>
      <c r="H480" s="8"/>
      <c r="I480" s="8"/>
    </row>
    <row r="481" spans="1:9" x14ac:dyDescent="0.25">
      <c r="A481" s="11"/>
      <c r="B481" s="11"/>
      <c r="C481" s="11"/>
      <c r="D481" s="11"/>
      <c r="E481" s="11"/>
      <c r="F481" s="11"/>
      <c r="G481" s="11"/>
      <c r="H481" s="8"/>
      <c r="I481" s="8"/>
    </row>
    <row r="482" spans="1:9" x14ac:dyDescent="0.25">
      <c r="A482" s="11"/>
      <c r="B482" s="11"/>
      <c r="C482" s="11"/>
      <c r="D482" s="11"/>
      <c r="E482" s="11"/>
      <c r="F482" s="11"/>
      <c r="G482" s="11"/>
      <c r="H482" s="8"/>
      <c r="I482" s="8"/>
    </row>
    <row r="483" spans="1:9" x14ac:dyDescent="0.25">
      <c r="A483" s="11"/>
      <c r="B483" s="11"/>
      <c r="C483" s="11"/>
      <c r="D483" s="11"/>
      <c r="E483" s="11"/>
      <c r="F483" s="11"/>
      <c r="G483" s="11"/>
      <c r="H483" s="8"/>
      <c r="I483" s="8"/>
    </row>
    <row r="484" spans="1:9" x14ac:dyDescent="0.25">
      <c r="A484" s="11"/>
      <c r="B484" s="11"/>
      <c r="C484" s="11"/>
      <c r="D484" s="11"/>
      <c r="E484" s="11"/>
      <c r="F484" s="11"/>
      <c r="G484" s="11"/>
      <c r="H484" s="8"/>
      <c r="I484" s="8"/>
    </row>
    <row r="485" spans="1:9" x14ac:dyDescent="0.25">
      <c r="A485" s="11"/>
      <c r="B485" s="11"/>
      <c r="C485" s="11"/>
      <c r="D485" s="11"/>
      <c r="E485" s="11"/>
      <c r="F485" s="11"/>
      <c r="G485" s="11"/>
      <c r="H485" s="8"/>
      <c r="I485" s="8"/>
    </row>
    <row r="486" spans="1:9" x14ac:dyDescent="0.25">
      <c r="A486" s="11"/>
      <c r="B486" s="11"/>
      <c r="C486" s="11"/>
      <c r="D486" s="11"/>
      <c r="E486" s="11"/>
      <c r="F486" s="11"/>
      <c r="G486" s="11"/>
      <c r="H486" s="8"/>
      <c r="I486" s="8"/>
    </row>
    <row r="487" spans="1:9" x14ac:dyDescent="0.25">
      <c r="A487" s="11"/>
      <c r="B487" s="11"/>
      <c r="C487" s="11"/>
      <c r="D487" s="11"/>
      <c r="E487" s="11"/>
      <c r="F487" s="11"/>
      <c r="G487" s="11"/>
      <c r="H487" s="8"/>
      <c r="I487" s="8"/>
    </row>
    <row r="488" spans="1:9" x14ac:dyDescent="0.25">
      <c r="A488" s="11"/>
      <c r="B488" s="11"/>
      <c r="C488" s="11"/>
      <c r="D488" s="11"/>
      <c r="E488" s="11"/>
      <c r="F488" s="11"/>
      <c r="G488" s="11"/>
      <c r="H488" s="8"/>
      <c r="I488" s="8"/>
    </row>
    <row r="489" spans="1:9" x14ac:dyDescent="0.25">
      <c r="A489" s="11"/>
      <c r="B489" s="11"/>
      <c r="C489" s="11"/>
      <c r="D489" s="11"/>
      <c r="E489" s="11"/>
      <c r="F489" s="11"/>
      <c r="G489" s="11"/>
      <c r="H489" s="8"/>
      <c r="I489" s="8"/>
    </row>
    <row r="490" spans="1:9" x14ac:dyDescent="0.25">
      <c r="A490" s="11"/>
      <c r="B490" s="11"/>
      <c r="C490" s="11"/>
      <c r="D490" s="11"/>
      <c r="E490" s="11"/>
      <c r="F490" s="11"/>
      <c r="G490" s="11"/>
      <c r="H490" s="8"/>
      <c r="I490" s="8"/>
    </row>
    <row r="491" spans="1:9" x14ac:dyDescent="0.25">
      <c r="A491" s="11"/>
      <c r="B491" s="11"/>
      <c r="C491" s="11"/>
      <c r="D491" s="11"/>
      <c r="E491" s="11"/>
      <c r="F491" s="11"/>
      <c r="G491" s="11"/>
      <c r="H491" s="8"/>
      <c r="I491" s="8"/>
    </row>
    <row r="492" spans="1:9" x14ac:dyDescent="0.25">
      <c r="A492" s="11"/>
      <c r="B492" s="11"/>
      <c r="C492" s="11"/>
      <c r="D492" s="11"/>
      <c r="E492" s="11"/>
      <c r="F492" s="11"/>
      <c r="G492" s="11"/>
      <c r="H492" s="8"/>
      <c r="I492" s="8"/>
    </row>
    <row r="493" spans="1:9" x14ac:dyDescent="0.25">
      <c r="A493" s="11"/>
      <c r="B493" s="11"/>
      <c r="C493" s="11"/>
      <c r="D493" s="11"/>
      <c r="E493" s="11"/>
      <c r="F493" s="11"/>
      <c r="G493" s="11"/>
      <c r="H493" s="8"/>
      <c r="I493" s="8"/>
    </row>
    <row r="494" spans="1:9" x14ac:dyDescent="0.25">
      <c r="A494" s="11"/>
      <c r="B494" s="11"/>
      <c r="C494" s="11"/>
      <c r="D494" s="11"/>
      <c r="E494" s="11"/>
      <c r="F494" s="11"/>
      <c r="G494" s="11"/>
      <c r="H494" s="8"/>
      <c r="I494" s="8"/>
    </row>
    <row r="495" spans="1:9" x14ac:dyDescent="0.25">
      <c r="A495" s="11"/>
      <c r="B495" s="11"/>
      <c r="C495" s="11"/>
      <c r="D495" s="11"/>
      <c r="E495" s="11"/>
      <c r="F495" s="11"/>
      <c r="G495" s="11"/>
      <c r="H495" s="8"/>
      <c r="I495" s="8"/>
    </row>
    <row r="496" spans="1:9" x14ac:dyDescent="0.25">
      <c r="A496" s="11"/>
      <c r="B496" s="11"/>
      <c r="C496" s="11"/>
      <c r="D496" s="11"/>
      <c r="E496" s="11"/>
      <c r="F496" s="11"/>
      <c r="G496" s="11"/>
      <c r="H496" s="8"/>
      <c r="I496" s="8"/>
    </row>
    <row r="497" spans="1:9" x14ac:dyDescent="0.25">
      <c r="A497" s="11"/>
      <c r="B497" s="11"/>
      <c r="C497" s="11"/>
      <c r="D497" s="11"/>
      <c r="E497" s="11"/>
      <c r="F497" s="11"/>
      <c r="G497" s="11"/>
      <c r="H497" s="8"/>
      <c r="I497" s="8"/>
    </row>
    <row r="498" spans="1:9" x14ac:dyDescent="0.25">
      <c r="A498" s="11"/>
      <c r="B498" s="11"/>
      <c r="C498" s="11"/>
      <c r="D498" s="11"/>
      <c r="E498" s="11"/>
      <c r="F498" s="11"/>
      <c r="G498" s="11"/>
      <c r="H498" s="8"/>
      <c r="I498" s="8"/>
    </row>
    <row r="499" spans="1:9" x14ac:dyDescent="0.25">
      <c r="A499" s="11"/>
      <c r="B499" s="11"/>
      <c r="C499" s="11"/>
      <c r="D499" s="11"/>
      <c r="E499" s="11"/>
      <c r="F499" s="11"/>
      <c r="G499" s="11"/>
      <c r="H499" s="8"/>
      <c r="I499" s="8"/>
    </row>
    <row r="500" spans="1:9" x14ac:dyDescent="0.25">
      <c r="A500" s="11"/>
      <c r="B500" s="11"/>
      <c r="C500" s="11"/>
      <c r="D500" s="11"/>
      <c r="E500" s="11"/>
      <c r="F500" s="11"/>
      <c r="G500" s="11"/>
      <c r="H500" s="8"/>
      <c r="I500" s="8"/>
    </row>
    <row r="501" spans="1:9" x14ac:dyDescent="0.25">
      <c r="A501" s="11"/>
      <c r="B501" s="11"/>
      <c r="C501" s="11"/>
      <c r="D501" s="11"/>
      <c r="E501" s="11"/>
      <c r="F501" s="11"/>
      <c r="G501" s="11"/>
      <c r="H501" s="8"/>
      <c r="I501" s="8"/>
    </row>
    <row r="502" spans="1:9" x14ac:dyDescent="0.25">
      <c r="A502" s="11"/>
      <c r="B502" s="11"/>
      <c r="C502" s="11"/>
      <c r="D502" s="11"/>
      <c r="E502" s="11"/>
      <c r="F502" s="11"/>
      <c r="G502" s="11"/>
      <c r="H502" s="8"/>
      <c r="I502" s="8"/>
    </row>
    <row r="503" spans="1:9" x14ac:dyDescent="0.25">
      <c r="A503" s="11"/>
      <c r="B503" s="11"/>
      <c r="C503" s="11"/>
      <c r="D503" s="11"/>
      <c r="E503" s="11"/>
      <c r="F503" s="11"/>
      <c r="G503" s="11"/>
      <c r="H503" s="8"/>
      <c r="I503" s="8"/>
    </row>
    <row r="504" spans="1:9" x14ac:dyDescent="0.25">
      <c r="A504" s="11"/>
      <c r="B504" s="11"/>
      <c r="C504" s="11"/>
      <c r="D504" s="11"/>
      <c r="E504" s="11"/>
      <c r="F504" s="11"/>
      <c r="G504" s="11"/>
      <c r="H504" s="8"/>
      <c r="I504" s="8"/>
    </row>
    <row r="505" spans="1:9" x14ac:dyDescent="0.25">
      <c r="A505" s="11"/>
      <c r="B505" s="11"/>
      <c r="C505" s="11"/>
      <c r="D505" s="11"/>
      <c r="E505" s="11"/>
      <c r="F505" s="11"/>
      <c r="G505" s="11"/>
      <c r="H505" s="8"/>
      <c r="I505" s="8"/>
    </row>
    <row r="506" spans="1:9" x14ac:dyDescent="0.25">
      <c r="A506" s="11"/>
      <c r="B506" s="11"/>
      <c r="C506" s="11"/>
      <c r="D506" s="11"/>
      <c r="E506" s="11"/>
      <c r="F506" s="11"/>
      <c r="G506" s="11"/>
      <c r="H506" s="8"/>
      <c r="I506" s="8"/>
    </row>
    <row r="507" spans="1:9" x14ac:dyDescent="0.25">
      <c r="A507" s="11"/>
      <c r="B507" s="11"/>
      <c r="C507" s="11"/>
      <c r="D507" s="11"/>
      <c r="E507" s="11"/>
      <c r="F507" s="11"/>
      <c r="G507" s="11"/>
      <c r="H507" s="8"/>
      <c r="I507" s="8"/>
    </row>
    <row r="508" spans="1:9" x14ac:dyDescent="0.25">
      <c r="A508" s="11"/>
      <c r="B508" s="11"/>
      <c r="C508" s="11"/>
      <c r="D508" s="11"/>
      <c r="E508" s="11"/>
      <c r="F508" s="11"/>
      <c r="G508" s="11"/>
      <c r="H508" s="8"/>
      <c r="I508" s="8"/>
    </row>
    <row r="509" spans="1:9" x14ac:dyDescent="0.25">
      <c r="A509" s="11"/>
      <c r="B509" s="11"/>
      <c r="C509" s="11"/>
      <c r="D509" s="11"/>
      <c r="E509" s="11"/>
      <c r="F509" s="11"/>
      <c r="G509" s="11"/>
      <c r="H509" s="8"/>
      <c r="I509" s="8"/>
    </row>
    <row r="510" spans="1:9" x14ac:dyDescent="0.25">
      <c r="A510" s="11"/>
      <c r="B510" s="11"/>
      <c r="C510" s="11"/>
      <c r="D510" s="11"/>
      <c r="E510" s="11"/>
      <c r="F510" s="11"/>
      <c r="G510" s="11"/>
      <c r="H510" s="8"/>
      <c r="I510" s="8"/>
    </row>
    <row r="511" spans="1:9" x14ac:dyDescent="0.25">
      <c r="A511" s="11"/>
      <c r="B511" s="11"/>
      <c r="C511" s="11"/>
      <c r="D511" s="11"/>
      <c r="E511" s="11"/>
      <c r="F511" s="11"/>
      <c r="G511" s="11"/>
      <c r="H511" s="8"/>
      <c r="I511" s="8"/>
    </row>
    <row r="512" spans="1:9" x14ac:dyDescent="0.25">
      <c r="A512" s="11"/>
      <c r="B512" s="11"/>
      <c r="C512" s="11"/>
      <c r="D512" s="11"/>
      <c r="E512" s="11"/>
      <c r="F512" s="11"/>
      <c r="G512" s="11"/>
      <c r="H512" s="8"/>
      <c r="I512" s="8"/>
    </row>
    <row r="513" spans="1:9" x14ac:dyDescent="0.25">
      <c r="A513" s="11"/>
      <c r="B513" s="11"/>
      <c r="C513" s="11"/>
      <c r="D513" s="11"/>
      <c r="E513" s="11"/>
      <c r="F513" s="11"/>
      <c r="G513" s="11"/>
      <c r="H513" s="8"/>
      <c r="I513" s="8"/>
    </row>
    <row r="514" spans="1:9" x14ac:dyDescent="0.25">
      <c r="A514" s="11"/>
      <c r="B514" s="11"/>
      <c r="C514" s="11"/>
      <c r="D514" s="11"/>
      <c r="E514" s="11"/>
      <c r="F514" s="11"/>
      <c r="G514" s="11"/>
      <c r="H514" s="8"/>
      <c r="I514" s="8"/>
    </row>
    <row r="515" spans="1:9" x14ac:dyDescent="0.25">
      <c r="A515" s="11"/>
      <c r="B515" s="11"/>
      <c r="C515" s="11"/>
      <c r="D515" s="11"/>
      <c r="E515" s="11"/>
      <c r="F515" s="11"/>
      <c r="G515" s="11"/>
      <c r="H515" s="8"/>
      <c r="I515" s="8"/>
    </row>
    <row r="516" spans="1:9" x14ac:dyDescent="0.25">
      <c r="A516" s="11"/>
      <c r="B516" s="11"/>
      <c r="C516" s="11"/>
      <c r="D516" s="11"/>
      <c r="E516" s="11"/>
      <c r="F516" s="11"/>
      <c r="G516" s="11"/>
      <c r="H516" s="8"/>
      <c r="I516" s="8"/>
    </row>
    <row r="517" spans="1:9" x14ac:dyDescent="0.25">
      <c r="A517" s="11"/>
      <c r="B517" s="11"/>
      <c r="C517" s="11"/>
      <c r="D517" s="11"/>
      <c r="E517" s="11"/>
      <c r="F517" s="11"/>
      <c r="G517" s="11"/>
      <c r="H517" s="8"/>
      <c r="I517" s="8"/>
    </row>
    <row r="518" spans="1:9" x14ac:dyDescent="0.25">
      <c r="A518" s="11"/>
      <c r="B518" s="11"/>
      <c r="C518" s="11"/>
      <c r="D518" s="11"/>
      <c r="E518" s="11"/>
      <c r="F518" s="11"/>
      <c r="G518" s="11"/>
      <c r="H518" s="8"/>
      <c r="I518" s="8"/>
    </row>
    <row r="519" spans="1:9" x14ac:dyDescent="0.25">
      <c r="A519" s="11"/>
      <c r="B519" s="11"/>
      <c r="C519" s="11"/>
      <c r="D519" s="11"/>
      <c r="E519" s="11"/>
      <c r="F519" s="11"/>
      <c r="G519" s="11"/>
      <c r="H519" s="8"/>
      <c r="I519" s="8"/>
    </row>
    <row r="520" spans="1:9" x14ac:dyDescent="0.25">
      <c r="A520" s="11"/>
      <c r="B520" s="11"/>
      <c r="C520" s="11"/>
      <c r="D520" s="11"/>
      <c r="E520" s="11"/>
      <c r="F520" s="11"/>
      <c r="G520" s="11"/>
      <c r="H520" s="8"/>
      <c r="I520" s="8"/>
    </row>
    <row r="521" spans="1:9" x14ac:dyDescent="0.25">
      <c r="A521" s="11"/>
      <c r="B521" s="11"/>
      <c r="C521" s="11"/>
      <c r="D521" s="11"/>
      <c r="E521" s="11"/>
      <c r="F521" s="11"/>
      <c r="G521" s="11"/>
      <c r="H521" s="8"/>
      <c r="I521" s="8"/>
    </row>
    <row r="522" spans="1:9" x14ac:dyDescent="0.25">
      <c r="A522" s="11"/>
      <c r="B522" s="11"/>
      <c r="C522" s="11"/>
      <c r="D522" s="11"/>
      <c r="E522" s="11"/>
      <c r="F522" s="11"/>
      <c r="G522" s="11"/>
      <c r="H522" s="8"/>
      <c r="I522" s="8"/>
    </row>
    <row r="523" spans="1:9" x14ac:dyDescent="0.25">
      <c r="A523" s="11"/>
      <c r="B523" s="11"/>
      <c r="C523" s="11"/>
      <c r="D523" s="11"/>
      <c r="E523" s="11"/>
      <c r="F523" s="11"/>
      <c r="G523" s="11"/>
      <c r="H523" s="8"/>
      <c r="I523" s="8"/>
    </row>
    <row r="524" spans="1:9" x14ac:dyDescent="0.25">
      <c r="A524" s="11"/>
      <c r="B524" s="11"/>
      <c r="C524" s="11"/>
      <c r="D524" s="11"/>
      <c r="E524" s="11"/>
      <c r="F524" s="11"/>
      <c r="G524" s="11"/>
      <c r="H524" s="8"/>
      <c r="I524" s="8"/>
    </row>
    <row r="525" spans="1:9" x14ac:dyDescent="0.25">
      <c r="A525" s="11"/>
      <c r="B525" s="11"/>
      <c r="C525" s="11"/>
      <c r="D525" s="11"/>
      <c r="E525" s="11"/>
      <c r="F525" s="11"/>
      <c r="G525" s="11"/>
      <c r="H525" s="8"/>
      <c r="I525" s="8"/>
    </row>
    <row r="526" spans="1:9" x14ac:dyDescent="0.25">
      <c r="A526" s="11"/>
      <c r="B526" s="11"/>
      <c r="C526" s="11"/>
      <c r="D526" s="11"/>
      <c r="E526" s="11"/>
      <c r="F526" s="11"/>
      <c r="G526" s="11"/>
      <c r="H526" s="8"/>
      <c r="I526" s="8"/>
    </row>
    <row r="527" spans="1:9" x14ac:dyDescent="0.25">
      <c r="A527" s="11"/>
      <c r="B527" s="11"/>
      <c r="C527" s="11"/>
      <c r="D527" s="11"/>
      <c r="E527" s="11"/>
      <c r="F527" s="11"/>
      <c r="G527" s="11"/>
      <c r="H527" s="8"/>
      <c r="I527" s="8"/>
    </row>
    <row r="528" spans="1:9" x14ac:dyDescent="0.25">
      <c r="A528" s="11"/>
      <c r="B528" s="11"/>
      <c r="C528" s="11"/>
      <c r="D528" s="11"/>
      <c r="E528" s="11"/>
      <c r="F528" s="11"/>
      <c r="G528" s="11"/>
      <c r="H528" s="8"/>
      <c r="I528" s="8"/>
    </row>
    <row r="529" spans="1:9" x14ac:dyDescent="0.25">
      <c r="A529" s="11"/>
      <c r="B529" s="11"/>
      <c r="C529" s="11"/>
      <c r="D529" s="11"/>
      <c r="E529" s="11"/>
      <c r="F529" s="11"/>
      <c r="G529" s="11"/>
      <c r="H529" s="8"/>
      <c r="I529" s="8"/>
    </row>
    <row r="530" spans="1:9" x14ac:dyDescent="0.25">
      <c r="A530" s="11"/>
      <c r="B530" s="11"/>
      <c r="C530" s="11"/>
      <c r="D530" s="11"/>
      <c r="E530" s="11"/>
      <c r="F530" s="11"/>
      <c r="G530" s="11"/>
      <c r="H530" s="8"/>
      <c r="I530" s="8"/>
    </row>
    <row r="531" spans="1:9" x14ac:dyDescent="0.25">
      <c r="A531" s="11"/>
      <c r="B531" s="11"/>
      <c r="C531" s="11"/>
      <c r="D531" s="11"/>
      <c r="E531" s="11"/>
      <c r="F531" s="11"/>
      <c r="G531" s="11"/>
      <c r="H531" s="8"/>
      <c r="I531" s="8"/>
    </row>
    <row r="532" spans="1:9" x14ac:dyDescent="0.25">
      <c r="A532" s="11"/>
      <c r="B532" s="11"/>
      <c r="C532" s="11"/>
      <c r="D532" s="11"/>
      <c r="E532" s="11"/>
      <c r="F532" s="11"/>
      <c r="G532" s="11"/>
      <c r="H532" s="8"/>
      <c r="I532" s="8"/>
    </row>
    <row r="533" spans="1:9" x14ac:dyDescent="0.25">
      <c r="A533" s="11"/>
      <c r="B533" s="11"/>
      <c r="C533" s="11"/>
      <c r="D533" s="11"/>
      <c r="E533" s="11"/>
      <c r="F533" s="11"/>
      <c r="G533" s="11"/>
      <c r="H533" s="8"/>
      <c r="I533" s="8"/>
    </row>
    <row r="534" spans="1:9" x14ac:dyDescent="0.25">
      <c r="A534" s="11"/>
      <c r="B534" s="11"/>
      <c r="C534" s="11"/>
      <c r="D534" s="11"/>
      <c r="E534" s="11"/>
      <c r="F534" s="11"/>
      <c r="G534" s="11"/>
      <c r="H534" s="8"/>
      <c r="I534" s="8"/>
    </row>
    <row r="535" spans="1:9" x14ac:dyDescent="0.25">
      <c r="A535" s="11"/>
      <c r="B535" s="11"/>
      <c r="C535" s="11"/>
      <c r="D535" s="11"/>
      <c r="E535" s="11"/>
      <c r="F535" s="11"/>
      <c r="G535" s="11"/>
      <c r="H535" s="8"/>
      <c r="I535" s="8"/>
    </row>
    <row r="536" spans="1:9" x14ac:dyDescent="0.25">
      <c r="A536" s="11"/>
      <c r="B536" s="11"/>
      <c r="C536" s="11"/>
      <c r="D536" s="11"/>
      <c r="E536" s="11"/>
      <c r="F536" s="11"/>
      <c r="G536" s="11"/>
      <c r="H536" s="8"/>
      <c r="I536" s="8"/>
    </row>
    <row r="537" spans="1:9" x14ac:dyDescent="0.25">
      <c r="A537" s="11"/>
      <c r="B537" s="11"/>
      <c r="C537" s="11"/>
      <c r="D537" s="11"/>
      <c r="E537" s="11"/>
      <c r="F537" s="11"/>
      <c r="G537" s="11"/>
      <c r="H537" s="8"/>
      <c r="I537" s="8"/>
    </row>
    <row r="538" spans="1:9" x14ac:dyDescent="0.25">
      <c r="A538" s="11"/>
      <c r="B538" s="11"/>
      <c r="C538" s="11"/>
      <c r="D538" s="11"/>
      <c r="E538" s="11"/>
      <c r="F538" s="11"/>
      <c r="G538" s="11"/>
      <c r="H538" s="8"/>
      <c r="I538" s="8"/>
    </row>
    <row r="539" spans="1:9" x14ac:dyDescent="0.25">
      <c r="A539" s="11"/>
      <c r="B539" s="11"/>
      <c r="C539" s="11"/>
      <c r="D539" s="11"/>
      <c r="E539" s="11"/>
      <c r="F539" s="11"/>
      <c r="G539" s="11"/>
      <c r="H539" s="8"/>
      <c r="I539" s="8"/>
    </row>
    <row r="540" spans="1:9" x14ac:dyDescent="0.25">
      <c r="A540" s="11"/>
      <c r="B540" s="11"/>
      <c r="C540" s="11"/>
      <c r="D540" s="11"/>
      <c r="E540" s="11"/>
      <c r="F540" s="11"/>
      <c r="G540" s="11"/>
      <c r="H540" s="8"/>
      <c r="I540" s="8"/>
    </row>
    <row r="541" spans="1:9" x14ac:dyDescent="0.25">
      <c r="A541" s="11"/>
      <c r="B541" s="11"/>
      <c r="C541" s="11"/>
      <c r="D541" s="11"/>
      <c r="E541" s="11"/>
      <c r="F541" s="11"/>
      <c r="G541" s="11"/>
      <c r="H541" s="8"/>
      <c r="I541" s="8"/>
    </row>
    <row r="542" spans="1:9" x14ac:dyDescent="0.25">
      <c r="A542" s="11"/>
      <c r="B542" s="11"/>
      <c r="C542" s="11"/>
      <c r="D542" s="11"/>
      <c r="E542" s="11"/>
      <c r="F542" s="11"/>
      <c r="G542" s="11"/>
      <c r="H542" s="8"/>
      <c r="I542" s="8"/>
    </row>
    <row r="543" spans="1:9" x14ac:dyDescent="0.25">
      <c r="A543" s="11"/>
      <c r="B543" s="11"/>
      <c r="C543" s="11"/>
      <c r="D543" s="11"/>
      <c r="E543" s="11"/>
      <c r="F543" s="11"/>
      <c r="G543" s="11"/>
      <c r="H543" s="8"/>
      <c r="I543" s="8"/>
    </row>
    <row r="544" spans="1:9" x14ac:dyDescent="0.25">
      <c r="A544" s="11"/>
      <c r="B544" s="11"/>
      <c r="C544" s="11"/>
      <c r="D544" s="11"/>
      <c r="E544" s="11"/>
      <c r="F544" s="11"/>
      <c r="G544" s="11"/>
      <c r="H544" s="8"/>
      <c r="I544" s="8"/>
    </row>
    <row r="545" spans="1:9" x14ac:dyDescent="0.25">
      <c r="A545" s="11"/>
      <c r="B545" s="11"/>
      <c r="C545" s="11"/>
      <c r="D545" s="11"/>
      <c r="E545" s="11"/>
      <c r="F545" s="11"/>
      <c r="G545" s="11"/>
      <c r="H545" s="8"/>
      <c r="I545" s="8"/>
    </row>
    <row r="546" spans="1:9" x14ac:dyDescent="0.25">
      <c r="A546" s="11"/>
      <c r="B546" s="11"/>
      <c r="C546" s="11"/>
      <c r="D546" s="11"/>
      <c r="E546" s="11"/>
      <c r="F546" s="11"/>
      <c r="G546" s="11"/>
      <c r="H546" s="8"/>
      <c r="I546" s="8"/>
    </row>
    <row r="547" spans="1:9" x14ac:dyDescent="0.25">
      <c r="A547" s="11"/>
      <c r="B547" s="11"/>
      <c r="C547" s="11"/>
      <c r="D547" s="11"/>
      <c r="E547" s="11"/>
      <c r="F547" s="11"/>
      <c r="G547" s="11"/>
      <c r="H547" s="8"/>
      <c r="I547" s="8"/>
    </row>
    <row r="548" spans="1:9" x14ac:dyDescent="0.25">
      <c r="A548" s="11"/>
      <c r="B548" s="11"/>
      <c r="C548" s="11"/>
      <c r="D548" s="11"/>
      <c r="E548" s="11"/>
      <c r="F548" s="11"/>
      <c r="G548" s="11"/>
      <c r="H548" s="8"/>
      <c r="I548" s="8"/>
    </row>
    <row r="549" spans="1:9" x14ac:dyDescent="0.25">
      <c r="A549" s="11"/>
      <c r="B549" s="11"/>
      <c r="C549" s="11"/>
      <c r="D549" s="11"/>
      <c r="E549" s="11"/>
      <c r="F549" s="11"/>
      <c r="G549" s="11"/>
      <c r="H549" s="8"/>
      <c r="I549" s="8"/>
    </row>
    <row r="550" spans="1:9" x14ac:dyDescent="0.25">
      <c r="A550" s="11"/>
      <c r="B550" s="11"/>
      <c r="C550" s="11"/>
      <c r="D550" s="11"/>
      <c r="E550" s="11"/>
      <c r="F550" s="11"/>
      <c r="G550" s="11"/>
      <c r="H550" s="8"/>
      <c r="I550" s="8"/>
    </row>
    <row r="551" spans="1:9" x14ac:dyDescent="0.25">
      <c r="A551" s="11"/>
      <c r="B551" s="11"/>
      <c r="C551" s="11"/>
      <c r="D551" s="11"/>
      <c r="E551" s="11"/>
      <c r="F551" s="11"/>
      <c r="G551" s="11"/>
      <c r="H551" s="8"/>
      <c r="I551" s="8"/>
    </row>
    <row r="552" spans="1:9" x14ac:dyDescent="0.25">
      <c r="A552" s="11"/>
      <c r="B552" s="11"/>
      <c r="C552" s="11"/>
      <c r="D552" s="11"/>
      <c r="E552" s="11"/>
      <c r="F552" s="11"/>
      <c r="G552" s="11"/>
      <c r="H552" s="8"/>
      <c r="I552" s="8"/>
    </row>
    <row r="553" spans="1:9" x14ac:dyDescent="0.25">
      <c r="A553" s="11"/>
      <c r="B553" s="11"/>
      <c r="C553" s="11"/>
      <c r="D553" s="11"/>
      <c r="E553" s="11"/>
      <c r="F553" s="11"/>
      <c r="G553" s="11"/>
      <c r="H553" s="8"/>
      <c r="I553" s="8"/>
    </row>
    <row r="554" spans="1:9" x14ac:dyDescent="0.25">
      <c r="A554" s="11"/>
      <c r="B554" s="11"/>
      <c r="C554" s="11"/>
      <c r="D554" s="11"/>
      <c r="E554" s="11"/>
      <c r="F554" s="11"/>
      <c r="G554" s="11"/>
      <c r="H554" s="8"/>
      <c r="I554" s="8"/>
    </row>
    <row r="555" spans="1:9" x14ac:dyDescent="0.25">
      <c r="A555" s="11"/>
      <c r="B555" s="11"/>
      <c r="C555" s="11"/>
      <c r="D555" s="11"/>
      <c r="E555" s="11"/>
      <c r="F555" s="11"/>
      <c r="G555" s="11"/>
      <c r="H555" s="8"/>
      <c r="I555" s="8"/>
    </row>
    <row r="556" spans="1:9" x14ac:dyDescent="0.25">
      <c r="A556" s="11"/>
      <c r="B556" s="11"/>
      <c r="C556" s="11"/>
      <c r="D556" s="11"/>
      <c r="E556" s="11"/>
      <c r="F556" s="11"/>
      <c r="G556" s="11"/>
      <c r="H556" s="8"/>
      <c r="I556" s="8"/>
    </row>
    <row r="557" spans="1:9" x14ac:dyDescent="0.25">
      <c r="A557" s="11"/>
      <c r="B557" s="11"/>
      <c r="C557" s="11"/>
      <c r="D557" s="11"/>
      <c r="E557" s="11"/>
      <c r="F557" s="11"/>
      <c r="G557" s="11"/>
      <c r="H557" s="8"/>
      <c r="I557" s="8"/>
    </row>
    <row r="558" spans="1:9" x14ac:dyDescent="0.25">
      <c r="A558" s="11"/>
      <c r="B558" s="11"/>
      <c r="C558" s="11"/>
      <c r="D558" s="11"/>
      <c r="E558" s="11"/>
      <c r="F558" s="11"/>
      <c r="G558" s="11"/>
      <c r="H558" s="8"/>
      <c r="I558" s="8"/>
    </row>
    <row r="559" spans="1:9" x14ac:dyDescent="0.25">
      <c r="A559" s="11"/>
      <c r="B559" s="11"/>
      <c r="C559" s="11"/>
      <c r="D559" s="11"/>
      <c r="E559" s="11"/>
      <c r="F559" s="11"/>
      <c r="G559" s="11"/>
      <c r="H559" s="8"/>
      <c r="I559" s="8"/>
    </row>
    <row r="560" spans="1:9" x14ac:dyDescent="0.25">
      <c r="A560" s="11"/>
      <c r="B560" s="11"/>
      <c r="C560" s="11"/>
      <c r="D560" s="11"/>
      <c r="E560" s="11"/>
      <c r="F560" s="11"/>
      <c r="G560" s="11"/>
      <c r="H560" s="8"/>
      <c r="I560" s="8"/>
    </row>
    <row r="561" spans="1:9" x14ac:dyDescent="0.25">
      <c r="A561" s="11"/>
      <c r="B561" s="11"/>
      <c r="C561" s="11"/>
      <c r="D561" s="11"/>
      <c r="E561" s="11"/>
      <c r="F561" s="11"/>
      <c r="G561" s="11"/>
      <c r="H561" s="8"/>
      <c r="I561" s="8"/>
    </row>
    <row r="562" spans="1:9" x14ac:dyDescent="0.25">
      <c r="A562" s="11"/>
      <c r="B562" s="11"/>
      <c r="C562" s="11"/>
      <c r="D562" s="11"/>
      <c r="E562" s="11"/>
      <c r="F562" s="11"/>
      <c r="G562" s="11"/>
      <c r="H562" s="8"/>
      <c r="I562" s="8"/>
    </row>
    <row r="563" spans="1:9" x14ac:dyDescent="0.25">
      <c r="A563" s="11"/>
      <c r="B563" s="11"/>
      <c r="C563" s="11"/>
      <c r="D563" s="11"/>
      <c r="E563" s="11"/>
      <c r="F563" s="11"/>
      <c r="G563" s="11"/>
      <c r="H563" s="8"/>
      <c r="I563" s="8"/>
    </row>
    <row r="564" spans="1:9" x14ac:dyDescent="0.25">
      <c r="A564" s="11"/>
      <c r="B564" s="11"/>
      <c r="C564" s="11"/>
      <c r="D564" s="11"/>
      <c r="E564" s="11"/>
      <c r="F564" s="11"/>
      <c r="G564" s="11"/>
      <c r="H564" s="8"/>
      <c r="I564" s="8"/>
    </row>
    <row r="565" spans="1:9" x14ac:dyDescent="0.25">
      <c r="A565" s="11"/>
      <c r="B565" s="11"/>
      <c r="C565" s="11"/>
      <c r="D565" s="11"/>
      <c r="E565" s="11"/>
      <c r="F565" s="11"/>
      <c r="G565" s="11"/>
      <c r="H565" s="8"/>
      <c r="I565" s="8"/>
    </row>
    <row r="566" spans="1:9" x14ac:dyDescent="0.25">
      <c r="A566" s="11"/>
      <c r="B566" s="11"/>
      <c r="C566" s="11"/>
      <c r="D566" s="11"/>
      <c r="E566" s="11"/>
      <c r="F566" s="11"/>
      <c r="G566" s="11"/>
      <c r="H566" s="8"/>
      <c r="I566" s="8"/>
    </row>
    <row r="567" spans="1:9" x14ac:dyDescent="0.25">
      <c r="A567" s="11"/>
      <c r="B567" s="11"/>
      <c r="C567" s="11"/>
      <c r="D567" s="11"/>
      <c r="E567" s="11"/>
      <c r="F567" s="11"/>
      <c r="G567" s="11"/>
      <c r="H567" s="8"/>
      <c r="I567" s="8"/>
    </row>
    <row r="568" spans="1:9" x14ac:dyDescent="0.25">
      <c r="A568" s="11"/>
      <c r="B568" s="11"/>
      <c r="C568" s="11"/>
      <c r="D568" s="11"/>
      <c r="E568" s="11"/>
      <c r="F568" s="11"/>
      <c r="G568" s="11"/>
      <c r="H568" s="8"/>
      <c r="I568" s="8"/>
    </row>
    <row r="569" spans="1:9" x14ac:dyDescent="0.25">
      <c r="A569" s="11"/>
      <c r="B569" s="11"/>
      <c r="C569" s="11"/>
      <c r="D569" s="11"/>
      <c r="E569" s="11"/>
      <c r="F569" s="11"/>
      <c r="G569" s="11"/>
      <c r="H569" s="8"/>
      <c r="I569" s="8"/>
    </row>
    <row r="570" spans="1:9" x14ac:dyDescent="0.25">
      <c r="A570" s="11"/>
      <c r="B570" s="11"/>
      <c r="C570" s="11"/>
      <c r="D570" s="11"/>
      <c r="E570" s="11"/>
      <c r="F570" s="11"/>
      <c r="G570" s="11"/>
      <c r="H570" s="8"/>
      <c r="I570" s="8"/>
    </row>
    <row r="571" spans="1:9" x14ac:dyDescent="0.25">
      <c r="A571" s="11"/>
      <c r="B571" s="11"/>
      <c r="C571" s="11"/>
      <c r="D571" s="11"/>
      <c r="E571" s="11"/>
      <c r="F571" s="11"/>
      <c r="G571" s="11"/>
      <c r="H571" s="8"/>
      <c r="I571" s="8"/>
    </row>
    <row r="572" spans="1:9" x14ac:dyDescent="0.25">
      <c r="A572" s="11"/>
      <c r="B572" s="11"/>
      <c r="C572" s="11"/>
      <c r="D572" s="11"/>
      <c r="E572" s="11"/>
      <c r="F572" s="11"/>
      <c r="G572" s="11"/>
      <c r="H572" s="8"/>
      <c r="I572" s="8"/>
    </row>
    <row r="573" spans="1:9" x14ac:dyDescent="0.25">
      <c r="A573" s="11"/>
      <c r="B573" s="11"/>
      <c r="C573" s="11"/>
      <c r="D573" s="11"/>
      <c r="E573" s="11"/>
      <c r="F573" s="11"/>
      <c r="G573" s="11"/>
      <c r="H573" s="8"/>
      <c r="I573" s="8"/>
    </row>
    <row r="574" spans="1:9" x14ac:dyDescent="0.25">
      <c r="A574" s="11"/>
      <c r="B574" s="11"/>
      <c r="C574" s="11"/>
      <c r="D574" s="11"/>
      <c r="E574" s="11"/>
      <c r="F574" s="11"/>
      <c r="G574" s="11"/>
      <c r="H574" s="8"/>
      <c r="I574" s="8"/>
    </row>
    <row r="575" spans="1:9" x14ac:dyDescent="0.25">
      <c r="A575" s="11"/>
      <c r="B575" s="11"/>
      <c r="C575" s="11"/>
      <c r="D575" s="11"/>
      <c r="E575" s="11"/>
      <c r="F575" s="11"/>
      <c r="G575" s="11"/>
      <c r="H575" s="8"/>
      <c r="I575" s="8"/>
    </row>
    <row r="576" spans="1:9" x14ac:dyDescent="0.25">
      <c r="A576" s="11"/>
      <c r="B576" s="11"/>
      <c r="C576" s="11"/>
      <c r="D576" s="11"/>
      <c r="E576" s="11"/>
      <c r="F576" s="11"/>
      <c r="G576" s="11"/>
      <c r="H576" s="8"/>
      <c r="I576" s="8"/>
    </row>
    <row r="577" spans="1:9" x14ac:dyDescent="0.25">
      <c r="A577" s="11"/>
      <c r="B577" s="11"/>
      <c r="C577" s="11"/>
      <c r="D577" s="11"/>
      <c r="E577" s="11"/>
      <c r="F577" s="11"/>
      <c r="G577" s="11"/>
      <c r="H577" s="8"/>
      <c r="I577" s="8"/>
    </row>
    <row r="578" spans="1:9" x14ac:dyDescent="0.25">
      <c r="A578" s="11"/>
      <c r="B578" s="11"/>
      <c r="C578" s="11"/>
      <c r="D578" s="11"/>
      <c r="E578" s="11"/>
      <c r="F578" s="11"/>
      <c r="G578" s="11"/>
      <c r="H578" s="8"/>
      <c r="I578" s="8"/>
    </row>
    <row r="579" spans="1:9" x14ac:dyDescent="0.25">
      <c r="A579" s="11"/>
      <c r="B579" s="11"/>
      <c r="C579" s="11"/>
      <c r="D579" s="11"/>
      <c r="E579" s="11"/>
      <c r="F579" s="11"/>
      <c r="G579" s="11"/>
      <c r="H579" s="8"/>
      <c r="I579" s="8"/>
    </row>
    <row r="580" spans="1:9" x14ac:dyDescent="0.25">
      <c r="A580" s="11"/>
      <c r="B580" s="11"/>
      <c r="C580" s="11"/>
      <c r="D580" s="11"/>
      <c r="E580" s="11"/>
      <c r="F580" s="11"/>
      <c r="G580" s="11"/>
      <c r="H580" s="8"/>
      <c r="I580" s="8"/>
    </row>
    <row r="581" spans="1:9" x14ac:dyDescent="0.25">
      <c r="A581" s="11"/>
      <c r="B581" s="11"/>
      <c r="C581" s="11"/>
      <c r="D581" s="11"/>
      <c r="E581" s="11"/>
      <c r="F581" s="11"/>
      <c r="G581" s="11"/>
      <c r="H581" s="8"/>
      <c r="I581" s="8"/>
    </row>
    <row r="582" spans="1:9" x14ac:dyDescent="0.25">
      <c r="A582" s="11"/>
      <c r="B582" s="11"/>
      <c r="C582" s="11"/>
      <c r="D582" s="11"/>
      <c r="E582" s="11"/>
      <c r="F582" s="11"/>
      <c r="G582" s="11"/>
      <c r="H582" s="8"/>
      <c r="I582" s="8"/>
    </row>
    <row r="583" spans="1:9" x14ac:dyDescent="0.25">
      <c r="A583" s="11"/>
      <c r="B583" s="11"/>
      <c r="C583" s="11"/>
      <c r="D583" s="11"/>
      <c r="E583" s="11"/>
      <c r="F583" s="11"/>
      <c r="G583" s="11"/>
      <c r="H583" s="8"/>
      <c r="I583" s="8"/>
    </row>
    <row r="584" spans="1:9" x14ac:dyDescent="0.25">
      <c r="A584" s="11"/>
      <c r="B584" s="11"/>
      <c r="C584" s="11"/>
      <c r="D584" s="11"/>
      <c r="E584" s="11"/>
      <c r="F584" s="11"/>
      <c r="G584" s="11"/>
      <c r="H584" s="8"/>
      <c r="I584" s="8"/>
    </row>
    <row r="585" spans="1:9" x14ac:dyDescent="0.25">
      <c r="A585" s="11"/>
      <c r="B585" s="11"/>
      <c r="C585" s="11"/>
      <c r="D585" s="11"/>
      <c r="E585" s="11"/>
      <c r="F585" s="11"/>
      <c r="G585" s="11"/>
      <c r="H585" s="8"/>
      <c r="I585" s="8"/>
    </row>
    <row r="586" spans="1:9" x14ac:dyDescent="0.25">
      <c r="A586" s="11"/>
      <c r="B586" s="11"/>
      <c r="C586" s="11"/>
      <c r="D586" s="11"/>
      <c r="E586" s="11"/>
      <c r="F586" s="11"/>
      <c r="G586" s="11"/>
      <c r="H586" s="8"/>
      <c r="I586" s="8"/>
    </row>
    <row r="587" spans="1:9" x14ac:dyDescent="0.25">
      <c r="A587" s="11"/>
      <c r="B587" s="11"/>
      <c r="C587" s="11"/>
      <c r="D587" s="11"/>
      <c r="E587" s="11"/>
      <c r="F587" s="11"/>
      <c r="G587" s="11"/>
      <c r="H587" s="8"/>
      <c r="I587" s="8"/>
    </row>
    <row r="588" spans="1:9" x14ac:dyDescent="0.25">
      <c r="A588" s="11"/>
      <c r="B588" s="11"/>
      <c r="C588" s="11"/>
      <c r="D588" s="11"/>
      <c r="E588" s="11"/>
      <c r="F588" s="11"/>
      <c r="G588" s="11"/>
      <c r="H588" s="8"/>
      <c r="I588" s="8"/>
    </row>
    <row r="589" spans="1:9" x14ac:dyDescent="0.25">
      <c r="A589" s="11"/>
      <c r="B589" s="11"/>
      <c r="C589" s="11"/>
      <c r="D589" s="11"/>
      <c r="E589" s="11"/>
      <c r="F589" s="11"/>
      <c r="G589" s="11"/>
      <c r="H589" s="8"/>
      <c r="I589" s="8"/>
    </row>
    <row r="590" spans="1:9" x14ac:dyDescent="0.25">
      <c r="A590" s="11"/>
      <c r="B590" s="11"/>
      <c r="C590" s="11"/>
      <c r="D590" s="11"/>
      <c r="E590" s="11"/>
      <c r="F590" s="11"/>
      <c r="G590" s="11"/>
      <c r="H590" s="8"/>
      <c r="I590" s="8"/>
    </row>
    <row r="591" spans="1:9" x14ac:dyDescent="0.25">
      <c r="A591" s="11"/>
      <c r="B591" s="11"/>
      <c r="C591" s="11"/>
      <c r="D591" s="11"/>
      <c r="E591" s="11"/>
      <c r="F591" s="11"/>
      <c r="G591" s="11"/>
      <c r="H591" s="8"/>
      <c r="I591" s="8"/>
    </row>
    <row r="592" spans="1:9" x14ac:dyDescent="0.25">
      <c r="A592" s="11"/>
      <c r="B592" s="11"/>
      <c r="C592" s="11"/>
      <c r="D592" s="11"/>
      <c r="E592" s="11"/>
      <c r="F592" s="11"/>
      <c r="G592" s="11"/>
      <c r="H592" s="8"/>
      <c r="I592" s="8"/>
    </row>
    <row r="593" spans="1:9" x14ac:dyDescent="0.25">
      <c r="A593" s="11"/>
      <c r="B593" s="11"/>
      <c r="C593" s="11"/>
      <c r="D593" s="11"/>
      <c r="E593" s="11"/>
      <c r="F593" s="11"/>
      <c r="G593" s="11"/>
      <c r="H593" s="8"/>
      <c r="I593" s="8"/>
    </row>
    <row r="594" spans="1:9" x14ac:dyDescent="0.25">
      <c r="A594" s="11"/>
      <c r="B594" s="11"/>
      <c r="C594" s="11"/>
      <c r="D594" s="11"/>
      <c r="E594" s="11"/>
      <c r="F594" s="11"/>
      <c r="G594" s="11"/>
      <c r="H594" s="8"/>
      <c r="I594" s="8"/>
    </row>
    <row r="595" spans="1:9" x14ac:dyDescent="0.25">
      <c r="A595" s="11"/>
      <c r="B595" s="11"/>
      <c r="C595" s="11"/>
      <c r="D595" s="11"/>
      <c r="E595" s="11"/>
      <c r="F595" s="11"/>
      <c r="G595" s="11"/>
      <c r="H595" s="8"/>
      <c r="I595" s="8"/>
    </row>
    <row r="596" spans="1:9" x14ac:dyDescent="0.25">
      <c r="A596" s="11"/>
      <c r="B596" s="11"/>
      <c r="C596" s="11"/>
      <c r="D596" s="11"/>
      <c r="E596" s="11"/>
      <c r="F596" s="11"/>
      <c r="G596" s="11"/>
      <c r="H596" s="8"/>
      <c r="I596" s="8"/>
    </row>
    <row r="597" spans="1:9" x14ac:dyDescent="0.25">
      <c r="A597" s="11"/>
      <c r="B597" s="11"/>
      <c r="C597" s="11"/>
      <c r="D597" s="11"/>
      <c r="E597" s="11"/>
      <c r="F597" s="11"/>
      <c r="G597" s="11"/>
      <c r="H597" s="8"/>
      <c r="I597" s="8"/>
    </row>
    <row r="598" spans="1:9" x14ac:dyDescent="0.25">
      <c r="A598" s="11"/>
      <c r="B598" s="11"/>
      <c r="C598" s="11"/>
      <c r="D598" s="11"/>
      <c r="E598" s="11"/>
      <c r="F598" s="11"/>
      <c r="G598" s="11"/>
      <c r="H598" s="8"/>
      <c r="I598" s="8"/>
    </row>
    <row r="599" spans="1:9" x14ac:dyDescent="0.25">
      <c r="A599" s="11"/>
      <c r="B599" s="11"/>
      <c r="C599" s="11"/>
      <c r="D599" s="11"/>
      <c r="E599" s="11"/>
      <c r="F599" s="11"/>
      <c r="G599" s="11"/>
      <c r="H599" s="8"/>
      <c r="I599" s="8"/>
    </row>
    <row r="600" spans="1:9" x14ac:dyDescent="0.25">
      <c r="A600" s="11"/>
      <c r="B600" s="11"/>
      <c r="C600" s="11"/>
      <c r="D600" s="11"/>
      <c r="E600" s="11"/>
      <c r="F600" s="11"/>
      <c r="G600" s="11"/>
      <c r="H600" s="8"/>
      <c r="I600" s="8"/>
    </row>
    <row r="601" spans="1:9" x14ac:dyDescent="0.25">
      <c r="A601" s="11"/>
      <c r="B601" s="11"/>
      <c r="C601" s="11"/>
      <c r="D601" s="11"/>
      <c r="E601" s="11"/>
      <c r="F601" s="11"/>
      <c r="G601" s="11"/>
      <c r="H601" s="8"/>
      <c r="I601" s="8"/>
    </row>
    <row r="602" spans="1:9" x14ac:dyDescent="0.25">
      <c r="A602" s="11"/>
      <c r="B602" s="11"/>
      <c r="C602" s="11"/>
      <c r="D602" s="11"/>
      <c r="E602" s="11"/>
      <c r="F602" s="11"/>
      <c r="G602" s="11"/>
      <c r="H602" s="8"/>
      <c r="I602" s="8"/>
    </row>
    <row r="603" spans="1:9" x14ac:dyDescent="0.25">
      <c r="A603" s="11"/>
      <c r="B603" s="11"/>
      <c r="C603" s="11"/>
      <c r="D603" s="11"/>
      <c r="E603" s="11"/>
      <c r="F603" s="11"/>
      <c r="G603" s="11"/>
      <c r="H603" s="8"/>
      <c r="I603" s="8"/>
    </row>
    <row r="604" spans="1:9" x14ac:dyDescent="0.25">
      <c r="A604" s="11"/>
      <c r="B604" s="11"/>
      <c r="C604" s="11"/>
      <c r="D604" s="11"/>
      <c r="E604" s="11"/>
      <c r="F604" s="11"/>
      <c r="G604" s="11"/>
      <c r="H604" s="8"/>
      <c r="I604" s="8"/>
    </row>
    <row r="605" spans="1:9" x14ac:dyDescent="0.25">
      <c r="A605" s="11"/>
      <c r="B605" s="11"/>
      <c r="C605" s="11"/>
      <c r="D605" s="11"/>
      <c r="E605" s="11"/>
      <c r="F605" s="11"/>
      <c r="G605" s="11"/>
      <c r="H605" s="8"/>
      <c r="I605" s="8"/>
    </row>
    <row r="606" spans="1:9" x14ac:dyDescent="0.25">
      <c r="A606" s="11"/>
      <c r="B606" s="11"/>
      <c r="C606" s="11"/>
      <c r="D606" s="11"/>
      <c r="E606" s="11"/>
      <c r="F606" s="11"/>
      <c r="G606" s="11"/>
      <c r="H606" s="8"/>
      <c r="I606" s="8"/>
    </row>
    <row r="607" spans="1:9" x14ac:dyDescent="0.25">
      <c r="A607" s="11"/>
      <c r="B607" s="11"/>
      <c r="C607" s="11"/>
      <c r="D607" s="11"/>
      <c r="E607" s="11"/>
      <c r="F607" s="11"/>
      <c r="G607" s="11"/>
      <c r="H607" s="8"/>
      <c r="I607" s="8"/>
    </row>
    <row r="608" spans="1:9" x14ac:dyDescent="0.25">
      <c r="A608" s="11"/>
      <c r="B608" s="11"/>
      <c r="C608" s="11"/>
      <c r="D608" s="11"/>
      <c r="E608" s="11"/>
      <c r="F608" s="11"/>
      <c r="G608" s="11"/>
      <c r="H608" s="8"/>
      <c r="I608" s="8"/>
    </row>
    <row r="609" spans="1:9" x14ac:dyDescent="0.25">
      <c r="A609" s="11"/>
      <c r="B609" s="11"/>
      <c r="C609" s="11"/>
      <c r="D609" s="11"/>
      <c r="E609" s="11"/>
      <c r="F609" s="11"/>
      <c r="G609" s="11"/>
      <c r="H609" s="8"/>
      <c r="I609" s="8"/>
    </row>
    <row r="610" spans="1:9" x14ac:dyDescent="0.25">
      <c r="A610" s="11"/>
      <c r="B610" s="11"/>
      <c r="C610" s="11"/>
      <c r="D610" s="11"/>
      <c r="E610" s="11"/>
      <c r="F610" s="11"/>
      <c r="G610" s="11"/>
      <c r="H610" s="8"/>
      <c r="I610" s="8"/>
    </row>
    <row r="611" spans="1:9" x14ac:dyDescent="0.25">
      <c r="A611" s="11"/>
      <c r="B611" s="11"/>
      <c r="C611" s="11"/>
      <c r="D611" s="11"/>
      <c r="E611" s="11"/>
      <c r="F611" s="11"/>
      <c r="G611" s="11"/>
      <c r="H611" s="8"/>
      <c r="I611" s="8"/>
    </row>
    <row r="612" spans="1:9" x14ac:dyDescent="0.25">
      <c r="A612" s="11"/>
      <c r="B612" s="11"/>
      <c r="C612" s="11"/>
      <c r="D612" s="11"/>
      <c r="E612" s="11"/>
      <c r="F612" s="11"/>
      <c r="G612" s="11"/>
      <c r="H612" s="8"/>
      <c r="I612" s="8"/>
    </row>
    <row r="613" spans="1:9" x14ac:dyDescent="0.25">
      <c r="A613" s="11"/>
      <c r="B613" s="11"/>
      <c r="C613" s="11"/>
      <c r="D613" s="11"/>
      <c r="E613" s="11"/>
      <c r="F613" s="11"/>
      <c r="G613" s="11"/>
      <c r="H613" s="8"/>
      <c r="I613" s="8"/>
    </row>
    <row r="614" spans="1:9" x14ac:dyDescent="0.25">
      <c r="A614" s="11"/>
      <c r="B614" s="11"/>
      <c r="C614" s="11"/>
      <c r="D614" s="11"/>
      <c r="E614" s="11"/>
      <c r="F614" s="11"/>
      <c r="G614" s="11"/>
      <c r="H614" s="8"/>
      <c r="I614" s="8"/>
    </row>
    <row r="615" spans="1:9" x14ac:dyDescent="0.25">
      <c r="A615" s="11"/>
      <c r="B615" s="11"/>
      <c r="C615" s="11"/>
      <c r="D615" s="11"/>
      <c r="E615" s="11"/>
      <c r="F615" s="11"/>
      <c r="G615" s="11"/>
      <c r="H615" s="8"/>
      <c r="I615" s="8"/>
    </row>
    <row r="616" spans="1:9" x14ac:dyDescent="0.25">
      <c r="A616" s="11"/>
      <c r="B616" s="11"/>
      <c r="C616" s="11"/>
      <c r="D616" s="11"/>
      <c r="E616" s="11"/>
      <c r="F616" s="11"/>
      <c r="G616" s="11"/>
      <c r="H616" s="8"/>
      <c r="I616" s="8"/>
    </row>
    <row r="617" spans="1:9" x14ac:dyDescent="0.25">
      <c r="A617" s="11"/>
      <c r="B617" s="11"/>
      <c r="C617" s="11"/>
      <c r="D617" s="11"/>
      <c r="E617" s="11"/>
      <c r="F617" s="11"/>
      <c r="G617" s="11"/>
      <c r="H617" s="8"/>
      <c r="I617" s="8"/>
    </row>
    <row r="618" spans="1:9" x14ac:dyDescent="0.25">
      <c r="A618" s="11"/>
      <c r="B618" s="11"/>
      <c r="C618" s="11"/>
      <c r="D618" s="11"/>
      <c r="E618" s="11"/>
      <c r="F618" s="11"/>
      <c r="G618" s="11"/>
      <c r="H618" s="8"/>
      <c r="I618" s="8"/>
    </row>
    <row r="619" spans="1:9" x14ac:dyDescent="0.25">
      <c r="A619" s="11"/>
      <c r="B619" s="11"/>
      <c r="C619" s="11"/>
      <c r="D619" s="11"/>
      <c r="E619" s="11"/>
      <c r="F619" s="11"/>
      <c r="G619" s="11"/>
      <c r="H619" s="8"/>
      <c r="I619" s="8"/>
    </row>
    <row r="620" spans="1:9" x14ac:dyDescent="0.25">
      <c r="A620" s="11"/>
      <c r="B620" s="11"/>
      <c r="C620" s="11"/>
      <c r="D620" s="11"/>
      <c r="E620" s="11"/>
      <c r="F620" s="11"/>
      <c r="G620" s="11"/>
      <c r="H620" s="8"/>
      <c r="I620" s="8"/>
    </row>
    <row r="621" spans="1:9" x14ac:dyDescent="0.25">
      <c r="A621" s="11"/>
      <c r="B621" s="11"/>
      <c r="C621" s="11"/>
      <c r="D621" s="11"/>
      <c r="E621" s="11"/>
      <c r="F621" s="11"/>
      <c r="G621" s="11"/>
      <c r="H621" s="8"/>
      <c r="I621" s="8"/>
    </row>
    <row r="622" spans="1:9" x14ac:dyDescent="0.25">
      <c r="A622" s="11"/>
      <c r="B622" s="11"/>
      <c r="C622" s="11"/>
      <c r="D622" s="11"/>
      <c r="E622" s="11"/>
      <c r="F622" s="11"/>
      <c r="G622" s="11"/>
      <c r="H622" s="8"/>
      <c r="I622" s="8"/>
    </row>
    <row r="623" spans="1:9" x14ac:dyDescent="0.25">
      <c r="A623" s="11"/>
      <c r="B623" s="11"/>
      <c r="C623" s="11"/>
      <c r="D623" s="11"/>
      <c r="E623" s="11"/>
      <c r="F623" s="11"/>
      <c r="G623" s="11"/>
      <c r="H623" s="8"/>
      <c r="I623" s="8"/>
    </row>
    <row r="624" spans="1:9" x14ac:dyDescent="0.25">
      <c r="A624" s="11"/>
      <c r="B624" s="11"/>
      <c r="C624" s="11"/>
      <c r="D624" s="11"/>
      <c r="E624" s="11"/>
      <c r="F624" s="11"/>
      <c r="G624" s="11"/>
      <c r="H624" s="8"/>
      <c r="I624" s="8"/>
    </row>
    <row r="625" spans="1:9" x14ac:dyDescent="0.25">
      <c r="A625" s="11"/>
      <c r="B625" s="11"/>
      <c r="C625" s="11"/>
      <c r="D625" s="11"/>
      <c r="E625" s="11"/>
      <c r="F625" s="11"/>
      <c r="G625" s="11"/>
      <c r="H625" s="8"/>
      <c r="I625" s="8"/>
    </row>
    <row r="626" spans="1:9" x14ac:dyDescent="0.25">
      <c r="A626" s="11"/>
      <c r="B626" s="11"/>
      <c r="C626" s="11"/>
      <c r="D626" s="11"/>
      <c r="E626" s="11"/>
      <c r="F626" s="11"/>
      <c r="G626" s="11"/>
      <c r="H626" s="8"/>
      <c r="I626" s="8"/>
    </row>
    <row r="627" spans="1:9" x14ac:dyDescent="0.25">
      <c r="A627" s="11"/>
      <c r="B627" s="11"/>
      <c r="C627" s="11"/>
      <c r="D627" s="11"/>
      <c r="E627" s="11"/>
      <c r="F627" s="11"/>
      <c r="G627" s="11"/>
      <c r="H627" s="8"/>
      <c r="I627" s="8"/>
    </row>
    <row r="628" spans="1:9" x14ac:dyDescent="0.25">
      <c r="A628" s="11"/>
      <c r="B628" s="11"/>
      <c r="C628" s="11"/>
      <c r="D628" s="11"/>
      <c r="E628" s="11"/>
      <c r="F628" s="11"/>
      <c r="G628" s="11"/>
      <c r="H628" s="8"/>
      <c r="I628" s="8"/>
    </row>
    <row r="629" spans="1:9" x14ac:dyDescent="0.25">
      <c r="A629" s="11"/>
      <c r="B629" s="11"/>
      <c r="C629" s="11"/>
      <c r="D629" s="11"/>
      <c r="E629" s="11"/>
      <c r="F629" s="11"/>
      <c r="G629" s="11"/>
      <c r="H629" s="8"/>
      <c r="I629" s="8"/>
    </row>
    <row r="630" spans="1:9" x14ac:dyDescent="0.25">
      <c r="A630" s="11"/>
      <c r="B630" s="11"/>
      <c r="C630" s="11"/>
      <c r="D630" s="11"/>
      <c r="E630" s="11"/>
      <c r="F630" s="11"/>
      <c r="G630" s="11"/>
      <c r="H630" s="8"/>
      <c r="I630" s="8"/>
    </row>
    <row r="631" spans="1:9" x14ac:dyDescent="0.25">
      <c r="A631" s="11"/>
      <c r="B631" s="11"/>
      <c r="C631" s="11"/>
      <c r="D631" s="11"/>
      <c r="E631" s="11"/>
      <c r="F631" s="11"/>
      <c r="G631" s="11"/>
      <c r="H631" s="8"/>
      <c r="I631" s="8"/>
    </row>
    <row r="632" spans="1:9" x14ac:dyDescent="0.25">
      <c r="A632" s="11"/>
      <c r="B632" s="11"/>
      <c r="C632" s="11"/>
      <c r="D632" s="11"/>
      <c r="E632" s="11"/>
      <c r="F632" s="11"/>
      <c r="G632" s="11"/>
      <c r="H632" s="8"/>
      <c r="I632" s="8"/>
    </row>
    <row r="633" spans="1:9" x14ac:dyDescent="0.25">
      <c r="A633" s="11"/>
      <c r="B633" s="11"/>
      <c r="C633" s="11"/>
      <c r="D633" s="11"/>
      <c r="E633" s="11"/>
      <c r="F633" s="11"/>
      <c r="G633" s="11"/>
      <c r="H633" s="8"/>
      <c r="I633" s="8"/>
    </row>
    <row r="634" spans="1:9" x14ac:dyDescent="0.25">
      <c r="A634" s="11"/>
      <c r="B634" s="11"/>
      <c r="C634" s="11"/>
      <c r="D634" s="11"/>
      <c r="E634" s="11"/>
      <c r="F634" s="11"/>
      <c r="G634" s="11"/>
      <c r="H634" s="8"/>
      <c r="I634" s="8"/>
    </row>
    <row r="635" spans="1:9" x14ac:dyDescent="0.25">
      <c r="A635" s="11"/>
      <c r="B635" s="11"/>
      <c r="C635" s="11"/>
      <c r="D635" s="11"/>
      <c r="E635" s="11"/>
      <c r="F635" s="11"/>
      <c r="G635" s="11"/>
      <c r="H635" s="8"/>
      <c r="I635" s="8"/>
    </row>
    <row r="636" spans="1:9" x14ac:dyDescent="0.25">
      <c r="A636" s="11"/>
      <c r="B636" s="11"/>
      <c r="C636" s="11"/>
      <c r="D636" s="11"/>
      <c r="E636" s="11"/>
      <c r="F636" s="11"/>
      <c r="G636" s="11"/>
      <c r="H636" s="8"/>
      <c r="I636" s="8"/>
    </row>
    <row r="637" spans="1:9" x14ac:dyDescent="0.25">
      <c r="A637" s="11"/>
      <c r="B637" s="11"/>
      <c r="C637" s="11"/>
      <c r="D637" s="11"/>
      <c r="E637" s="11"/>
      <c r="F637" s="11"/>
      <c r="G637" s="11"/>
      <c r="H637" s="8"/>
      <c r="I637" s="8"/>
    </row>
    <row r="638" spans="1:9" x14ac:dyDescent="0.25">
      <c r="A638" s="11"/>
      <c r="B638" s="11"/>
      <c r="C638" s="11"/>
      <c r="D638" s="11"/>
      <c r="E638" s="11"/>
      <c r="F638" s="11"/>
      <c r="G638" s="11"/>
      <c r="H638" s="8"/>
      <c r="I638" s="8"/>
    </row>
    <row r="639" spans="1:9" x14ac:dyDescent="0.25">
      <c r="A639" s="11"/>
      <c r="B639" s="11"/>
      <c r="C639" s="11"/>
      <c r="D639" s="11"/>
      <c r="E639" s="11"/>
      <c r="F639" s="11"/>
      <c r="G639" s="11"/>
      <c r="H639" s="8"/>
      <c r="I639" s="8"/>
    </row>
    <row r="640" spans="1:9" x14ac:dyDescent="0.25">
      <c r="A640" s="11"/>
      <c r="B640" s="11"/>
      <c r="C640" s="11"/>
      <c r="D640" s="11"/>
      <c r="E640" s="11"/>
      <c r="F640" s="11"/>
      <c r="G640" s="11"/>
      <c r="H640" s="8"/>
      <c r="I640" s="8"/>
    </row>
    <row r="641" spans="1:9" x14ac:dyDescent="0.25">
      <c r="A641" s="11"/>
      <c r="B641" s="11"/>
      <c r="C641" s="11"/>
      <c r="D641" s="11"/>
      <c r="E641" s="11"/>
      <c r="F641" s="11"/>
      <c r="G641" s="11"/>
      <c r="H641" s="8"/>
      <c r="I641" s="8"/>
    </row>
    <row r="642" spans="1:9" x14ac:dyDescent="0.25">
      <c r="A642" s="11"/>
      <c r="B642" s="11"/>
      <c r="C642" s="11"/>
      <c r="D642" s="11"/>
      <c r="E642" s="11"/>
      <c r="F642" s="11"/>
      <c r="G642" s="11"/>
      <c r="H642" s="8"/>
      <c r="I642" s="8"/>
    </row>
    <row r="643" spans="1:9" x14ac:dyDescent="0.25">
      <c r="A643" s="11"/>
      <c r="B643" s="11"/>
      <c r="C643" s="11"/>
      <c r="D643" s="11"/>
      <c r="E643" s="11"/>
      <c r="F643" s="11"/>
      <c r="G643" s="11"/>
      <c r="H643" s="8"/>
      <c r="I643" s="8"/>
    </row>
    <row r="644" spans="1:9" x14ac:dyDescent="0.25">
      <c r="A644" s="11"/>
      <c r="B644" s="11"/>
      <c r="C644" s="11"/>
      <c r="D644" s="11"/>
      <c r="E644" s="11"/>
      <c r="F644" s="11"/>
      <c r="G644" s="11"/>
      <c r="H644" s="8"/>
      <c r="I644" s="8"/>
    </row>
    <row r="645" spans="1:9" x14ac:dyDescent="0.25">
      <c r="A645" s="11"/>
      <c r="B645" s="11"/>
      <c r="C645" s="11"/>
      <c r="D645" s="11"/>
      <c r="E645" s="11"/>
      <c r="F645" s="11"/>
      <c r="G645" s="11"/>
      <c r="H645" s="8"/>
      <c r="I645" s="8"/>
    </row>
    <row r="646" spans="1:9" x14ac:dyDescent="0.25">
      <c r="A646" s="11"/>
      <c r="B646" s="11"/>
      <c r="C646" s="11"/>
      <c r="D646" s="11"/>
      <c r="E646" s="11"/>
      <c r="F646" s="11"/>
      <c r="G646" s="11"/>
      <c r="H646" s="8"/>
      <c r="I646" s="8"/>
    </row>
    <row r="647" spans="1:9" x14ac:dyDescent="0.25">
      <c r="A647" s="11"/>
      <c r="B647" s="11"/>
      <c r="C647" s="11"/>
      <c r="D647" s="11"/>
      <c r="E647" s="11"/>
      <c r="F647" s="11"/>
      <c r="G647" s="11"/>
      <c r="H647" s="8"/>
      <c r="I647" s="8"/>
    </row>
    <row r="648" spans="1:9" x14ac:dyDescent="0.25">
      <c r="A648" s="11"/>
      <c r="B648" s="11"/>
      <c r="C648" s="11"/>
      <c r="D648" s="11"/>
      <c r="E648" s="11"/>
      <c r="F648" s="11"/>
      <c r="G648" s="11"/>
      <c r="H648" s="8"/>
      <c r="I648" s="8"/>
    </row>
    <row r="649" spans="1:9" x14ac:dyDescent="0.25">
      <c r="A649" s="11"/>
      <c r="B649" s="11"/>
      <c r="C649" s="11"/>
      <c r="D649" s="11"/>
      <c r="E649" s="11"/>
      <c r="F649" s="11"/>
      <c r="G649" s="11"/>
      <c r="H649" s="8"/>
      <c r="I649" s="8"/>
    </row>
    <row r="650" spans="1:9" x14ac:dyDescent="0.25">
      <c r="A650" s="11"/>
      <c r="B650" s="11"/>
      <c r="C650" s="11"/>
      <c r="D650" s="11"/>
      <c r="E650" s="11"/>
      <c r="F650" s="11"/>
      <c r="G650" s="11"/>
      <c r="H650" s="8"/>
      <c r="I650" s="8"/>
    </row>
    <row r="651" spans="1:9" x14ac:dyDescent="0.25">
      <c r="A651" s="11"/>
      <c r="B651" s="11"/>
      <c r="C651" s="11"/>
      <c r="D651" s="11"/>
      <c r="E651" s="11"/>
      <c r="F651" s="11"/>
      <c r="G651" s="11"/>
      <c r="H651" s="8"/>
      <c r="I651" s="8"/>
    </row>
    <row r="652" spans="1:9" x14ac:dyDescent="0.25">
      <c r="A652" s="11"/>
      <c r="B652" s="11"/>
      <c r="C652" s="11"/>
      <c r="D652" s="11"/>
      <c r="E652" s="11"/>
      <c r="F652" s="11"/>
      <c r="G652" s="11"/>
      <c r="H652" s="8"/>
      <c r="I652" s="8"/>
    </row>
    <row r="653" spans="1:9" x14ac:dyDescent="0.25">
      <c r="A653" s="11"/>
      <c r="B653" s="11"/>
      <c r="C653" s="11"/>
      <c r="D653" s="11"/>
      <c r="E653" s="11"/>
      <c r="F653" s="11"/>
      <c r="G653" s="11"/>
      <c r="H653" s="8"/>
      <c r="I653" s="8"/>
    </row>
    <row r="654" spans="1:9" x14ac:dyDescent="0.25">
      <c r="A654" s="11"/>
      <c r="B654" s="11"/>
      <c r="C654" s="11"/>
      <c r="D654" s="11"/>
      <c r="E654" s="11"/>
      <c r="F654" s="11"/>
      <c r="G654" s="11"/>
      <c r="H654" s="8"/>
      <c r="I654" s="8"/>
    </row>
    <row r="655" spans="1:9" x14ac:dyDescent="0.25">
      <c r="A655" s="11"/>
      <c r="B655" s="11"/>
      <c r="C655" s="11"/>
      <c r="D655" s="11"/>
      <c r="E655" s="11"/>
      <c r="F655" s="11"/>
      <c r="G655" s="11"/>
      <c r="H655" s="8"/>
      <c r="I655" s="8"/>
    </row>
    <row r="656" spans="1:9" x14ac:dyDescent="0.25">
      <c r="A656" s="11"/>
      <c r="B656" s="11"/>
      <c r="C656" s="11"/>
      <c r="D656" s="11"/>
      <c r="E656" s="11"/>
      <c r="F656" s="11"/>
      <c r="G656" s="11"/>
      <c r="H656" s="8"/>
      <c r="I656" s="8"/>
    </row>
    <row r="657" spans="1:9" x14ac:dyDescent="0.25">
      <c r="A657" s="11"/>
      <c r="B657" s="11"/>
      <c r="C657" s="11"/>
      <c r="D657" s="11"/>
      <c r="E657" s="11"/>
      <c r="F657" s="11"/>
      <c r="G657" s="11"/>
      <c r="H657" s="8"/>
      <c r="I657" s="8"/>
    </row>
    <row r="658" spans="1:9" x14ac:dyDescent="0.25">
      <c r="A658" s="11"/>
      <c r="B658" s="11"/>
      <c r="C658" s="11"/>
      <c r="D658" s="11"/>
      <c r="E658" s="11"/>
      <c r="F658" s="11"/>
      <c r="G658" s="11"/>
      <c r="H658" s="8"/>
      <c r="I658" s="8"/>
    </row>
    <row r="659" spans="1:9" x14ac:dyDescent="0.25">
      <c r="A659" s="11"/>
      <c r="B659" s="11"/>
      <c r="C659" s="11"/>
      <c r="D659" s="11"/>
      <c r="E659" s="11"/>
      <c r="F659" s="11"/>
      <c r="G659" s="11"/>
      <c r="H659" s="8"/>
      <c r="I659" s="8"/>
    </row>
    <row r="660" spans="1:9" x14ac:dyDescent="0.25">
      <c r="A660" s="11"/>
      <c r="B660" s="11"/>
      <c r="C660" s="11"/>
      <c r="D660" s="11"/>
      <c r="E660" s="11"/>
      <c r="F660" s="11"/>
      <c r="G660" s="11"/>
      <c r="H660" s="8"/>
      <c r="I660" s="8"/>
    </row>
    <row r="661" spans="1:9" x14ac:dyDescent="0.25">
      <c r="A661" s="11"/>
      <c r="B661" s="11"/>
      <c r="C661" s="11"/>
      <c r="D661" s="11"/>
      <c r="E661" s="11"/>
      <c r="F661" s="11"/>
      <c r="G661" s="11"/>
      <c r="H661" s="8"/>
      <c r="I661" s="8"/>
    </row>
    <row r="662" spans="1:9" x14ac:dyDescent="0.25">
      <c r="A662" s="11"/>
      <c r="B662" s="11"/>
      <c r="C662" s="11"/>
      <c r="D662" s="11"/>
      <c r="E662" s="11"/>
      <c r="F662" s="11"/>
      <c r="G662" s="11"/>
      <c r="H662" s="8"/>
      <c r="I662" s="8"/>
    </row>
    <row r="663" spans="1:9" x14ac:dyDescent="0.25">
      <c r="A663" s="11"/>
      <c r="B663" s="11"/>
      <c r="C663" s="11"/>
      <c r="D663" s="11"/>
      <c r="E663" s="11"/>
      <c r="F663" s="11"/>
      <c r="G663" s="11"/>
      <c r="H663" s="8"/>
      <c r="I663" s="8"/>
    </row>
    <row r="664" spans="1:9" x14ac:dyDescent="0.25">
      <c r="A664" s="11"/>
      <c r="B664" s="11"/>
      <c r="C664" s="11"/>
      <c r="D664" s="11"/>
      <c r="E664" s="11"/>
      <c r="F664" s="11"/>
      <c r="G664" s="11"/>
      <c r="H664" s="8"/>
      <c r="I664" s="8"/>
    </row>
    <row r="665" spans="1:9" x14ac:dyDescent="0.25">
      <c r="A665" s="11"/>
      <c r="B665" s="11"/>
      <c r="C665" s="11"/>
      <c r="D665" s="11"/>
      <c r="E665" s="11"/>
      <c r="F665" s="11"/>
      <c r="G665" s="11"/>
      <c r="H665" s="8"/>
      <c r="I665" s="8"/>
    </row>
    <row r="666" spans="1:9" x14ac:dyDescent="0.25">
      <c r="A666" s="11"/>
      <c r="B666" s="11"/>
      <c r="C666" s="11"/>
      <c r="D666" s="11"/>
      <c r="E666" s="11"/>
      <c r="F666" s="11"/>
      <c r="G666" s="11"/>
      <c r="H666" s="8"/>
      <c r="I666" s="8"/>
    </row>
    <row r="667" spans="1:9" x14ac:dyDescent="0.25">
      <c r="A667" s="11"/>
      <c r="B667" s="11"/>
      <c r="C667" s="11"/>
      <c r="D667" s="11"/>
      <c r="E667" s="11"/>
      <c r="F667" s="11"/>
      <c r="G667" s="11"/>
      <c r="H667" s="8"/>
      <c r="I667" s="8"/>
    </row>
    <row r="668" spans="1:9" x14ac:dyDescent="0.25">
      <c r="A668" s="11"/>
      <c r="B668" s="11"/>
      <c r="C668" s="11"/>
      <c r="D668" s="11"/>
      <c r="E668" s="11"/>
      <c r="F668" s="11"/>
      <c r="G668" s="11"/>
      <c r="H668" s="8"/>
      <c r="I668" s="8"/>
    </row>
    <row r="669" spans="1:9" x14ac:dyDescent="0.25">
      <c r="A669" s="11"/>
      <c r="B669" s="11"/>
      <c r="C669" s="11"/>
      <c r="D669" s="11"/>
      <c r="E669" s="11"/>
      <c r="F669" s="11"/>
      <c r="G669" s="11"/>
      <c r="H669" s="8"/>
      <c r="I669" s="8"/>
    </row>
    <row r="670" spans="1:9" x14ac:dyDescent="0.25">
      <c r="A670" s="11"/>
      <c r="B670" s="11"/>
      <c r="C670" s="11"/>
      <c r="D670" s="11"/>
      <c r="E670" s="11"/>
      <c r="F670" s="11"/>
      <c r="G670" s="11"/>
      <c r="H670" s="8"/>
      <c r="I670" s="8"/>
    </row>
    <row r="671" spans="1:9" x14ac:dyDescent="0.25">
      <c r="A671" s="11"/>
      <c r="B671" s="11"/>
      <c r="C671" s="11"/>
      <c r="D671" s="11"/>
      <c r="E671" s="11"/>
      <c r="F671" s="11"/>
      <c r="G671" s="11"/>
      <c r="H671" s="8"/>
      <c r="I671" s="8"/>
    </row>
    <row r="672" spans="1:9" x14ac:dyDescent="0.25">
      <c r="A672" s="11"/>
      <c r="B672" s="11"/>
      <c r="C672" s="11"/>
      <c r="D672" s="11"/>
      <c r="E672" s="11"/>
      <c r="F672" s="11"/>
      <c r="G672" s="11"/>
      <c r="H672" s="8"/>
      <c r="I672" s="8"/>
    </row>
    <row r="673" spans="1:9" x14ac:dyDescent="0.25">
      <c r="A673" s="11"/>
      <c r="B673" s="11"/>
      <c r="C673" s="11"/>
      <c r="D673" s="11"/>
      <c r="E673" s="11"/>
      <c r="F673" s="11"/>
      <c r="G673" s="11"/>
      <c r="H673" s="8"/>
      <c r="I673" s="8"/>
    </row>
    <row r="674" spans="1:9" x14ac:dyDescent="0.25">
      <c r="A674" s="11"/>
      <c r="B674" s="11"/>
      <c r="C674" s="11"/>
      <c r="D674" s="11"/>
      <c r="E674" s="11"/>
      <c r="F674" s="11"/>
      <c r="G674" s="11"/>
      <c r="H674" s="8"/>
      <c r="I674" s="8"/>
    </row>
    <row r="675" spans="1:9" x14ac:dyDescent="0.25">
      <c r="A675" s="11"/>
      <c r="B675" s="11"/>
      <c r="C675" s="11"/>
      <c r="D675" s="11"/>
      <c r="E675" s="11"/>
      <c r="F675" s="11"/>
      <c r="G675" s="11"/>
      <c r="H675" s="8"/>
      <c r="I675" s="8"/>
    </row>
    <row r="676" spans="1:9" x14ac:dyDescent="0.25">
      <c r="A676" s="11"/>
      <c r="B676" s="11"/>
      <c r="C676" s="11"/>
      <c r="D676" s="11"/>
      <c r="E676" s="11"/>
      <c r="F676" s="11"/>
      <c r="G676" s="11"/>
      <c r="H676" s="8"/>
      <c r="I676" s="8"/>
    </row>
    <row r="677" spans="1:9" x14ac:dyDescent="0.25">
      <c r="A677" s="11"/>
      <c r="B677" s="11"/>
      <c r="C677" s="11"/>
      <c r="D677" s="11"/>
      <c r="E677" s="11"/>
      <c r="F677" s="11"/>
      <c r="G677" s="11"/>
      <c r="H677" s="8"/>
      <c r="I677" s="8"/>
    </row>
    <row r="678" spans="1:9" x14ac:dyDescent="0.25">
      <c r="A678" s="11"/>
      <c r="B678" s="11"/>
      <c r="C678" s="11"/>
      <c r="D678" s="11"/>
      <c r="E678" s="11"/>
      <c r="F678" s="11"/>
      <c r="G678" s="11"/>
      <c r="H678" s="8"/>
      <c r="I678" s="8"/>
    </row>
    <row r="679" spans="1:9" x14ac:dyDescent="0.25">
      <c r="A679" s="11"/>
      <c r="B679" s="11"/>
      <c r="C679" s="11"/>
      <c r="D679" s="11"/>
      <c r="E679" s="11"/>
      <c r="F679" s="11"/>
      <c r="G679" s="11"/>
      <c r="H679" s="8"/>
      <c r="I679" s="8"/>
    </row>
    <row r="680" spans="1:9" x14ac:dyDescent="0.25">
      <c r="A680" s="11"/>
      <c r="B680" s="11"/>
      <c r="C680" s="11"/>
      <c r="D680" s="11"/>
      <c r="E680" s="11"/>
      <c r="F680" s="11"/>
      <c r="G680" s="11"/>
      <c r="H680" s="8"/>
      <c r="I680" s="8"/>
    </row>
    <row r="681" spans="1:9" x14ac:dyDescent="0.25">
      <c r="A681" s="11"/>
      <c r="B681" s="11"/>
      <c r="C681" s="11"/>
      <c r="D681" s="11"/>
      <c r="E681" s="11"/>
      <c r="F681" s="11"/>
      <c r="G681" s="11"/>
      <c r="H681" s="8"/>
      <c r="I681" s="8"/>
    </row>
    <row r="682" spans="1:9" x14ac:dyDescent="0.25">
      <c r="A682" s="11"/>
      <c r="B682" s="11"/>
      <c r="C682" s="11"/>
      <c r="D682" s="11"/>
      <c r="E682" s="11"/>
      <c r="F682" s="11"/>
      <c r="G682" s="11"/>
      <c r="H682" s="8"/>
      <c r="I682" s="8"/>
    </row>
    <row r="683" spans="1:9" x14ac:dyDescent="0.25">
      <c r="A683" s="11"/>
      <c r="B683" s="11"/>
      <c r="C683" s="11"/>
      <c r="D683" s="11"/>
      <c r="E683" s="11"/>
      <c r="F683" s="11"/>
      <c r="G683" s="11"/>
      <c r="H683" s="8"/>
      <c r="I683" s="8"/>
    </row>
    <row r="684" spans="1:9" x14ac:dyDescent="0.25">
      <c r="A684" s="11"/>
      <c r="B684" s="11"/>
      <c r="C684" s="11"/>
      <c r="D684" s="11"/>
      <c r="E684" s="11"/>
      <c r="F684" s="11"/>
      <c r="G684" s="11"/>
      <c r="H684" s="8"/>
      <c r="I684" s="8"/>
    </row>
    <row r="685" spans="1:9" x14ac:dyDescent="0.25">
      <c r="A685" s="11"/>
      <c r="B685" s="11"/>
      <c r="C685" s="11"/>
      <c r="D685" s="11"/>
      <c r="E685" s="11"/>
      <c r="F685" s="11"/>
      <c r="G685" s="11"/>
      <c r="H685" s="8"/>
      <c r="I685" s="8"/>
    </row>
    <row r="686" spans="1:9" x14ac:dyDescent="0.25">
      <c r="A686" s="11"/>
      <c r="B686" s="11"/>
      <c r="C686" s="11"/>
      <c r="D686" s="11"/>
      <c r="E686" s="11"/>
      <c r="F686" s="11"/>
      <c r="G686" s="11"/>
      <c r="H686" s="8"/>
      <c r="I686" s="8"/>
    </row>
    <row r="687" spans="1:9" x14ac:dyDescent="0.25">
      <c r="A687" s="11"/>
      <c r="B687" s="11"/>
      <c r="C687" s="11"/>
      <c r="D687" s="11"/>
      <c r="E687" s="11"/>
      <c r="F687" s="11"/>
      <c r="G687" s="11"/>
      <c r="H687" s="8"/>
      <c r="I687" s="8"/>
    </row>
    <row r="688" spans="1:9" x14ac:dyDescent="0.25">
      <c r="A688" s="11"/>
      <c r="B688" s="11"/>
      <c r="C688" s="11"/>
      <c r="D688" s="11"/>
      <c r="E688" s="11"/>
      <c r="F688" s="11"/>
      <c r="G688" s="11"/>
      <c r="H688" s="8"/>
      <c r="I688" s="8"/>
    </row>
    <row r="689" spans="1:9" x14ac:dyDescent="0.25">
      <c r="A689" s="11"/>
      <c r="B689" s="11"/>
      <c r="C689" s="11"/>
      <c r="D689" s="11"/>
      <c r="E689" s="11"/>
      <c r="F689" s="11"/>
      <c r="G689" s="11"/>
      <c r="H689" s="8"/>
      <c r="I689" s="8"/>
    </row>
    <row r="690" spans="1:9" x14ac:dyDescent="0.25">
      <c r="A690" s="11"/>
      <c r="B690" s="11"/>
      <c r="C690" s="11"/>
      <c r="D690" s="11"/>
      <c r="E690" s="11"/>
      <c r="F690" s="11"/>
      <c r="G690" s="11"/>
      <c r="H690" s="8"/>
      <c r="I690" s="8"/>
    </row>
    <row r="691" spans="1:9" x14ac:dyDescent="0.25">
      <c r="A691" s="11"/>
      <c r="B691" s="11"/>
      <c r="C691" s="11"/>
      <c r="D691" s="11"/>
      <c r="E691" s="11"/>
      <c r="F691" s="11"/>
      <c r="G691" s="11"/>
      <c r="H691" s="8"/>
      <c r="I691" s="8"/>
    </row>
    <row r="692" spans="1:9" x14ac:dyDescent="0.25">
      <c r="A692" s="11"/>
      <c r="B692" s="11"/>
      <c r="C692" s="11"/>
      <c r="D692" s="11"/>
      <c r="E692" s="11"/>
      <c r="F692" s="11"/>
      <c r="G692" s="11"/>
      <c r="H692" s="8"/>
      <c r="I692" s="8"/>
    </row>
    <row r="693" spans="1:9" x14ac:dyDescent="0.25">
      <c r="A693" s="11"/>
      <c r="B693" s="11"/>
      <c r="C693" s="11"/>
      <c r="D693" s="11"/>
      <c r="E693" s="11"/>
      <c r="F693" s="11"/>
      <c r="G693" s="11"/>
      <c r="H693" s="8"/>
      <c r="I693" s="8"/>
    </row>
    <row r="694" spans="1:9" x14ac:dyDescent="0.25">
      <c r="A694" s="11"/>
      <c r="B694" s="11"/>
      <c r="C694" s="11"/>
      <c r="D694" s="11"/>
      <c r="E694" s="11"/>
      <c r="F694" s="11"/>
      <c r="G694" s="11"/>
      <c r="H694" s="8"/>
      <c r="I694" s="8"/>
    </row>
    <row r="695" spans="1:9" x14ac:dyDescent="0.25">
      <c r="A695" s="11"/>
      <c r="B695" s="11"/>
      <c r="C695" s="11"/>
      <c r="D695" s="11"/>
      <c r="E695" s="11"/>
      <c r="F695" s="11"/>
      <c r="G695" s="11"/>
      <c r="H695" s="8"/>
      <c r="I695" s="8"/>
    </row>
    <row r="696" spans="1:9" x14ac:dyDescent="0.25">
      <c r="A696" s="11"/>
      <c r="B696" s="11"/>
      <c r="C696" s="11"/>
      <c r="D696" s="11"/>
      <c r="E696" s="11"/>
      <c r="F696" s="11"/>
      <c r="G696" s="11"/>
      <c r="H696" s="8"/>
      <c r="I696" s="8"/>
    </row>
    <row r="697" spans="1:9" x14ac:dyDescent="0.25">
      <c r="A697" s="11"/>
      <c r="B697" s="11"/>
      <c r="C697" s="11"/>
      <c r="D697" s="11"/>
      <c r="E697" s="11"/>
      <c r="F697" s="11"/>
      <c r="G697" s="11"/>
      <c r="H697" s="8"/>
      <c r="I697" s="8"/>
    </row>
    <row r="698" spans="1:9" x14ac:dyDescent="0.25">
      <c r="A698" s="11"/>
      <c r="B698" s="11"/>
      <c r="C698" s="11"/>
      <c r="D698" s="11"/>
      <c r="E698" s="11"/>
      <c r="F698" s="11"/>
      <c r="G698" s="11"/>
      <c r="H698" s="8"/>
      <c r="I698" s="8"/>
    </row>
    <row r="699" spans="1:9" x14ac:dyDescent="0.25">
      <c r="A699" s="11"/>
      <c r="B699" s="11"/>
      <c r="C699" s="11"/>
      <c r="D699" s="11"/>
      <c r="E699" s="11"/>
      <c r="F699" s="11"/>
      <c r="G699" s="11"/>
      <c r="H699" s="8"/>
      <c r="I699" s="8"/>
    </row>
    <row r="700" spans="1:9" x14ac:dyDescent="0.25">
      <c r="A700" s="11"/>
      <c r="B700" s="11"/>
      <c r="C700" s="11"/>
      <c r="D700" s="11"/>
      <c r="E700" s="11"/>
      <c r="F700" s="11"/>
      <c r="G700" s="11"/>
      <c r="H700" s="8"/>
      <c r="I700" s="8"/>
    </row>
    <row r="701" spans="1:9" x14ac:dyDescent="0.25">
      <c r="A701" s="11"/>
      <c r="B701" s="11"/>
      <c r="C701" s="11"/>
      <c r="D701" s="11"/>
      <c r="E701" s="11"/>
      <c r="F701" s="11"/>
      <c r="G701" s="11"/>
      <c r="H701" s="8"/>
      <c r="I701" s="8"/>
    </row>
    <row r="702" spans="1:9" x14ac:dyDescent="0.25">
      <c r="A702" s="11"/>
      <c r="B702" s="11"/>
      <c r="C702" s="11"/>
      <c r="D702" s="11"/>
      <c r="E702" s="11"/>
      <c r="F702" s="11"/>
      <c r="G702" s="11"/>
      <c r="H702" s="8"/>
      <c r="I702" s="8"/>
    </row>
    <row r="703" spans="1:9" x14ac:dyDescent="0.25">
      <c r="A703" s="11"/>
      <c r="B703" s="11"/>
      <c r="C703" s="11"/>
      <c r="D703" s="11"/>
      <c r="E703" s="11"/>
      <c r="F703" s="11"/>
      <c r="G703" s="11"/>
      <c r="H703" s="8"/>
      <c r="I703" s="8"/>
    </row>
    <row r="704" spans="1:9" x14ac:dyDescent="0.25">
      <c r="A704" s="11"/>
      <c r="B704" s="11"/>
      <c r="C704" s="11"/>
      <c r="D704" s="11"/>
      <c r="E704" s="11"/>
      <c r="F704" s="11"/>
      <c r="G704" s="11"/>
      <c r="H704" s="8"/>
      <c r="I704" s="8"/>
    </row>
    <row r="705" spans="1:9" x14ac:dyDescent="0.25">
      <c r="A705" s="11"/>
      <c r="B705" s="11"/>
      <c r="C705" s="11"/>
      <c r="D705" s="11"/>
      <c r="E705" s="11"/>
      <c r="F705" s="11"/>
      <c r="G705" s="11"/>
      <c r="H705" s="8"/>
      <c r="I705" s="8"/>
    </row>
    <row r="706" spans="1:9" x14ac:dyDescent="0.25">
      <c r="A706" s="11"/>
      <c r="B706" s="11"/>
      <c r="C706" s="11"/>
      <c r="D706" s="11"/>
      <c r="E706" s="11"/>
      <c r="F706" s="11"/>
      <c r="G706" s="11"/>
      <c r="H706" s="8"/>
      <c r="I706" s="8"/>
    </row>
    <row r="707" spans="1:9" x14ac:dyDescent="0.25">
      <c r="A707" s="11"/>
      <c r="B707" s="11"/>
      <c r="C707" s="11"/>
      <c r="D707" s="11"/>
      <c r="E707" s="11"/>
      <c r="F707" s="11"/>
      <c r="G707" s="11"/>
      <c r="H707" s="8"/>
      <c r="I707" s="8"/>
    </row>
    <row r="708" spans="1:9" x14ac:dyDescent="0.25">
      <c r="A708" s="11"/>
      <c r="B708" s="11"/>
      <c r="C708" s="11"/>
      <c r="D708" s="11"/>
      <c r="E708" s="11"/>
      <c r="F708" s="11"/>
      <c r="G708" s="11"/>
      <c r="H708" s="8"/>
      <c r="I708" s="8"/>
    </row>
    <row r="709" spans="1:9" x14ac:dyDescent="0.25">
      <c r="A709" s="11"/>
      <c r="B709" s="11"/>
      <c r="C709" s="11"/>
      <c r="D709" s="11"/>
      <c r="E709" s="11"/>
      <c r="F709" s="11"/>
      <c r="G709" s="11"/>
      <c r="H709" s="8"/>
      <c r="I709" s="8"/>
    </row>
    <row r="710" spans="1:9" x14ac:dyDescent="0.25">
      <c r="A710" s="11"/>
      <c r="B710" s="11"/>
      <c r="C710" s="11"/>
      <c r="D710" s="11"/>
      <c r="E710" s="11"/>
      <c r="F710" s="11"/>
      <c r="G710" s="11"/>
      <c r="H710" s="8"/>
      <c r="I710" s="8"/>
    </row>
    <row r="711" spans="1:9" x14ac:dyDescent="0.25">
      <c r="A711" s="11"/>
      <c r="B711" s="11"/>
      <c r="C711" s="11"/>
      <c r="D711" s="11"/>
      <c r="E711" s="11"/>
      <c r="F711" s="11"/>
      <c r="G711" s="11"/>
      <c r="H711" s="8"/>
      <c r="I711" s="8"/>
    </row>
    <row r="712" spans="1:9" x14ac:dyDescent="0.25">
      <c r="A712" s="11"/>
      <c r="B712" s="11"/>
      <c r="C712" s="11"/>
      <c r="D712" s="11"/>
      <c r="E712" s="11"/>
      <c r="F712" s="11"/>
      <c r="G712" s="11"/>
      <c r="H712" s="8"/>
      <c r="I712" s="8"/>
    </row>
    <row r="713" spans="1:9" x14ac:dyDescent="0.25">
      <c r="A713" s="11"/>
      <c r="B713" s="11"/>
      <c r="C713" s="11"/>
      <c r="D713" s="11"/>
      <c r="E713" s="11"/>
      <c r="F713" s="11"/>
      <c r="G713" s="11"/>
      <c r="H713" s="8"/>
      <c r="I713" s="8"/>
    </row>
    <row r="714" spans="1:9" x14ac:dyDescent="0.25">
      <c r="A714" s="11"/>
      <c r="B714" s="11"/>
      <c r="C714" s="11"/>
      <c r="D714" s="11"/>
      <c r="E714" s="11"/>
      <c r="F714" s="11"/>
      <c r="G714" s="11"/>
      <c r="H714" s="8"/>
      <c r="I714" s="8"/>
    </row>
    <row r="715" spans="1:9" x14ac:dyDescent="0.25">
      <c r="A715" s="11"/>
      <c r="B715" s="11"/>
      <c r="C715" s="11"/>
      <c r="D715" s="11"/>
      <c r="E715" s="11"/>
      <c r="F715" s="11"/>
      <c r="G715" s="11"/>
      <c r="H715" s="8"/>
      <c r="I715" s="8"/>
    </row>
    <row r="716" spans="1:9" x14ac:dyDescent="0.25">
      <c r="A716" s="11"/>
      <c r="B716" s="11"/>
      <c r="C716" s="11"/>
      <c r="D716" s="11"/>
      <c r="E716" s="11"/>
      <c r="F716" s="11"/>
      <c r="G716" s="11"/>
      <c r="H716" s="8"/>
      <c r="I716" s="8"/>
    </row>
    <row r="717" spans="1:9" x14ac:dyDescent="0.25">
      <c r="A717" s="11"/>
      <c r="B717" s="11"/>
      <c r="C717" s="11"/>
      <c r="D717" s="11"/>
      <c r="E717" s="11"/>
      <c r="F717" s="11"/>
      <c r="G717" s="11"/>
      <c r="H717" s="8"/>
      <c r="I717" s="8"/>
    </row>
    <row r="718" spans="1:9" x14ac:dyDescent="0.25">
      <c r="A718" s="11"/>
      <c r="B718" s="11"/>
      <c r="C718" s="11"/>
      <c r="D718" s="11"/>
      <c r="E718" s="11"/>
      <c r="F718" s="11"/>
      <c r="G718" s="11"/>
      <c r="H718" s="8"/>
      <c r="I718" s="8"/>
    </row>
    <row r="719" spans="1:9" x14ac:dyDescent="0.25">
      <c r="A719" s="11"/>
      <c r="B719" s="11"/>
      <c r="C719" s="11"/>
      <c r="D719" s="11"/>
      <c r="E719" s="11"/>
      <c r="F719" s="11"/>
      <c r="G719" s="11"/>
      <c r="H719" s="8"/>
      <c r="I719" s="8"/>
    </row>
    <row r="720" spans="1:9" x14ac:dyDescent="0.25">
      <c r="A720" s="11"/>
      <c r="B720" s="11"/>
      <c r="C720" s="11"/>
      <c r="D720" s="11"/>
      <c r="E720" s="11"/>
      <c r="F720" s="11"/>
      <c r="G720" s="11"/>
      <c r="H720" s="8"/>
      <c r="I720" s="8"/>
    </row>
    <row r="721" spans="1:9" x14ac:dyDescent="0.25">
      <c r="A721" s="11"/>
      <c r="B721" s="11"/>
      <c r="C721" s="11"/>
      <c r="D721" s="11"/>
      <c r="E721" s="11"/>
      <c r="F721" s="11"/>
      <c r="G721" s="11"/>
      <c r="H721" s="8"/>
      <c r="I721" s="8"/>
    </row>
    <row r="722" spans="1:9" x14ac:dyDescent="0.25">
      <c r="A722" s="11"/>
      <c r="B722" s="11"/>
      <c r="C722" s="11"/>
      <c r="D722" s="11"/>
      <c r="E722" s="11"/>
      <c r="F722" s="11"/>
      <c r="G722" s="11"/>
      <c r="H722" s="8"/>
      <c r="I722" s="8"/>
    </row>
    <row r="723" spans="1:9" x14ac:dyDescent="0.25">
      <c r="A723" s="11"/>
      <c r="B723" s="11"/>
      <c r="C723" s="11"/>
      <c r="D723" s="11"/>
      <c r="E723" s="11"/>
      <c r="F723" s="11"/>
      <c r="G723" s="11"/>
      <c r="H723" s="8"/>
      <c r="I723" s="8"/>
    </row>
    <row r="724" spans="1:9" x14ac:dyDescent="0.25">
      <c r="A724" s="11"/>
      <c r="B724" s="11"/>
      <c r="C724" s="11"/>
      <c r="D724" s="11"/>
      <c r="E724" s="11"/>
      <c r="F724" s="11"/>
      <c r="G724" s="11"/>
      <c r="H724" s="8"/>
      <c r="I724" s="8"/>
    </row>
    <row r="725" spans="1:9" x14ac:dyDescent="0.25">
      <c r="A725" s="11"/>
      <c r="B725" s="11"/>
      <c r="C725" s="11"/>
      <c r="D725" s="11"/>
      <c r="E725" s="11"/>
      <c r="F725" s="11"/>
      <c r="G725" s="11"/>
      <c r="H725" s="8"/>
      <c r="I725" s="8"/>
    </row>
    <row r="726" spans="1:9" x14ac:dyDescent="0.25">
      <c r="A726" s="11"/>
      <c r="B726" s="11"/>
      <c r="C726" s="11"/>
      <c r="D726" s="11"/>
      <c r="E726" s="11"/>
      <c r="F726" s="11"/>
      <c r="G726" s="11"/>
      <c r="H726" s="8"/>
      <c r="I726" s="8"/>
    </row>
    <row r="727" spans="1:9" x14ac:dyDescent="0.25">
      <c r="A727" s="11"/>
      <c r="B727" s="11"/>
      <c r="C727" s="11"/>
      <c r="D727" s="11"/>
      <c r="E727" s="11"/>
      <c r="F727" s="11"/>
      <c r="G727" s="11"/>
      <c r="H727" s="8"/>
      <c r="I727" s="8"/>
    </row>
    <row r="728" spans="1:9" x14ac:dyDescent="0.25">
      <c r="A728" s="11"/>
      <c r="B728" s="11"/>
      <c r="C728" s="11"/>
      <c r="D728" s="11"/>
      <c r="E728" s="11"/>
      <c r="F728" s="11"/>
      <c r="G728" s="11"/>
      <c r="H728" s="8"/>
      <c r="I728" s="8"/>
    </row>
    <row r="729" spans="1:9" x14ac:dyDescent="0.25">
      <c r="A729" s="11"/>
      <c r="B729" s="11"/>
      <c r="C729" s="11"/>
      <c r="D729" s="11"/>
      <c r="E729" s="11"/>
      <c r="F729" s="11"/>
      <c r="G729" s="11"/>
      <c r="H729" s="8"/>
      <c r="I729" s="8"/>
    </row>
    <row r="730" spans="1:9" x14ac:dyDescent="0.25">
      <c r="A730" s="11"/>
      <c r="B730" s="11"/>
      <c r="C730" s="11"/>
      <c r="D730" s="11"/>
      <c r="E730" s="11"/>
      <c r="F730" s="11"/>
      <c r="G730" s="11"/>
      <c r="H730" s="8"/>
      <c r="I730" s="8"/>
    </row>
    <row r="731" spans="1:9" x14ac:dyDescent="0.25">
      <c r="A731" s="11"/>
      <c r="B731" s="11"/>
      <c r="C731" s="11"/>
      <c r="D731" s="11"/>
      <c r="E731" s="11"/>
      <c r="F731" s="11"/>
      <c r="G731" s="11"/>
      <c r="H731" s="8"/>
      <c r="I731" s="8"/>
    </row>
    <row r="732" spans="1:9" x14ac:dyDescent="0.25">
      <c r="A732" s="11"/>
      <c r="B732" s="11"/>
      <c r="C732" s="11"/>
      <c r="D732" s="11"/>
      <c r="E732" s="11"/>
      <c r="F732" s="11"/>
      <c r="G732" s="11"/>
      <c r="H732" s="8"/>
      <c r="I732" s="8"/>
    </row>
    <row r="733" spans="1:9" x14ac:dyDescent="0.25">
      <c r="A733" s="11"/>
      <c r="B733" s="11"/>
      <c r="C733" s="11"/>
      <c r="D733" s="11"/>
      <c r="E733" s="11"/>
      <c r="F733" s="11"/>
      <c r="G733" s="11"/>
      <c r="H733" s="8"/>
      <c r="I733" s="8"/>
    </row>
    <row r="734" spans="1:9" x14ac:dyDescent="0.25">
      <c r="A734" s="11"/>
      <c r="B734" s="11"/>
      <c r="C734" s="11"/>
      <c r="D734" s="11"/>
      <c r="E734" s="11"/>
      <c r="F734" s="11"/>
      <c r="G734" s="11"/>
      <c r="H734" s="8"/>
      <c r="I734" s="8"/>
    </row>
    <row r="735" spans="1:9" x14ac:dyDescent="0.25">
      <c r="A735" s="11"/>
      <c r="B735" s="11"/>
      <c r="C735" s="11"/>
      <c r="D735" s="11"/>
      <c r="E735" s="11"/>
      <c r="F735" s="11"/>
      <c r="G735" s="11"/>
      <c r="H735" s="8"/>
      <c r="I735" s="8"/>
    </row>
    <row r="736" spans="1:9" x14ac:dyDescent="0.25">
      <c r="A736" s="11"/>
      <c r="B736" s="11"/>
      <c r="C736" s="11"/>
      <c r="D736" s="11"/>
      <c r="E736" s="11"/>
      <c r="F736" s="11"/>
      <c r="G736" s="11"/>
      <c r="H736" s="8"/>
      <c r="I736" s="8"/>
    </row>
    <row r="737" spans="1:9" x14ac:dyDescent="0.25">
      <c r="A737" s="11"/>
      <c r="B737" s="11"/>
      <c r="C737" s="11"/>
      <c r="D737" s="11"/>
      <c r="E737" s="11"/>
      <c r="F737" s="11"/>
      <c r="G737" s="11"/>
      <c r="H737" s="8"/>
      <c r="I737" s="8"/>
    </row>
    <row r="738" spans="1:9" x14ac:dyDescent="0.25">
      <c r="A738" s="11"/>
      <c r="B738" s="11"/>
      <c r="C738" s="11"/>
      <c r="D738" s="11"/>
      <c r="E738" s="11"/>
      <c r="F738" s="11"/>
      <c r="G738" s="11"/>
      <c r="H738" s="8"/>
      <c r="I738" s="8"/>
    </row>
    <row r="739" spans="1:9" x14ac:dyDescent="0.25">
      <c r="A739" s="11"/>
      <c r="B739" s="11"/>
      <c r="C739" s="11"/>
      <c r="D739" s="11"/>
      <c r="E739" s="11"/>
      <c r="F739" s="11"/>
      <c r="G739" s="11"/>
      <c r="H739" s="8"/>
      <c r="I739" s="8"/>
    </row>
    <row r="740" spans="1:9" x14ac:dyDescent="0.25">
      <c r="A740" s="11"/>
      <c r="B740" s="11"/>
      <c r="C740" s="11"/>
      <c r="D740" s="11"/>
      <c r="E740" s="11"/>
      <c r="F740" s="11"/>
      <c r="G740" s="11"/>
      <c r="H740" s="8"/>
      <c r="I740" s="8"/>
    </row>
    <row r="741" spans="1:9" x14ac:dyDescent="0.25">
      <c r="A741" s="11"/>
      <c r="B741" s="11"/>
      <c r="C741" s="11"/>
      <c r="D741" s="11"/>
      <c r="E741" s="11"/>
      <c r="F741" s="11"/>
      <c r="G741" s="11"/>
      <c r="H741" s="8"/>
      <c r="I741" s="8"/>
    </row>
    <row r="742" spans="1:9" x14ac:dyDescent="0.25">
      <c r="A742" s="11"/>
      <c r="B742" s="11"/>
      <c r="C742" s="11"/>
      <c r="D742" s="11"/>
      <c r="E742" s="11"/>
      <c r="F742" s="11"/>
      <c r="G742" s="11"/>
      <c r="H742" s="8"/>
      <c r="I742" s="8"/>
    </row>
    <row r="743" spans="1:9" x14ac:dyDescent="0.25">
      <c r="A743" s="11"/>
      <c r="B743" s="11"/>
      <c r="C743" s="11"/>
      <c r="D743" s="11"/>
      <c r="E743" s="11"/>
      <c r="F743" s="11"/>
      <c r="G743" s="11"/>
      <c r="H743" s="8"/>
      <c r="I743" s="8"/>
    </row>
    <row r="744" spans="1:9" x14ac:dyDescent="0.25">
      <c r="A744" s="11"/>
      <c r="B744" s="11"/>
      <c r="C744" s="11"/>
      <c r="D744" s="11"/>
      <c r="E744" s="11"/>
      <c r="F744" s="11"/>
      <c r="G744" s="11"/>
      <c r="H744" s="8"/>
      <c r="I744" s="8"/>
    </row>
    <row r="745" spans="1:9" x14ac:dyDescent="0.25">
      <c r="A745" s="11"/>
      <c r="B745" s="11"/>
      <c r="C745" s="11"/>
      <c r="D745" s="11"/>
      <c r="E745" s="11"/>
      <c r="F745" s="11"/>
      <c r="G745" s="11"/>
      <c r="H745" s="8"/>
      <c r="I745" s="8"/>
    </row>
    <row r="746" spans="1:9" x14ac:dyDescent="0.25">
      <c r="A746" s="11"/>
      <c r="B746" s="11"/>
      <c r="C746" s="11"/>
      <c r="D746" s="11"/>
      <c r="E746" s="11"/>
      <c r="F746" s="11"/>
      <c r="G746" s="11"/>
      <c r="H746" s="8"/>
      <c r="I746" s="8"/>
    </row>
    <row r="747" spans="1:9" x14ac:dyDescent="0.25">
      <c r="A747" s="11"/>
      <c r="B747" s="11"/>
      <c r="C747" s="11"/>
      <c r="D747" s="11"/>
      <c r="E747" s="11"/>
      <c r="F747" s="11"/>
      <c r="G747" s="11"/>
      <c r="H747" s="8"/>
      <c r="I747" s="8"/>
    </row>
    <row r="748" spans="1:9" x14ac:dyDescent="0.25">
      <c r="A748" s="11"/>
      <c r="B748" s="11"/>
      <c r="C748" s="11"/>
      <c r="D748" s="11"/>
      <c r="E748" s="11"/>
      <c r="F748" s="11"/>
      <c r="G748" s="11"/>
      <c r="H748" s="8"/>
      <c r="I748" s="8"/>
    </row>
    <row r="749" spans="1:9" x14ac:dyDescent="0.25">
      <c r="A749" s="11"/>
      <c r="B749" s="11"/>
      <c r="C749" s="11"/>
      <c r="D749" s="11"/>
      <c r="E749" s="11"/>
      <c r="F749" s="11"/>
      <c r="G749" s="11"/>
      <c r="H749" s="8"/>
      <c r="I749" s="8"/>
    </row>
    <row r="750" spans="1:9" x14ac:dyDescent="0.25">
      <c r="A750" s="11"/>
      <c r="B750" s="11"/>
      <c r="C750" s="11"/>
      <c r="D750" s="11"/>
      <c r="E750" s="11"/>
      <c r="F750" s="11"/>
      <c r="G750" s="11"/>
      <c r="H750" s="8"/>
      <c r="I750" s="8"/>
    </row>
    <row r="751" spans="1:9" x14ac:dyDescent="0.25">
      <c r="A751" s="11"/>
      <c r="B751" s="11"/>
      <c r="C751" s="11"/>
      <c r="D751" s="11"/>
      <c r="E751" s="11"/>
      <c r="F751" s="11"/>
      <c r="G751" s="11"/>
      <c r="H751" s="8"/>
      <c r="I751" s="8"/>
    </row>
    <row r="752" spans="1:9" x14ac:dyDescent="0.25">
      <c r="A752" s="11"/>
      <c r="B752" s="11"/>
      <c r="C752" s="11"/>
      <c r="D752" s="11"/>
      <c r="E752" s="11"/>
      <c r="F752" s="11"/>
      <c r="G752" s="11"/>
      <c r="H752" s="8"/>
      <c r="I752" s="8"/>
    </row>
    <row r="753" spans="1:9" x14ac:dyDescent="0.25">
      <c r="A753" s="11"/>
      <c r="B753" s="11"/>
      <c r="C753" s="11"/>
      <c r="D753" s="11"/>
      <c r="E753" s="11"/>
      <c r="F753" s="11"/>
      <c r="G753" s="11"/>
      <c r="H753" s="8"/>
      <c r="I753" s="8"/>
    </row>
    <row r="754" spans="1:9" x14ac:dyDescent="0.25">
      <c r="A754" s="11"/>
      <c r="B754" s="11"/>
      <c r="C754" s="11"/>
      <c r="D754" s="11"/>
      <c r="E754" s="11"/>
      <c r="F754" s="11"/>
      <c r="G754" s="11"/>
      <c r="H754" s="8"/>
      <c r="I754" s="8"/>
    </row>
    <row r="755" spans="1:9" x14ac:dyDescent="0.25">
      <c r="A755" s="11"/>
      <c r="B755" s="11"/>
      <c r="C755" s="11"/>
      <c r="D755" s="11"/>
      <c r="E755" s="11"/>
      <c r="F755" s="11"/>
      <c r="G755" s="11"/>
      <c r="H755" s="8"/>
      <c r="I755" s="8"/>
    </row>
    <row r="756" spans="1:9" x14ac:dyDescent="0.25">
      <c r="A756" s="11"/>
      <c r="B756" s="11"/>
      <c r="C756" s="11"/>
      <c r="D756" s="11"/>
      <c r="E756" s="11"/>
      <c r="F756" s="11"/>
      <c r="G756" s="11"/>
      <c r="H756" s="8"/>
      <c r="I756" s="8"/>
    </row>
    <row r="757" spans="1:9" x14ac:dyDescent="0.25">
      <c r="A757" s="11"/>
      <c r="B757" s="11"/>
      <c r="C757" s="11"/>
      <c r="D757" s="11"/>
      <c r="E757" s="11"/>
      <c r="F757" s="11"/>
      <c r="G757" s="11"/>
      <c r="H757" s="8"/>
      <c r="I757" s="8"/>
    </row>
    <row r="758" spans="1:9" x14ac:dyDescent="0.25">
      <c r="A758" s="11"/>
      <c r="B758" s="11"/>
      <c r="C758" s="11"/>
      <c r="D758" s="11"/>
      <c r="E758" s="11"/>
      <c r="F758" s="11"/>
      <c r="G758" s="11"/>
      <c r="H758" s="8"/>
      <c r="I758" s="8"/>
    </row>
    <row r="759" spans="1:9" x14ac:dyDescent="0.25">
      <c r="A759" s="11"/>
      <c r="B759" s="11"/>
      <c r="C759" s="11"/>
      <c r="D759" s="11"/>
      <c r="E759" s="11"/>
      <c r="F759" s="11"/>
      <c r="G759" s="11"/>
      <c r="H759" s="8"/>
      <c r="I759" s="8"/>
    </row>
    <row r="760" spans="1:9" x14ac:dyDescent="0.25">
      <c r="A760" s="11"/>
      <c r="B760" s="11"/>
      <c r="C760" s="11"/>
      <c r="D760" s="11"/>
      <c r="E760" s="11"/>
      <c r="F760" s="11"/>
      <c r="G760" s="11"/>
      <c r="H760" s="8"/>
      <c r="I760" s="8"/>
    </row>
    <row r="761" spans="1:9" x14ac:dyDescent="0.25">
      <c r="A761" s="11"/>
      <c r="B761" s="11"/>
      <c r="C761" s="11"/>
      <c r="D761" s="11"/>
      <c r="E761" s="11"/>
      <c r="F761" s="11"/>
      <c r="G761" s="11"/>
      <c r="H761" s="8"/>
      <c r="I761" s="8"/>
    </row>
    <row r="762" spans="1:9" x14ac:dyDescent="0.25">
      <c r="A762" s="11"/>
      <c r="B762" s="11"/>
      <c r="C762" s="11"/>
      <c r="D762" s="11"/>
      <c r="E762" s="11"/>
      <c r="F762" s="11"/>
      <c r="G762" s="11"/>
      <c r="H762" s="8"/>
      <c r="I762" s="8"/>
    </row>
    <row r="763" spans="1:9" x14ac:dyDescent="0.25">
      <c r="A763" s="11"/>
      <c r="B763" s="11"/>
      <c r="C763" s="11"/>
      <c r="D763" s="11"/>
      <c r="E763" s="11"/>
      <c r="F763" s="11"/>
      <c r="G763" s="11"/>
      <c r="H763" s="8"/>
      <c r="I763" s="8"/>
    </row>
    <row r="764" spans="1:9" x14ac:dyDescent="0.25">
      <c r="A764" s="11"/>
      <c r="B764" s="11"/>
      <c r="C764" s="11"/>
      <c r="D764" s="11"/>
      <c r="E764" s="11"/>
      <c r="F764" s="11"/>
      <c r="G764" s="11"/>
      <c r="H764" s="8"/>
      <c r="I764" s="8"/>
    </row>
    <row r="765" spans="1:9" x14ac:dyDescent="0.25">
      <c r="A765" s="11"/>
      <c r="B765" s="11"/>
      <c r="C765" s="11"/>
      <c r="D765" s="11"/>
      <c r="E765" s="11"/>
      <c r="F765" s="11"/>
      <c r="G765" s="11"/>
      <c r="H765" s="8"/>
      <c r="I765" s="8"/>
    </row>
    <row r="766" spans="1:9" x14ac:dyDescent="0.25">
      <c r="A766" s="11"/>
      <c r="B766" s="11"/>
      <c r="C766" s="11"/>
      <c r="D766" s="11"/>
      <c r="E766" s="11"/>
      <c r="F766" s="11"/>
      <c r="G766" s="11"/>
      <c r="H766" s="8"/>
      <c r="I766" s="8"/>
    </row>
    <row r="767" spans="1:9" x14ac:dyDescent="0.25">
      <c r="A767" s="11"/>
      <c r="B767" s="11"/>
      <c r="C767" s="11"/>
      <c r="D767" s="11"/>
      <c r="E767" s="11"/>
      <c r="F767" s="11"/>
      <c r="G767" s="11"/>
      <c r="H767" s="8"/>
      <c r="I767" s="8"/>
    </row>
    <row r="768" spans="1:9" x14ac:dyDescent="0.25">
      <c r="A768" s="11"/>
      <c r="B768" s="11"/>
      <c r="C768" s="11"/>
      <c r="D768" s="11"/>
      <c r="E768" s="11"/>
      <c r="F768" s="11"/>
      <c r="G768" s="11"/>
      <c r="H768" s="8"/>
      <c r="I768" s="8"/>
    </row>
    <row r="769" spans="1:9" x14ac:dyDescent="0.25">
      <c r="A769" s="11"/>
      <c r="B769" s="11"/>
      <c r="C769" s="11"/>
      <c r="D769" s="11"/>
      <c r="E769" s="11"/>
      <c r="F769" s="11"/>
      <c r="G769" s="11"/>
      <c r="H769" s="8"/>
      <c r="I769" s="8"/>
    </row>
    <row r="770" spans="1:9" x14ac:dyDescent="0.25">
      <c r="A770" s="11"/>
      <c r="B770" s="11"/>
      <c r="C770" s="11"/>
      <c r="D770" s="11"/>
      <c r="E770" s="11"/>
      <c r="F770" s="11"/>
      <c r="G770" s="11"/>
      <c r="H770" s="8"/>
      <c r="I770" s="8"/>
    </row>
    <row r="771" spans="1:9" x14ac:dyDescent="0.25">
      <c r="A771" s="11"/>
      <c r="B771" s="11"/>
      <c r="C771" s="11"/>
      <c r="D771" s="11"/>
      <c r="E771" s="11"/>
      <c r="F771" s="11"/>
      <c r="G771" s="11"/>
      <c r="H771" s="8"/>
      <c r="I771" s="8"/>
    </row>
    <row r="772" spans="1:9" x14ac:dyDescent="0.25">
      <c r="A772" s="11"/>
      <c r="B772" s="11"/>
      <c r="C772" s="11"/>
      <c r="D772" s="11"/>
      <c r="E772" s="11"/>
      <c r="F772" s="11"/>
      <c r="G772" s="11"/>
      <c r="H772" s="8"/>
      <c r="I772" s="8"/>
    </row>
    <row r="773" spans="1:9" x14ac:dyDescent="0.25">
      <c r="A773" s="11"/>
      <c r="B773" s="11"/>
      <c r="C773" s="11"/>
      <c r="D773" s="11"/>
      <c r="E773" s="11"/>
      <c r="F773" s="11"/>
      <c r="G773" s="11"/>
      <c r="H773" s="8"/>
      <c r="I773" s="8"/>
    </row>
    <row r="774" spans="1:9" x14ac:dyDescent="0.25">
      <c r="A774" s="11"/>
      <c r="B774" s="11"/>
      <c r="C774" s="11"/>
      <c r="D774" s="11"/>
      <c r="E774" s="11"/>
      <c r="F774" s="11"/>
      <c r="G774" s="11"/>
      <c r="H774" s="8"/>
      <c r="I774" s="8"/>
    </row>
    <row r="775" spans="1:9" x14ac:dyDescent="0.25">
      <c r="A775" s="11"/>
      <c r="B775" s="11"/>
      <c r="C775" s="11"/>
      <c r="D775" s="11"/>
      <c r="E775" s="11"/>
      <c r="F775" s="11"/>
      <c r="G775" s="11"/>
      <c r="H775" s="8"/>
      <c r="I775" s="8"/>
    </row>
    <row r="776" spans="1:9" x14ac:dyDescent="0.25">
      <c r="A776" s="11"/>
      <c r="B776" s="11"/>
      <c r="C776" s="11"/>
      <c r="D776" s="11"/>
      <c r="E776" s="11"/>
      <c r="F776" s="11"/>
      <c r="G776" s="11"/>
      <c r="H776" s="8"/>
      <c r="I776" s="8"/>
    </row>
    <row r="777" spans="1:9" x14ac:dyDescent="0.25">
      <c r="A777" s="11"/>
      <c r="B777" s="11"/>
      <c r="C777" s="11"/>
      <c r="D777" s="11"/>
      <c r="E777" s="11"/>
      <c r="F777" s="11"/>
      <c r="G777" s="11"/>
      <c r="H777" s="8"/>
      <c r="I777" s="8"/>
    </row>
    <row r="778" spans="1:9" x14ac:dyDescent="0.25">
      <c r="A778" s="11"/>
      <c r="B778" s="11"/>
      <c r="C778" s="11"/>
      <c r="D778" s="11"/>
      <c r="E778" s="11"/>
      <c r="F778" s="11"/>
      <c r="G778" s="11"/>
      <c r="H778" s="8"/>
      <c r="I778" s="8"/>
    </row>
    <row r="779" spans="1:9" x14ac:dyDescent="0.25">
      <c r="A779" s="11"/>
      <c r="B779" s="11"/>
      <c r="C779" s="11"/>
      <c r="D779" s="11"/>
      <c r="E779" s="11"/>
      <c r="F779" s="11"/>
      <c r="G779" s="11"/>
      <c r="H779" s="8"/>
      <c r="I779" s="8"/>
    </row>
    <row r="780" spans="1:9" x14ac:dyDescent="0.25">
      <c r="A780" s="11"/>
      <c r="B780" s="11"/>
      <c r="C780" s="11"/>
      <c r="D780" s="11"/>
      <c r="E780" s="11"/>
      <c r="F780" s="11"/>
      <c r="G780" s="11"/>
      <c r="H780" s="8"/>
      <c r="I780" s="8"/>
    </row>
    <row r="781" spans="1:9" x14ac:dyDescent="0.25">
      <c r="A781" s="11"/>
      <c r="B781" s="11"/>
      <c r="C781" s="11"/>
      <c r="D781" s="11"/>
      <c r="E781" s="11"/>
      <c r="F781" s="11"/>
      <c r="G781" s="11"/>
      <c r="H781" s="8"/>
      <c r="I781" s="8"/>
    </row>
    <row r="782" spans="1:9" x14ac:dyDescent="0.25">
      <c r="A782" s="11"/>
      <c r="B782" s="11"/>
      <c r="C782" s="11"/>
      <c r="D782" s="11"/>
      <c r="E782" s="11"/>
      <c r="F782" s="11"/>
      <c r="G782" s="11"/>
      <c r="H782" s="8"/>
      <c r="I782" s="8"/>
    </row>
    <row r="783" spans="1:9" x14ac:dyDescent="0.25">
      <c r="A783" s="11"/>
      <c r="B783" s="11"/>
      <c r="C783" s="11"/>
      <c r="D783" s="11"/>
      <c r="E783" s="11"/>
      <c r="F783" s="11"/>
      <c r="G783" s="11"/>
      <c r="H783" s="8"/>
      <c r="I783" s="8"/>
    </row>
    <row r="784" spans="1:9" x14ac:dyDescent="0.25">
      <c r="A784" s="11"/>
      <c r="B784" s="11"/>
      <c r="C784" s="11"/>
      <c r="D784" s="11"/>
      <c r="E784" s="11"/>
      <c r="F784" s="11"/>
      <c r="G784" s="11"/>
      <c r="H784" s="8"/>
      <c r="I784" s="8"/>
    </row>
    <row r="785" spans="1:9" x14ac:dyDescent="0.25">
      <c r="A785" s="11"/>
      <c r="B785" s="11"/>
      <c r="C785" s="11"/>
      <c r="D785" s="11"/>
      <c r="E785" s="11"/>
      <c r="F785" s="11"/>
      <c r="G785" s="11"/>
      <c r="H785" s="8"/>
      <c r="I785" s="8"/>
    </row>
    <row r="786" spans="1:9" x14ac:dyDescent="0.25">
      <c r="A786" s="11"/>
      <c r="B786" s="11"/>
      <c r="C786" s="11"/>
      <c r="D786" s="11"/>
      <c r="E786" s="11"/>
      <c r="F786" s="11"/>
      <c r="G786" s="11"/>
      <c r="H786" s="8"/>
      <c r="I786" s="8"/>
    </row>
    <row r="787" spans="1:9" x14ac:dyDescent="0.25">
      <c r="A787" s="11"/>
      <c r="B787" s="11"/>
      <c r="C787" s="11"/>
      <c r="D787" s="11"/>
      <c r="E787" s="11"/>
      <c r="F787" s="11"/>
      <c r="G787" s="11"/>
      <c r="H787" s="8"/>
      <c r="I787" s="8"/>
    </row>
    <row r="788" spans="1:9" x14ac:dyDescent="0.25">
      <c r="A788" s="11"/>
      <c r="B788" s="11"/>
      <c r="C788" s="11"/>
      <c r="D788" s="11"/>
      <c r="E788" s="11"/>
      <c r="F788" s="11"/>
      <c r="G788" s="11"/>
      <c r="H788" s="8"/>
      <c r="I788" s="8"/>
    </row>
    <row r="789" spans="1:9" x14ac:dyDescent="0.25">
      <c r="A789" s="11"/>
      <c r="B789" s="11"/>
      <c r="C789" s="11"/>
      <c r="D789" s="11"/>
      <c r="E789" s="11"/>
      <c r="F789" s="11"/>
      <c r="G789" s="11"/>
      <c r="H789" s="8"/>
      <c r="I789" s="8"/>
    </row>
    <row r="790" spans="1:9" x14ac:dyDescent="0.25">
      <c r="A790" s="11"/>
      <c r="B790" s="11"/>
      <c r="C790" s="11"/>
      <c r="D790" s="11"/>
      <c r="E790" s="11"/>
      <c r="F790" s="11"/>
      <c r="G790" s="11"/>
      <c r="H790" s="8"/>
      <c r="I790" s="8"/>
    </row>
    <row r="791" spans="1:9" x14ac:dyDescent="0.25">
      <c r="A791" s="11"/>
      <c r="B791" s="11"/>
      <c r="C791" s="11"/>
      <c r="D791" s="11"/>
      <c r="E791" s="11"/>
      <c r="F791" s="11"/>
      <c r="G791" s="11"/>
      <c r="H791" s="8"/>
      <c r="I791" s="8"/>
    </row>
    <row r="792" spans="1:9" x14ac:dyDescent="0.25">
      <c r="A792" s="11"/>
      <c r="B792" s="11"/>
      <c r="C792" s="11"/>
      <c r="D792" s="11"/>
      <c r="E792" s="11"/>
      <c r="F792" s="11"/>
      <c r="G792" s="11"/>
      <c r="H792" s="8"/>
      <c r="I792" s="8"/>
    </row>
    <row r="793" spans="1:9" x14ac:dyDescent="0.25">
      <c r="A793" s="11"/>
      <c r="B793" s="11"/>
      <c r="C793" s="11"/>
      <c r="D793" s="11"/>
      <c r="E793" s="11"/>
      <c r="F793" s="11"/>
      <c r="G793" s="11"/>
      <c r="H793" s="8"/>
      <c r="I793" s="8"/>
    </row>
    <row r="794" spans="1:9" x14ac:dyDescent="0.25">
      <c r="A794" s="11"/>
      <c r="B794" s="11"/>
      <c r="C794" s="11"/>
      <c r="D794" s="11"/>
      <c r="E794" s="11"/>
      <c r="F794" s="11"/>
      <c r="G794" s="11"/>
      <c r="H794" s="8"/>
      <c r="I794" s="8"/>
    </row>
    <row r="795" spans="1:9" x14ac:dyDescent="0.25">
      <c r="A795" s="11"/>
      <c r="B795" s="11"/>
      <c r="C795" s="11"/>
      <c r="D795" s="11"/>
      <c r="E795" s="11"/>
      <c r="F795" s="11"/>
      <c r="G795" s="11"/>
      <c r="H795" s="8"/>
      <c r="I795" s="8"/>
    </row>
    <row r="796" spans="1:9" x14ac:dyDescent="0.25">
      <c r="A796" s="11"/>
      <c r="B796" s="11"/>
      <c r="C796" s="11"/>
      <c r="D796" s="11"/>
      <c r="E796" s="11"/>
      <c r="F796" s="11"/>
      <c r="G796" s="11"/>
      <c r="H796" s="8"/>
      <c r="I796" s="8"/>
    </row>
    <row r="797" spans="1:9" x14ac:dyDescent="0.25">
      <c r="A797" s="11"/>
      <c r="B797" s="11"/>
      <c r="C797" s="11"/>
      <c r="D797" s="11"/>
      <c r="E797" s="11"/>
      <c r="F797" s="11"/>
      <c r="G797" s="11"/>
      <c r="H797" s="8"/>
      <c r="I797" s="8"/>
    </row>
    <row r="798" spans="1:9" x14ac:dyDescent="0.25">
      <c r="A798" s="11"/>
      <c r="B798" s="11"/>
      <c r="C798" s="11"/>
      <c r="D798" s="11"/>
      <c r="E798" s="11"/>
      <c r="F798" s="11"/>
      <c r="G798" s="11"/>
      <c r="H798" s="8"/>
      <c r="I798" s="8"/>
    </row>
    <row r="799" spans="1:9" x14ac:dyDescent="0.25">
      <c r="A799" s="11"/>
      <c r="B799" s="11"/>
      <c r="C799" s="11"/>
      <c r="D799" s="11"/>
      <c r="E799" s="11"/>
      <c r="F799" s="11"/>
      <c r="G799" s="11"/>
      <c r="H799" s="8"/>
      <c r="I799" s="8"/>
    </row>
    <row r="800" spans="1:9" x14ac:dyDescent="0.25">
      <c r="A800" s="11"/>
      <c r="B800" s="11"/>
      <c r="C800" s="11"/>
      <c r="D800" s="11"/>
      <c r="E800" s="11"/>
      <c r="F800" s="11"/>
      <c r="G800" s="11"/>
      <c r="H800" s="8"/>
      <c r="I800" s="8"/>
    </row>
    <row r="801" spans="1:9" x14ac:dyDescent="0.25">
      <c r="A801" s="11"/>
      <c r="B801" s="11"/>
      <c r="C801" s="11"/>
      <c r="D801" s="11"/>
      <c r="E801" s="11"/>
      <c r="F801" s="11"/>
      <c r="G801" s="11"/>
      <c r="H801" s="8"/>
      <c r="I801" s="8"/>
    </row>
    <row r="802" spans="1:9" x14ac:dyDescent="0.25">
      <c r="A802" s="11"/>
      <c r="B802" s="11"/>
      <c r="C802" s="11"/>
      <c r="D802" s="11"/>
      <c r="E802" s="11"/>
      <c r="F802" s="11"/>
      <c r="G802" s="11"/>
      <c r="H802" s="8"/>
      <c r="I802" s="8"/>
    </row>
    <row r="803" spans="1:9" x14ac:dyDescent="0.25">
      <c r="A803" s="11"/>
      <c r="B803" s="11"/>
      <c r="C803" s="11"/>
      <c r="D803" s="11"/>
      <c r="E803" s="11"/>
      <c r="F803" s="11"/>
      <c r="G803" s="11"/>
      <c r="H803" s="8"/>
      <c r="I803" s="8"/>
    </row>
    <row r="804" spans="1:9" x14ac:dyDescent="0.25">
      <c r="A804" s="11"/>
      <c r="B804" s="11"/>
      <c r="C804" s="11"/>
      <c r="D804" s="11"/>
      <c r="E804" s="11"/>
      <c r="F804" s="11"/>
      <c r="G804" s="11"/>
      <c r="H804" s="8"/>
      <c r="I804" s="8"/>
    </row>
    <row r="805" spans="1:9" x14ac:dyDescent="0.25">
      <c r="A805" s="11"/>
      <c r="B805" s="11"/>
      <c r="C805" s="11"/>
      <c r="D805" s="11"/>
      <c r="E805" s="11"/>
      <c r="F805" s="11"/>
      <c r="G805" s="11"/>
      <c r="H805" s="8"/>
      <c r="I805" s="8"/>
    </row>
    <row r="806" spans="1:9" x14ac:dyDescent="0.25">
      <c r="A806" s="11"/>
      <c r="B806" s="11"/>
      <c r="C806" s="11"/>
      <c r="D806" s="11"/>
      <c r="E806" s="11"/>
      <c r="F806" s="11"/>
      <c r="G806" s="11"/>
      <c r="H806" s="8"/>
      <c r="I806" s="8"/>
    </row>
    <row r="807" spans="1:9" x14ac:dyDescent="0.25">
      <c r="A807" s="11"/>
      <c r="B807" s="11"/>
      <c r="C807" s="11"/>
      <c r="D807" s="11"/>
      <c r="E807" s="11"/>
      <c r="F807" s="11"/>
      <c r="G807" s="11"/>
      <c r="H807" s="8"/>
      <c r="I807" s="8"/>
    </row>
    <row r="808" spans="1:9" x14ac:dyDescent="0.25">
      <c r="A808" s="11"/>
      <c r="B808" s="11"/>
      <c r="C808" s="11"/>
      <c r="D808" s="11"/>
      <c r="E808" s="11"/>
      <c r="F808" s="11"/>
      <c r="G808" s="11"/>
      <c r="H808" s="8"/>
      <c r="I808" s="8"/>
    </row>
    <row r="809" spans="1:9" x14ac:dyDescent="0.25">
      <c r="A809" s="11"/>
      <c r="B809" s="11"/>
      <c r="C809" s="11"/>
      <c r="D809" s="11"/>
      <c r="E809" s="11"/>
      <c r="F809" s="11"/>
      <c r="G809" s="11"/>
      <c r="H809" s="8"/>
      <c r="I809" s="8"/>
    </row>
    <row r="810" spans="1:9" x14ac:dyDescent="0.25">
      <c r="A810" s="11"/>
      <c r="B810" s="11"/>
      <c r="C810" s="11"/>
      <c r="D810" s="11"/>
      <c r="E810" s="11"/>
      <c r="F810" s="11"/>
      <c r="G810" s="11"/>
      <c r="H810" s="8"/>
      <c r="I810" s="8"/>
    </row>
    <row r="811" spans="1:9" x14ac:dyDescent="0.25">
      <c r="A811" s="11"/>
      <c r="B811" s="11"/>
      <c r="C811" s="11"/>
      <c r="D811" s="11"/>
      <c r="E811" s="11"/>
      <c r="F811" s="11"/>
      <c r="G811" s="11"/>
      <c r="H811" s="8"/>
      <c r="I811" s="8"/>
    </row>
    <row r="812" spans="1:9" x14ac:dyDescent="0.25">
      <c r="A812" s="11"/>
      <c r="B812" s="11"/>
      <c r="C812" s="11"/>
      <c r="D812" s="11"/>
      <c r="E812" s="11"/>
      <c r="F812" s="11"/>
      <c r="G812" s="11"/>
      <c r="H812" s="8"/>
      <c r="I812" s="8"/>
    </row>
    <row r="813" spans="1:9" x14ac:dyDescent="0.25">
      <c r="A813" s="11"/>
      <c r="B813" s="11"/>
      <c r="C813" s="11"/>
      <c r="D813" s="11"/>
      <c r="E813" s="11"/>
      <c r="F813" s="11"/>
      <c r="G813" s="11"/>
      <c r="H813" s="8"/>
      <c r="I813" s="8"/>
    </row>
    <row r="814" spans="1:9" x14ac:dyDescent="0.25">
      <c r="A814" s="11"/>
      <c r="B814" s="11"/>
      <c r="C814" s="11"/>
      <c r="D814" s="11"/>
      <c r="E814" s="11"/>
      <c r="F814" s="11"/>
      <c r="G814" s="11"/>
      <c r="H814" s="8"/>
      <c r="I814" s="8"/>
    </row>
    <row r="815" spans="1:9" x14ac:dyDescent="0.25">
      <c r="A815" s="11"/>
      <c r="B815" s="11"/>
      <c r="C815" s="11"/>
      <c r="D815" s="11"/>
      <c r="E815" s="11"/>
      <c r="F815" s="11"/>
      <c r="G815" s="11"/>
      <c r="H815" s="8"/>
      <c r="I815" s="8"/>
    </row>
    <row r="816" spans="1:9" x14ac:dyDescent="0.25">
      <c r="A816" s="11"/>
      <c r="B816" s="11"/>
      <c r="C816" s="11"/>
      <c r="D816" s="11"/>
      <c r="E816" s="11"/>
      <c r="F816" s="11"/>
      <c r="G816" s="11"/>
      <c r="H816" s="8"/>
      <c r="I816" s="8"/>
    </row>
    <row r="817" spans="1:9" x14ac:dyDescent="0.25">
      <c r="A817" s="11"/>
      <c r="B817" s="11"/>
      <c r="C817" s="11"/>
      <c r="D817" s="11"/>
      <c r="E817" s="11"/>
      <c r="F817" s="11"/>
      <c r="G817" s="11"/>
      <c r="H817" s="8"/>
      <c r="I817" s="8"/>
    </row>
    <row r="818" spans="1:9" x14ac:dyDescent="0.25">
      <c r="A818" s="11"/>
      <c r="B818" s="11"/>
      <c r="C818" s="11"/>
      <c r="D818" s="11"/>
      <c r="E818" s="11"/>
      <c r="F818" s="11"/>
      <c r="G818" s="11"/>
      <c r="H818" s="8"/>
      <c r="I818" s="8"/>
    </row>
    <row r="819" spans="1:9" x14ac:dyDescent="0.25">
      <c r="A819" s="11"/>
      <c r="B819" s="11"/>
      <c r="C819" s="11"/>
      <c r="D819" s="11"/>
      <c r="E819" s="11"/>
      <c r="F819" s="11"/>
      <c r="G819" s="11"/>
      <c r="H819" s="8"/>
      <c r="I819" s="8"/>
    </row>
    <row r="820" spans="1:9" x14ac:dyDescent="0.25">
      <c r="A820" s="11"/>
      <c r="B820" s="11"/>
      <c r="C820" s="11"/>
      <c r="D820" s="11"/>
      <c r="E820" s="11"/>
      <c r="F820" s="11"/>
      <c r="G820" s="11"/>
      <c r="H820" s="8"/>
      <c r="I820" s="8"/>
    </row>
    <row r="821" spans="1:9" x14ac:dyDescent="0.25">
      <c r="A821" s="11"/>
      <c r="B821" s="11"/>
      <c r="C821" s="11"/>
      <c r="D821" s="11"/>
      <c r="E821" s="11"/>
      <c r="F821" s="11"/>
      <c r="G821" s="11"/>
      <c r="H821" s="8"/>
      <c r="I821" s="8"/>
    </row>
    <row r="822" spans="1:9" x14ac:dyDescent="0.25">
      <c r="A822" s="11"/>
      <c r="B822" s="11"/>
      <c r="C822" s="11"/>
      <c r="D822" s="11"/>
      <c r="E822" s="11"/>
      <c r="F822" s="11"/>
      <c r="G822" s="11"/>
      <c r="H822" s="8"/>
      <c r="I822" s="8"/>
    </row>
    <row r="823" spans="1:9" x14ac:dyDescent="0.25">
      <c r="A823" s="11"/>
      <c r="B823" s="11"/>
      <c r="C823" s="11"/>
      <c r="D823" s="11"/>
      <c r="E823" s="11"/>
      <c r="F823" s="11"/>
      <c r="G823" s="11"/>
      <c r="H823" s="8"/>
      <c r="I823" s="8"/>
    </row>
    <row r="824" spans="1:9" x14ac:dyDescent="0.25">
      <c r="A824" s="11"/>
      <c r="B824" s="11"/>
      <c r="C824" s="11"/>
      <c r="D824" s="11"/>
      <c r="E824" s="11"/>
      <c r="F824" s="11"/>
      <c r="G824" s="11"/>
      <c r="H824" s="8"/>
      <c r="I824" s="8"/>
    </row>
    <row r="825" spans="1:9" x14ac:dyDescent="0.25">
      <c r="A825" s="11"/>
      <c r="B825" s="11"/>
      <c r="C825" s="11"/>
      <c r="D825" s="11"/>
      <c r="E825" s="11"/>
      <c r="F825" s="11"/>
      <c r="G825" s="11"/>
      <c r="H825" s="8"/>
      <c r="I825" s="8"/>
    </row>
    <row r="826" spans="1:9" x14ac:dyDescent="0.25">
      <c r="A826" s="11"/>
      <c r="B826" s="11"/>
      <c r="C826" s="11"/>
      <c r="D826" s="11"/>
      <c r="E826" s="11"/>
      <c r="F826" s="11"/>
      <c r="G826" s="11"/>
      <c r="H826" s="8"/>
      <c r="I826" s="8"/>
    </row>
    <row r="827" spans="1:9" x14ac:dyDescent="0.25">
      <c r="A827" s="11"/>
      <c r="B827" s="11"/>
      <c r="C827" s="11"/>
      <c r="D827" s="11"/>
      <c r="E827" s="11"/>
      <c r="F827" s="11"/>
      <c r="G827" s="11"/>
      <c r="H827" s="8"/>
      <c r="I827" s="8"/>
    </row>
    <row r="828" spans="1:9" x14ac:dyDescent="0.25">
      <c r="A828" s="11"/>
      <c r="B828" s="11"/>
      <c r="C828" s="11"/>
      <c r="D828" s="11"/>
      <c r="E828" s="11"/>
      <c r="F828" s="11"/>
      <c r="G828" s="11"/>
      <c r="H828" s="8"/>
      <c r="I828" s="8"/>
    </row>
    <row r="829" spans="1:9" x14ac:dyDescent="0.25">
      <c r="A829" s="11"/>
      <c r="B829" s="11"/>
      <c r="C829" s="11"/>
      <c r="D829" s="11"/>
      <c r="E829" s="11"/>
      <c r="F829" s="11"/>
      <c r="G829" s="11"/>
      <c r="H829" s="8"/>
      <c r="I829" s="8"/>
    </row>
    <row r="830" spans="1:9" x14ac:dyDescent="0.25">
      <c r="A830" s="11"/>
      <c r="B830" s="11"/>
      <c r="C830" s="11"/>
      <c r="D830" s="11"/>
      <c r="E830" s="11"/>
      <c r="F830" s="11"/>
      <c r="G830" s="11"/>
      <c r="H830" s="8"/>
      <c r="I830" s="8"/>
    </row>
    <row r="831" spans="1:9" x14ac:dyDescent="0.25">
      <c r="A831" s="11"/>
      <c r="B831" s="11"/>
      <c r="C831" s="11"/>
      <c r="D831" s="11"/>
      <c r="E831" s="11"/>
      <c r="F831" s="11"/>
      <c r="G831" s="11"/>
      <c r="H831" s="8"/>
      <c r="I831" s="8"/>
    </row>
    <row r="832" spans="1:9" x14ac:dyDescent="0.25">
      <c r="A832" s="11"/>
      <c r="B832" s="11"/>
      <c r="C832" s="11"/>
      <c r="D832" s="11"/>
      <c r="E832" s="11"/>
      <c r="F832" s="11"/>
      <c r="G832" s="11"/>
      <c r="H832" s="8"/>
      <c r="I832" s="8"/>
    </row>
    <row r="833" spans="1:9" x14ac:dyDescent="0.25">
      <c r="A833" s="11"/>
      <c r="B833" s="11"/>
      <c r="C833" s="11"/>
      <c r="D833" s="11"/>
      <c r="E833" s="11"/>
      <c r="F833" s="11"/>
      <c r="G833" s="11"/>
      <c r="H833" s="8"/>
      <c r="I833" s="8"/>
    </row>
    <row r="834" spans="1:9" x14ac:dyDescent="0.25">
      <c r="A834" s="11"/>
      <c r="B834" s="11"/>
      <c r="C834" s="11"/>
      <c r="D834" s="11"/>
      <c r="E834" s="11"/>
      <c r="F834" s="11"/>
      <c r="G834" s="11"/>
      <c r="H834" s="8"/>
      <c r="I834" s="8"/>
    </row>
    <row r="835" spans="1:9" x14ac:dyDescent="0.25">
      <c r="A835" s="11"/>
      <c r="B835" s="11"/>
      <c r="C835" s="11"/>
      <c r="D835" s="11"/>
      <c r="E835" s="11"/>
      <c r="F835" s="11"/>
      <c r="G835" s="11"/>
      <c r="H835" s="8"/>
      <c r="I835" s="8"/>
    </row>
    <row r="836" spans="1:9" x14ac:dyDescent="0.25">
      <c r="A836" s="11"/>
      <c r="B836" s="11"/>
      <c r="C836" s="11"/>
      <c r="D836" s="11"/>
      <c r="E836" s="11"/>
      <c r="F836" s="11"/>
      <c r="G836" s="11"/>
      <c r="H836" s="8"/>
      <c r="I836" s="8"/>
    </row>
    <row r="837" spans="1:9" x14ac:dyDescent="0.25">
      <c r="A837" s="11"/>
      <c r="B837" s="11"/>
      <c r="C837" s="11"/>
      <c r="D837" s="11"/>
      <c r="E837" s="11"/>
      <c r="F837" s="11"/>
      <c r="G837" s="11"/>
      <c r="H837" s="8"/>
      <c r="I837" s="8"/>
    </row>
    <row r="838" spans="1:9" x14ac:dyDescent="0.25">
      <c r="A838" s="11"/>
      <c r="B838" s="11"/>
      <c r="C838" s="11"/>
      <c r="D838" s="11"/>
      <c r="E838" s="11"/>
      <c r="F838" s="11"/>
      <c r="G838" s="11"/>
      <c r="H838" s="8"/>
      <c r="I838" s="8"/>
    </row>
    <row r="839" spans="1:9" x14ac:dyDescent="0.25">
      <c r="A839" s="11"/>
      <c r="B839" s="11"/>
      <c r="C839" s="11"/>
      <c r="D839" s="11"/>
      <c r="E839" s="11"/>
      <c r="F839" s="11"/>
      <c r="G839" s="11"/>
      <c r="H839" s="8"/>
      <c r="I839" s="8"/>
    </row>
    <row r="840" spans="1:9" x14ac:dyDescent="0.25">
      <c r="A840" s="11"/>
      <c r="B840" s="11"/>
      <c r="C840" s="11"/>
      <c r="D840" s="11"/>
      <c r="E840" s="11"/>
      <c r="F840" s="11"/>
      <c r="G840" s="11"/>
      <c r="H840" s="8"/>
      <c r="I840" s="8"/>
    </row>
    <row r="841" spans="1:9" x14ac:dyDescent="0.25">
      <c r="A841" s="11"/>
      <c r="B841" s="11"/>
      <c r="C841" s="11"/>
      <c r="D841" s="11"/>
      <c r="E841" s="11"/>
      <c r="F841" s="11"/>
      <c r="G841" s="11"/>
      <c r="H841" s="8"/>
      <c r="I841" s="8"/>
    </row>
    <row r="842" spans="1:9" x14ac:dyDescent="0.25">
      <c r="A842" s="11"/>
      <c r="B842" s="11"/>
      <c r="C842" s="11"/>
      <c r="D842" s="11"/>
      <c r="E842" s="11"/>
      <c r="F842" s="11"/>
      <c r="G842" s="11"/>
      <c r="H842" s="8"/>
      <c r="I842" s="8"/>
    </row>
    <row r="843" spans="1:9" x14ac:dyDescent="0.25">
      <c r="A843" s="11"/>
      <c r="B843" s="11"/>
      <c r="C843" s="11"/>
      <c r="D843" s="11"/>
      <c r="E843" s="11"/>
      <c r="F843" s="11"/>
      <c r="G843" s="11"/>
      <c r="H843" s="8"/>
      <c r="I843" s="8"/>
    </row>
    <row r="844" spans="1:9" x14ac:dyDescent="0.25">
      <c r="A844" s="11"/>
      <c r="B844" s="11"/>
      <c r="C844" s="11"/>
      <c r="D844" s="11"/>
      <c r="E844" s="11"/>
      <c r="F844" s="11"/>
      <c r="G844" s="11"/>
      <c r="H844" s="8"/>
      <c r="I844" s="8"/>
    </row>
    <row r="845" spans="1:9" x14ac:dyDescent="0.25">
      <c r="A845" s="11"/>
      <c r="B845" s="11"/>
      <c r="C845" s="11"/>
      <c r="D845" s="11"/>
      <c r="E845" s="11"/>
      <c r="F845" s="11"/>
      <c r="G845" s="11"/>
      <c r="H845" s="8"/>
      <c r="I845" s="8"/>
    </row>
    <row r="846" spans="1:9" x14ac:dyDescent="0.25">
      <c r="A846" s="11"/>
      <c r="B846" s="11"/>
      <c r="C846" s="11"/>
      <c r="D846" s="11"/>
      <c r="E846" s="11"/>
      <c r="F846" s="11"/>
      <c r="G846" s="11"/>
      <c r="H846" s="8"/>
      <c r="I846" s="8"/>
    </row>
    <row r="847" spans="1:9" x14ac:dyDescent="0.25">
      <c r="A847" s="11"/>
      <c r="B847" s="11"/>
      <c r="C847" s="11"/>
      <c r="D847" s="11"/>
      <c r="E847" s="11"/>
      <c r="F847" s="11"/>
      <c r="G847" s="11"/>
      <c r="H847" s="8"/>
      <c r="I847" s="8"/>
    </row>
    <row r="848" spans="1:9" x14ac:dyDescent="0.25">
      <c r="A848" s="11"/>
      <c r="B848" s="11"/>
      <c r="C848" s="11"/>
      <c r="D848" s="11"/>
      <c r="E848" s="11"/>
      <c r="F848" s="11"/>
      <c r="G848" s="11"/>
      <c r="H848" s="8"/>
      <c r="I848" s="8"/>
    </row>
    <row r="849" spans="1:9" x14ac:dyDescent="0.25">
      <c r="A849" s="11"/>
      <c r="B849" s="11"/>
      <c r="C849" s="11"/>
      <c r="D849" s="11"/>
      <c r="E849" s="11"/>
      <c r="F849" s="11"/>
      <c r="G849" s="11"/>
      <c r="H849" s="8"/>
      <c r="I849" s="8"/>
    </row>
    <row r="850" spans="1:9" x14ac:dyDescent="0.25">
      <c r="A850" s="11"/>
      <c r="B850" s="11"/>
      <c r="C850" s="11"/>
      <c r="D850" s="11"/>
      <c r="E850" s="11"/>
      <c r="F850" s="11"/>
      <c r="G850" s="11"/>
      <c r="H850" s="8"/>
      <c r="I850" s="8"/>
    </row>
    <row r="851" spans="1:9" x14ac:dyDescent="0.25">
      <c r="A851" s="11"/>
      <c r="B851" s="11"/>
      <c r="C851" s="11"/>
      <c r="D851" s="11"/>
      <c r="E851" s="11"/>
      <c r="F851" s="11"/>
      <c r="G851" s="11"/>
      <c r="H851" s="8"/>
      <c r="I851" s="8"/>
    </row>
    <row r="852" spans="1:9" x14ac:dyDescent="0.25">
      <c r="A852" s="11"/>
      <c r="B852" s="11"/>
      <c r="C852" s="11"/>
      <c r="D852" s="11"/>
      <c r="E852" s="11"/>
      <c r="F852" s="11"/>
      <c r="G852" s="11"/>
      <c r="H852" s="8"/>
      <c r="I852" s="8"/>
    </row>
    <row r="853" spans="1:9" x14ac:dyDescent="0.25">
      <c r="A853" s="11"/>
      <c r="B853" s="11"/>
      <c r="C853" s="11"/>
      <c r="D853" s="11"/>
      <c r="E853" s="11"/>
      <c r="F853" s="11"/>
      <c r="G853" s="11"/>
      <c r="H853" s="8"/>
      <c r="I853" s="8"/>
    </row>
    <row r="854" spans="1:9" x14ac:dyDescent="0.25">
      <c r="A854" s="11"/>
      <c r="B854" s="11"/>
      <c r="C854" s="11"/>
      <c r="D854" s="11"/>
      <c r="E854" s="11"/>
      <c r="F854" s="11"/>
      <c r="G854" s="11"/>
      <c r="H854" s="8"/>
      <c r="I854" s="8"/>
    </row>
    <row r="855" spans="1:9" x14ac:dyDescent="0.25">
      <c r="A855" s="11"/>
      <c r="B855" s="11"/>
      <c r="C855" s="11"/>
      <c r="D855" s="11"/>
      <c r="E855" s="11"/>
      <c r="F855" s="11"/>
      <c r="G855" s="11"/>
      <c r="H855" s="8"/>
      <c r="I855" s="8"/>
    </row>
    <row r="856" spans="1:9" x14ac:dyDescent="0.25">
      <c r="A856" s="11"/>
      <c r="B856" s="11"/>
      <c r="C856" s="11"/>
      <c r="D856" s="11"/>
      <c r="E856" s="11"/>
      <c r="F856" s="11"/>
      <c r="G856" s="11"/>
      <c r="H856" s="8"/>
      <c r="I856" s="8"/>
    </row>
    <row r="857" spans="1:9" x14ac:dyDescent="0.25">
      <c r="A857" s="11"/>
      <c r="B857" s="11"/>
      <c r="C857" s="11"/>
      <c r="D857" s="11"/>
      <c r="E857" s="11"/>
      <c r="F857" s="11"/>
      <c r="G857" s="11"/>
      <c r="H857" s="8"/>
      <c r="I857" s="8"/>
    </row>
    <row r="858" spans="1:9" x14ac:dyDescent="0.25">
      <c r="A858" s="11"/>
      <c r="B858" s="11"/>
      <c r="C858" s="11"/>
      <c r="D858" s="11"/>
      <c r="E858" s="11"/>
      <c r="F858" s="11"/>
      <c r="G858" s="11"/>
      <c r="H858" s="8"/>
      <c r="I858" s="8"/>
    </row>
    <row r="859" spans="1:9" x14ac:dyDescent="0.25">
      <c r="A859" s="11"/>
      <c r="B859" s="11"/>
      <c r="C859" s="11"/>
      <c r="D859" s="11"/>
      <c r="E859" s="11"/>
      <c r="F859" s="11"/>
      <c r="G859" s="11"/>
      <c r="H859" s="8"/>
      <c r="I859" s="8"/>
    </row>
    <row r="860" spans="1:9" x14ac:dyDescent="0.25">
      <c r="A860" s="11"/>
      <c r="B860" s="11"/>
      <c r="C860" s="11"/>
      <c r="D860" s="11"/>
      <c r="E860" s="11"/>
      <c r="F860" s="11"/>
      <c r="G860" s="11"/>
      <c r="H860" s="8"/>
      <c r="I860" s="8"/>
    </row>
    <row r="861" spans="1:9" x14ac:dyDescent="0.25">
      <c r="A861" s="11"/>
      <c r="B861" s="11"/>
      <c r="C861" s="11"/>
      <c r="D861" s="11"/>
      <c r="E861" s="11"/>
      <c r="F861" s="11"/>
      <c r="G861" s="11"/>
      <c r="H861" s="8"/>
      <c r="I861" s="8"/>
    </row>
    <row r="862" spans="1:9" x14ac:dyDescent="0.25">
      <c r="A862" s="11"/>
      <c r="B862" s="11"/>
      <c r="C862" s="11"/>
      <c r="D862" s="11"/>
      <c r="E862" s="11"/>
      <c r="F862" s="11"/>
      <c r="G862" s="11"/>
      <c r="H862" s="8"/>
      <c r="I862" s="8"/>
    </row>
    <row r="863" spans="1:9" x14ac:dyDescent="0.25">
      <c r="A863" s="11"/>
      <c r="B863" s="11"/>
      <c r="C863" s="11"/>
      <c r="D863" s="11"/>
      <c r="E863" s="11"/>
      <c r="F863" s="11"/>
      <c r="G863" s="11"/>
      <c r="H863" s="8"/>
      <c r="I863" s="8"/>
    </row>
    <row r="864" spans="1:9" x14ac:dyDescent="0.25">
      <c r="A864" s="11"/>
      <c r="B864" s="11"/>
      <c r="C864" s="11"/>
      <c r="D864" s="11"/>
      <c r="E864" s="11"/>
      <c r="F864" s="11"/>
      <c r="G864" s="11"/>
      <c r="H864" s="8"/>
      <c r="I864" s="8"/>
    </row>
    <row r="865" spans="1:9" x14ac:dyDescent="0.25">
      <c r="A865" s="11"/>
      <c r="B865" s="11"/>
      <c r="C865" s="11"/>
      <c r="D865" s="11"/>
      <c r="E865" s="11"/>
      <c r="F865" s="11"/>
      <c r="G865" s="11"/>
      <c r="H865" s="8"/>
      <c r="I865" s="8"/>
    </row>
    <row r="866" spans="1:9" x14ac:dyDescent="0.25">
      <c r="A866" s="11"/>
      <c r="B866" s="11"/>
      <c r="C866" s="11"/>
      <c r="D866" s="11"/>
      <c r="E866" s="11"/>
      <c r="F866" s="11"/>
      <c r="G866" s="11"/>
      <c r="H866" s="8"/>
      <c r="I866" s="8"/>
    </row>
    <row r="867" spans="1:9" x14ac:dyDescent="0.25">
      <c r="A867" s="11"/>
      <c r="B867" s="11"/>
      <c r="C867" s="11"/>
      <c r="D867" s="11"/>
      <c r="E867" s="11"/>
      <c r="F867" s="11"/>
      <c r="G867" s="11"/>
      <c r="H867" s="8"/>
      <c r="I867" s="8"/>
    </row>
    <row r="868" spans="1:9" x14ac:dyDescent="0.25">
      <c r="A868" s="11"/>
      <c r="B868" s="11"/>
      <c r="C868" s="11"/>
      <c r="D868" s="11"/>
      <c r="E868" s="11"/>
      <c r="F868" s="11"/>
      <c r="G868" s="11"/>
      <c r="H868" s="8"/>
      <c r="I868" s="8"/>
    </row>
    <row r="869" spans="1:9" x14ac:dyDescent="0.25">
      <c r="A869" s="11"/>
      <c r="B869" s="11"/>
      <c r="C869" s="11"/>
      <c r="D869" s="11"/>
      <c r="E869" s="11"/>
      <c r="F869" s="11"/>
      <c r="G869" s="11"/>
      <c r="H869" s="8"/>
      <c r="I869" s="8"/>
    </row>
    <row r="870" spans="1:9" x14ac:dyDescent="0.25">
      <c r="A870" s="11"/>
      <c r="B870" s="11"/>
      <c r="C870" s="11"/>
      <c r="D870" s="11"/>
      <c r="E870" s="11"/>
      <c r="F870" s="11"/>
      <c r="G870" s="11"/>
      <c r="H870" s="8"/>
      <c r="I870" s="8"/>
    </row>
    <row r="871" spans="1:9" x14ac:dyDescent="0.25">
      <c r="A871" s="11"/>
      <c r="B871" s="11"/>
      <c r="C871" s="11"/>
      <c r="D871" s="11"/>
      <c r="E871" s="11"/>
      <c r="F871" s="11"/>
      <c r="G871" s="11"/>
      <c r="H871" s="8"/>
      <c r="I871" s="8"/>
    </row>
    <row r="872" spans="1:9" x14ac:dyDescent="0.25">
      <c r="A872" s="11"/>
      <c r="B872" s="11"/>
      <c r="C872" s="11"/>
      <c r="D872" s="11"/>
      <c r="E872" s="11"/>
      <c r="F872" s="11"/>
      <c r="G872" s="11"/>
      <c r="H872" s="8"/>
      <c r="I872" s="8"/>
    </row>
    <row r="873" spans="1:9" x14ac:dyDescent="0.25">
      <c r="A873" s="11"/>
      <c r="B873" s="11"/>
      <c r="C873" s="11"/>
      <c r="D873" s="11"/>
      <c r="E873" s="11"/>
      <c r="F873" s="11"/>
      <c r="G873" s="11"/>
      <c r="H873" s="8"/>
      <c r="I873" s="8"/>
    </row>
    <row r="874" spans="1:9" x14ac:dyDescent="0.25">
      <c r="A874" s="11"/>
      <c r="B874" s="11"/>
      <c r="C874" s="11"/>
      <c r="D874" s="11"/>
      <c r="E874" s="11"/>
      <c r="F874" s="11"/>
      <c r="G874" s="11"/>
      <c r="H874" s="8"/>
      <c r="I874" s="8"/>
    </row>
    <row r="875" spans="1:9" x14ac:dyDescent="0.25">
      <c r="A875" s="11"/>
      <c r="B875" s="11"/>
      <c r="C875" s="11"/>
      <c r="D875" s="11"/>
      <c r="E875" s="11"/>
      <c r="F875" s="11"/>
      <c r="G875" s="11"/>
      <c r="H875" s="8"/>
      <c r="I875" s="8"/>
    </row>
    <row r="876" spans="1:9" x14ac:dyDescent="0.25">
      <c r="A876" s="11"/>
      <c r="B876" s="11"/>
      <c r="C876" s="11"/>
      <c r="D876" s="11"/>
      <c r="E876" s="11"/>
      <c r="F876" s="11"/>
      <c r="G876" s="11"/>
      <c r="H876" s="8"/>
      <c r="I876" s="8"/>
    </row>
    <row r="877" spans="1:9" x14ac:dyDescent="0.25">
      <c r="A877" s="11"/>
      <c r="B877" s="11"/>
      <c r="C877" s="11"/>
      <c r="D877" s="11"/>
      <c r="E877" s="11"/>
      <c r="F877" s="11"/>
      <c r="G877" s="11"/>
      <c r="H877" s="8"/>
      <c r="I877" s="8"/>
    </row>
    <row r="878" spans="1:9" x14ac:dyDescent="0.25">
      <c r="A878" s="11"/>
      <c r="B878" s="11"/>
      <c r="C878" s="11"/>
      <c r="D878" s="11"/>
      <c r="E878" s="11"/>
      <c r="F878" s="11"/>
      <c r="G878" s="11"/>
      <c r="H878" s="8"/>
      <c r="I878" s="8"/>
    </row>
    <row r="879" spans="1:9" x14ac:dyDescent="0.25">
      <c r="A879" s="11"/>
      <c r="B879" s="11"/>
      <c r="C879" s="11"/>
      <c r="D879" s="11"/>
      <c r="E879" s="11"/>
      <c r="F879" s="11"/>
      <c r="G879" s="11"/>
      <c r="H879" s="8"/>
      <c r="I879" s="8"/>
    </row>
    <row r="880" spans="1:9" x14ac:dyDescent="0.25">
      <c r="A880" s="11"/>
      <c r="B880" s="11"/>
      <c r="C880" s="11"/>
      <c r="D880" s="11"/>
      <c r="E880" s="11"/>
      <c r="F880" s="11"/>
      <c r="G880" s="11"/>
      <c r="H880" s="8"/>
      <c r="I880" s="8"/>
    </row>
    <row r="881" spans="1:9" x14ac:dyDescent="0.25">
      <c r="A881" s="11"/>
      <c r="B881" s="11"/>
      <c r="C881" s="11"/>
      <c r="D881" s="11"/>
      <c r="E881" s="11"/>
      <c r="F881" s="11"/>
      <c r="G881" s="11"/>
      <c r="H881" s="8"/>
      <c r="I881" s="8"/>
    </row>
    <row r="882" spans="1:9" x14ac:dyDescent="0.25">
      <c r="A882" s="11"/>
      <c r="B882" s="11"/>
      <c r="C882" s="11"/>
      <c r="D882" s="11"/>
      <c r="E882" s="11"/>
      <c r="F882" s="11"/>
      <c r="G882" s="11"/>
      <c r="H882" s="8"/>
      <c r="I882" s="8"/>
    </row>
    <row r="883" spans="1:9" x14ac:dyDescent="0.25">
      <c r="A883" s="11"/>
      <c r="B883" s="11"/>
      <c r="C883" s="11"/>
      <c r="D883" s="11"/>
      <c r="E883" s="11"/>
      <c r="F883" s="11"/>
      <c r="G883" s="11"/>
      <c r="H883" s="8"/>
      <c r="I883" s="8"/>
    </row>
    <row r="884" spans="1:9" x14ac:dyDescent="0.25">
      <c r="A884" s="11"/>
      <c r="B884" s="11"/>
      <c r="C884" s="11"/>
      <c r="D884" s="11"/>
      <c r="E884" s="11"/>
      <c r="F884" s="11"/>
      <c r="G884" s="11"/>
      <c r="H884" s="8"/>
      <c r="I884" s="8"/>
    </row>
    <row r="885" spans="1:9" x14ac:dyDescent="0.25">
      <c r="A885" s="11"/>
      <c r="B885" s="11"/>
      <c r="C885" s="11"/>
      <c r="D885" s="11"/>
      <c r="E885" s="11"/>
      <c r="F885" s="11"/>
      <c r="G885" s="11"/>
      <c r="H885" s="8"/>
      <c r="I885" s="8"/>
    </row>
    <row r="886" spans="1:9" x14ac:dyDescent="0.25">
      <c r="A886" s="11"/>
      <c r="B886" s="11"/>
      <c r="C886" s="11"/>
      <c r="D886" s="11"/>
      <c r="E886" s="11"/>
      <c r="F886" s="11"/>
      <c r="G886" s="11"/>
      <c r="H886" s="8"/>
      <c r="I886" s="8"/>
    </row>
    <row r="887" spans="1:9" x14ac:dyDescent="0.25">
      <c r="A887" s="11"/>
      <c r="B887" s="11"/>
      <c r="C887" s="11"/>
      <c r="D887" s="11"/>
      <c r="E887" s="11"/>
      <c r="F887" s="11"/>
      <c r="G887" s="11"/>
      <c r="H887" s="8"/>
      <c r="I887" s="8"/>
    </row>
    <row r="888" spans="1:9" x14ac:dyDescent="0.25">
      <c r="A888" s="11"/>
      <c r="B888" s="11"/>
      <c r="C888" s="11"/>
      <c r="D888" s="11"/>
      <c r="E888" s="11"/>
      <c r="F888" s="11"/>
      <c r="G888" s="11"/>
      <c r="H888" s="8"/>
      <c r="I888" s="8"/>
    </row>
    <row r="889" spans="1:9" x14ac:dyDescent="0.25">
      <c r="A889" s="11"/>
      <c r="B889" s="11"/>
      <c r="C889" s="11"/>
      <c r="D889" s="11"/>
      <c r="E889" s="11"/>
      <c r="F889" s="11"/>
      <c r="G889" s="11"/>
      <c r="H889" s="8"/>
      <c r="I889" s="8"/>
    </row>
    <row r="890" spans="1:9" x14ac:dyDescent="0.25">
      <c r="A890" s="11"/>
      <c r="B890" s="11"/>
      <c r="C890" s="11"/>
      <c r="D890" s="11"/>
      <c r="E890" s="11"/>
      <c r="F890" s="11"/>
      <c r="G890" s="11"/>
      <c r="H890" s="8"/>
      <c r="I890" s="8"/>
    </row>
    <row r="891" spans="1:9" x14ac:dyDescent="0.25">
      <c r="A891" s="11"/>
      <c r="B891" s="11"/>
      <c r="C891" s="11"/>
      <c r="D891" s="11"/>
      <c r="E891" s="11"/>
      <c r="F891" s="11"/>
      <c r="G891" s="11"/>
      <c r="H891" s="8"/>
      <c r="I891" s="8"/>
    </row>
    <row r="892" spans="1:9" x14ac:dyDescent="0.25">
      <c r="A892" s="11"/>
      <c r="B892" s="11"/>
      <c r="C892" s="11"/>
      <c r="D892" s="11"/>
      <c r="E892" s="11"/>
      <c r="F892" s="11"/>
      <c r="G892" s="11"/>
      <c r="H892" s="8"/>
      <c r="I892" s="8"/>
    </row>
    <row r="893" spans="1:9" x14ac:dyDescent="0.25">
      <c r="A893" s="11"/>
      <c r="B893" s="11"/>
      <c r="C893" s="11"/>
      <c r="D893" s="11"/>
      <c r="E893" s="11"/>
      <c r="F893" s="11"/>
      <c r="G893" s="11"/>
      <c r="H893" s="8"/>
      <c r="I893" s="8"/>
    </row>
    <row r="894" spans="1:9" x14ac:dyDescent="0.25">
      <c r="A894" s="11"/>
      <c r="B894" s="11"/>
      <c r="C894" s="11"/>
      <c r="D894" s="11"/>
      <c r="E894" s="11"/>
      <c r="F894" s="11"/>
      <c r="G894" s="11"/>
      <c r="H894" s="8"/>
      <c r="I894" s="8"/>
    </row>
    <row r="895" spans="1:9" x14ac:dyDescent="0.25">
      <c r="A895" s="11"/>
      <c r="B895" s="11"/>
      <c r="C895" s="11"/>
      <c r="D895" s="11"/>
      <c r="E895" s="11"/>
      <c r="F895" s="11"/>
      <c r="G895" s="11"/>
      <c r="H895" s="8"/>
      <c r="I895" s="8"/>
    </row>
    <row r="896" spans="1:9" x14ac:dyDescent="0.25">
      <c r="A896" s="11"/>
      <c r="B896" s="11"/>
      <c r="C896" s="11"/>
      <c r="D896" s="11"/>
      <c r="E896" s="11"/>
      <c r="F896" s="11"/>
      <c r="G896" s="11"/>
      <c r="H896" s="8"/>
      <c r="I896" s="8"/>
    </row>
    <row r="897" spans="1:9" x14ac:dyDescent="0.25">
      <c r="A897" s="11"/>
      <c r="B897" s="11"/>
      <c r="C897" s="11"/>
      <c r="D897" s="11"/>
      <c r="E897" s="11"/>
      <c r="F897" s="11"/>
      <c r="G897" s="11"/>
      <c r="H897" s="8"/>
      <c r="I897" s="8"/>
    </row>
    <row r="898" spans="1:9" x14ac:dyDescent="0.25">
      <c r="A898" s="11"/>
      <c r="B898" s="11"/>
      <c r="C898" s="11"/>
      <c r="D898" s="11"/>
      <c r="E898" s="11"/>
      <c r="F898" s="11"/>
      <c r="G898" s="11"/>
      <c r="H898" s="8"/>
      <c r="I898" s="8"/>
    </row>
    <row r="899" spans="1:9" x14ac:dyDescent="0.25">
      <c r="A899" s="11"/>
      <c r="B899" s="11"/>
      <c r="C899" s="11"/>
      <c r="D899" s="11"/>
      <c r="E899" s="11"/>
      <c r="F899" s="11"/>
      <c r="G899" s="11"/>
      <c r="H899" s="8"/>
      <c r="I899" s="8"/>
    </row>
    <row r="900" spans="1:9" x14ac:dyDescent="0.25">
      <c r="A900" s="11"/>
      <c r="B900" s="11"/>
      <c r="C900" s="11"/>
      <c r="D900" s="11"/>
      <c r="E900" s="11"/>
      <c r="F900" s="11"/>
      <c r="G900" s="11"/>
      <c r="H900" s="8"/>
      <c r="I900" s="8"/>
    </row>
    <row r="901" spans="1:9" x14ac:dyDescent="0.25">
      <c r="A901" s="11"/>
      <c r="B901" s="11"/>
      <c r="C901" s="11"/>
      <c r="D901" s="11"/>
      <c r="E901" s="11"/>
      <c r="F901" s="11"/>
      <c r="G901" s="11"/>
      <c r="H901" s="8"/>
      <c r="I901" s="8"/>
    </row>
    <row r="902" spans="1:9" x14ac:dyDescent="0.25">
      <c r="A902" s="11"/>
      <c r="B902" s="11"/>
      <c r="C902" s="11"/>
      <c r="D902" s="11"/>
      <c r="E902" s="11"/>
      <c r="F902" s="11"/>
      <c r="G902" s="11"/>
      <c r="H902" s="8"/>
      <c r="I902" s="8"/>
    </row>
    <row r="903" spans="1:9" x14ac:dyDescent="0.25">
      <c r="A903" s="11"/>
      <c r="B903" s="11"/>
      <c r="C903" s="11"/>
      <c r="D903" s="11"/>
      <c r="E903" s="11"/>
      <c r="F903" s="11"/>
      <c r="G903" s="11"/>
      <c r="H903" s="8"/>
      <c r="I903" s="8"/>
    </row>
    <row r="904" spans="1:9" x14ac:dyDescent="0.25">
      <c r="A904" s="11"/>
      <c r="B904" s="11"/>
      <c r="C904" s="11"/>
      <c r="D904" s="11"/>
      <c r="E904" s="11"/>
      <c r="F904" s="11"/>
      <c r="G904" s="11"/>
      <c r="H904" s="8"/>
      <c r="I904" s="8"/>
    </row>
    <row r="905" spans="1:9" x14ac:dyDescent="0.25">
      <c r="A905" s="11"/>
      <c r="B905" s="11"/>
      <c r="C905" s="11"/>
      <c r="D905" s="11"/>
      <c r="E905" s="11"/>
      <c r="F905" s="11"/>
      <c r="G905" s="11"/>
      <c r="H905" s="8"/>
      <c r="I905" s="8"/>
    </row>
    <row r="906" spans="1:9" x14ac:dyDescent="0.25">
      <c r="A906" s="11"/>
      <c r="B906" s="11"/>
      <c r="C906" s="11"/>
      <c r="D906" s="11"/>
      <c r="E906" s="11"/>
      <c r="F906" s="11"/>
      <c r="G906" s="11"/>
      <c r="H906" s="8"/>
      <c r="I906" s="8"/>
    </row>
    <row r="907" spans="1:9" x14ac:dyDescent="0.25">
      <c r="A907" s="11"/>
      <c r="B907" s="11"/>
      <c r="C907" s="11"/>
      <c r="D907" s="11"/>
      <c r="E907" s="11"/>
      <c r="F907" s="11"/>
      <c r="G907" s="11"/>
      <c r="H907" s="8"/>
      <c r="I907" s="8"/>
    </row>
    <row r="908" spans="1:9" x14ac:dyDescent="0.25">
      <c r="A908" s="11"/>
      <c r="B908" s="11"/>
      <c r="C908" s="11"/>
      <c r="D908" s="11"/>
      <c r="E908" s="11"/>
      <c r="F908" s="11"/>
      <c r="G908" s="11"/>
      <c r="H908" s="8"/>
      <c r="I908" s="8"/>
    </row>
    <row r="909" spans="1:9" x14ac:dyDescent="0.25">
      <c r="A909" s="11"/>
      <c r="B909" s="11"/>
      <c r="C909" s="11"/>
      <c r="D909" s="11"/>
      <c r="E909" s="11"/>
      <c r="F909" s="11"/>
      <c r="G909" s="11"/>
      <c r="H909" s="8"/>
      <c r="I909" s="8"/>
    </row>
    <row r="910" spans="1:9" x14ac:dyDescent="0.25">
      <c r="A910" s="11"/>
      <c r="B910" s="11"/>
      <c r="C910" s="11"/>
      <c r="D910" s="11"/>
      <c r="E910" s="11"/>
      <c r="F910" s="11"/>
      <c r="G910" s="11"/>
      <c r="H910" s="8"/>
      <c r="I910" s="8"/>
    </row>
    <row r="911" spans="1:9" x14ac:dyDescent="0.25">
      <c r="A911" s="11"/>
      <c r="B911" s="11"/>
      <c r="C911" s="11"/>
      <c r="D911" s="11"/>
      <c r="E911" s="11"/>
      <c r="F911" s="11"/>
      <c r="G911" s="11"/>
      <c r="H911" s="8"/>
      <c r="I911" s="8"/>
    </row>
    <row r="912" spans="1:9" x14ac:dyDescent="0.25">
      <c r="A912" s="11"/>
      <c r="B912" s="11"/>
      <c r="C912" s="11"/>
      <c r="D912" s="11"/>
      <c r="E912" s="11"/>
      <c r="F912" s="11"/>
      <c r="G912" s="11"/>
      <c r="H912" s="8"/>
      <c r="I912" s="8"/>
    </row>
    <row r="913" spans="1:9" x14ac:dyDescent="0.25">
      <c r="A913" s="11"/>
      <c r="B913" s="11"/>
      <c r="C913" s="11"/>
      <c r="D913" s="11"/>
      <c r="E913" s="11"/>
      <c r="F913" s="11"/>
      <c r="G913" s="11"/>
      <c r="H913" s="8"/>
      <c r="I913" s="8"/>
    </row>
    <row r="914" spans="1:9" x14ac:dyDescent="0.25">
      <c r="A914" s="11"/>
      <c r="B914" s="11"/>
      <c r="C914" s="11"/>
      <c r="D914" s="11"/>
      <c r="E914" s="11"/>
      <c r="F914" s="11"/>
      <c r="G914" s="11"/>
      <c r="H914" s="8"/>
      <c r="I914" s="8"/>
    </row>
    <row r="915" spans="1:9" x14ac:dyDescent="0.25">
      <c r="A915" s="11"/>
      <c r="B915" s="11"/>
      <c r="C915" s="11"/>
      <c r="D915" s="11"/>
      <c r="E915" s="11"/>
      <c r="F915" s="11"/>
      <c r="G915" s="11"/>
      <c r="H915" s="8"/>
      <c r="I915" s="8"/>
    </row>
    <row r="916" spans="1:9" x14ac:dyDescent="0.25">
      <c r="A916" s="11"/>
      <c r="B916" s="11"/>
      <c r="C916" s="11"/>
      <c r="D916" s="11"/>
      <c r="E916" s="11"/>
      <c r="F916" s="11"/>
      <c r="G916" s="11"/>
      <c r="H916" s="8"/>
      <c r="I916" s="8"/>
    </row>
    <row r="917" spans="1:9" x14ac:dyDescent="0.25">
      <c r="A917" s="11"/>
      <c r="B917" s="11"/>
      <c r="C917" s="11"/>
      <c r="D917" s="11"/>
      <c r="E917" s="11"/>
      <c r="F917" s="11"/>
      <c r="G917" s="11"/>
      <c r="H917" s="8"/>
      <c r="I917" s="8"/>
    </row>
    <row r="918" spans="1:9" x14ac:dyDescent="0.25">
      <c r="A918" s="11"/>
      <c r="B918" s="11"/>
      <c r="C918" s="11"/>
      <c r="D918" s="11"/>
      <c r="E918" s="11"/>
      <c r="F918" s="11"/>
      <c r="G918" s="11"/>
      <c r="H918" s="8"/>
      <c r="I918" s="8"/>
    </row>
    <row r="919" spans="1:9" x14ac:dyDescent="0.25">
      <c r="A919" s="11"/>
      <c r="B919" s="11"/>
      <c r="C919" s="11"/>
      <c r="D919" s="11"/>
      <c r="E919" s="11"/>
      <c r="F919" s="11"/>
      <c r="G919" s="11"/>
      <c r="H919" s="8"/>
      <c r="I919" s="8"/>
    </row>
    <row r="920" spans="1:9" x14ac:dyDescent="0.25">
      <c r="A920" s="11"/>
      <c r="B920" s="11"/>
      <c r="C920" s="11"/>
      <c r="D920" s="11"/>
      <c r="E920" s="11"/>
      <c r="F920" s="11"/>
      <c r="G920" s="11"/>
      <c r="H920" s="8"/>
      <c r="I920" s="8"/>
    </row>
    <row r="921" spans="1:9" x14ac:dyDescent="0.25">
      <c r="A921" s="11"/>
      <c r="B921" s="11"/>
      <c r="C921" s="11"/>
      <c r="D921" s="11"/>
      <c r="E921" s="11"/>
      <c r="F921" s="11"/>
      <c r="G921" s="11"/>
      <c r="H921" s="8"/>
      <c r="I921" s="8"/>
    </row>
    <row r="922" spans="1:9" x14ac:dyDescent="0.25">
      <c r="A922" s="11"/>
      <c r="B922" s="11"/>
      <c r="C922" s="11"/>
      <c r="D922" s="11"/>
      <c r="E922" s="11"/>
      <c r="F922" s="11"/>
      <c r="G922" s="11"/>
      <c r="H922" s="8"/>
      <c r="I922" s="8"/>
    </row>
    <row r="923" spans="1:9" x14ac:dyDescent="0.25">
      <c r="A923" s="11"/>
      <c r="B923" s="11"/>
      <c r="C923" s="11"/>
      <c r="D923" s="11"/>
      <c r="E923" s="11"/>
      <c r="F923" s="11"/>
      <c r="G923" s="11"/>
      <c r="H923" s="8"/>
      <c r="I923" s="8"/>
    </row>
    <row r="924" spans="1:9" x14ac:dyDescent="0.25">
      <c r="A924" s="11"/>
      <c r="B924" s="11"/>
      <c r="C924" s="11"/>
      <c r="D924" s="11"/>
      <c r="E924" s="11"/>
      <c r="F924" s="11"/>
      <c r="G924" s="11"/>
      <c r="H924" s="8"/>
      <c r="I924" s="8"/>
    </row>
    <row r="925" spans="1:9" x14ac:dyDescent="0.25">
      <c r="A925" s="11"/>
      <c r="B925" s="11"/>
      <c r="C925" s="11"/>
      <c r="D925" s="11"/>
      <c r="E925" s="11"/>
      <c r="F925" s="11"/>
      <c r="G925" s="11"/>
      <c r="H925" s="8"/>
      <c r="I925" s="8"/>
    </row>
    <row r="926" spans="1:9" x14ac:dyDescent="0.25">
      <c r="A926" s="11"/>
      <c r="B926" s="11"/>
      <c r="C926" s="11"/>
      <c r="D926" s="11"/>
      <c r="E926" s="11"/>
      <c r="F926" s="11"/>
      <c r="G926" s="11"/>
      <c r="H926" s="8"/>
      <c r="I926" s="8"/>
    </row>
    <row r="927" spans="1:9" x14ac:dyDescent="0.25">
      <c r="A927" s="11"/>
      <c r="B927" s="11"/>
      <c r="C927" s="11"/>
      <c r="D927" s="11"/>
      <c r="E927" s="11"/>
      <c r="F927" s="11"/>
      <c r="G927" s="11"/>
      <c r="H927" s="8"/>
      <c r="I927" s="8"/>
    </row>
    <row r="928" spans="1:9" x14ac:dyDescent="0.25">
      <c r="A928" s="11"/>
      <c r="B928" s="11"/>
      <c r="C928" s="11"/>
      <c r="D928" s="11"/>
      <c r="E928" s="11"/>
      <c r="F928" s="11"/>
      <c r="G928" s="11"/>
      <c r="H928" s="8"/>
      <c r="I928" s="8"/>
    </row>
    <row r="929" spans="1:9" x14ac:dyDescent="0.25">
      <c r="A929" s="11"/>
      <c r="B929" s="11"/>
      <c r="C929" s="11"/>
      <c r="D929" s="11"/>
      <c r="E929" s="11"/>
      <c r="F929" s="11"/>
      <c r="G929" s="11"/>
      <c r="H929" s="8"/>
      <c r="I929" s="8"/>
    </row>
    <row r="930" spans="1:9" x14ac:dyDescent="0.25">
      <c r="A930" s="11"/>
      <c r="B930" s="11"/>
      <c r="C930" s="11"/>
      <c r="D930" s="11"/>
      <c r="E930" s="11"/>
      <c r="F930" s="11"/>
      <c r="G930" s="11"/>
      <c r="H930" s="8"/>
      <c r="I930" s="8"/>
    </row>
    <row r="931" spans="1:9" x14ac:dyDescent="0.25">
      <c r="A931" s="11"/>
      <c r="B931" s="11"/>
      <c r="C931" s="11"/>
      <c r="D931" s="11"/>
      <c r="E931" s="11"/>
      <c r="F931" s="11"/>
      <c r="G931" s="11"/>
      <c r="H931" s="8"/>
      <c r="I931" s="8"/>
    </row>
    <row r="932" spans="1:9" x14ac:dyDescent="0.25">
      <c r="A932" s="11"/>
      <c r="B932" s="11"/>
      <c r="C932" s="11"/>
      <c r="D932" s="11"/>
      <c r="E932" s="11"/>
      <c r="F932" s="11"/>
      <c r="G932" s="11"/>
      <c r="H932" s="8"/>
      <c r="I932" s="8"/>
    </row>
    <row r="933" spans="1:9" x14ac:dyDescent="0.25">
      <c r="A933" s="11"/>
      <c r="B933" s="11"/>
      <c r="C933" s="11"/>
      <c r="D933" s="11"/>
      <c r="E933" s="11"/>
      <c r="F933" s="11"/>
      <c r="G933" s="11"/>
      <c r="H933" s="8"/>
      <c r="I933" s="8"/>
    </row>
    <row r="934" spans="1:9" x14ac:dyDescent="0.25">
      <c r="A934" s="11"/>
      <c r="B934" s="11"/>
      <c r="C934" s="11"/>
      <c r="D934" s="11"/>
      <c r="E934" s="11"/>
      <c r="F934" s="11"/>
      <c r="G934" s="11"/>
      <c r="H934" s="8"/>
      <c r="I934" s="8"/>
    </row>
    <row r="935" spans="1:9" x14ac:dyDescent="0.25">
      <c r="A935" s="11"/>
      <c r="B935" s="11"/>
      <c r="C935" s="11"/>
      <c r="D935" s="11"/>
      <c r="E935" s="11"/>
      <c r="F935" s="11"/>
      <c r="G935" s="11"/>
      <c r="H935" s="8"/>
      <c r="I935" s="8"/>
    </row>
    <row r="936" spans="1:9" x14ac:dyDescent="0.25">
      <c r="A936" s="11"/>
      <c r="B936" s="11"/>
      <c r="C936" s="11"/>
      <c r="D936" s="11"/>
      <c r="E936" s="11"/>
      <c r="F936" s="11"/>
      <c r="G936" s="11"/>
      <c r="H936" s="8"/>
      <c r="I936" s="8"/>
    </row>
    <row r="937" spans="1:9" x14ac:dyDescent="0.25">
      <c r="A937" s="11"/>
      <c r="B937" s="11"/>
      <c r="C937" s="11"/>
      <c r="D937" s="11"/>
      <c r="E937" s="11"/>
      <c r="F937" s="11"/>
      <c r="G937" s="11"/>
      <c r="H937" s="8"/>
      <c r="I937" s="8"/>
    </row>
    <row r="938" spans="1:9" x14ac:dyDescent="0.25">
      <c r="A938" s="11"/>
      <c r="B938" s="11"/>
      <c r="C938" s="11"/>
      <c r="D938" s="11"/>
      <c r="E938" s="11"/>
      <c r="F938" s="11"/>
      <c r="G938" s="11"/>
      <c r="H938" s="8"/>
      <c r="I938" s="8"/>
    </row>
    <row r="939" spans="1:9" x14ac:dyDescent="0.25">
      <c r="A939" s="11"/>
      <c r="B939" s="11"/>
      <c r="C939" s="11"/>
      <c r="D939" s="11"/>
      <c r="E939" s="11"/>
      <c r="F939" s="11"/>
      <c r="G939" s="11"/>
      <c r="H939" s="8"/>
      <c r="I939" s="8"/>
    </row>
    <row r="940" spans="1:9" x14ac:dyDescent="0.25">
      <c r="A940" s="11"/>
      <c r="B940" s="11"/>
      <c r="C940" s="11"/>
      <c r="D940" s="11"/>
      <c r="E940" s="11"/>
      <c r="F940" s="11"/>
      <c r="G940" s="11"/>
      <c r="H940" s="8"/>
      <c r="I940" s="8"/>
    </row>
    <row r="941" spans="1:9" x14ac:dyDescent="0.25">
      <c r="A941" s="11"/>
      <c r="B941" s="11"/>
      <c r="C941" s="11"/>
      <c r="D941" s="11"/>
      <c r="E941" s="11"/>
      <c r="F941" s="11"/>
      <c r="G941" s="11"/>
      <c r="H941" s="8"/>
      <c r="I941" s="8"/>
    </row>
    <row r="942" spans="1:9" x14ac:dyDescent="0.25">
      <c r="A942" s="11"/>
      <c r="B942" s="11"/>
      <c r="C942" s="11"/>
      <c r="D942" s="11"/>
      <c r="E942" s="11"/>
      <c r="F942" s="11"/>
      <c r="G942" s="11"/>
      <c r="H942" s="8"/>
      <c r="I942" s="8"/>
    </row>
    <row r="943" spans="1:9" x14ac:dyDescent="0.25">
      <c r="A943" s="11"/>
      <c r="B943" s="11"/>
      <c r="C943" s="11"/>
      <c r="D943" s="11"/>
      <c r="E943" s="11"/>
      <c r="F943" s="11"/>
      <c r="G943" s="11"/>
      <c r="H943" s="8"/>
      <c r="I943" s="8"/>
    </row>
    <row r="944" spans="1:9" x14ac:dyDescent="0.25">
      <c r="A944" s="11"/>
      <c r="B944" s="11"/>
      <c r="C944" s="11"/>
      <c r="D944" s="11"/>
      <c r="E944" s="11"/>
      <c r="F944" s="11"/>
      <c r="G944" s="11"/>
      <c r="H944" s="8"/>
      <c r="I944" s="8"/>
    </row>
    <row r="945" spans="1:9" x14ac:dyDescent="0.25">
      <c r="A945" s="11"/>
      <c r="B945" s="11"/>
      <c r="C945" s="11"/>
      <c r="D945" s="11"/>
      <c r="E945" s="11"/>
      <c r="F945" s="11"/>
      <c r="G945" s="11"/>
      <c r="H945" s="8"/>
      <c r="I945" s="8"/>
    </row>
    <row r="946" spans="1:9" x14ac:dyDescent="0.25">
      <c r="A946" s="11"/>
      <c r="B946" s="11"/>
      <c r="C946" s="11"/>
      <c r="D946" s="11"/>
      <c r="E946" s="11"/>
      <c r="F946" s="11"/>
      <c r="G946" s="11"/>
      <c r="H946" s="8"/>
      <c r="I946" s="8"/>
    </row>
    <row r="947" spans="1:9" x14ac:dyDescent="0.25">
      <c r="A947" s="11"/>
      <c r="B947" s="11"/>
      <c r="C947" s="11"/>
      <c r="D947" s="11"/>
      <c r="E947" s="11"/>
      <c r="F947" s="11"/>
      <c r="G947" s="11"/>
      <c r="H947" s="8"/>
      <c r="I947" s="8"/>
    </row>
    <row r="948" spans="1:9" x14ac:dyDescent="0.25">
      <c r="A948" s="11"/>
      <c r="B948" s="11"/>
      <c r="C948" s="11"/>
      <c r="D948" s="11"/>
      <c r="E948" s="11"/>
      <c r="F948" s="11"/>
      <c r="G948" s="11"/>
      <c r="H948" s="8"/>
      <c r="I948" s="8"/>
    </row>
    <row r="949" spans="1:9" x14ac:dyDescent="0.25">
      <c r="A949" s="11"/>
      <c r="B949" s="11"/>
      <c r="C949" s="11"/>
      <c r="D949" s="11"/>
      <c r="E949" s="11"/>
      <c r="F949" s="11"/>
      <c r="G949" s="11"/>
      <c r="H949" s="8"/>
      <c r="I949" s="8"/>
    </row>
    <row r="950" spans="1:9" x14ac:dyDescent="0.25">
      <c r="A950" s="11"/>
      <c r="B950" s="11"/>
      <c r="C950" s="11"/>
      <c r="D950" s="11"/>
      <c r="E950" s="11"/>
      <c r="F950" s="11"/>
      <c r="G950" s="11"/>
      <c r="H950" s="8"/>
      <c r="I950" s="8"/>
    </row>
    <row r="951" spans="1:9" x14ac:dyDescent="0.25">
      <c r="A951" s="11"/>
      <c r="B951" s="11"/>
      <c r="C951" s="11"/>
      <c r="D951" s="11"/>
      <c r="E951" s="11"/>
      <c r="F951" s="11"/>
      <c r="G951" s="11"/>
      <c r="H951" s="8"/>
      <c r="I951" s="8"/>
    </row>
    <row r="952" spans="1:9" x14ac:dyDescent="0.25">
      <c r="A952" s="11"/>
      <c r="B952" s="11"/>
      <c r="C952" s="11"/>
      <c r="D952" s="11"/>
      <c r="E952" s="11"/>
      <c r="F952" s="11"/>
      <c r="G952" s="11"/>
      <c r="H952" s="8"/>
      <c r="I952" s="8"/>
    </row>
    <row r="953" spans="1:9" x14ac:dyDescent="0.25">
      <c r="A953" s="11"/>
      <c r="B953" s="11"/>
      <c r="C953" s="11"/>
      <c r="D953" s="11"/>
      <c r="E953" s="11"/>
      <c r="F953" s="11"/>
      <c r="G953" s="11"/>
      <c r="H953" s="8"/>
      <c r="I953" s="8"/>
    </row>
    <row r="954" spans="1:9" x14ac:dyDescent="0.25">
      <c r="A954" s="11"/>
      <c r="B954" s="11"/>
      <c r="C954" s="11"/>
      <c r="D954" s="11"/>
      <c r="E954" s="11"/>
      <c r="F954" s="11"/>
      <c r="G954" s="11"/>
      <c r="H954" s="8"/>
      <c r="I954" s="8"/>
    </row>
    <row r="955" spans="1:9" x14ac:dyDescent="0.25">
      <c r="A955" s="11"/>
      <c r="B955" s="11"/>
      <c r="C955" s="11"/>
      <c r="D955" s="11"/>
      <c r="E955" s="11"/>
      <c r="F955" s="11"/>
      <c r="G955" s="11"/>
      <c r="H955" s="8"/>
      <c r="I955" s="8"/>
    </row>
    <row r="956" spans="1:9" x14ac:dyDescent="0.25">
      <c r="A956" s="11"/>
      <c r="B956" s="11"/>
      <c r="C956" s="11"/>
      <c r="D956" s="11"/>
      <c r="E956" s="11"/>
      <c r="F956" s="11"/>
      <c r="G956" s="11"/>
      <c r="H956" s="8"/>
      <c r="I956" s="8"/>
    </row>
    <row r="957" spans="1:9" x14ac:dyDescent="0.25">
      <c r="A957" s="11"/>
      <c r="B957" s="11"/>
      <c r="C957" s="11"/>
      <c r="D957" s="11"/>
      <c r="E957" s="11"/>
      <c r="F957" s="11"/>
      <c r="G957" s="11"/>
      <c r="H957" s="8"/>
      <c r="I957" s="8"/>
    </row>
    <row r="958" spans="1:9" x14ac:dyDescent="0.25">
      <c r="A958" s="11"/>
      <c r="B958" s="11"/>
      <c r="C958" s="11"/>
      <c r="D958" s="11"/>
      <c r="E958" s="11"/>
      <c r="F958" s="11"/>
      <c r="G958" s="11"/>
      <c r="H958" s="8"/>
      <c r="I958" s="8"/>
    </row>
    <row r="959" spans="1:9" x14ac:dyDescent="0.25">
      <c r="A959" s="11"/>
      <c r="B959" s="11"/>
      <c r="C959" s="11"/>
      <c r="D959" s="11"/>
      <c r="E959" s="11"/>
      <c r="F959" s="11"/>
      <c r="G959" s="11"/>
      <c r="H959" s="8"/>
      <c r="I959" s="8"/>
    </row>
    <row r="960" spans="1:9" x14ac:dyDescent="0.25">
      <c r="A960" s="11"/>
      <c r="B960" s="11"/>
      <c r="C960" s="11"/>
      <c r="D960" s="11"/>
      <c r="E960" s="11"/>
      <c r="F960" s="11"/>
      <c r="G960" s="11"/>
      <c r="H960" s="8"/>
      <c r="I960" s="8"/>
    </row>
    <row r="961" spans="1:9" x14ac:dyDescent="0.25">
      <c r="A961" s="11"/>
      <c r="B961" s="11"/>
      <c r="C961" s="11"/>
      <c r="D961" s="11"/>
      <c r="E961" s="11"/>
      <c r="F961" s="11"/>
      <c r="G961" s="11"/>
      <c r="H961" s="8"/>
      <c r="I961" s="8"/>
    </row>
    <row r="962" spans="1:9" x14ac:dyDescent="0.25">
      <c r="A962" s="11"/>
      <c r="B962" s="11"/>
      <c r="C962" s="11"/>
      <c r="D962" s="11"/>
      <c r="E962" s="11"/>
      <c r="F962" s="11"/>
      <c r="G962" s="11"/>
      <c r="H962" s="8"/>
      <c r="I962" s="8"/>
    </row>
    <row r="963" spans="1:9" x14ac:dyDescent="0.25">
      <c r="A963" s="11"/>
      <c r="B963" s="11"/>
      <c r="C963" s="11"/>
      <c r="D963" s="11"/>
      <c r="E963" s="11"/>
      <c r="F963" s="11"/>
      <c r="G963" s="11"/>
      <c r="H963" s="8"/>
      <c r="I963" s="8"/>
    </row>
    <row r="964" spans="1:9" x14ac:dyDescent="0.25">
      <c r="A964" s="11"/>
      <c r="B964" s="11"/>
      <c r="C964" s="11"/>
      <c r="D964" s="11"/>
      <c r="E964" s="11"/>
      <c r="F964" s="11"/>
      <c r="G964" s="11"/>
      <c r="H964" s="8"/>
      <c r="I964" s="8"/>
    </row>
    <row r="965" spans="1:9" x14ac:dyDescent="0.25">
      <c r="A965" s="11"/>
      <c r="B965" s="11"/>
      <c r="C965" s="11"/>
      <c r="D965" s="11"/>
      <c r="E965" s="11"/>
      <c r="F965" s="11"/>
      <c r="G965" s="11"/>
      <c r="H965" s="8"/>
      <c r="I965" s="8"/>
    </row>
    <row r="966" spans="1:9" x14ac:dyDescent="0.25">
      <c r="A966" s="11"/>
      <c r="B966" s="11"/>
      <c r="C966" s="11"/>
      <c r="D966" s="11"/>
      <c r="E966" s="11"/>
      <c r="F966" s="11"/>
      <c r="G966" s="11"/>
      <c r="H966" s="8"/>
      <c r="I966" s="8"/>
    </row>
    <row r="967" spans="1:9" x14ac:dyDescent="0.25">
      <c r="A967" s="11"/>
      <c r="B967" s="11"/>
      <c r="C967" s="11"/>
      <c r="D967" s="11"/>
      <c r="E967" s="11"/>
      <c r="F967" s="11"/>
      <c r="G967" s="11"/>
      <c r="H967" s="8"/>
      <c r="I967" s="8"/>
    </row>
    <row r="968" spans="1:9" x14ac:dyDescent="0.25">
      <c r="A968" s="11"/>
      <c r="B968" s="11"/>
      <c r="C968" s="11"/>
      <c r="D968" s="11"/>
      <c r="E968" s="11"/>
      <c r="F968" s="11"/>
      <c r="G968" s="11"/>
      <c r="H968" s="8"/>
      <c r="I968" s="8"/>
    </row>
    <row r="969" spans="1:9" x14ac:dyDescent="0.25">
      <c r="A969" s="11"/>
      <c r="B969" s="11"/>
      <c r="C969" s="11"/>
      <c r="D969" s="11"/>
      <c r="E969" s="11"/>
      <c r="F969" s="11"/>
      <c r="G969" s="11"/>
      <c r="H969" s="8"/>
      <c r="I969" s="8"/>
    </row>
    <row r="970" spans="1:9" x14ac:dyDescent="0.25">
      <c r="A970" s="11"/>
      <c r="B970" s="11"/>
      <c r="C970" s="11"/>
      <c r="D970" s="11"/>
      <c r="E970" s="11"/>
      <c r="F970" s="11"/>
      <c r="G970" s="11"/>
      <c r="H970" s="8"/>
      <c r="I970" s="8"/>
    </row>
    <row r="971" spans="1:9" x14ac:dyDescent="0.25">
      <c r="A971" s="11"/>
      <c r="B971" s="11"/>
      <c r="C971" s="11"/>
      <c r="D971" s="11"/>
      <c r="E971" s="11"/>
      <c r="F971" s="11"/>
      <c r="G971" s="11"/>
      <c r="H971" s="8"/>
      <c r="I971" s="8"/>
    </row>
    <row r="972" spans="1:9" x14ac:dyDescent="0.25">
      <c r="A972" s="11"/>
      <c r="B972" s="11"/>
      <c r="C972" s="11"/>
      <c r="D972" s="11"/>
      <c r="E972" s="11"/>
      <c r="F972" s="11"/>
      <c r="G972" s="11"/>
      <c r="H972" s="8"/>
      <c r="I972" s="8"/>
    </row>
    <row r="973" spans="1:9" x14ac:dyDescent="0.25">
      <c r="A973" s="11"/>
      <c r="B973" s="11"/>
      <c r="C973" s="11"/>
      <c r="D973" s="11"/>
      <c r="E973" s="11"/>
      <c r="F973" s="11"/>
      <c r="G973" s="11"/>
      <c r="H973" s="8"/>
      <c r="I973" s="8"/>
    </row>
    <row r="974" spans="1:9" x14ac:dyDescent="0.25">
      <c r="A974" s="11"/>
      <c r="B974" s="11"/>
      <c r="C974" s="11"/>
      <c r="D974" s="11"/>
      <c r="E974" s="11"/>
      <c r="F974" s="11"/>
      <c r="G974" s="11"/>
      <c r="H974" s="8"/>
      <c r="I974" s="8"/>
    </row>
    <row r="975" spans="1:9" x14ac:dyDescent="0.25">
      <c r="A975" s="11"/>
      <c r="B975" s="11"/>
      <c r="C975" s="11"/>
      <c r="D975" s="11"/>
      <c r="E975" s="11"/>
      <c r="F975" s="11"/>
      <c r="G975" s="11"/>
      <c r="H975" s="8"/>
      <c r="I975" s="8"/>
    </row>
    <row r="976" spans="1:9" x14ac:dyDescent="0.25">
      <c r="A976" s="11"/>
      <c r="B976" s="11"/>
      <c r="C976" s="11"/>
      <c r="D976" s="11"/>
      <c r="E976" s="11"/>
      <c r="F976" s="11"/>
      <c r="G976" s="11"/>
      <c r="H976" s="8"/>
      <c r="I976" s="8"/>
    </row>
    <row r="977" spans="1:9" x14ac:dyDescent="0.25">
      <c r="A977" s="11"/>
      <c r="B977" s="11"/>
      <c r="C977" s="11"/>
      <c r="D977" s="11"/>
      <c r="E977" s="11"/>
      <c r="F977" s="11"/>
      <c r="G977" s="11"/>
      <c r="H977" s="8"/>
      <c r="I977" s="8"/>
    </row>
    <row r="978" spans="1:9" x14ac:dyDescent="0.25">
      <c r="A978" s="11"/>
      <c r="B978" s="11"/>
      <c r="C978" s="11"/>
      <c r="D978" s="11"/>
      <c r="E978" s="11"/>
      <c r="F978" s="11"/>
      <c r="G978" s="11"/>
      <c r="H978" s="8"/>
      <c r="I978" s="8"/>
    </row>
    <row r="979" spans="1:9" x14ac:dyDescent="0.25">
      <c r="A979" s="11"/>
      <c r="B979" s="11"/>
      <c r="C979" s="11"/>
      <c r="D979" s="11"/>
      <c r="E979" s="11"/>
      <c r="F979" s="11"/>
      <c r="G979" s="11"/>
      <c r="H979" s="8"/>
      <c r="I979" s="8"/>
    </row>
    <row r="980" spans="1:9" x14ac:dyDescent="0.25">
      <c r="A980" s="11"/>
      <c r="B980" s="11"/>
      <c r="C980" s="11"/>
      <c r="D980" s="11"/>
      <c r="E980" s="11"/>
      <c r="F980" s="11"/>
      <c r="G980" s="11"/>
      <c r="H980" s="8"/>
      <c r="I980" s="8"/>
    </row>
    <row r="981" spans="1:9" x14ac:dyDescent="0.25">
      <c r="A981" s="11"/>
      <c r="B981" s="11"/>
      <c r="C981" s="11"/>
      <c r="D981" s="11"/>
      <c r="E981" s="11"/>
      <c r="F981" s="11"/>
      <c r="G981" s="11"/>
      <c r="H981" s="8"/>
      <c r="I981" s="8"/>
    </row>
    <row r="982" spans="1:9" x14ac:dyDescent="0.25">
      <c r="A982" s="11"/>
      <c r="B982" s="11"/>
      <c r="C982" s="11"/>
      <c r="D982" s="11"/>
      <c r="E982" s="11"/>
      <c r="F982" s="11"/>
      <c r="G982" s="11"/>
      <c r="H982" s="8"/>
      <c r="I982" s="8"/>
    </row>
    <row r="983" spans="1:9" x14ac:dyDescent="0.25">
      <c r="A983" s="11"/>
      <c r="B983" s="11"/>
      <c r="C983" s="11"/>
      <c r="D983" s="11"/>
      <c r="E983" s="11"/>
      <c r="F983" s="11"/>
      <c r="G983" s="11"/>
      <c r="H983" s="8"/>
      <c r="I983" s="8"/>
    </row>
    <row r="984" spans="1:9" x14ac:dyDescent="0.25">
      <c r="A984" s="11"/>
      <c r="B984" s="11"/>
      <c r="C984" s="11"/>
      <c r="D984" s="11"/>
      <c r="E984" s="11"/>
      <c r="F984" s="11"/>
      <c r="G984" s="11"/>
      <c r="H984" s="8"/>
      <c r="I984" s="8"/>
    </row>
    <row r="985" spans="1:9" x14ac:dyDescent="0.25">
      <c r="A985" s="11"/>
      <c r="B985" s="11"/>
      <c r="C985" s="11"/>
      <c r="D985" s="11"/>
      <c r="E985" s="11"/>
      <c r="F985" s="11"/>
      <c r="G985" s="11"/>
      <c r="H985" s="8"/>
      <c r="I985" s="8"/>
    </row>
    <row r="986" spans="1:9" x14ac:dyDescent="0.25">
      <c r="A986" s="11"/>
      <c r="B986" s="11"/>
      <c r="C986" s="11"/>
      <c r="D986" s="11"/>
      <c r="E986" s="11"/>
      <c r="F986" s="11"/>
      <c r="G986" s="11"/>
      <c r="H986" s="8"/>
      <c r="I986" s="8"/>
    </row>
    <row r="987" spans="1:9" x14ac:dyDescent="0.25">
      <c r="A987" s="11"/>
      <c r="B987" s="11"/>
      <c r="C987" s="11"/>
      <c r="D987" s="11"/>
      <c r="E987" s="11"/>
      <c r="F987" s="11"/>
      <c r="G987" s="11"/>
      <c r="H987" s="8"/>
      <c r="I987" s="8"/>
    </row>
    <row r="988" spans="1:9" x14ac:dyDescent="0.25">
      <c r="A988" s="11"/>
      <c r="B988" s="11"/>
      <c r="C988" s="11"/>
      <c r="D988" s="11"/>
      <c r="E988" s="11"/>
      <c r="F988" s="11"/>
      <c r="G988" s="11"/>
      <c r="H988" s="8"/>
      <c r="I988" s="8"/>
    </row>
    <row r="989" spans="1:9" x14ac:dyDescent="0.25">
      <c r="A989" s="11"/>
      <c r="B989" s="11"/>
      <c r="C989" s="11"/>
      <c r="D989" s="11"/>
      <c r="E989" s="11"/>
      <c r="F989" s="11"/>
      <c r="G989" s="11"/>
      <c r="H989" s="8"/>
      <c r="I989" s="8"/>
    </row>
    <row r="990" spans="1:9" x14ac:dyDescent="0.25">
      <c r="A990" s="11"/>
      <c r="B990" s="11"/>
      <c r="C990" s="11"/>
      <c r="D990" s="11"/>
      <c r="E990" s="11"/>
      <c r="F990" s="11"/>
      <c r="G990" s="11"/>
      <c r="H990" s="8"/>
      <c r="I990" s="8"/>
    </row>
    <row r="991" spans="1:9" x14ac:dyDescent="0.25">
      <c r="A991" s="11"/>
      <c r="B991" s="11"/>
      <c r="C991" s="11"/>
      <c r="D991" s="11"/>
      <c r="E991" s="11"/>
      <c r="F991" s="11"/>
      <c r="G991" s="11"/>
      <c r="H991" s="8"/>
      <c r="I991" s="8"/>
    </row>
    <row r="992" spans="1:9" x14ac:dyDescent="0.25">
      <c r="A992" s="11"/>
      <c r="B992" s="11"/>
      <c r="C992" s="11"/>
      <c r="D992" s="11"/>
      <c r="E992" s="11"/>
      <c r="F992" s="11"/>
      <c r="G992" s="11"/>
      <c r="H992" s="8"/>
      <c r="I992" s="8"/>
    </row>
    <row r="993" spans="1:9" x14ac:dyDescent="0.25">
      <c r="A993" s="11"/>
      <c r="B993" s="11"/>
      <c r="C993" s="11"/>
      <c r="D993" s="11"/>
      <c r="E993" s="11"/>
      <c r="F993" s="11"/>
      <c r="G993" s="11"/>
      <c r="H993" s="8"/>
      <c r="I993" s="8"/>
    </row>
    <row r="994" spans="1:9" x14ac:dyDescent="0.25">
      <c r="A994" s="11"/>
      <c r="B994" s="11"/>
      <c r="C994" s="11"/>
      <c r="D994" s="11"/>
      <c r="E994" s="11"/>
      <c r="F994" s="11"/>
      <c r="G994" s="11"/>
      <c r="H994" s="8"/>
      <c r="I994" s="8"/>
    </row>
    <row r="995" spans="1:9" x14ac:dyDescent="0.25">
      <c r="A995" s="11"/>
      <c r="B995" s="11"/>
      <c r="C995" s="11"/>
      <c r="D995" s="11"/>
      <c r="E995" s="11"/>
      <c r="F995" s="11"/>
      <c r="G995" s="11"/>
      <c r="H995" s="8"/>
      <c r="I995" s="8"/>
    </row>
    <row r="996" spans="1:9" x14ac:dyDescent="0.25">
      <c r="A996" s="11"/>
      <c r="B996" s="11"/>
      <c r="C996" s="11"/>
      <c r="D996" s="11"/>
      <c r="E996" s="11"/>
      <c r="F996" s="11"/>
      <c r="G996" s="11"/>
      <c r="H996" s="8"/>
      <c r="I996" s="8"/>
    </row>
    <row r="997" spans="1:9" x14ac:dyDescent="0.25">
      <c r="A997" s="11"/>
      <c r="B997" s="11"/>
      <c r="C997" s="11"/>
      <c r="D997" s="11"/>
      <c r="E997" s="11"/>
      <c r="F997" s="11"/>
      <c r="G997" s="11"/>
      <c r="H997" s="8"/>
      <c r="I997" s="8"/>
    </row>
    <row r="998" spans="1:9" x14ac:dyDescent="0.25">
      <c r="A998" s="11"/>
      <c r="B998" s="11"/>
      <c r="C998" s="11"/>
      <c r="D998" s="11"/>
      <c r="E998" s="11"/>
      <c r="F998" s="11"/>
      <c r="G998" s="11"/>
      <c r="H998" s="8"/>
      <c r="I998" s="8"/>
    </row>
    <row r="999" spans="1:9" x14ac:dyDescent="0.25">
      <c r="A999" s="11"/>
      <c r="B999" s="11"/>
      <c r="C999" s="11"/>
      <c r="D999" s="11"/>
      <c r="E999" s="11"/>
      <c r="F999" s="11"/>
      <c r="G999" s="11"/>
      <c r="H999" s="8"/>
      <c r="I999" s="8"/>
    </row>
    <row r="1000" spans="1:9" x14ac:dyDescent="0.25">
      <c r="A1000" s="11"/>
      <c r="B1000" s="11"/>
      <c r="C1000" s="11"/>
      <c r="D1000" s="11"/>
      <c r="E1000" s="11"/>
      <c r="F1000" s="11"/>
      <c r="G1000" s="11"/>
      <c r="H1000" s="8"/>
      <c r="I1000" s="8"/>
    </row>
    <row r="1001" spans="1:9" x14ac:dyDescent="0.25">
      <c r="A1001" s="11"/>
      <c r="B1001" s="11"/>
      <c r="C1001" s="11"/>
      <c r="D1001" s="11"/>
      <c r="E1001" s="11"/>
      <c r="F1001" s="11"/>
      <c r="G1001" s="11"/>
      <c r="H1001" s="8"/>
      <c r="I1001" s="8"/>
    </row>
    <row r="1002" spans="1:9" x14ac:dyDescent="0.25">
      <c r="A1002" s="11"/>
      <c r="B1002" s="11"/>
      <c r="C1002" s="11"/>
      <c r="D1002" s="11"/>
      <c r="E1002" s="11"/>
      <c r="F1002" s="11"/>
      <c r="G1002" s="11"/>
      <c r="H1002" s="8"/>
      <c r="I1002" s="8"/>
    </row>
  </sheetData>
  <mergeCells count="7">
    <mergeCell ref="J171:K171"/>
    <mergeCell ref="J172:K172"/>
    <mergeCell ref="J3:K3"/>
    <mergeCell ref="J55:K55"/>
    <mergeCell ref="J56:K56"/>
    <mergeCell ref="J74:K74"/>
    <mergeCell ref="J111:K11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Y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5" x14ac:dyDescent="0.25">
      <c r="A1" s="54" t="s">
        <v>0</v>
      </c>
      <c r="B1" s="54" t="s">
        <v>4354</v>
      </c>
      <c r="C1" s="54" t="s">
        <v>4355</v>
      </c>
      <c r="D1" s="54" t="s">
        <v>6</v>
      </c>
      <c r="E1" s="54" t="s">
        <v>4356</v>
      </c>
      <c r="F1" s="54" t="s">
        <v>4357</v>
      </c>
      <c r="G1" s="54" t="s">
        <v>4358</v>
      </c>
      <c r="H1" s="38" t="s">
        <v>4359</v>
      </c>
      <c r="I1" s="38" t="s">
        <v>4360</v>
      </c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</row>
    <row r="2" spans="1:25" x14ac:dyDescent="0.25">
      <c r="A2" s="11" t="s">
        <v>4033</v>
      </c>
      <c r="B2" s="11">
        <v>2479810353076.5</v>
      </c>
      <c r="C2" s="11">
        <v>2893138233943.25</v>
      </c>
      <c r="D2" s="11">
        <f t="shared" ref="D2:D183" si="0">((C2-B2)/B2)*100</f>
        <v>16.667721398693555</v>
      </c>
      <c r="E2" s="55">
        <v>4</v>
      </c>
      <c r="F2" s="55">
        <v>0</v>
      </c>
      <c r="G2" s="55">
        <v>0</v>
      </c>
      <c r="H2" s="8">
        <f t="shared" ref="H2:H183" si="1">(E2/(E2+F2+G2))*100</f>
        <v>100</v>
      </c>
      <c r="I2" s="8">
        <f t="shared" ref="I2:I183" si="2">(F2/(E2+F2+G2))*100</f>
        <v>0</v>
      </c>
      <c r="J2" s="8"/>
      <c r="K2" s="8"/>
    </row>
    <row r="3" spans="1:25" x14ac:dyDescent="0.25">
      <c r="A3" s="11" t="s">
        <v>41</v>
      </c>
      <c r="B3" s="11">
        <v>398978469193.59998</v>
      </c>
      <c r="C3" s="11">
        <v>411668894972</v>
      </c>
      <c r="D3" s="11">
        <f t="shared" si="0"/>
        <v>3.1807294774701576</v>
      </c>
      <c r="E3" s="55">
        <v>3</v>
      </c>
      <c r="F3" s="55">
        <v>0</v>
      </c>
      <c r="G3" s="55">
        <v>0</v>
      </c>
      <c r="H3" s="8">
        <f t="shared" si="1"/>
        <v>100</v>
      </c>
      <c r="I3" s="8">
        <f t="shared" si="2"/>
        <v>0</v>
      </c>
      <c r="J3" s="8"/>
      <c r="K3" s="8"/>
    </row>
    <row r="4" spans="1:25" x14ac:dyDescent="0.25">
      <c r="A4" s="11" t="s">
        <v>767</v>
      </c>
      <c r="B4" s="11">
        <v>604319265923.45996</v>
      </c>
      <c r="C4" s="11">
        <v>636218879981.05005</v>
      </c>
      <c r="D4" s="11">
        <f t="shared" si="0"/>
        <v>5.2786028605002855</v>
      </c>
      <c r="E4" s="55">
        <v>4</v>
      </c>
      <c r="F4" s="55">
        <v>0</v>
      </c>
      <c r="G4" s="55">
        <v>1</v>
      </c>
      <c r="H4" s="8">
        <f t="shared" si="1"/>
        <v>80</v>
      </c>
      <c r="I4" s="8">
        <f t="shared" si="2"/>
        <v>0</v>
      </c>
      <c r="J4" s="8"/>
      <c r="K4" s="8"/>
    </row>
    <row r="5" spans="1:25" x14ac:dyDescent="0.25">
      <c r="A5" s="11" t="s">
        <v>3814</v>
      </c>
      <c r="B5" s="11">
        <v>2322043459.29</v>
      </c>
      <c r="C5" s="11">
        <v>2764682915.3400002</v>
      </c>
      <c r="D5" s="11">
        <f t="shared" si="0"/>
        <v>19.062496624647324</v>
      </c>
      <c r="E5" s="55">
        <v>3</v>
      </c>
      <c r="F5" s="55">
        <v>1</v>
      </c>
      <c r="G5" s="55">
        <v>0</v>
      </c>
      <c r="H5" s="8">
        <f t="shared" si="1"/>
        <v>75</v>
      </c>
      <c r="I5" s="8">
        <f t="shared" si="2"/>
        <v>25</v>
      </c>
      <c r="J5" s="8"/>
      <c r="K5" s="8"/>
    </row>
    <row r="6" spans="1:25" x14ac:dyDescent="0.25">
      <c r="A6" s="11" t="s">
        <v>4016</v>
      </c>
      <c r="B6" s="11">
        <v>1324957862101.9797</v>
      </c>
      <c r="C6" s="11">
        <v>1391080888083.21</v>
      </c>
      <c r="D6" s="11">
        <f t="shared" si="0"/>
        <v>4.9905757664118715</v>
      </c>
      <c r="E6" s="55">
        <v>3</v>
      </c>
      <c r="F6" s="55">
        <v>1</v>
      </c>
      <c r="G6" s="55">
        <v>0</v>
      </c>
      <c r="H6" s="8">
        <f t="shared" si="1"/>
        <v>75</v>
      </c>
      <c r="I6" s="8">
        <f t="shared" si="2"/>
        <v>25</v>
      </c>
      <c r="J6" s="8"/>
      <c r="K6" s="8"/>
    </row>
    <row r="7" spans="1:25" x14ac:dyDescent="0.25">
      <c r="A7" s="11" t="s">
        <v>295</v>
      </c>
      <c r="B7" s="11">
        <v>84468079580.5</v>
      </c>
      <c r="C7" s="11">
        <v>82005781954.300003</v>
      </c>
      <c r="D7" s="11">
        <f t="shared" si="0"/>
        <v>-2.9150628715944364</v>
      </c>
      <c r="E7" s="55">
        <v>5</v>
      </c>
      <c r="F7" s="55">
        <v>2</v>
      </c>
      <c r="G7" s="55">
        <v>0</v>
      </c>
      <c r="H7" s="8">
        <f t="shared" si="1"/>
        <v>71.428571428571431</v>
      </c>
      <c r="I7" s="8">
        <f t="shared" si="2"/>
        <v>28.571428571428569</v>
      </c>
      <c r="J7" s="8"/>
      <c r="K7" s="8"/>
    </row>
    <row r="8" spans="1:25" x14ac:dyDescent="0.25">
      <c r="A8" s="11" t="s">
        <v>3262</v>
      </c>
      <c r="B8" s="11">
        <v>1512716824507.6499</v>
      </c>
      <c r="C8" s="11">
        <v>1695456574578.95</v>
      </c>
      <c r="D8" s="11">
        <f t="shared" si="0"/>
        <v>12.080235184187702</v>
      </c>
      <c r="E8" s="55">
        <v>4</v>
      </c>
      <c r="F8" s="55">
        <v>2</v>
      </c>
      <c r="G8" s="55">
        <v>0</v>
      </c>
      <c r="H8" s="8">
        <f t="shared" si="1"/>
        <v>66.666666666666657</v>
      </c>
      <c r="I8" s="8">
        <f t="shared" si="2"/>
        <v>33.333333333333329</v>
      </c>
      <c r="J8" s="8"/>
      <c r="K8" s="8"/>
    </row>
    <row r="9" spans="1:25" x14ac:dyDescent="0.25">
      <c r="A9" s="11" t="s">
        <v>2892</v>
      </c>
      <c r="B9" s="11">
        <v>1788754459215.95</v>
      </c>
      <c r="C9" s="11">
        <v>1999790223335.9299</v>
      </c>
      <c r="D9" s="11">
        <f t="shared" si="0"/>
        <v>11.797916870741529</v>
      </c>
      <c r="E9" s="55">
        <v>2</v>
      </c>
      <c r="F9" s="55">
        <v>1</v>
      </c>
      <c r="G9" s="55">
        <v>0</v>
      </c>
      <c r="H9" s="8">
        <f t="shared" si="1"/>
        <v>66.666666666666657</v>
      </c>
      <c r="I9" s="8">
        <f t="shared" si="2"/>
        <v>33.333333333333329</v>
      </c>
      <c r="J9" s="8"/>
      <c r="K9" s="8"/>
    </row>
    <row r="10" spans="1:25" x14ac:dyDescent="0.25">
      <c r="A10" s="11" t="s">
        <v>2321</v>
      </c>
      <c r="B10" s="11">
        <v>105203237408.64999</v>
      </c>
      <c r="C10" s="11">
        <v>112937695311.65001</v>
      </c>
      <c r="D10" s="11">
        <f t="shared" si="0"/>
        <v>7.3519200487684566</v>
      </c>
      <c r="E10" s="55">
        <v>4</v>
      </c>
      <c r="F10" s="55">
        <v>2</v>
      </c>
      <c r="G10" s="55">
        <v>0</v>
      </c>
      <c r="H10" s="8">
        <f t="shared" si="1"/>
        <v>66.666666666666657</v>
      </c>
      <c r="I10" s="8">
        <f t="shared" si="2"/>
        <v>33.333333333333329</v>
      </c>
      <c r="J10" s="8"/>
      <c r="K10" s="8"/>
    </row>
    <row r="11" spans="1:25" x14ac:dyDescent="0.25">
      <c r="A11" s="11" t="s">
        <v>1672</v>
      </c>
      <c r="B11" s="11">
        <v>322532822248.35999</v>
      </c>
      <c r="C11" s="11">
        <v>346220721987</v>
      </c>
      <c r="D11" s="11">
        <f t="shared" si="0"/>
        <v>7.3443377246113632</v>
      </c>
      <c r="E11" s="55">
        <v>2</v>
      </c>
      <c r="F11" s="55">
        <v>1</v>
      </c>
      <c r="G11" s="55">
        <v>0</v>
      </c>
      <c r="H11" s="8">
        <f t="shared" si="1"/>
        <v>66.666666666666657</v>
      </c>
      <c r="I11" s="8">
        <f t="shared" si="2"/>
        <v>33.333333333333329</v>
      </c>
      <c r="J11" s="8"/>
      <c r="K11" s="8"/>
    </row>
    <row r="12" spans="1:25" x14ac:dyDescent="0.25">
      <c r="A12" s="11" t="s">
        <v>52</v>
      </c>
      <c r="B12" s="11">
        <v>652108030514.54993</v>
      </c>
      <c r="C12" s="11">
        <v>699344581440.7301</v>
      </c>
      <c r="D12" s="11">
        <f t="shared" si="0"/>
        <v>7.2436695632942723</v>
      </c>
      <c r="E12" s="55">
        <v>2</v>
      </c>
      <c r="F12" s="55">
        <v>1</v>
      </c>
      <c r="G12" s="55">
        <v>0</v>
      </c>
      <c r="H12" s="8">
        <f t="shared" si="1"/>
        <v>66.666666666666657</v>
      </c>
      <c r="I12" s="8">
        <f t="shared" si="2"/>
        <v>33.333333333333329</v>
      </c>
      <c r="J12" s="8"/>
      <c r="K12" s="8"/>
    </row>
    <row r="13" spans="1:25" x14ac:dyDescent="0.25">
      <c r="A13" s="11" t="s">
        <v>3118</v>
      </c>
      <c r="B13" s="11">
        <v>9806474199588.0996</v>
      </c>
      <c r="C13" s="11">
        <v>10068926290405.9</v>
      </c>
      <c r="D13" s="11">
        <f t="shared" si="0"/>
        <v>2.6763144987300791</v>
      </c>
      <c r="E13" s="55">
        <v>2</v>
      </c>
      <c r="F13" s="55">
        <v>1</v>
      </c>
      <c r="G13" s="55">
        <v>0</v>
      </c>
      <c r="H13" s="8">
        <f t="shared" si="1"/>
        <v>66.666666666666657</v>
      </c>
      <c r="I13" s="8">
        <f t="shared" si="2"/>
        <v>33.333333333333329</v>
      </c>
      <c r="J13" s="8"/>
      <c r="K13" s="8"/>
    </row>
    <row r="14" spans="1:25" x14ac:dyDescent="0.25">
      <c r="A14" s="11" t="s">
        <v>3454</v>
      </c>
      <c r="B14" s="11">
        <v>28794850043.549999</v>
      </c>
      <c r="C14" s="11">
        <v>30138840434.299995</v>
      </c>
      <c r="D14" s="11">
        <f t="shared" si="0"/>
        <v>4.6674679281792191</v>
      </c>
      <c r="E14" s="55">
        <v>3</v>
      </c>
      <c r="F14" s="55">
        <v>2</v>
      </c>
      <c r="G14" s="55">
        <v>0</v>
      </c>
      <c r="H14" s="8">
        <f t="shared" si="1"/>
        <v>60</v>
      </c>
      <c r="I14" s="8">
        <f t="shared" si="2"/>
        <v>40</v>
      </c>
      <c r="J14" s="8"/>
      <c r="K14" s="8"/>
    </row>
    <row r="15" spans="1:25" x14ac:dyDescent="0.25">
      <c r="A15" s="11" t="s">
        <v>3793</v>
      </c>
      <c r="B15" s="11">
        <v>874636196505.8999</v>
      </c>
      <c r="C15" s="11">
        <v>901490201680.90002</v>
      </c>
      <c r="D15" s="11">
        <f t="shared" si="0"/>
        <v>3.0703057205132462</v>
      </c>
      <c r="E15" s="55">
        <v>3</v>
      </c>
      <c r="F15" s="55">
        <v>2</v>
      </c>
      <c r="G15" s="55">
        <v>0</v>
      </c>
      <c r="H15" s="8">
        <f t="shared" si="1"/>
        <v>60</v>
      </c>
      <c r="I15" s="8">
        <f t="shared" si="2"/>
        <v>40</v>
      </c>
      <c r="J15" s="8"/>
      <c r="K15" s="8"/>
    </row>
    <row r="16" spans="1:25" x14ac:dyDescent="0.25">
      <c r="A16" s="11" t="s">
        <v>788</v>
      </c>
      <c r="B16" s="11">
        <v>17914396439174.25</v>
      </c>
      <c r="C16" s="11">
        <v>17940518250943.871</v>
      </c>
      <c r="D16" s="11">
        <f t="shared" si="0"/>
        <v>0.14581463494075247</v>
      </c>
      <c r="E16" s="55">
        <v>6</v>
      </c>
      <c r="F16" s="55">
        <v>4</v>
      </c>
      <c r="G16" s="55">
        <v>0</v>
      </c>
      <c r="H16" s="8">
        <f t="shared" si="1"/>
        <v>60</v>
      </c>
      <c r="I16" s="8">
        <f t="shared" si="2"/>
        <v>40</v>
      </c>
      <c r="J16" s="8"/>
      <c r="K16" s="8"/>
    </row>
    <row r="17" spans="1:11" x14ac:dyDescent="0.25">
      <c r="A17" s="11" t="s">
        <v>4068</v>
      </c>
      <c r="B17" s="11">
        <v>21966316199.920002</v>
      </c>
      <c r="C17" s="11">
        <v>23926000756.700001</v>
      </c>
      <c r="D17" s="11">
        <f t="shared" si="0"/>
        <v>8.9213163415499572</v>
      </c>
      <c r="E17" s="55">
        <v>1</v>
      </c>
      <c r="F17" s="55">
        <v>1</v>
      </c>
      <c r="G17" s="55">
        <v>0</v>
      </c>
      <c r="H17" s="8">
        <f t="shared" si="1"/>
        <v>50</v>
      </c>
      <c r="I17" s="8">
        <f t="shared" si="2"/>
        <v>50</v>
      </c>
      <c r="J17" s="8"/>
      <c r="K17" s="8"/>
    </row>
    <row r="18" spans="1:11" x14ac:dyDescent="0.25">
      <c r="A18" s="11" t="s">
        <v>4200</v>
      </c>
      <c r="B18" s="11">
        <v>73199686843.799988</v>
      </c>
      <c r="C18" s="11">
        <v>77529308574.600006</v>
      </c>
      <c r="D18" s="11">
        <f t="shared" si="0"/>
        <v>5.9148090893325147</v>
      </c>
      <c r="E18" s="55">
        <v>1</v>
      </c>
      <c r="F18" s="55">
        <v>1</v>
      </c>
      <c r="G18" s="55">
        <v>0</v>
      </c>
      <c r="H18" s="8">
        <f t="shared" si="1"/>
        <v>50</v>
      </c>
      <c r="I18" s="8">
        <f t="shared" si="2"/>
        <v>50</v>
      </c>
      <c r="J18" s="8"/>
      <c r="K18" s="8"/>
    </row>
    <row r="19" spans="1:11" x14ac:dyDescent="0.25">
      <c r="A19" s="11" t="s">
        <v>3690</v>
      </c>
      <c r="B19" s="11">
        <v>86948077854.100006</v>
      </c>
      <c r="C19" s="11">
        <v>91307660492.190002</v>
      </c>
      <c r="D19" s="11">
        <f t="shared" si="0"/>
        <v>5.0140069173299402</v>
      </c>
      <c r="E19" s="55">
        <v>2</v>
      </c>
      <c r="F19" s="55">
        <v>2</v>
      </c>
      <c r="G19" s="55">
        <v>0</v>
      </c>
      <c r="H19" s="8">
        <f t="shared" si="1"/>
        <v>50</v>
      </c>
      <c r="I19" s="8">
        <f t="shared" si="2"/>
        <v>50</v>
      </c>
      <c r="J19" s="8"/>
      <c r="K19" s="8"/>
    </row>
    <row r="20" spans="1:11" x14ac:dyDescent="0.25">
      <c r="A20" s="56" t="s">
        <v>2577</v>
      </c>
      <c r="B20" s="11">
        <v>532728629513.69995</v>
      </c>
      <c r="C20" s="11">
        <v>552807158713.69995</v>
      </c>
      <c r="D20" s="11">
        <f t="shared" si="0"/>
        <v>3.7689975885712461</v>
      </c>
      <c r="E20" s="55">
        <v>2</v>
      </c>
      <c r="F20" s="55">
        <v>2</v>
      </c>
      <c r="G20" s="55">
        <v>0</v>
      </c>
      <c r="H20" s="8">
        <f t="shared" si="1"/>
        <v>50</v>
      </c>
      <c r="I20" s="8">
        <f t="shared" si="2"/>
        <v>50</v>
      </c>
      <c r="J20" s="8"/>
      <c r="K20" s="8"/>
    </row>
    <row r="21" spans="1:11" x14ac:dyDescent="0.25">
      <c r="A21" s="11" t="s">
        <v>4057</v>
      </c>
      <c r="B21" s="11">
        <v>4092814513.4000001</v>
      </c>
      <c r="C21" s="11">
        <v>4215290215.02</v>
      </c>
      <c r="D21" s="11">
        <f t="shared" si="0"/>
        <v>2.9924566876659249</v>
      </c>
      <c r="E21" s="55">
        <v>1</v>
      </c>
      <c r="F21" s="55">
        <v>1</v>
      </c>
      <c r="G21" s="55">
        <v>0</v>
      </c>
      <c r="H21" s="8">
        <f t="shared" si="1"/>
        <v>50</v>
      </c>
      <c r="I21" s="8">
        <f t="shared" si="2"/>
        <v>50</v>
      </c>
      <c r="J21" s="8"/>
      <c r="K21" s="8"/>
    </row>
    <row r="22" spans="1:11" x14ac:dyDescent="0.25">
      <c r="A22" s="11" t="s">
        <v>1935</v>
      </c>
      <c r="B22" s="11">
        <v>373099600209.25</v>
      </c>
      <c r="C22" s="11">
        <v>380400852116.64996</v>
      </c>
      <c r="D22" s="11">
        <f t="shared" si="0"/>
        <v>1.9569176443247631</v>
      </c>
      <c r="E22" s="55">
        <v>4</v>
      </c>
      <c r="F22" s="55">
        <v>4</v>
      </c>
      <c r="G22" s="55">
        <v>0</v>
      </c>
      <c r="H22" s="8">
        <f t="shared" si="1"/>
        <v>50</v>
      </c>
      <c r="I22" s="8">
        <f t="shared" si="2"/>
        <v>50</v>
      </c>
      <c r="J22" s="8"/>
      <c r="K22" s="8"/>
    </row>
    <row r="23" spans="1:11" x14ac:dyDescent="0.25">
      <c r="A23" s="11" t="s">
        <v>108</v>
      </c>
      <c r="B23" s="55">
        <v>2093422647246.5098</v>
      </c>
      <c r="C23" s="55">
        <v>2114964213406.4001</v>
      </c>
      <c r="D23" s="11">
        <f t="shared" si="0"/>
        <v>1.029011804578694</v>
      </c>
      <c r="E23" s="55">
        <v>7</v>
      </c>
      <c r="F23" s="55">
        <v>7</v>
      </c>
      <c r="G23" s="55">
        <v>0</v>
      </c>
      <c r="H23" s="8">
        <f t="shared" si="1"/>
        <v>50</v>
      </c>
      <c r="I23" s="8">
        <f t="shared" si="2"/>
        <v>50</v>
      </c>
      <c r="J23" s="8"/>
      <c r="K23" s="8"/>
    </row>
    <row r="24" spans="1:11" x14ac:dyDescent="0.25">
      <c r="A24" s="11" t="s">
        <v>4168</v>
      </c>
      <c r="B24" s="11">
        <v>66748901484.5</v>
      </c>
      <c r="C24" s="11">
        <v>67178728278.199997</v>
      </c>
      <c r="D24" s="11">
        <f t="shared" si="0"/>
        <v>0.64394586898154205</v>
      </c>
      <c r="E24" s="55">
        <v>1</v>
      </c>
      <c r="F24" s="55">
        <v>1</v>
      </c>
      <c r="G24" s="55">
        <v>0</v>
      </c>
      <c r="H24" s="8">
        <f t="shared" si="1"/>
        <v>50</v>
      </c>
      <c r="I24" s="8">
        <f t="shared" si="2"/>
        <v>50</v>
      </c>
      <c r="J24" s="8"/>
      <c r="K24" s="8"/>
    </row>
    <row r="25" spans="1:11" x14ac:dyDescent="0.25">
      <c r="A25" s="11" t="s">
        <v>1351</v>
      </c>
      <c r="B25" s="11">
        <v>37453334781.449997</v>
      </c>
      <c r="C25" s="11">
        <v>37583374883.25</v>
      </c>
      <c r="D25" s="11">
        <f t="shared" si="0"/>
        <v>0.34720566955872167</v>
      </c>
      <c r="E25" s="55">
        <v>3</v>
      </c>
      <c r="F25" s="55">
        <v>2</v>
      </c>
      <c r="G25" s="55">
        <v>1</v>
      </c>
      <c r="H25" s="8">
        <f t="shared" si="1"/>
        <v>50</v>
      </c>
      <c r="I25" s="8">
        <f t="shared" si="2"/>
        <v>33.333333333333329</v>
      </c>
    </row>
    <row r="26" spans="1:11" x14ac:dyDescent="0.25">
      <c r="A26" s="11" t="s">
        <v>3183</v>
      </c>
      <c r="B26" s="11">
        <v>3642009256406.6504</v>
      </c>
      <c r="C26" s="11">
        <v>3563088353215.2007</v>
      </c>
      <c r="D26" s="11">
        <f t="shared" si="0"/>
        <v>-2.1669605329151791</v>
      </c>
      <c r="E26" s="55">
        <v>3</v>
      </c>
      <c r="F26" s="55">
        <v>3</v>
      </c>
      <c r="G26" s="55">
        <v>0</v>
      </c>
      <c r="H26" s="8">
        <f t="shared" si="1"/>
        <v>50</v>
      </c>
      <c r="I26" s="8">
        <f t="shared" si="2"/>
        <v>50</v>
      </c>
      <c r="J26" s="8"/>
      <c r="K26" s="8"/>
    </row>
    <row r="27" spans="1:11" x14ac:dyDescent="0.25">
      <c r="A27" s="11" t="s">
        <v>3068</v>
      </c>
      <c r="B27" s="11">
        <v>2816104813.1399999</v>
      </c>
      <c r="C27" s="11">
        <v>2731035361.4400001</v>
      </c>
      <c r="D27" s="11">
        <f t="shared" si="0"/>
        <v>-3.020819797014092</v>
      </c>
      <c r="E27" s="55">
        <v>2</v>
      </c>
      <c r="F27" s="55">
        <v>2</v>
      </c>
      <c r="G27" s="55">
        <v>0</v>
      </c>
      <c r="H27" s="8">
        <f t="shared" si="1"/>
        <v>50</v>
      </c>
      <c r="I27" s="8">
        <f t="shared" si="2"/>
        <v>50</v>
      </c>
      <c r="J27" s="8"/>
      <c r="K27" s="8"/>
    </row>
    <row r="28" spans="1:11" x14ac:dyDescent="0.25">
      <c r="A28" s="11" t="s">
        <v>3663</v>
      </c>
      <c r="B28" s="11">
        <v>80799673189.600006</v>
      </c>
      <c r="C28" s="11">
        <v>76793272065.600006</v>
      </c>
      <c r="D28" s="11">
        <f t="shared" si="0"/>
        <v>-4.9584372879811065</v>
      </c>
      <c r="E28" s="55">
        <v>1</v>
      </c>
      <c r="F28" s="55">
        <v>1</v>
      </c>
      <c r="G28" s="55">
        <v>0</v>
      </c>
      <c r="H28" s="8">
        <f t="shared" si="1"/>
        <v>50</v>
      </c>
      <c r="I28" s="8">
        <f t="shared" si="2"/>
        <v>50</v>
      </c>
      <c r="J28" s="8"/>
      <c r="K28" s="8"/>
    </row>
    <row r="29" spans="1:11" x14ac:dyDescent="0.25">
      <c r="A29" s="11" t="s">
        <v>3883</v>
      </c>
      <c r="B29" s="11">
        <v>374389301516.90002</v>
      </c>
      <c r="C29" s="11">
        <v>355681190839.45001</v>
      </c>
      <c r="D29" s="11">
        <f t="shared" si="0"/>
        <v>-4.9969672214593244</v>
      </c>
      <c r="E29" s="55">
        <v>2</v>
      </c>
      <c r="F29" s="55">
        <v>2</v>
      </c>
      <c r="G29" s="55">
        <v>0</v>
      </c>
      <c r="H29" s="8">
        <f t="shared" si="1"/>
        <v>50</v>
      </c>
      <c r="I29" s="8">
        <f t="shared" si="2"/>
        <v>50</v>
      </c>
      <c r="J29" s="8"/>
      <c r="K29" s="8"/>
    </row>
    <row r="30" spans="1:11" x14ac:dyDescent="0.25">
      <c r="A30" s="11" t="s">
        <v>3085</v>
      </c>
      <c r="B30" s="11">
        <v>7150037694779.5996</v>
      </c>
      <c r="C30" s="11">
        <v>6747350907077.3496</v>
      </c>
      <c r="D30" s="11">
        <f t="shared" si="0"/>
        <v>-5.6319533531447048</v>
      </c>
      <c r="E30" s="55">
        <v>3</v>
      </c>
      <c r="F30" s="55">
        <v>3</v>
      </c>
      <c r="G30" s="55">
        <v>0</v>
      </c>
      <c r="H30" s="8">
        <f t="shared" si="1"/>
        <v>50</v>
      </c>
      <c r="I30" s="8">
        <f t="shared" si="2"/>
        <v>50</v>
      </c>
      <c r="J30" s="8"/>
      <c r="K30" s="8"/>
    </row>
    <row r="31" spans="1:11" x14ac:dyDescent="0.25">
      <c r="A31" s="11" t="s">
        <v>4082</v>
      </c>
      <c r="B31" s="11">
        <v>1315572032607.5</v>
      </c>
      <c r="C31" s="11">
        <v>1239139692847</v>
      </c>
      <c r="D31" s="11">
        <f t="shared" si="0"/>
        <v>-5.8098179245274011</v>
      </c>
      <c r="E31" s="55">
        <v>1</v>
      </c>
      <c r="F31" s="55">
        <v>1</v>
      </c>
      <c r="G31" s="55">
        <v>0</v>
      </c>
      <c r="H31" s="8">
        <f t="shared" si="1"/>
        <v>50</v>
      </c>
      <c r="I31" s="8">
        <f t="shared" si="2"/>
        <v>50</v>
      </c>
      <c r="J31" s="8"/>
      <c r="K31" s="8"/>
    </row>
    <row r="32" spans="1:11" x14ac:dyDescent="0.25">
      <c r="A32" s="11" t="s">
        <v>3874</v>
      </c>
      <c r="B32" s="11">
        <v>205350789221.90002</v>
      </c>
      <c r="C32" s="11">
        <v>192172895244.95001</v>
      </c>
      <c r="D32" s="11">
        <f t="shared" si="0"/>
        <v>-6.4172599612997399</v>
      </c>
      <c r="E32" s="55">
        <v>1</v>
      </c>
      <c r="F32" s="55">
        <v>1</v>
      </c>
      <c r="G32" s="55">
        <v>0</v>
      </c>
      <c r="H32" s="8">
        <f t="shared" si="1"/>
        <v>50</v>
      </c>
      <c r="I32" s="8">
        <f t="shared" si="2"/>
        <v>50</v>
      </c>
      <c r="J32" s="8"/>
      <c r="K32" s="8"/>
    </row>
    <row r="33" spans="1:11" x14ac:dyDescent="0.25">
      <c r="A33" s="11" t="s">
        <v>2867</v>
      </c>
      <c r="B33" s="11">
        <v>4729210121.8999996</v>
      </c>
      <c r="C33" s="11">
        <v>4410097197.2200003</v>
      </c>
      <c r="D33" s="11">
        <f t="shared" si="0"/>
        <v>-6.747700280904267</v>
      </c>
      <c r="E33" s="55">
        <v>3</v>
      </c>
      <c r="F33" s="55">
        <v>3</v>
      </c>
      <c r="G33" s="55">
        <v>0</v>
      </c>
      <c r="H33" s="8">
        <f t="shared" si="1"/>
        <v>50</v>
      </c>
      <c r="I33" s="8">
        <f t="shared" si="2"/>
        <v>50</v>
      </c>
      <c r="J33" s="8"/>
      <c r="K33" s="8"/>
    </row>
    <row r="34" spans="1:11" x14ac:dyDescent="0.25">
      <c r="A34" s="11" t="s">
        <v>2816</v>
      </c>
      <c r="B34" s="11">
        <v>291929950372.70001</v>
      </c>
      <c r="C34" s="11">
        <v>267360895977.29999</v>
      </c>
      <c r="D34" s="11">
        <f t="shared" si="0"/>
        <v>-8.416078707934318</v>
      </c>
      <c r="E34" s="55">
        <v>1</v>
      </c>
      <c r="F34" s="55">
        <v>1</v>
      </c>
      <c r="G34" s="55">
        <v>0</v>
      </c>
      <c r="H34" s="8">
        <f t="shared" si="1"/>
        <v>50</v>
      </c>
      <c r="I34" s="8">
        <f t="shared" si="2"/>
        <v>50</v>
      </c>
      <c r="J34" s="8"/>
      <c r="K34" s="8"/>
    </row>
    <row r="35" spans="1:11" x14ac:dyDescent="0.25">
      <c r="A35" s="11" t="s">
        <v>1064</v>
      </c>
      <c r="B35" s="11">
        <v>954066648996.31995</v>
      </c>
      <c r="C35" s="11">
        <v>971964470572.48975</v>
      </c>
      <c r="D35" s="11">
        <f t="shared" si="0"/>
        <v>1.8759508672689003</v>
      </c>
      <c r="E35" s="55">
        <v>25</v>
      </c>
      <c r="F35" s="55">
        <v>25</v>
      </c>
      <c r="G35" s="55">
        <v>1</v>
      </c>
      <c r="H35" s="8">
        <f t="shared" si="1"/>
        <v>49.019607843137251</v>
      </c>
      <c r="I35" s="8">
        <f t="shared" si="2"/>
        <v>49.019607843137251</v>
      </c>
      <c r="J35" s="8"/>
      <c r="K35" s="8"/>
    </row>
    <row r="36" spans="1:11" x14ac:dyDescent="0.25">
      <c r="A36" s="11" t="s">
        <v>1136</v>
      </c>
      <c r="B36" s="11">
        <v>6372157083608.9092</v>
      </c>
      <c r="C36" s="11">
        <v>6523891919341.9893</v>
      </c>
      <c r="D36" s="11">
        <f t="shared" si="0"/>
        <v>2.381216183816111</v>
      </c>
      <c r="E36" s="55">
        <v>20</v>
      </c>
      <c r="F36" s="55">
        <v>24</v>
      </c>
      <c r="G36" s="55">
        <v>0</v>
      </c>
      <c r="H36" s="8">
        <f t="shared" si="1"/>
        <v>45.454545454545453</v>
      </c>
      <c r="I36" s="8">
        <f t="shared" si="2"/>
        <v>54.54545454545454</v>
      </c>
      <c r="J36" s="8"/>
      <c r="K36" s="8"/>
    </row>
    <row r="37" spans="1:11" x14ac:dyDescent="0.25">
      <c r="A37" s="11" t="s">
        <v>1453</v>
      </c>
      <c r="B37" s="11">
        <v>364218092196.28992</v>
      </c>
      <c r="C37" s="11">
        <v>375635181943.64001</v>
      </c>
      <c r="D37" s="11">
        <f t="shared" si="0"/>
        <v>3.1346849571649029</v>
      </c>
      <c r="E37" s="55">
        <v>4</v>
      </c>
      <c r="F37" s="55">
        <v>5</v>
      </c>
      <c r="G37" s="55">
        <v>0</v>
      </c>
      <c r="H37" s="8">
        <f t="shared" si="1"/>
        <v>44.444444444444443</v>
      </c>
      <c r="I37" s="8">
        <f t="shared" si="2"/>
        <v>55.555555555555557</v>
      </c>
      <c r="J37" s="69" t="s">
        <v>4465</v>
      </c>
      <c r="K37" s="67"/>
    </row>
    <row r="38" spans="1:11" x14ac:dyDescent="0.25">
      <c r="A38" s="11" t="s">
        <v>4066</v>
      </c>
      <c r="B38" s="11">
        <v>51558792036.610008</v>
      </c>
      <c r="C38" s="11">
        <v>50851176163.529999</v>
      </c>
      <c r="D38" s="11">
        <f t="shared" si="0"/>
        <v>-1.37244463093231</v>
      </c>
      <c r="E38" s="55">
        <v>4</v>
      </c>
      <c r="F38" s="55">
        <v>5</v>
      </c>
      <c r="G38" s="55">
        <v>0</v>
      </c>
      <c r="H38" s="8">
        <f t="shared" si="1"/>
        <v>44.444444444444443</v>
      </c>
      <c r="I38" s="8">
        <f t="shared" si="2"/>
        <v>55.555555555555557</v>
      </c>
      <c r="J38" s="8"/>
      <c r="K38" s="8"/>
    </row>
    <row r="39" spans="1:11" x14ac:dyDescent="0.25">
      <c r="A39" s="11" t="s">
        <v>3683</v>
      </c>
      <c r="B39" s="11">
        <v>3758354071448.0298</v>
      </c>
      <c r="C39" s="11">
        <v>3858782816135.6309</v>
      </c>
      <c r="D39" s="11">
        <f t="shared" si="0"/>
        <v>2.6721469765329369</v>
      </c>
      <c r="E39" s="55">
        <v>17</v>
      </c>
      <c r="F39" s="55">
        <v>21</v>
      </c>
      <c r="G39" s="55">
        <v>1</v>
      </c>
      <c r="H39" s="8">
        <f t="shared" si="1"/>
        <v>43.589743589743591</v>
      </c>
      <c r="I39" s="8">
        <f t="shared" si="2"/>
        <v>53.846153846153847</v>
      </c>
      <c r="J39" s="8"/>
      <c r="K39" s="8"/>
    </row>
    <row r="40" spans="1:11" x14ac:dyDescent="0.25">
      <c r="A40" s="11" t="s">
        <v>1970</v>
      </c>
      <c r="B40" s="11">
        <v>666264105095.54993</v>
      </c>
      <c r="C40" s="11">
        <v>696513263355.50012</v>
      </c>
      <c r="D40" s="11">
        <f t="shared" si="0"/>
        <v>4.5401152528864088</v>
      </c>
      <c r="E40" s="55">
        <v>3</v>
      </c>
      <c r="F40" s="55">
        <v>4</v>
      </c>
      <c r="G40" s="55">
        <v>0</v>
      </c>
      <c r="H40" s="8">
        <f t="shared" si="1"/>
        <v>42.857142857142854</v>
      </c>
      <c r="I40" s="8">
        <f t="shared" si="2"/>
        <v>57.142857142857139</v>
      </c>
      <c r="J40" s="8"/>
      <c r="K40" s="8"/>
    </row>
    <row r="41" spans="1:11" x14ac:dyDescent="0.25">
      <c r="A41" s="11" t="s">
        <v>9</v>
      </c>
      <c r="B41" s="11">
        <v>2866317042013.48</v>
      </c>
      <c r="C41" s="11">
        <v>2848497226533.9199</v>
      </c>
      <c r="D41" s="11">
        <f t="shared" si="0"/>
        <v>-0.62169729371745652</v>
      </c>
      <c r="E41" s="55">
        <v>3</v>
      </c>
      <c r="F41" s="55">
        <v>4</v>
      </c>
      <c r="G41" s="55">
        <v>0</v>
      </c>
      <c r="H41" s="8">
        <f t="shared" si="1"/>
        <v>42.857142857142854</v>
      </c>
      <c r="I41" s="8">
        <f t="shared" si="2"/>
        <v>57.142857142857139</v>
      </c>
      <c r="J41" s="8"/>
      <c r="K41" s="8"/>
    </row>
    <row r="42" spans="1:11" x14ac:dyDescent="0.25">
      <c r="A42" s="11" t="s">
        <v>2671</v>
      </c>
      <c r="B42" s="11">
        <v>213430396695.30002</v>
      </c>
      <c r="C42" s="11">
        <v>205797803645.51996</v>
      </c>
      <c r="D42" s="11">
        <f t="shared" si="0"/>
        <v>-3.5761508988228092</v>
      </c>
      <c r="E42" s="55">
        <v>5</v>
      </c>
      <c r="F42" s="55">
        <v>7</v>
      </c>
      <c r="G42" s="55">
        <v>0</v>
      </c>
      <c r="H42" s="8">
        <f t="shared" si="1"/>
        <v>41.666666666666671</v>
      </c>
      <c r="I42" s="8">
        <f t="shared" si="2"/>
        <v>58.333333333333336</v>
      </c>
      <c r="J42" s="8"/>
      <c r="K42" s="8"/>
    </row>
    <row r="43" spans="1:11" x14ac:dyDescent="0.25">
      <c r="A43" s="11" t="s">
        <v>2422</v>
      </c>
      <c r="B43" s="11">
        <v>416088943622.35004</v>
      </c>
      <c r="C43" s="11">
        <v>420699616010.03998</v>
      </c>
      <c r="D43" s="11">
        <f t="shared" si="0"/>
        <v>1.1080977897539792</v>
      </c>
      <c r="E43" s="55">
        <v>15</v>
      </c>
      <c r="F43" s="55">
        <v>22</v>
      </c>
      <c r="G43" s="55">
        <v>0</v>
      </c>
      <c r="H43" s="8">
        <f t="shared" si="1"/>
        <v>40.54054054054054</v>
      </c>
      <c r="I43" s="8">
        <f t="shared" si="2"/>
        <v>59.45945945945946</v>
      </c>
      <c r="J43" s="8"/>
      <c r="K43" s="8"/>
    </row>
    <row r="44" spans="1:11" x14ac:dyDescent="0.25">
      <c r="A44" s="11" t="s">
        <v>3475</v>
      </c>
      <c r="B44" s="11">
        <v>5288195980575.0205</v>
      </c>
      <c r="C44" s="11">
        <v>6006303821237.1309</v>
      </c>
      <c r="D44" s="11">
        <f t="shared" si="0"/>
        <v>13.579448327934809</v>
      </c>
      <c r="E44" s="55">
        <v>14</v>
      </c>
      <c r="F44" s="55">
        <v>20</v>
      </c>
      <c r="G44" s="55">
        <v>1</v>
      </c>
      <c r="H44" s="8">
        <f t="shared" si="1"/>
        <v>40</v>
      </c>
      <c r="I44" s="8">
        <f t="shared" si="2"/>
        <v>57.142857142857139</v>
      </c>
      <c r="J44" s="8"/>
      <c r="K44" s="8"/>
    </row>
    <row r="45" spans="1:11" x14ac:dyDescent="0.25">
      <c r="A45" s="11" t="s">
        <v>1563</v>
      </c>
      <c r="B45" s="11">
        <v>37083111536.599998</v>
      </c>
      <c r="C45" s="11">
        <v>39014648020.139999</v>
      </c>
      <c r="D45" s="11">
        <f t="shared" si="0"/>
        <v>5.2086688616558732</v>
      </c>
      <c r="E45" s="55">
        <v>2</v>
      </c>
      <c r="F45" s="55">
        <v>3</v>
      </c>
      <c r="G45" s="55">
        <v>0</v>
      </c>
      <c r="H45" s="8">
        <f t="shared" si="1"/>
        <v>40</v>
      </c>
      <c r="I45" s="8">
        <f t="shared" si="2"/>
        <v>60</v>
      </c>
      <c r="J45" s="8"/>
      <c r="K45" s="8"/>
    </row>
    <row r="46" spans="1:11" x14ac:dyDescent="0.25">
      <c r="A46" s="11" t="s">
        <v>183</v>
      </c>
      <c r="B46" s="11">
        <v>742714099257.43005</v>
      </c>
      <c r="C46" s="11">
        <v>766170022958.34009</v>
      </c>
      <c r="D46" s="11">
        <f t="shared" si="0"/>
        <v>3.1581363171052499</v>
      </c>
      <c r="E46" s="55">
        <v>2</v>
      </c>
      <c r="F46" s="55">
        <v>3</v>
      </c>
      <c r="G46" s="55">
        <v>0</v>
      </c>
      <c r="H46" s="8">
        <f t="shared" si="1"/>
        <v>40</v>
      </c>
      <c r="I46" s="8">
        <f t="shared" si="2"/>
        <v>60</v>
      </c>
      <c r="J46" s="8"/>
      <c r="K46" s="8"/>
    </row>
    <row r="47" spans="1:11" x14ac:dyDescent="0.25">
      <c r="A47" s="11" t="s">
        <v>1315</v>
      </c>
      <c r="B47" s="11">
        <v>141210563261</v>
      </c>
      <c r="C47" s="11">
        <v>141741386664.63</v>
      </c>
      <c r="D47" s="11">
        <f t="shared" si="0"/>
        <v>0.37590913269631399</v>
      </c>
      <c r="E47" s="55">
        <v>2</v>
      </c>
      <c r="F47" s="55">
        <v>2</v>
      </c>
      <c r="G47" s="55">
        <v>1</v>
      </c>
      <c r="H47" s="8">
        <f t="shared" si="1"/>
        <v>40</v>
      </c>
      <c r="I47" s="8">
        <f t="shared" si="2"/>
        <v>40</v>
      </c>
      <c r="J47" s="8"/>
      <c r="K47" s="8"/>
    </row>
    <row r="48" spans="1:11" x14ac:dyDescent="0.25">
      <c r="A48" s="11" t="s">
        <v>1598</v>
      </c>
      <c r="B48" s="11">
        <v>1349613847523.01</v>
      </c>
      <c r="C48" s="11">
        <v>1319263802504.1799</v>
      </c>
      <c r="D48" s="11">
        <f t="shared" si="0"/>
        <v>-2.2487947255826173</v>
      </c>
      <c r="E48" s="55">
        <v>2</v>
      </c>
      <c r="F48" s="55">
        <v>2</v>
      </c>
      <c r="G48" s="55">
        <v>1</v>
      </c>
      <c r="H48" s="8">
        <f t="shared" si="1"/>
        <v>40</v>
      </c>
      <c r="I48" s="8">
        <f t="shared" si="2"/>
        <v>40</v>
      </c>
      <c r="J48" s="8"/>
      <c r="K48" s="8"/>
    </row>
    <row r="49" spans="1:11" x14ac:dyDescent="0.25">
      <c r="A49" s="11" t="s">
        <v>2501</v>
      </c>
      <c r="B49" s="11">
        <v>101276600863.75</v>
      </c>
      <c r="C49" s="11">
        <v>97308012314.869995</v>
      </c>
      <c r="D49" s="11">
        <f t="shared" si="0"/>
        <v>-3.9185641254084427</v>
      </c>
      <c r="E49" s="55">
        <v>2</v>
      </c>
      <c r="F49" s="55">
        <v>2</v>
      </c>
      <c r="G49" s="55">
        <v>1</v>
      </c>
      <c r="H49" s="8">
        <f t="shared" si="1"/>
        <v>40</v>
      </c>
      <c r="I49" s="8">
        <f t="shared" si="2"/>
        <v>40</v>
      </c>
      <c r="J49" s="8"/>
      <c r="K49" s="8"/>
    </row>
    <row r="50" spans="1:11" x14ac:dyDescent="0.25">
      <c r="A50" s="11" t="s">
        <v>2757</v>
      </c>
      <c r="B50" s="11">
        <v>583710251504.94995</v>
      </c>
      <c r="C50" s="11">
        <v>503751513490.12</v>
      </c>
      <c r="D50" s="11">
        <f t="shared" si="0"/>
        <v>-13.698361097595335</v>
      </c>
      <c r="E50" s="55">
        <v>2</v>
      </c>
      <c r="F50" s="55">
        <v>3</v>
      </c>
      <c r="G50" s="55">
        <v>0</v>
      </c>
      <c r="H50" s="8">
        <f t="shared" si="1"/>
        <v>40</v>
      </c>
      <c r="I50" s="8">
        <f t="shared" si="2"/>
        <v>60</v>
      </c>
      <c r="J50" s="8"/>
      <c r="K50" s="8"/>
    </row>
    <row r="51" spans="1:11" x14ac:dyDescent="0.25">
      <c r="A51" s="11" t="s">
        <v>3976</v>
      </c>
      <c r="B51" s="11">
        <v>1067263363520.99</v>
      </c>
      <c r="C51" s="11">
        <v>1044479130397.52</v>
      </c>
      <c r="D51" s="11">
        <f t="shared" si="0"/>
        <v>-2.134827625704578</v>
      </c>
      <c r="E51" s="55">
        <v>7</v>
      </c>
      <c r="F51" s="55">
        <v>10</v>
      </c>
      <c r="G51" s="55">
        <v>1</v>
      </c>
      <c r="H51" s="8">
        <f t="shared" si="1"/>
        <v>38.888888888888893</v>
      </c>
      <c r="I51" s="8">
        <f t="shared" si="2"/>
        <v>55.555555555555557</v>
      </c>
      <c r="J51" s="8"/>
      <c r="K51" s="8"/>
    </row>
    <row r="52" spans="1:11" x14ac:dyDescent="0.25">
      <c r="A52" s="11" t="s">
        <v>2228</v>
      </c>
      <c r="B52" s="11">
        <v>4269597155649.0493</v>
      </c>
      <c r="C52" s="11">
        <v>4257564604553.7402</v>
      </c>
      <c r="D52" s="11">
        <f t="shared" si="0"/>
        <v>-0.28181935336426217</v>
      </c>
      <c r="E52" s="55">
        <v>6</v>
      </c>
      <c r="F52" s="55">
        <v>10</v>
      </c>
      <c r="G52" s="55">
        <v>0</v>
      </c>
      <c r="H52" s="8">
        <f t="shared" si="1"/>
        <v>37.5</v>
      </c>
      <c r="I52" s="8">
        <f t="shared" si="2"/>
        <v>62.5</v>
      </c>
      <c r="J52" s="8"/>
      <c r="K52" s="8"/>
    </row>
    <row r="53" spans="1:11" x14ac:dyDescent="0.25">
      <c r="A53" s="11" t="s">
        <v>2721</v>
      </c>
      <c r="B53" s="11">
        <v>5118103867585.6602</v>
      </c>
      <c r="C53" s="11">
        <v>5080428909790.7598</v>
      </c>
      <c r="D53" s="11">
        <f t="shared" si="0"/>
        <v>-0.7361116298070095</v>
      </c>
      <c r="E53" s="55">
        <v>3</v>
      </c>
      <c r="F53" s="55">
        <v>5</v>
      </c>
      <c r="G53" s="55">
        <v>0</v>
      </c>
      <c r="H53" s="8">
        <f t="shared" si="1"/>
        <v>37.5</v>
      </c>
      <c r="I53" s="8">
        <f t="shared" si="2"/>
        <v>62.5</v>
      </c>
      <c r="J53" s="8"/>
      <c r="K53" s="8"/>
    </row>
    <row r="54" spans="1:11" x14ac:dyDescent="0.25">
      <c r="A54" s="11" t="s">
        <v>1685</v>
      </c>
      <c r="B54" s="11">
        <v>219384117201.80994</v>
      </c>
      <c r="C54" s="11">
        <v>214864511355.63</v>
      </c>
      <c r="D54" s="11">
        <f t="shared" si="0"/>
        <v>-2.0601335702084471</v>
      </c>
      <c r="E54" s="55">
        <v>20</v>
      </c>
      <c r="F54" s="55">
        <v>32</v>
      </c>
      <c r="G54" s="55">
        <v>2</v>
      </c>
      <c r="H54" s="8">
        <f t="shared" si="1"/>
        <v>37.037037037037038</v>
      </c>
      <c r="I54" s="8">
        <f t="shared" si="2"/>
        <v>59.259259259259252</v>
      </c>
    </row>
    <row r="55" spans="1:11" x14ac:dyDescent="0.25">
      <c r="A55" s="11" t="s">
        <v>1001</v>
      </c>
      <c r="B55" s="11">
        <v>755370608407.27991</v>
      </c>
      <c r="C55" s="11">
        <v>733023808777.63</v>
      </c>
      <c r="D55" s="11">
        <f t="shared" si="0"/>
        <v>-2.9583888201274808</v>
      </c>
      <c r="E55" s="55">
        <v>4</v>
      </c>
      <c r="F55" s="55">
        <v>7</v>
      </c>
      <c r="G55" s="55">
        <v>0</v>
      </c>
      <c r="H55" s="8">
        <f t="shared" si="1"/>
        <v>36.363636363636367</v>
      </c>
      <c r="I55" s="8">
        <f t="shared" si="2"/>
        <v>63.636363636363633</v>
      </c>
      <c r="J55" s="8"/>
      <c r="K55" s="8"/>
    </row>
    <row r="56" spans="1:11" x14ac:dyDescent="0.25">
      <c r="A56" s="11" t="s">
        <v>2261</v>
      </c>
      <c r="B56" s="11">
        <v>45489319048.740005</v>
      </c>
      <c r="C56" s="11">
        <v>42803444178.270004</v>
      </c>
      <c r="D56" s="11">
        <f t="shared" si="0"/>
        <v>-5.9044077305096447</v>
      </c>
      <c r="E56" s="55">
        <v>5</v>
      </c>
      <c r="F56" s="55">
        <v>9</v>
      </c>
      <c r="G56" s="55">
        <v>0</v>
      </c>
      <c r="H56" s="8">
        <f t="shared" si="1"/>
        <v>35.714285714285715</v>
      </c>
      <c r="I56" s="8">
        <f t="shared" si="2"/>
        <v>64.285714285714292</v>
      </c>
      <c r="J56" s="8"/>
      <c r="K56" s="8"/>
    </row>
    <row r="57" spans="1:11" x14ac:dyDescent="0.25">
      <c r="A57" s="11" t="s">
        <v>985</v>
      </c>
      <c r="B57" s="11">
        <v>1931193733870.6497</v>
      </c>
      <c r="C57" s="11">
        <v>1937030662851.25</v>
      </c>
      <c r="D57" s="11">
        <f t="shared" si="0"/>
        <v>0.30224461058609131</v>
      </c>
      <c r="E57" s="55">
        <v>7</v>
      </c>
      <c r="F57" s="55">
        <v>13</v>
      </c>
      <c r="G57" s="55">
        <v>0</v>
      </c>
      <c r="H57" s="8">
        <f t="shared" si="1"/>
        <v>35</v>
      </c>
      <c r="I57" s="8">
        <f t="shared" si="2"/>
        <v>65</v>
      </c>
      <c r="J57" s="8"/>
      <c r="K57" s="8"/>
    </row>
    <row r="58" spans="1:11" x14ac:dyDescent="0.25">
      <c r="A58" s="11" t="s">
        <v>3369</v>
      </c>
      <c r="B58" s="11">
        <v>79155766850.829987</v>
      </c>
      <c r="C58" s="11">
        <v>78506737775.720001</v>
      </c>
      <c r="D58" s="11">
        <f t="shared" si="0"/>
        <v>-0.81993909089793615</v>
      </c>
      <c r="E58" s="55">
        <v>7</v>
      </c>
      <c r="F58" s="55">
        <v>12</v>
      </c>
      <c r="G58" s="55">
        <v>1</v>
      </c>
      <c r="H58" s="8">
        <f t="shared" si="1"/>
        <v>35</v>
      </c>
      <c r="I58" s="8">
        <f t="shared" si="2"/>
        <v>60</v>
      </c>
      <c r="J58" s="8"/>
      <c r="K58" s="8"/>
    </row>
    <row r="59" spans="1:11" x14ac:dyDescent="0.25">
      <c r="A59" s="11" t="s">
        <v>3951</v>
      </c>
      <c r="B59" s="11">
        <v>769098427347.63989</v>
      </c>
      <c r="C59" s="11">
        <v>729256895420.56006</v>
      </c>
      <c r="D59" s="11">
        <f t="shared" si="0"/>
        <v>-5.180290390721483</v>
      </c>
      <c r="E59" s="55">
        <v>7</v>
      </c>
      <c r="F59" s="55">
        <v>13</v>
      </c>
      <c r="G59" s="55">
        <v>0</v>
      </c>
      <c r="H59" s="8">
        <f t="shared" si="1"/>
        <v>35</v>
      </c>
      <c r="I59" s="8">
        <f t="shared" si="2"/>
        <v>65</v>
      </c>
      <c r="J59" s="8"/>
      <c r="K59" s="8"/>
    </row>
    <row r="60" spans="1:11" x14ac:dyDescent="0.25">
      <c r="A60" s="11" t="s">
        <v>3906</v>
      </c>
      <c r="B60" s="11">
        <v>223515524392.75995</v>
      </c>
      <c r="C60" s="11">
        <v>226839776976.58002</v>
      </c>
      <c r="D60" s="11">
        <f t="shared" si="0"/>
        <v>1.487258029549086</v>
      </c>
      <c r="E60" s="55">
        <v>15</v>
      </c>
      <c r="F60" s="55">
        <v>26</v>
      </c>
      <c r="G60" s="55">
        <v>2</v>
      </c>
      <c r="H60" s="8">
        <f t="shared" si="1"/>
        <v>34.883720930232556</v>
      </c>
      <c r="I60" s="8">
        <f t="shared" si="2"/>
        <v>60.465116279069761</v>
      </c>
      <c r="J60" s="8"/>
      <c r="K60" s="8"/>
    </row>
    <row r="61" spans="1:11" x14ac:dyDescent="0.25">
      <c r="A61" s="11" t="s">
        <v>3639</v>
      </c>
      <c r="B61" s="11">
        <v>2467724599.0599999</v>
      </c>
      <c r="C61" s="11">
        <v>3148748189.6599998</v>
      </c>
      <c r="D61" s="11">
        <f t="shared" si="0"/>
        <v>27.597228266858213</v>
      </c>
      <c r="E61" s="55">
        <v>1</v>
      </c>
      <c r="F61" s="55">
        <v>2</v>
      </c>
      <c r="G61" s="55">
        <v>0</v>
      </c>
      <c r="H61" s="8">
        <f t="shared" si="1"/>
        <v>33.333333333333329</v>
      </c>
      <c r="I61" s="8">
        <f t="shared" si="2"/>
        <v>66.666666666666657</v>
      </c>
      <c r="J61" s="8"/>
      <c r="K61" s="8"/>
    </row>
    <row r="62" spans="1:11" x14ac:dyDescent="0.25">
      <c r="A62" s="11" t="s">
        <v>2297</v>
      </c>
      <c r="B62" s="11">
        <v>1177690959524.1003</v>
      </c>
      <c r="C62" s="11">
        <v>1187479055837.5803</v>
      </c>
      <c r="D62" s="11">
        <f t="shared" si="0"/>
        <v>0.83112604663580902</v>
      </c>
      <c r="E62" s="55">
        <v>37</v>
      </c>
      <c r="F62" s="55">
        <v>61</v>
      </c>
      <c r="G62" s="55">
        <v>13</v>
      </c>
      <c r="H62" s="8">
        <f t="shared" si="1"/>
        <v>33.333333333333329</v>
      </c>
      <c r="I62" s="8">
        <f t="shared" si="2"/>
        <v>54.954954954954957</v>
      </c>
      <c r="J62" s="8"/>
      <c r="K62" s="8"/>
    </row>
    <row r="63" spans="1:11" x14ac:dyDescent="0.25">
      <c r="A63" s="11" t="s">
        <v>1538</v>
      </c>
      <c r="B63" s="11">
        <v>840896220.55999994</v>
      </c>
      <c r="C63" s="11">
        <v>836094963.36000013</v>
      </c>
      <c r="D63" s="11">
        <f t="shared" si="0"/>
        <v>-0.57096905451690372</v>
      </c>
      <c r="E63" s="55">
        <v>2</v>
      </c>
      <c r="F63" s="55">
        <v>4</v>
      </c>
      <c r="G63" s="55">
        <v>0</v>
      </c>
      <c r="H63" s="8">
        <f t="shared" si="1"/>
        <v>33.333333333333329</v>
      </c>
      <c r="I63" s="8">
        <f t="shared" si="2"/>
        <v>66.666666666666657</v>
      </c>
      <c r="J63" s="8"/>
      <c r="K63" s="8"/>
    </row>
    <row r="64" spans="1:11" x14ac:dyDescent="0.25">
      <c r="A64" s="11" t="s">
        <v>11</v>
      </c>
      <c r="B64" s="11">
        <v>1177822903137.4597</v>
      </c>
      <c r="C64" s="11">
        <v>1167093400079.0498</v>
      </c>
      <c r="D64" s="11">
        <f t="shared" si="0"/>
        <v>-0.91096064016321032</v>
      </c>
      <c r="E64" s="55">
        <v>3</v>
      </c>
      <c r="F64" s="55">
        <v>5</v>
      </c>
      <c r="G64" s="55">
        <v>1</v>
      </c>
      <c r="H64" s="8">
        <f t="shared" si="1"/>
        <v>33.333333333333329</v>
      </c>
      <c r="I64" s="8">
        <f t="shared" si="2"/>
        <v>55.555555555555557</v>
      </c>
      <c r="J64" s="8"/>
      <c r="K64" s="8"/>
    </row>
    <row r="65" spans="1:11" x14ac:dyDescent="0.25">
      <c r="A65" s="11" t="s">
        <v>1606</v>
      </c>
      <c r="B65" s="11">
        <v>169686568811.98999</v>
      </c>
      <c r="C65" s="11">
        <v>166023995190.81</v>
      </c>
      <c r="D65" s="11">
        <f t="shared" si="0"/>
        <v>-2.1584346049439338</v>
      </c>
      <c r="E65" s="55">
        <v>3</v>
      </c>
      <c r="F65" s="55">
        <v>5</v>
      </c>
      <c r="G65" s="55">
        <v>1</v>
      </c>
      <c r="H65" s="8">
        <f t="shared" si="1"/>
        <v>33.333333333333329</v>
      </c>
      <c r="I65" s="8">
        <f t="shared" si="2"/>
        <v>55.555555555555557</v>
      </c>
      <c r="J65" s="8"/>
      <c r="K65" s="8"/>
    </row>
    <row r="66" spans="1:11" x14ac:dyDescent="0.25">
      <c r="A66" s="11" t="s">
        <v>3503</v>
      </c>
      <c r="B66" s="11">
        <v>1758830146858.28</v>
      </c>
      <c r="C66" s="11">
        <v>1717774373811.8899</v>
      </c>
      <c r="D66" s="11">
        <f t="shared" si="0"/>
        <v>-2.334265939194085</v>
      </c>
      <c r="E66" s="55">
        <v>9</v>
      </c>
      <c r="F66" s="55">
        <v>17</v>
      </c>
      <c r="G66" s="55">
        <v>1</v>
      </c>
      <c r="H66" s="8">
        <f t="shared" si="1"/>
        <v>33.333333333333329</v>
      </c>
      <c r="I66" s="8">
        <f t="shared" si="2"/>
        <v>62.962962962962962</v>
      </c>
      <c r="J66" s="8"/>
      <c r="K66" s="8"/>
    </row>
    <row r="67" spans="1:11" x14ac:dyDescent="0.25">
      <c r="A67" s="11" t="s">
        <v>1907</v>
      </c>
      <c r="B67" s="11">
        <v>485316499550.66003</v>
      </c>
      <c r="C67" s="11">
        <v>472658590811.78003</v>
      </c>
      <c r="D67" s="11">
        <f t="shared" si="0"/>
        <v>-2.6081760563672534</v>
      </c>
      <c r="E67" s="55">
        <v>5</v>
      </c>
      <c r="F67" s="55">
        <v>9</v>
      </c>
      <c r="G67" s="55">
        <v>1</v>
      </c>
      <c r="H67" s="8">
        <f t="shared" si="1"/>
        <v>33.333333333333329</v>
      </c>
      <c r="I67" s="8">
        <f t="shared" si="2"/>
        <v>60</v>
      </c>
      <c r="J67" s="8"/>
      <c r="K67" s="8"/>
    </row>
    <row r="68" spans="1:11" x14ac:dyDescent="0.25">
      <c r="A68" s="11" t="s">
        <v>342</v>
      </c>
      <c r="B68" s="11">
        <v>1190867287825.5498</v>
      </c>
      <c r="C68" s="11">
        <v>1156352002061.05</v>
      </c>
      <c r="D68" s="11">
        <f t="shared" si="0"/>
        <v>-2.8983318391021169</v>
      </c>
      <c r="E68" s="55">
        <v>1</v>
      </c>
      <c r="F68" s="55">
        <v>2</v>
      </c>
      <c r="G68" s="55">
        <v>0</v>
      </c>
      <c r="H68" s="8">
        <f t="shared" si="1"/>
        <v>33.333333333333329</v>
      </c>
      <c r="I68" s="8">
        <f t="shared" si="2"/>
        <v>66.666666666666657</v>
      </c>
      <c r="J68" s="8"/>
      <c r="K68" s="8"/>
    </row>
    <row r="69" spans="1:11" x14ac:dyDescent="0.25">
      <c r="A69" s="11" t="s">
        <v>1868</v>
      </c>
      <c r="B69" s="11">
        <v>4566907750670.6699</v>
      </c>
      <c r="C69" s="11">
        <v>4543951862426.0693</v>
      </c>
      <c r="D69" s="11">
        <f t="shared" si="0"/>
        <v>-0.50265714785303939</v>
      </c>
      <c r="E69" s="55">
        <v>30</v>
      </c>
      <c r="F69" s="55">
        <v>62</v>
      </c>
      <c r="G69" s="55">
        <v>2</v>
      </c>
      <c r="H69" s="8">
        <f t="shared" si="1"/>
        <v>31.914893617021278</v>
      </c>
      <c r="I69" s="8">
        <f t="shared" si="2"/>
        <v>65.957446808510639</v>
      </c>
      <c r="J69" s="8"/>
      <c r="K69" s="8"/>
    </row>
    <row r="70" spans="1:11" x14ac:dyDescent="0.25">
      <c r="A70" s="11" t="s">
        <v>3744</v>
      </c>
      <c r="B70" s="11">
        <v>1034707293265.13</v>
      </c>
      <c r="C70" s="11">
        <v>987821718815.69031</v>
      </c>
      <c r="D70" s="11">
        <f t="shared" si="0"/>
        <v>-4.5312886798630005</v>
      </c>
      <c r="E70" s="55">
        <v>17</v>
      </c>
      <c r="F70" s="55">
        <v>36</v>
      </c>
      <c r="G70" s="55">
        <v>1</v>
      </c>
      <c r="H70" s="8">
        <f t="shared" si="1"/>
        <v>31.481481481481481</v>
      </c>
      <c r="I70" s="8">
        <f t="shared" si="2"/>
        <v>66.666666666666657</v>
      </c>
      <c r="J70" s="8"/>
      <c r="K70" s="8"/>
    </row>
    <row r="71" spans="1:11" x14ac:dyDescent="0.25">
      <c r="A71" s="11" t="s">
        <v>1478</v>
      </c>
      <c r="B71" s="11">
        <v>351934244739.32001</v>
      </c>
      <c r="C71" s="11">
        <v>351560731173.88995</v>
      </c>
      <c r="D71" s="11">
        <f t="shared" si="0"/>
        <v>-0.10613163425080092</v>
      </c>
      <c r="E71" s="55">
        <v>14</v>
      </c>
      <c r="F71" s="55">
        <v>31</v>
      </c>
      <c r="G71" s="55">
        <v>1</v>
      </c>
      <c r="H71" s="8">
        <f t="shared" si="1"/>
        <v>30.434782608695656</v>
      </c>
      <c r="I71" s="8">
        <f t="shared" si="2"/>
        <v>67.391304347826093</v>
      </c>
      <c r="J71" s="8"/>
      <c r="K71" s="8"/>
    </row>
    <row r="72" spans="1:11" x14ac:dyDescent="0.25">
      <c r="A72" s="11" t="s">
        <v>2286</v>
      </c>
      <c r="B72" s="11">
        <v>449108334817.2699</v>
      </c>
      <c r="C72" s="11">
        <v>439854986436.90002</v>
      </c>
      <c r="D72" s="11">
        <f t="shared" si="0"/>
        <v>-2.0603822425461802</v>
      </c>
      <c r="E72" s="55">
        <v>10</v>
      </c>
      <c r="F72" s="55">
        <v>20</v>
      </c>
      <c r="G72" s="55">
        <v>3</v>
      </c>
      <c r="H72" s="8">
        <f t="shared" si="1"/>
        <v>30.303030303030305</v>
      </c>
      <c r="I72" s="8">
        <f t="shared" si="2"/>
        <v>60.606060606060609</v>
      </c>
      <c r="J72" s="8"/>
      <c r="K72" s="8"/>
    </row>
    <row r="73" spans="1:11" x14ac:dyDescent="0.25">
      <c r="A73" s="11" t="s">
        <v>3431</v>
      </c>
      <c r="B73" s="11">
        <v>3718438514802.1201</v>
      </c>
      <c r="C73" s="11">
        <v>3746114286952.6997</v>
      </c>
      <c r="D73" s="11">
        <f t="shared" si="0"/>
        <v>0.74428478621899108</v>
      </c>
      <c r="E73" s="55">
        <v>5</v>
      </c>
      <c r="F73" s="55">
        <v>12</v>
      </c>
      <c r="G73" s="55">
        <v>0</v>
      </c>
      <c r="H73" s="8">
        <f t="shared" si="1"/>
        <v>29.411764705882355</v>
      </c>
      <c r="I73" s="8">
        <f t="shared" si="2"/>
        <v>70.588235294117652</v>
      </c>
      <c r="J73" s="8"/>
      <c r="K73" s="8"/>
    </row>
    <row r="74" spans="1:11" x14ac:dyDescent="0.25">
      <c r="A74" s="11" t="s">
        <v>3831</v>
      </c>
      <c r="B74" s="11">
        <v>3160066312.2499995</v>
      </c>
      <c r="C74" s="11">
        <v>2967288997.5399995</v>
      </c>
      <c r="D74" s="11">
        <f t="shared" si="0"/>
        <v>-6.1004199172244782</v>
      </c>
      <c r="E74" s="55">
        <v>5</v>
      </c>
      <c r="F74" s="55">
        <v>10</v>
      </c>
      <c r="G74" s="55">
        <v>2</v>
      </c>
      <c r="H74" s="8">
        <f t="shared" si="1"/>
        <v>29.411764705882355</v>
      </c>
      <c r="I74" s="8">
        <f t="shared" si="2"/>
        <v>58.82352941176471</v>
      </c>
      <c r="J74" s="8"/>
      <c r="K74" s="8"/>
    </row>
    <row r="75" spans="1:11" x14ac:dyDescent="0.25">
      <c r="A75" s="11" t="s">
        <v>356</v>
      </c>
      <c r="B75" s="11">
        <v>2601778590373.8198</v>
      </c>
      <c r="C75" s="11">
        <v>2681818508595.6694</v>
      </c>
      <c r="D75" s="11">
        <f t="shared" si="0"/>
        <v>3.0763539417990824</v>
      </c>
      <c r="E75" s="55">
        <v>21</v>
      </c>
      <c r="F75" s="55">
        <v>46</v>
      </c>
      <c r="G75" s="55">
        <v>6</v>
      </c>
      <c r="H75" s="8">
        <f t="shared" si="1"/>
        <v>28.767123287671232</v>
      </c>
      <c r="I75" s="8">
        <f t="shared" si="2"/>
        <v>63.013698630136986</v>
      </c>
      <c r="J75" s="8"/>
      <c r="K75" s="8"/>
    </row>
    <row r="76" spans="1:11" x14ac:dyDescent="0.25">
      <c r="A76" s="11" t="s">
        <v>4111</v>
      </c>
      <c r="B76" s="11">
        <v>33659461800.919998</v>
      </c>
      <c r="C76" s="11">
        <v>34133228004.889996</v>
      </c>
      <c r="D76" s="11">
        <f t="shared" si="0"/>
        <v>1.4075275676482983</v>
      </c>
      <c r="E76" s="55">
        <v>2</v>
      </c>
      <c r="F76" s="55">
        <v>5</v>
      </c>
      <c r="G76" s="55">
        <v>0</v>
      </c>
      <c r="H76" s="8">
        <f t="shared" si="1"/>
        <v>28.571428571428569</v>
      </c>
      <c r="I76" s="8">
        <f t="shared" si="2"/>
        <v>71.428571428571431</v>
      </c>
      <c r="J76" s="8"/>
      <c r="K76" s="8"/>
    </row>
    <row r="77" spans="1:11" x14ac:dyDescent="0.25">
      <c r="A77" s="11" t="s">
        <v>4036</v>
      </c>
      <c r="B77" s="11">
        <v>206113416327.71997</v>
      </c>
      <c r="C77" s="11">
        <v>206438876555.37003</v>
      </c>
      <c r="D77" s="11">
        <f t="shared" si="0"/>
        <v>0.1579034656980183</v>
      </c>
      <c r="E77" s="55">
        <v>8</v>
      </c>
      <c r="F77" s="55">
        <v>16</v>
      </c>
      <c r="G77" s="55">
        <v>4</v>
      </c>
      <c r="H77" s="8">
        <f t="shared" si="1"/>
        <v>28.571428571428569</v>
      </c>
      <c r="I77" s="8">
        <f t="shared" si="2"/>
        <v>57.142857142857139</v>
      </c>
      <c r="J77" s="8"/>
      <c r="K77" s="8"/>
    </row>
    <row r="78" spans="1:11" x14ac:dyDescent="0.25">
      <c r="A78" s="11" t="s">
        <v>67</v>
      </c>
      <c r="B78" s="11">
        <v>730815181403.8999</v>
      </c>
      <c r="C78" s="11">
        <v>720660408535.70007</v>
      </c>
      <c r="D78" s="11">
        <f t="shared" si="0"/>
        <v>-1.3895131254241948</v>
      </c>
      <c r="E78" s="55">
        <v>2</v>
      </c>
      <c r="F78" s="55">
        <v>5</v>
      </c>
      <c r="G78" s="55">
        <v>0</v>
      </c>
      <c r="H78" s="8">
        <f t="shared" si="1"/>
        <v>28.571428571428569</v>
      </c>
      <c r="I78" s="8">
        <f t="shared" si="2"/>
        <v>71.428571428571431</v>
      </c>
      <c r="J78" s="8"/>
      <c r="K78" s="8"/>
    </row>
    <row r="79" spans="1:11" x14ac:dyDescent="0.25">
      <c r="A79" s="11" t="s">
        <v>1337</v>
      </c>
      <c r="B79" s="11">
        <v>927323862222.47986</v>
      </c>
      <c r="C79" s="11">
        <v>911751114970.61987</v>
      </c>
      <c r="D79" s="11">
        <f t="shared" si="0"/>
        <v>-1.6793213122476336</v>
      </c>
      <c r="E79" s="55">
        <v>18</v>
      </c>
      <c r="F79" s="55">
        <v>39</v>
      </c>
      <c r="G79" s="55">
        <v>6</v>
      </c>
      <c r="H79" s="8">
        <f t="shared" si="1"/>
        <v>28.571428571428569</v>
      </c>
      <c r="I79" s="8">
        <f t="shared" si="2"/>
        <v>61.904761904761905</v>
      </c>
      <c r="J79" s="8"/>
      <c r="K79" s="8"/>
    </row>
    <row r="80" spans="1:11" x14ac:dyDescent="0.25">
      <c r="A80" s="11" t="s">
        <v>2787</v>
      </c>
      <c r="B80" s="11">
        <v>564540895079.67993</v>
      </c>
      <c r="C80" s="11">
        <v>529719204428.84003</v>
      </c>
      <c r="D80" s="11">
        <f t="shared" si="0"/>
        <v>-6.1681431680737902</v>
      </c>
      <c r="E80" s="55">
        <v>2</v>
      </c>
      <c r="F80" s="55">
        <v>5</v>
      </c>
      <c r="G80" s="55">
        <v>0</v>
      </c>
      <c r="H80" s="8">
        <f t="shared" si="1"/>
        <v>28.571428571428569</v>
      </c>
      <c r="I80" s="8">
        <f t="shared" si="2"/>
        <v>71.428571428571431</v>
      </c>
      <c r="J80" s="8"/>
      <c r="K80" s="8"/>
    </row>
    <row r="81" spans="1:11" x14ac:dyDescent="0.25">
      <c r="A81" s="11" t="s">
        <v>376</v>
      </c>
      <c r="B81" s="11">
        <v>4272789306368.8813</v>
      </c>
      <c r="C81" s="11">
        <v>4055686206833.1504</v>
      </c>
      <c r="D81" s="11">
        <f t="shared" si="0"/>
        <v>-5.0810626026451642</v>
      </c>
      <c r="E81" s="55">
        <v>30</v>
      </c>
      <c r="F81" s="55">
        <v>76</v>
      </c>
      <c r="G81" s="55">
        <v>1</v>
      </c>
      <c r="H81" s="8">
        <f t="shared" si="1"/>
        <v>28.037383177570092</v>
      </c>
      <c r="I81" s="8">
        <f t="shared" si="2"/>
        <v>71.028037383177562</v>
      </c>
      <c r="J81" s="8"/>
      <c r="K81" s="8"/>
    </row>
    <row r="82" spans="1:11" x14ac:dyDescent="0.25">
      <c r="A82" s="11" t="s">
        <v>2905</v>
      </c>
      <c r="B82" s="11">
        <v>49943206879.629997</v>
      </c>
      <c r="C82" s="11">
        <v>49598632235.239998</v>
      </c>
      <c r="D82" s="11">
        <f t="shared" si="0"/>
        <v>-0.68993295769026552</v>
      </c>
      <c r="E82" s="55">
        <v>3</v>
      </c>
      <c r="F82" s="55">
        <v>8</v>
      </c>
      <c r="G82" s="55">
        <v>0</v>
      </c>
      <c r="H82" s="8">
        <f t="shared" si="1"/>
        <v>27.27272727272727</v>
      </c>
      <c r="I82" s="8">
        <f t="shared" si="2"/>
        <v>72.727272727272734</v>
      </c>
      <c r="J82" s="8"/>
      <c r="K82" s="8"/>
    </row>
    <row r="83" spans="1:11" x14ac:dyDescent="0.25">
      <c r="A83" s="11" t="s">
        <v>1046</v>
      </c>
      <c r="B83" s="11">
        <v>764539742695.57996</v>
      </c>
      <c r="C83" s="11">
        <v>758420271310.24011</v>
      </c>
      <c r="D83" s="11">
        <f t="shared" si="0"/>
        <v>-0.80041246302829017</v>
      </c>
      <c r="E83" s="55">
        <v>6</v>
      </c>
      <c r="F83" s="55">
        <v>16</v>
      </c>
      <c r="G83" s="55">
        <v>0</v>
      </c>
      <c r="H83" s="8">
        <f t="shared" si="1"/>
        <v>27.27272727272727</v>
      </c>
      <c r="I83" s="8">
        <f t="shared" si="2"/>
        <v>72.727272727272734</v>
      </c>
      <c r="J83" s="8"/>
      <c r="K83" s="8"/>
    </row>
    <row r="84" spans="1:11" x14ac:dyDescent="0.25">
      <c r="A84" s="11" t="s">
        <v>807</v>
      </c>
      <c r="B84" s="11">
        <v>3461819681545.77</v>
      </c>
      <c r="C84" s="11">
        <v>3471251725752.5698</v>
      </c>
      <c r="D84" s="11">
        <f t="shared" si="0"/>
        <v>0.27245914214076605</v>
      </c>
      <c r="E84" s="55">
        <v>8</v>
      </c>
      <c r="F84" s="55">
        <v>22</v>
      </c>
      <c r="G84" s="55">
        <v>0</v>
      </c>
      <c r="H84" s="8">
        <f t="shared" si="1"/>
        <v>26.666666666666668</v>
      </c>
      <c r="I84" s="8">
        <f t="shared" si="2"/>
        <v>73.333333333333329</v>
      </c>
      <c r="J84" s="8"/>
      <c r="K84" s="8"/>
    </row>
    <row r="85" spans="1:11" x14ac:dyDescent="0.25">
      <c r="A85" s="11" t="s">
        <v>2929</v>
      </c>
      <c r="B85" s="11">
        <v>338099921460.17004</v>
      </c>
      <c r="C85" s="11">
        <v>316223712580.66003</v>
      </c>
      <c r="D85" s="11">
        <f t="shared" si="0"/>
        <v>-6.4703383499860241</v>
      </c>
      <c r="E85" s="55">
        <v>16</v>
      </c>
      <c r="F85" s="55">
        <v>44</v>
      </c>
      <c r="G85" s="55">
        <v>1</v>
      </c>
      <c r="H85" s="8">
        <f t="shared" si="1"/>
        <v>26.229508196721312</v>
      </c>
      <c r="I85" s="8">
        <f t="shared" si="2"/>
        <v>72.131147540983605</v>
      </c>
      <c r="J85" s="8"/>
      <c r="K85" s="8"/>
    </row>
    <row r="86" spans="1:11" x14ac:dyDescent="0.25">
      <c r="A86" s="11" t="s">
        <v>13</v>
      </c>
      <c r="B86" s="11">
        <v>7821917448723.8926</v>
      </c>
      <c r="C86" s="11">
        <v>7457608153310.7715</v>
      </c>
      <c r="D86" s="11">
        <f t="shared" si="0"/>
        <v>-4.6575446212687455</v>
      </c>
      <c r="E86" s="55">
        <v>72</v>
      </c>
      <c r="F86" s="55">
        <v>177</v>
      </c>
      <c r="G86" s="55">
        <v>30</v>
      </c>
      <c r="H86" s="8">
        <f t="shared" si="1"/>
        <v>25.806451612903224</v>
      </c>
      <c r="I86" s="8">
        <f t="shared" si="2"/>
        <v>63.44086021505376</v>
      </c>
      <c r="J86" s="8"/>
      <c r="K86" s="8"/>
    </row>
    <row r="87" spans="1:11" x14ac:dyDescent="0.25">
      <c r="A87" s="11" t="s">
        <v>1171</v>
      </c>
      <c r="B87" s="11">
        <v>668425689803.06006</v>
      </c>
      <c r="C87" s="11">
        <v>618561930400.27979</v>
      </c>
      <c r="D87" s="11">
        <f t="shared" si="0"/>
        <v>-7.4598807561498361</v>
      </c>
      <c r="E87" s="55">
        <v>32</v>
      </c>
      <c r="F87" s="55">
        <v>68</v>
      </c>
      <c r="G87" s="55">
        <v>26</v>
      </c>
      <c r="H87" s="8">
        <f t="shared" si="1"/>
        <v>25.396825396825395</v>
      </c>
      <c r="I87" s="8">
        <f t="shared" si="2"/>
        <v>53.968253968253968</v>
      </c>
      <c r="J87" s="8"/>
      <c r="K87" s="8"/>
    </row>
    <row r="88" spans="1:11" x14ac:dyDescent="0.25">
      <c r="A88" s="11" t="s">
        <v>3519</v>
      </c>
      <c r="B88" s="11">
        <v>5841041768.96</v>
      </c>
      <c r="C88" s="11">
        <v>7381602832.8000002</v>
      </c>
      <c r="D88" s="11">
        <f t="shared" si="0"/>
        <v>26.37476540617681</v>
      </c>
      <c r="E88" s="55">
        <v>1</v>
      </c>
      <c r="F88" s="55">
        <v>3</v>
      </c>
      <c r="G88" s="55">
        <v>0</v>
      </c>
      <c r="H88" s="8">
        <f t="shared" si="1"/>
        <v>25</v>
      </c>
      <c r="I88" s="8">
        <f t="shared" si="2"/>
        <v>75</v>
      </c>
      <c r="J88" s="8"/>
      <c r="K88" s="8"/>
    </row>
    <row r="89" spans="1:11" x14ac:dyDescent="0.25">
      <c r="A89" s="11" t="s">
        <v>2346</v>
      </c>
      <c r="B89" s="11">
        <v>20413967478.049999</v>
      </c>
      <c r="C89" s="11">
        <v>21136905564.330002</v>
      </c>
      <c r="D89" s="11">
        <f t="shared" si="0"/>
        <v>3.5413894288669638</v>
      </c>
      <c r="E89" s="55">
        <v>6</v>
      </c>
      <c r="F89" s="55">
        <v>13</v>
      </c>
      <c r="G89" s="55">
        <v>5</v>
      </c>
      <c r="H89" s="8">
        <f t="shared" si="1"/>
        <v>25</v>
      </c>
      <c r="I89" s="8">
        <f t="shared" si="2"/>
        <v>54.166666666666664</v>
      </c>
      <c r="J89" s="8"/>
      <c r="K89" s="8"/>
    </row>
    <row r="90" spans="1:11" x14ac:dyDescent="0.25">
      <c r="A90" s="11" t="s">
        <v>677</v>
      </c>
      <c r="B90" s="11">
        <v>255224250417.54001</v>
      </c>
      <c r="C90" s="11">
        <v>256967421485.58997</v>
      </c>
      <c r="D90" s="11">
        <f t="shared" si="0"/>
        <v>0.68299586156024605</v>
      </c>
      <c r="E90" s="55">
        <v>2</v>
      </c>
      <c r="F90" s="55">
        <v>6</v>
      </c>
      <c r="G90" s="55">
        <v>0</v>
      </c>
      <c r="H90" s="8">
        <f t="shared" si="1"/>
        <v>25</v>
      </c>
      <c r="I90" s="8">
        <f t="shared" si="2"/>
        <v>75</v>
      </c>
      <c r="J90" s="8"/>
      <c r="K90" s="8"/>
    </row>
    <row r="91" spans="1:11" x14ac:dyDescent="0.25">
      <c r="A91" s="11" t="s">
        <v>833</v>
      </c>
      <c r="B91" s="11">
        <v>247214114786.69998</v>
      </c>
      <c r="C91" s="11">
        <v>248681045866.46002</v>
      </c>
      <c r="D91" s="11">
        <f t="shared" si="0"/>
        <v>0.59338484011146786</v>
      </c>
      <c r="E91" s="55">
        <v>1</v>
      </c>
      <c r="F91" s="55">
        <v>3</v>
      </c>
      <c r="G91" s="55">
        <v>0</v>
      </c>
      <c r="H91" s="8">
        <f t="shared" si="1"/>
        <v>25</v>
      </c>
      <c r="I91" s="8">
        <f t="shared" si="2"/>
        <v>75</v>
      </c>
      <c r="J91" s="8"/>
      <c r="K91" s="8"/>
    </row>
    <row r="92" spans="1:11" x14ac:dyDescent="0.25">
      <c r="A92" s="11" t="s">
        <v>3900</v>
      </c>
      <c r="B92" s="11">
        <v>217563881593.95999</v>
      </c>
      <c r="C92" s="11">
        <v>218351883352.23999</v>
      </c>
      <c r="D92" s="11">
        <f t="shared" si="0"/>
        <v>0.36219327974238313</v>
      </c>
      <c r="E92" s="55">
        <v>1</v>
      </c>
      <c r="F92" s="55">
        <v>3</v>
      </c>
      <c r="G92" s="55">
        <v>0</v>
      </c>
      <c r="H92" s="8">
        <f t="shared" si="1"/>
        <v>25</v>
      </c>
      <c r="I92" s="8">
        <f t="shared" si="2"/>
        <v>75</v>
      </c>
      <c r="J92" s="8"/>
      <c r="K92" s="8"/>
    </row>
    <row r="93" spans="1:11" x14ac:dyDescent="0.25">
      <c r="A93" s="11" t="s">
        <v>893</v>
      </c>
      <c r="B93" s="11">
        <v>1187842648489.6799</v>
      </c>
      <c r="C93" s="11">
        <v>1184053651744.1199</v>
      </c>
      <c r="D93" s="11">
        <f t="shared" si="0"/>
        <v>-0.31898136932342835</v>
      </c>
      <c r="E93" s="55">
        <v>4</v>
      </c>
      <c r="F93" s="55">
        <v>11</v>
      </c>
      <c r="G93" s="55">
        <v>1</v>
      </c>
      <c r="H93" s="8">
        <f t="shared" si="1"/>
        <v>25</v>
      </c>
      <c r="I93" s="8">
        <f t="shared" si="2"/>
        <v>68.75</v>
      </c>
      <c r="J93" s="8"/>
      <c r="K93" s="8"/>
    </row>
    <row r="94" spans="1:11" x14ac:dyDescent="0.25">
      <c r="A94" s="11" t="s">
        <v>3140</v>
      </c>
      <c r="B94" s="11">
        <v>2314584381246.5898</v>
      </c>
      <c r="C94" s="11">
        <v>2284506130388.3296</v>
      </c>
      <c r="D94" s="11">
        <f t="shared" si="0"/>
        <v>-1.299509799770648</v>
      </c>
      <c r="E94" s="55">
        <v>3</v>
      </c>
      <c r="F94" s="55">
        <v>9</v>
      </c>
      <c r="G94" s="55">
        <v>0</v>
      </c>
      <c r="H94" s="8">
        <f t="shared" si="1"/>
        <v>25</v>
      </c>
      <c r="I94" s="8">
        <f t="shared" si="2"/>
        <v>75</v>
      </c>
      <c r="J94" s="8"/>
      <c r="K94" s="8"/>
    </row>
    <row r="95" spans="1:11" x14ac:dyDescent="0.25">
      <c r="A95" s="11" t="s">
        <v>4145</v>
      </c>
      <c r="B95" s="11">
        <v>9140382890065</v>
      </c>
      <c r="C95" s="11">
        <v>8916135700897.9805</v>
      </c>
      <c r="D95" s="11">
        <f t="shared" si="0"/>
        <v>-2.4533675652773979</v>
      </c>
      <c r="E95" s="55">
        <v>3</v>
      </c>
      <c r="F95" s="55">
        <v>9</v>
      </c>
      <c r="G95" s="55">
        <v>0</v>
      </c>
      <c r="H95" s="8">
        <f t="shared" si="1"/>
        <v>25</v>
      </c>
      <c r="I95" s="8">
        <f t="shared" si="2"/>
        <v>75</v>
      </c>
      <c r="J95" s="8"/>
      <c r="K95" s="8"/>
    </row>
    <row r="96" spans="1:11" x14ac:dyDescent="0.25">
      <c r="A96" s="11" t="s">
        <v>2834</v>
      </c>
      <c r="B96" s="11">
        <v>25806938345.25</v>
      </c>
      <c r="C96" s="11">
        <v>25076740079.450001</v>
      </c>
      <c r="D96" s="11">
        <f t="shared" si="0"/>
        <v>-2.8294649137812153</v>
      </c>
      <c r="E96" s="55">
        <v>2</v>
      </c>
      <c r="F96" s="55">
        <v>6</v>
      </c>
      <c r="G96" s="55">
        <v>0</v>
      </c>
      <c r="H96" s="8">
        <f t="shared" si="1"/>
        <v>25</v>
      </c>
      <c r="I96" s="8">
        <f t="shared" si="2"/>
        <v>75</v>
      </c>
      <c r="J96" s="8"/>
      <c r="K96" s="8"/>
    </row>
    <row r="97" spans="1:11" x14ac:dyDescent="0.25">
      <c r="A97" s="11" t="s">
        <v>1645</v>
      </c>
      <c r="B97" s="11">
        <v>493993240665.1698</v>
      </c>
      <c r="C97" s="11">
        <v>479709859480.46002</v>
      </c>
      <c r="D97" s="11">
        <f t="shared" si="0"/>
        <v>-2.8914122722563929</v>
      </c>
      <c r="E97" s="55">
        <v>10</v>
      </c>
      <c r="F97" s="55">
        <v>26</v>
      </c>
      <c r="G97" s="55">
        <v>4</v>
      </c>
      <c r="H97" s="8">
        <f t="shared" si="1"/>
        <v>25</v>
      </c>
      <c r="I97" s="8">
        <f t="shared" si="2"/>
        <v>65</v>
      </c>
      <c r="J97" s="8"/>
      <c r="K97" s="8"/>
    </row>
    <row r="98" spans="1:11" x14ac:dyDescent="0.25">
      <c r="A98" s="11" t="s">
        <v>1616</v>
      </c>
      <c r="B98" s="11">
        <v>476681447344.84003</v>
      </c>
      <c r="C98" s="11">
        <v>459941584502.84998</v>
      </c>
      <c r="D98" s="11">
        <f t="shared" si="0"/>
        <v>-3.5117504436626685</v>
      </c>
      <c r="E98" s="55">
        <v>1</v>
      </c>
      <c r="F98" s="55">
        <v>3</v>
      </c>
      <c r="G98" s="55">
        <v>0</v>
      </c>
      <c r="H98" s="8">
        <f t="shared" si="1"/>
        <v>25</v>
      </c>
      <c r="I98" s="8">
        <f t="shared" si="2"/>
        <v>75</v>
      </c>
      <c r="J98" s="8"/>
      <c r="K98" s="8"/>
    </row>
    <row r="99" spans="1:11" x14ac:dyDescent="0.25">
      <c r="A99" s="11" t="s">
        <v>3672</v>
      </c>
      <c r="B99" s="11">
        <v>7736111260.6000004</v>
      </c>
      <c r="C99" s="11">
        <v>7041329817.3299999</v>
      </c>
      <c r="D99" s="11">
        <f t="shared" si="0"/>
        <v>-8.981016687395913</v>
      </c>
      <c r="E99" s="55">
        <v>1</v>
      </c>
      <c r="F99" s="55">
        <v>3</v>
      </c>
      <c r="G99" s="55">
        <v>0</v>
      </c>
      <c r="H99" s="8">
        <f t="shared" si="1"/>
        <v>25</v>
      </c>
      <c r="I99" s="8">
        <f t="shared" si="2"/>
        <v>75</v>
      </c>
      <c r="J99" s="8"/>
      <c r="K99" s="8"/>
    </row>
    <row r="100" spans="1:11" x14ac:dyDescent="0.25">
      <c r="A100" s="11" t="s">
        <v>2247</v>
      </c>
      <c r="B100" s="11">
        <v>133824934348.64999</v>
      </c>
      <c r="C100" s="11">
        <v>118304115307.44</v>
      </c>
      <c r="D100" s="11">
        <f t="shared" si="0"/>
        <v>-11.597852908916121</v>
      </c>
      <c r="E100" s="55">
        <v>1</v>
      </c>
      <c r="F100" s="55">
        <v>3</v>
      </c>
      <c r="G100" s="55">
        <v>0</v>
      </c>
      <c r="H100" s="8">
        <f t="shared" si="1"/>
        <v>25</v>
      </c>
      <c r="I100" s="8">
        <f t="shared" si="2"/>
        <v>75</v>
      </c>
      <c r="J100" s="8"/>
      <c r="K100" s="8"/>
    </row>
    <row r="101" spans="1:11" x14ac:dyDescent="0.25">
      <c r="A101" s="11" t="s">
        <v>1633</v>
      </c>
      <c r="B101" s="11">
        <v>1164998140492.8901</v>
      </c>
      <c r="C101" s="11">
        <v>1104834880517.9797</v>
      </c>
      <c r="D101" s="11">
        <f t="shared" si="0"/>
        <v>-5.164236566888972</v>
      </c>
      <c r="E101" s="55">
        <v>18</v>
      </c>
      <c r="F101" s="55">
        <v>53</v>
      </c>
      <c r="G101" s="55">
        <v>2</v>
      </c>
      <c r="H101" s="8">
        <f t="shared" si="1"/>
        <v>24.657534246575342</v>
      </c>
      <c r="I101" s="8">
        <f t="shared" si="2"/>
        <v>72.602739726027394</v>
      </c>
      <c r="J101" s="8"/>
      <c r="K101" s="8"/>
    </row>
    <row r="102" spans="1:11" x14ac:dyDescent="0.25">
      <c r="A102" s="11" t="s">
        <v>3232</v>
      </c>
      <c r="B102" s="11">
        <v>905570984894.34009</v>
      </c>
      <c r="C102" s="11">
        <v>943780085314.17981</v>
      </c>
      <c r="D102" s="11">
        <f t="shared" si="0"/>
        <v>4.2193379709816865</v>
      </c>
      <c r="E102" s="55">
        <v>8</v>
      </c>
      <c r="F102" s="55">
        <v>23</v>
      </c>
      <c r="G102" s="55">
        <v>2</v>
      </c>
      <c r="H102" s="8">
        <f t="shared" si="1"/>
        <v>24.242424242424242</v>
      </c>
      <c r="I102" s="8">
        <f t="shared" si="2"/>
        <v>69.696969696969703</v>
      </c>
      <c r="J102" s="8"/>
      <c r="K102" s="8"/>
    </row>
    <row r="103" spans="1:11" x14ac:dyDescent="0.25">
      <c r="A103" s="11" t="s">
        <v>3561</v>
      </c>
      <c r="B103" s="11">
        <v>332454862624.14996</v>
      </c>
      <c r="C103" s="11">
        <v>310018927562.94</v>
      </c>
      <c r="D103" s="11">
        <f t="shared" si="0"/>
        <v>-6.7485657704379696</v>
      </c>
      <c r="E103" s="55">
        <v>12</v>
      </c>
      <c r="F103" s="55">
        <v>34</v>
      </c>
      <c r="G103" s="55">
        <v>4</v>
      </c>
      <c r="H103" s="8">
        <f t="shared" si="1"/>
        <v>24</v>
      </c>
      <c r="I103" s="8">
        <f t="shared" si="2"/>
        <v>68</v>
      </c>
      <c r="J103" s="8"/>
      <c r="K103" s="8"/>
    </row>
    <row r="104" spans="1:11" x14ac:dyDescent="0.25">
      <c r="A104" s="11" t="s">
        <v>2755</v>
      </c>
      <c r="B104" s="11">
        <v>3285812846687.8799</v>
      </c>
      <c r="C104" s="11">
        <v>3345824551736.2603</v>
      </c>
      <c r="D104" s="11">
        <f t="shared" si="0"/>
        <v>1.8263884112837574</v>
      </c>
      <c r="E104" s="55">
        <v>10</v>
      </c>
      <c r="F104" s="55">
        <v>30</v>
      </c>
      <c r="G104" s="55">
        <v>2</v>
      </c>
      <c r="H104" s="8">
        <f t="shared" si="1"/>
        <v>23.809523809523807</v>
      </c>
      <c r="I104" s="8">
        <f t="shared" si="2"/>
        <v>71.428571428571431</v>
      </c>
      <c r="J104" s="8"/>
      <c r="K104" s="8"/>
    </row>
    <row r="105" spans="1:11" x14ac:dyDescent="0.25">
      <c r="A105" s="11" t="s">
        <v>858</v>
      </c>
      <c r="B105" s="11">
        <v>3138216264889.9629</v>
      </c>
      <c r="C105" s="11">
        <v>3077784694959.5884</v>
      </c>
      <c r="D105" s="11">
        <f t="shared" si="0"/>
        <v>-1.9256662010989054</v>
      </c>
      <c r="E105" s="55">
        <v>37</v>
      </c>
      <c r="F105" s="55">
        <v>106</v>
      </c>
      <c r="G105" s="55">
        <v>16</v>
      </c>
      <c r="H105" s="8">
        <f t="shared" si="1"/>
        <v>23.270440251572328</v>
      </c>
      <c r="I105" s="8">
        <f t="shared" si="2"/>
        <v>66.666666666666657</v>
      </c>
      <c r="J105" s="8"/>
      <c r="K105" s="8"/>
    </row>
    <row r="106" spans="1:11" x14ac:dyDescent="0.25">
      <c r="A106" s="11" t="s">
        <v>935</v>
      </c>
      <c r="B106" s="11">
        <v>3035927496418.48</v>
      </c>
      <c r="C106" s="11">
        <v>2868928749473.75</v>
      </c>
      <c r="D106" s="11">
        <f t="shared" si="0"/>
        <v>-5.5007488532496378</v>
      </c>
      <c r="E106" s="55">
        <v>3</v>
      </c>
      <c r="F106" s="55">
        <v>10</v>
      </c>
      <c r="G106" s="55">
        <v>0</v>
      </c>
      <c r="H106" s="8">
        <f t="shared" si="1"/>
        <v>23.076923076923077</v>
      </c>
      <c r="I106" s="8">
        <f t="shared" si="2"/>
        <v>76.923076923076934</v>
      </c>
      <c r="J106" s="8"/>
      <c r="K106" s="8"/>
    </row>
    <row r="107" spans="1:11" x14ac:dyDescent="0.25">
      <c r="A107" s="11" t="s">
        <v>15</v>
      </c>
      <c r="B107" s="11">
        <v>10216483961452.91</v>
      </c>
      <c r="C107" s="11">
        <v>10339594397255.104</v>
      </c>
      <c r="D107" s="11">
        <f t="shared" si="0"/>
        <v>1.2050176583910139</v>
      </c>
      <c r="E107" s="55">
        <v>37</v>
      </c>
      <c r="F107" s="55">
        <v>120</v>
      </c>
      <c r="G107" s="55">
        <v>4</v>
      </c>
      <c r="H107" s="8">
        <f t="shared" si="1"/>
        <v>22.981366459627328</v>
      </c>
      <c r="I107" s="8">
        <f t="shared" si="2"/>
        <v>74.534161490683232</v>
      </c>
      <c r="J107" s="8"/>
      <c r="K107" s="8"/>
    </row>
    <row r="108" spans="1:11" x14ac:dyDescent="0.25">
      <c r="A108" s="11" t="s">
        <v>1807</v>
      </c>
      <c r="B108" s="11">
        <v>1125153213350.0801</v>
      </c>
      <c r="C108" s="11">
        <v>1122237137449.04</v>
      </c>
      <c r="D108" s="11">
        <f t="shared" si="0"/>
        <v>-0.25917145029143079</v>
      </c>
      <c r="E108" s="55">
        <v>4</v>
      </c>
      <c r="F108" s="55">
        <v>14</v>
      </c>
      <c r="G108" s="55">
        <v>0</v>
      </c>
      <c r="H108" s="8">
        <f t="shared" si="1"/>
        <v>22.222222222222221</v>
      </c>
      <c r="I108" s="8">
        <f t="shared" si="2"/>
        <v>77.777777777777786</v>
      </c>
      <c r="J108" s="69" t="s">
        <v>4466</v>
      </c>
      <c r="K108" s="67"/>
    </row>
    <row r="109" spans="1:11" x14ac:dyDescent="0.25">
      <c r="A109" s="11" t="s">
        <v>1501</v>
      </c>
      <c r="B109" s="11">
        <v>644841495250.5</v>
      </c>
      <c r="C109" s="11">
        <v>627632062986.06006</v>
      </c>
      <c r="D109" s="11">
        <f t="shared" si="0"/>
        <v>-2.6687848705757737</v>
      </c>
      <c r="E109" s="55">
        <v>2</v>
      </c>
      <c r="F109" s="55">
        <v>7</v>
      </c>
      <c r="G109" s="55">
        <v>0</v>
      </c>
      <c r="H109" s="8">
        <f t="shared" si="1"/>
        <v>22.222222222222221</v>
      </c>
      <c r="I109" s="8">
        <f t="shared" si="2"/>
        <v>77.777777777777786</v>
      </c>
      <c r="J109" s="8"/>
      <c r="K109" s="8"/>
    </row>
    <row r="110" spans="1:11" x14ac:dyDescent="0.25">
      <c r="A110" s="11" t="s">
        <v>3209</v>
      </c>
      <c r="B110" s="11">
        <v>278651247620.25</v>
      </c>
      <c r="C110" s="11">
        <v>277301705839.95001</v>
      </c>
      <c r="D110" s="11">
        <f t="shared" si="0"/>
        <v>-0.4843121255782652</v>
      </c>
      <c r="E110" s="55">
        <v>10</v>
      </c>
      <c r="F110" s="55">
        <v>33</v>
      </c>
      <c r="G110" s="55">
        <v>3</v>
      </c>
      <c r="H110" s="8">
        <f t="shared" si="1"/>
        <v>21.739130434782609</v>
      </c>
      <c r="I110" s="8">
        <f t="shared" si="2"/>
        <v>71.739130434782609</v>
      </c>
      <c r="J110" s="8"/>
      <c r="K110" s="8"/>
    </row>
    <row r="111" spans="1:11" x14ac:dyDescent="0.25">
      <c r="A111" s="11" t="s">
        <v>2575</v>
      </c>
      <c r="B111" s="11">
        <v>794147722105.76013</v>
      </c>
      <c r="C111" s="11">
        <v>786738959447.67993</v>
      </c>
      <c r="D111" s="11">
        <f t="shared" si="0"/>
        <v>-0.93291996587676962</v>
      </c>
      <c r="E111" s="55">
        <v>5</v>
      </c>
      <c r="F111" s="55">
        <v>18</v>
      </c>
      <c r="G111" s="55">
        <v>0</v>
      </c>
      <c r="H111" s="8">
        <f t="shared" si="1"/>
        <v>21.739130434782609</v>
      </c>
      <c r="I111" s="8">
        <f t="shared" si="2"/>
        <v>78.260869565217391</v>
      </c>
      <c r="J111" s="8"/>
      <c r="K111" s="8"/>
    </row>
    <row r="112" spans="1:11" x14ac:dyDescent="0.25">
      <c r="A112" s="11" t="s">
        <v>2951</v>
      </c>
      <c r="B112" s="11">
        <v>287165234669.28992</v>
      </c>
      <c r="C112" s="11">
        <v>271576034744.22006</v>
      </c>
      <c r="D112" s="11">
        <f t="shared" si="0"/>
        <v>-5.4286515368139714</v>
      </c>
      <c r="E112" s="55">
        <v>47</v>
      </c>
      <c r="F112" s="55">
        <v>131</v>
      </c>
      <c r="G112" s="55">
        <v>40</v>
      </c>
      <c r="H112" s="8">
        <f t="shared" si="1"/>
        <v>21.559633027522938</v>
      </c>
      <c r="I112" s="8">
        <f t="shared" si="2"/>
        <v>60.091743119266049</v>
      </c>
      <c r="J112" s="8"/>
      <c r="K112" s="8"/>
    </row>
    <row r="113" spans="1:11" x14ac:dyDescent="0.25">
      <c r="A113" s="11" t="s">
        <v>1376</v>
      </c>
      <c r="B113" s="11">
        <v>5519104834531.9199</v>
      </c>
      <c r="C113" s="11">
        <v>5478107073770.0391</v>
      </c>
      <c r="D113" s="11">
        <f t="shared" si="0"/>
        <v>-0.74283352085226184</v>
      </c>
      <c r="E113" s="55">
        <v>4</v>
      </c>
      <c r="F113" s="55">
        <v>13</v>
      </c>
      <c r="G113" s="55">
        <v>2</v>
      </c>
      <c r="H113" s="8">
        <f t="shared" si="1"/>
        <v>21.052631578947366</v>
      </c>
      <c r="I113" s="8">
        <f t="shared" si="2"/>
        <v>68.421052631578945</v>
      </c>
      <c r="J113" s="8"/>
      <c r="K113" s="8"/>
    </row>
    <row r="114" spans="1:11" x14ac:dyDescent="0.25">
      <c r="A114" s="11" t="s">
        <v>1999</v>
      </c>
      <c r="B114" s="11">
        <v>764633521332.21021</v>
      </c>
      <c r="C114" s="11">
        <v>707753868574.52991</v>
      </c>
      <c r="D114" s="11">
        <f t="shared" si="0"/>
        <v>-7.4388123422289523</v>
      </c>
      <c r="E114" s="55">
        <v>12</v>
      </c>
      <c r="F114" s="55">
        <v>37</v>
      </c>
      <c r="G114" s="55">
        <v>8</v>
      </c>
      <c r="H114" s="8">
        <f t="shared" si="1"/>
        <v>21.052631578947366</v>
      </c>
      <c r="I114" s="8">
        <f t="shared" si="2"/>
        <v>64.912280701754383</v>
      </c>
      <c r="J114" s="8"/>
      <c r="K114" s="8"/>
    </row>
    <row r="115" spans="1:11" x14ac:dyDescent="0.25">
      <c r="A115" s="11" t="s">
        <v>680</v>
      </c>
      <c r="B115" s="11">
        <v>24266740670226.285</v>
      </c>
      <c r="C115" s="11">
        <v>24180291176102.961</v>
      </c>
      <c r="D115" s="11">
        <f t="shared" si="0"/>
        <v>-0.35624682893402382</v>
      </c>
      <c r="E115" s="55">
        <v>4</v>
      </c>
      <c r="F115" s="55">
        <v>16</v>
      </c>
      <c r="G115" s="55">
        <v>0</v>
      </c>
      <c r="H115" s="8">
        <f t="shared" si="1"/>
        <v>20</v>
      </c>
      <c r="I115" s="8">
        <f t="shared" si="2"/>
        <v>80</v>
      </c>
      <c r="J115" s="8"/>
      <c r="K115" s="8"/>
    </row>
    <row r="116" spans="1:11" x14ac:dyDescent="0.25">
      <c r="A116" s="11" t="s">
        <v>2265</v>
      </c>
      <c r="B116" s="11">
        <v>16298659201.530001</v>
      </c>
      <c r="C116" s="11">
        <v>15965122211.780001</v>
      </c>
      <c r="D116" s="11">
        <f t="shared" si="0"/>
        <v>-2.0464075334410943</v>
      </c>
      <c r="E116" s="55">
        <v>1</v>
      </c>
      <c r="F116" s="55">
        <v>4</v>
      </c>
      <c r="G116" s="55">
        <v>0</v>
      </c>
      <c r="H116" s="8">
        <f t="shared" si="1"/>
        <v>20</v>
      </c>
      <c r="I116" s="8">
        <f t="shared" si="2"/>
        <v>80</v>
      </c>
      <c r="J116" s="8"/>
      <c r="K116" s="8"/>
    </row>
    <row r="117" spans="1:11" x14ac:dyDescent="0.25">
      <c r="A117" s="11" t="s">
        <v>3190</v>
      </c>
      <c r="B117" s="11">
        <v>82316669446.600006</v>
      </c>
      <c r="C117" s="11">
        <v>79926871387.449997</v>
      </c>
      <c r="D117" s="11">
        <f t="shared" si="0"/>
        <v>-2.9031763253010436</v>
      </c>
      <c r="E117" s="55">
        <v>2</v>
      </c>
      <c r="F117" s="55">
        <v>8</v>
      </c>
      <c r="G117" s="55">
        <v>0</v>
      </c>
      <c r="H117" s="8">
        <f t="shared" si="1"/>
        <v>20</v>
      </c>
      <c r="I117" s="8">
        <f t="shared" si="2"/>
        <v>80</v>
      </c>
      <c r="J117" s="8"/>
      <c r="K117" s="8"/>
    </row>
    <row r="118" spans="1:11" x14ac:dyDescent="0.25">
      <c r="A118" s="11" t="s">
        <v>3618</v>
      </c>
      <c r="B118" s="11">
        <v>111568035366.14999</v>
      </c>
      <c r="C118" s="11">
        <v>104408417829.45</v>
      </c>
      <c r="D118" s="11">
        <f t="shared" si="0"/>
        <v>-6.4172659428869379</v>
      </c>
      <c r="E118" s="55">
        <v>1</v>
      </c>
      <c r="F118" s="55">
        <v>4</v>
      </c>
      <c r="G118" s="55">
        <v>0</v>
      </c>
      <c r="H118" s="8">
        <f t="shared" si="1"/>
        <v>20</v>
      </c>
      <c r="I118" s="8">
        <f t="shared" si="2"/>
        <v>80</v>
      </c>
      <c r="J118" s="8"/>
      <c r="K118" s="8"/>
    </row>
    <row r="119" spans="1:11" x14ac:dyDescent="0.25">
      <c r="A119" s="11" t="s">
        <v>1584</v>
      </c>
      <c r="B119" s="11">
        <v>212553778340.79001</v>
      </c>
      <c r="C119" s="11">
        <v>198141371396.37003</v>
      </c>
      <c r="D119" s="11">
        <f t="shared" si="0"/>
        <v>-6.7805931547885248</v>
      </c>
      <c r="E119" s="55">
        <v>1</v>
      </c>
      <c r="F119" s="55">
        <v>3</v>
      </c>
      <c r="G119" s="55">
        <v>1</v>
      </c>
      <c r="H119" s="8">
        <f t="shared" si="1"/>
        <v>20</v>
      </c>
      <c r="I119" s="8">
        <f t="shared" si="2"/>
        <v>60</v>
      </c>
      <c r="J119" s="8"/>
      <c r="K119" s="8"/>
    </row>
    <row r="120" spans="1:11" x14ac:dyDescent="0.25">
      <c r="A120" s="11" t="s">
        <v>959</v>
      </c>
      <c r="B120" s="11">
        <v>197755714882.40002</v>
      </c>
      <c r="C120" s="11">
        <v>181411274886.59998</v>
      </c>
      <c r="D120" s="11">
        <f t="shared" si="0"/>
        <v>-8.2649646840899873</v>
      </c>
      <c r="E120" s="55">
        <v>2</v>
      </c>
      <c r="F120" s="55">
        <v>7</v>
      </c>
      <c r="G120" s="55">
        <v>1</v>
      </c>
      <c r="H120" s="8">
        <f t="shared" si="1"/>
        <v>20</v>
      </c>
      <c r="I120" s="8">
        <f t="shared" si="2"/>
        <v>70</v>
      </c>
      <c r="J120" s="8"/>
      <c r="K120" s="8"/>
    </row>
    <row r="121" spans="1:11" x14ac:dyDescent="0.25">
      <c r="A121" s="11" t="s">
        <v>1968</v>
      </c>
      <c r="B121" s="11">
        <v>28634884332985.133</v>
      </c>
      <c r="C121" s="11">
        <v>27364571889231.641</v>
      </c>
      <c r="D121" s="11">
        <f t="shared" si="0"/>
        <v>-4.4362408766226169</v>
      </c>
      <c r="E121" s="55">
        <v>14</v>
      </c>
      <c r="F121" s="55">
        <v>53</v>
      </c>
      <c r="G121" s="55">
        <v>5</v>
      </c>
      <c r="H121" s="8">
        <f t="shared" si="1"/>
        <v>19.444444444444446</v>
      </c>
      <c r="I121" s="8">
        <f t="shared" si="2"/>
        <v>73.611111111111114</v>
      </c>
      <c r="J121" s="8"/>
      <c r="K121" s="8"/>
    </row>
    <row r="122" spans="1:11" x14ac:dyDescent="0.25">
      <c r="A122" s="11" t="s">
        <v>1271</v>
      </c>
      <c r="B122" s="11">
        <v>920369745736.65002</v>
      </c>
      <c r="C122" s="11">
        <v>878416298095.45007</v>
      </c>
      <c r="D122" s="11">
        <f t="shared" si="0"/>
        <v>-4.5583253725513373</v>
      </c>
      <c r="E122" s="55">
        <v>3</v>
      </c>
      <c r="F122" s="55">
        <v>13</v>
      </c>
      <c r="G122" s="55">
        <v>0</v>
      </c>
      <c r="H122" s="8">
        <f t="shared" si="1"/>
        <v>18.75</v>
      </c>
      <c r="I122" s="8">
        <f t="shared" si="2"/>
        <v>81.25</v>
      </c>
      <c r="J122" s="8"/>
      <c r="K122" s="8"/>
    </row>
    <row r="123" spans="1:11" x14ac:dyDescent="0.25">
      <c r="A123" s="11" t="s">
        <v>2681</v>
      </c>
      <c r="B123" s="11">
        <v>333055071478.12006</v>
      </c>
      <c r="C123" s="11">
        <v>311577749368.30005</v>
      </c>
      <c r="D123" s="11">
        <f t="shared" si="0"/>
        <v>-6.4485798142938506</v>
      </c>
      <c r="E123" s="55">
        <v>20</v>
      </c>
      <c r="F123" s="55">
        <v>50</v>
      </c>
      <c r="G123" s="55">
        <v>37</v>
      </c>
      <c r="H123" s="8">
        <f t="shared" si="1"/>
        <v>18.691588785046729</v>
      </c>
      <c r="I123" s="8">
        <f t="shared" si="2"/>
        <v>46.728971962616825</v>
      </c>
      <c r="J123" s="8"/>
      <c r="K123" s="8"/>
    </row>
    <row r="124" spans="1:11" x14ac:dyDescent="0.25">
      <c r="A124" s="11" t="s">
        <v>1793</v>
      </c>
      <c r="B124" s="11">
        <v>913760846106.57007</v>
      </c>
      <c r="C124" s="11">
        <v>839457160956.88</v>
      </c>
      <c r="D124" s="11">
        <f t="shared" si="0"/>
        <v>-8.1316337273904367</v>
      </c>
      <c r="E124" s="55">
        <v>42</v>
      </c>
      <c r="F124" s="55">
        <v>178</v>
      </c>
      <c r="G124" s="55">
        <v>12</v>
      </c>
      <c r="H124" s="8">
        <f t="shared" si="1"/>
        <v>18.103448275862068</v>
      </c>
      <c r="I124" s="8">
        <f t="shared" si="2"/>
        <v>76.724137931034491</v>
      </c>
      <c r="J124" s="8"/>
      <c r="K124" s="8"/>
    </row>
    <row r="125" spans="1:11" x14ac:dyDescent="0.25">
      <c r="A125" s="11" t="s">
        <v>1695</v>
      </c>
      <c r="B125" s="11">
        <v>122286129094.01001</v>
      </c>
      <c r="C125" s="11">
        <v>115800342063.33</v>
      </c>
      <c r="D125" s="11">
        <f t="shared" si="0"/>
        <v>-5.3037798143842823</v>
      </c>
      <c r="E125" s="55">
        <v>3</v>
      </c>
      <c r="F125" s="55">
        <v>14</v>
      </c>
      <c r="G125" s="55">
        <v>0</v>
      </c>
      <c r="H125" s="8">
        <f t="shared" si="1"/>
        <v>17.647058823529413</v>
      </c>
      <c r="I125" s="8">
        <f t="shared" si="2"/>
        <v>82.35294117647058</v>
      </c>
      <c r="J125" s="8"/>
      <c r="K125" s="8"/>
    </row>
    <row r="126" spans="1:11" x14ac:dyDescent="0.25">
      <c r="A126" s="11" t="s">
        <v>110</v>
      </c>
      <c r="B126" s="11">
        <v>389280113428.18005</v>
      </c>
      <c r="C126" s="11">
        <v>364110636533.02002</v>
      </c>
      <c r="D126" s="11">
        <f t="shared" si="0"/>
        <v>-6.4656467224862899</v>
      </c>
      <c r="E126" s="55">
        <v>4</v>
      </c>
      <c r="F126" s="55">
        <v>17</v>
      </c>
      <c r="G126" s="55">
        <v>2</v>
      </c>
      <c r="H126" s="8">
        <f t="shared" si="1"/>
        <v>17.391304347826086</v>
      </c>
      <c r="I126" s="8">
        <f t="shared" si="2"/>
        <v>73.91304347826086</v>
      </c>
      <c r="J126" s="8"/>
      <c r="K126" s="8"/>
    </row>
    <row r="127" spans="1:11" x14ac:dyDescent="0.25">
      <c r="A127" s="11" t="s">
        <v>831</v>
      </c>
      <c r="B127" s="11">
        <v>152498390797.75</v>
      </c>
      <c r="C127" s="11">
        <v>149304021207.85001</v>
      </c>
      <c r="D127" s="11">
        <f t="shared" si="0"/>
        <v>-2.094690687022728</v>
      </c>
      <c r="E127" s="55">
        <v>1</v>
      </c>
      <c r="F127" s="55">
        <v>5</v>
      </c>
      <c r="G127" s="55">
        <v>0</v>
      </c>
      <c r="H127" s="8">
        <f t="shared" si="1"/>
        <v>16.666666666666664</v>
      </c>
      <c r="I127" s="8">
        <f t="shared" si="2"/>
        <v>83.333333333333343</v>
      </c>
      <c r="J127" s="8"/>
      <c r="K127" s="8"/>
    </row>
    <row r="128" spans="1:11" x14ac:dyDescent="0.25">
      <c r="A128" s="11" t="s">
        <v>2522</v>
      </c>
      <c r="B128" s="11">
        <v>265321799353.95999</v>
      </c>
      <c r="C128" s="11">
        <v>254440404349.27997</v>
      </c>
      <c r="D128" s="11">
        <f t="shared" si="0"/>
        <v>-4.1012065466069725</v>
      </c>
      <c r="E128" s="55">
        <v>2</v>
      </c>
      <c r="F128" s="55">
        <v>10</v>
      </c>
      <c r="G128" s="55">
        <v>0</v>
      </c>
      <c r="H128" s="8">
        <f t="shared" si="1"/>
        <v>16.666666666666664</v>
      </c>
      <c r="I128" s="8">
        <f t="shared" si="2"/>
        <v>83.333333333333343</v>
      </c>
      <c r="J128" s="8"/>
      <c r="K128" s="8"/>
    </row>
    <row r="129" spans="1:11" x14ac:dyDescent="0.25">
      <c r="A129" s="11" t="s">
        <v>2998</v>
      </c>
      <c r="B129" s="11">
        <v>11524660738.390001</v>
      </c>
      <c r="C129" s="11">
        <v>10354112483.990002</v>
      </c>
      <c r="D129" s="11">
        <f t="shared" si="0"/>
        <v>-10.156899894682066</v>
      </c>
      <c r="E129" s="55">
        <v>1</v>
      </c>
      <c r="F129" s="55">
        <v>4</v>
      </c>
      <c r="G129" s="55">
        <v>1</v>
      </c>
      <c r="H129" s="8">
        <f t="shared" si="1"/>
        <v>16.666666666666664</v>
      </c>
      <c r="I129" s="8">
        <f t="shared" si="2"/>
        <v>66.666666666666657</v>
      </c>
      <c r="J129" s="8"/>
      <c r="K129" s="8"/>
    </row>
    <row r="130" spans="1:11" x14ac:dyDescent="0.25">
      <c r="A130" s="11" t="s">
        <v>2627</v>
      </c>
      <c r="B130" s="11">
        <v>422835870128.30005</v>
      </c>
      <c r="C130" s="11">
        <v>410849621590.66998</v>
      </c>
      <c r="D130" s="11">
        <f t="shared" si="0"/>
        <v>-2.834728409865773</v>
      </c>
      <c r="E130" s="55">
        <v>2</v>
      </c>
      <c r="F130" s="55">
        <v>10</v>
      </c>
      <c r="G130" s="55">
        <v>1</v>
      </c>
      <c r="H130" s="8">
        <f t="shared" si="1"/>
        <v>15.384615384615385</v>
      </c>
      <c r="I130" s="8">
        <f t="shared" si="2"/>
        <v>76.923076923076934</v>
      </c>
      <c r="J130" s="8"/>
      <c r="K130" s="8"/>
    </row>
    <row r="131" spans="1:11" x14ac:dyDescent="0.25">
      <c r="A131" s="11" t="s">
        <v>4094</v>
      </c>
      <c r="B131" s="11">
        <v>28604495450.77</v>
      </c>
      <c r="C131" s="11">
        <v>27416267677.670002</v>
      </c>
      <c r="D131" s="11">
        <f t="shared" si="0"/>
        <v>-4.1539896242707988</v>
      </c>
      <c r="E131" s="55">
        <v>3</v>
      </c>
      <c r="F131" s="55">
        <v>15</v>
      </c>
      <c r="G131" s="55">
        <v>3</v>
      </c>
      <c r="H131" s="8">
        <f t="shared" si="1"/>
        <v>14.285714285714285</v>
      </c>
      <c r="I131" s="8">
        <f t="shared" si="2"/>
        <v>71.428571428571431</v>
      </c>
      <c r="J131" s="8"/>
      <c r="K131" s="8"/>
    </row>
    <row r="132" spans="1:11" x14ac:dyDescent="0.25">
      <c r="A132" s="11" t="s">
        <v>3402</v>
      </c>
      <c r="B132" s="11">
        <v>5804498182674.7002</v>
      </c>
      <c r="C132" s="11">
        <v>5504338276797.5107</v>
      </c>
      <c r="D132" s="11">
        <f t="shared" si="0"/>
        <v>-5.1711603041432328</v>
      </c>
      <c r="E132" s="55">
        <v>1</v>
      </c>
      <c r="F132" s="55">
        <v>6</v>
      </c>
      <c r="G132" s="55">
        <v>0</v>
      </c>
      <c r="H132" s="8">
        <f t="shared" si="1"/>
        <v>14.285714285714285</v>
      </c>
      <c r="I132" s="8">
        <f t="shared" si="2"/>
        <v>85.714285714285708</v>
      </c>
      <c r="J132" s="8"/>
      <c r="K132" s="8"/>
    </row>
    <row r="133" spans="1:11" x14ac:dyDescent="0.25">
      <c r="A133" s="11" t="s">
        <v>2753</v>
      </c>
      <c r="B133" s="11">
        <v>1075585344463.13</v>
      </c>
      <c r="C133" s="11">
        <v>988249538519.64026</v>
      </c>
      <c r="D133" s="11">
        <f t="shared" si="0"/>
        <v>-8.1198397126806086</v>
      </c>
      <c r="E133" s="55">
        <v>8</v>
      </c>
      <c r="F133" s="55">
        <v>49</v>
      </c>
      <c r="G133" s="55">
        <v>1</v>
      </c>
      <c r="H133" s="8">
        <f t="shared" si="1"/>
        <v>13.793103448275861</v>
      </c>
      <c r="I133" s="8">
        <f t="shared" si="2"/>
        <v>84.482758620689651</v>
      </c>
      <c r="J133" s="8"/>
      <c r="K133" s="8"/>
    </row>
    <row r="134" spans="1:11" x14ac:dyDescent="0.25">
      <c r="A134" s="11" t="s">
        <v>711</v>
      </c>
      <c r="B134" s="11">
        <v>319178527323.31995</v>
      </c>
      <c r="C134" s="11">
        <v>303745054305.34998</v>
      </c>
      <c r="D134" s="11">
        <f t="shared" si="0"/>
        <v>-4.835373214920641</v>
      </c>
      <c r="E134" s="55">
        <v>3</v>
      </c>
      <c r="F134" s="55">
        <v>19</v>
      </c>
      <c r="G134" s="55">
        <v>1</v>
      </c>
      <c r="H134" s="8">
        <f t="shared" si="1"/>
        <v>13.043478260869565</v>
      </c>
      <c r="I134" s="8">
        <f t="shared" si="2"/>
        <v>82.608695652173907</v>
      </c>
      <c r="J134" s="8"/>
      <c r="K134" s="8"/>
    </row>
    <row r="135" spans="1:11" x14ac:dyDescent="0.25">
      <c r="A135" s="11" t="s">
        <v>2594</v>
      </c>
      <c r="B135" s="11">
        <v>4438798633.0500002</v>
      </c>
      <c r="C135" s="11">
        <v>3404459472.75</v>
      </c>
      <c r="D135" s="11">
        <f t="shared" si="0"/>
        <v>-23.302232108449626</v>
      </c>
      <c r="E135" s="55">
        <v>1</v>
      </c>
      <c r="F135" s="55">
        <v>7</v>
      </c>
      <c r="G135" s="55">
        <v>0</v>
      </c>
      <c r="H135" s="8">
        <f t="shared" si="1"/>
        <v>12.5</v>
      </c>
      <c r="I135" s="8">
        <f t="shared" si="2"/>
        <v>87.5</v>
      </c>
      <c r="J135" s="8"/>
      <c r="K135" s="8"/>
    </row>
    <row r="136" spans="1:11" x14ac:dyDescent="0.25">
      <c r="A136" s="11" t="s">
        <v>206</v>
      </c>
      <c r="B136" s="11">
        <v>967945791384.81995</v>
      </c>
      <c r="C136" s="11">
        <v>938122649937.24011</v>
      </c>
      <c r="D136" s="11">
        <f t="shared" si="0"/>
        <v>-3.0810755842961504</v>
      </c>
      <c r="E136" s="55">
        <v>4</v>
      </c>
      <c r="F136" s="55">
        <v>29</v>
      </c>
      <c r="G136" s="55">
        <v>0</v>
      </c>
      <c r="H136" s="8">
        <f t="shared" si="1"/>
        <v>12.121212121212121</v>
      </c>
      <c r="I136" s="8">
        <f t="shared" si="2"/>
        <v>87.878787878787875</v>
      </c>
      <c r="J136" s="8"/>
      <c r="K136" s="8"/>
    </row>
    <row r="137" spans="1:11" x14ac:dyDescent="0.25">
      <c r="A137" s="11" t="s">
        <v>1760</v>
      </c>
      <c r="B137" s="11">
        <v>198711589118.70001</v>
      </c>
      <c r="C137" s="11">
        <v>190569982986.87003</v>
      </c>
      <c r="D137" s="11">
        <f t="shared" si="0"/>
        <v>-4.097197434703526</v>
      </c>
      <c r="E137" s="55">
        <v>1</v>
      </c>
      <c r="F137" s="55">
        <v>8</v>
      </c>
      <c r="G137" s="55">
        <v>0</v>
      </c>
      <c r="H137" s="8">
        <f t="shared" si="1"/>
        <v>11.111111111111111</v>
      </c>
      <c r="I137" s="8">
        <f t="shared" si="2"/>
        <v>88.888888888888886</v>
      </c>
      <c r="J137" s="8"/>
      <c r="K137" s="8"/>
    </row>
    <row r="138" spans="1:11" x14ac:dyDescent="0.25">
      <c r="A138" s="11" t="s">
        <v>3361</v>
      </c>
      <c r="B138" s="11">
        <v>136232133597.84999</v>
      </c>
      <c r="C138" s="11">
        <v>125677202997.35001</v>
      </c>
      <c r="D138" s="11">
        <f t="shared" si="0"/>
        <v>-7.7477540149650581</v>
      </c>
      <c r="E138" s="55">
        <v>1</v>
      </c>
      <c r="F138" s="55">
        <v>7</v>
      </c>
      <c r="G138" s="55">
        <v>1</v>
      </c>
      <c r="H138" s="8">
        <f t="shared" si="1"/>
        <v>11.111111111111111</v>
      </c>
      <c r="I138" s="8">
        <f t="shared" si="2"/>
        <v>77.777777777777786</v>
      </c>
      <c r="J138" s="8"/>
      <c r="K138" s="8"/>
    </row>
    <row r="139" spans="1:11" x14ac:dyDescent="0.25">
      <c r="A139" s="11" t="s">
        <v>3110</v>
      </c>
      <c r="B139" s="11">
        <v>1147405389396.8198</v>
      </c>
      <c r="C139" s="11">
        <v>1114318145705.8801</v>
      </c>
      <c r="D139" s="11">
        <f t="shared" si="0"/>
        <v>-2.8836576851302183</v>
      </c>
      <c r="E139" s="55">
        <v>4</v>
      </c>
      <c r="F139" s="55">
        <v>30</v>
      </c>
      <c r="G139" s="55">
        <v>3</v>
      </c>
      <c r="H139" s="8">
        <f t="shared" si="1"/>
        <v>10.810810810810811</v>
      </c>
      <c r="I139" s="8">
        <f t="shared" si="2"/>
        <v>81.081081081081081</v>
      </c>
      <c r="J139" s="8"/>
      <c r="K139" s="8"/>
    </row>
    <row r="140" spans="1:11" x14ac:dyDescent="0.25">
      <c r="A140" s="11" t="s">
        <v>3974</v>
      </c>
      <c r="B140" s="11">
        <v>210767117052.51996</v>
      </c>
      <c r="C140" s="11">
        <v>197997336582.25</v>
      </c>
      <c r="D140" s="11">
        <f t="shared" si="0"/>
        <v>-6.058715727979485</v>
      </c>
      <c r="E140" s="55">
        <v>1</v>
      </c>
      <c r="F140" s="55">
        <v>9</v>
      </c>
      <c r="G140" s="55">
        <v>0</v>
      </c>
      <c r="H140" s="8">
        <f t="shared" si="1"/>
        <v>10</v>
      </c>
      <c r="I140" s="8">
        <f t="shared" si="2"/>
        <v>90</v>
      </c>
      <c r="J140" s="8"/>
      <c r="K140" s="8"/>
    </row>
    <row r="141" spans="1:11" x14ac:dyDescent="0.25">
      <c r="A141" s="11" t="s">
        <v>56</v>
      </c>
      <c r="B141" s="11">
        <v>14614124551.940001</v>
      </c>
      <c r="C141" s="11">
        <v>14140423281.959999</v>
      </c>
      <c r="D141" s="11">
        <f t="shared" si="0"/>
        <v>-3.2413934087972338</v>
      </c>
      <c r="E141" s="55">
        <v>1</v>
      </c>
      <c r="F141" s="55">
        <v>10</v>
      </c>
      <c r="G141" s="55">
        <v>1</v>
      </c>
      <c r="H141" s="8">
        <f t="shared" si="1"/>
        <v>8.3333333333333321</v>
      </c>
      <c r="I141" s="8">
        <f t="shared" si="2"/>
        <v>83.333333333333343</v>
      </c>
      <c r="J141" s="8"/>
      <c r="K141" s="8"/>
    </row>
    <row r="142" spans="1:11" x14ac:dyDescent="0.25">
      <c r="A142" s="11" t="s">
        <v>3872</v>
      </c>
      <c r="B142" s="11">
        <v>541672954989.79004</v>
      </c>
      <c r="C142" s="11">
        <v>523966269839.83997</v>
      </c>
      <c r="D142" s="11">
        <f t="shared" si="0"/>
        <v>-3.2688885400017478</v>
      </c>
      <c r="E142" s="55">
        <v>2</v>
      </c>
      <c r="F142" s="55">
        <v>20</v>
      </c>
      <c r="G142" s="55">
        <v>2</v>
      </c>
      <c r="H142" s="8">
        <f t="shared" si="1"/>
        <v>8.3333333333333321</v>
      </c>
      <c r="I142" s="8">
        <f t="shared" si="2"/>
        <v>83.333333333333343</v>
      </c>
      <c r="J142" s="8"/>
      <c r="K142" s="8"/>
    </row>
    <row r="143" spans="1:11" x14ac:dyDescent="0.25">
      <c r="A143" s="11" t="s">
        <v>3312</v>
      </c>
      <c r="B143" s="11">
        <v>164113489609.29001</v>
      </c>
      <c r="C143" s="11">
        <v>156165328646.23999</v>
      </c>
      <c r="D143" s="11">
        <f t="shared" si="0"/>
        <v>-4.8430881470940923</v>
      </c>
      <c r="E143" s="55">
        <v>1</v>
      </c>
      <c r="F143" s="55">
        <v>9</v>
      </c>
      <c r="G143" s="55">
        <v>2</v>
      </c>
      <c r="H143" s="8">
        <f t="shared" si="1"/>
        <v>8.3333333333333321</v>
      </c>
      <c r="I143" s="8">
        <f t="shared" si="2"/>
        <v>75</v>
      </c>
      <c r="J143" s="8"/>
      <c r="K143" s="8"/>
    </row>
    <row r="144" spans="1:11" x14ac:dyDescent="0.25">
      <c r="A144" s="11" t="s">
        <v>3611</v>
      </c>
      <c r="B144" s="11">
        <v>169307844889.93002</v>
      </c>
      <c r="C144" s="11">
        <v>158223826948.28</v>
      </c>
      <c r="D144" s="11">
        <f t="shared" si="0"/>
        <v>-6.5466653059437014</v>
      </c>
      <c r="E144" s="55">
        <v>1</v>
      </c>
      <c r="F144" s="55">
        <v>11</v>
      </c>
      <c r="G144" s="55">
        <v>0</v>
      </c>
      <c r="H144" s="8">
        <f t="shared" si="1"/>
        <v>8.3333333333333321</v>
      </c>
      <c r="I144" s="8">
        <f t="shared" si="2"/>
        <v>91.666666666666657</v>
      </c>
      <c r="J144" s="8"/>
      <c r="K144" s="8"/>
    </row>
    <row r="145" spans="1:11" x14ac:dyDescent="0.25">
      <c r="A145" s="11" t="s">
        <v>204</v>
      </c>
      <c r="B145" s="11">
        <v>1070333524769.6902</v>
      </c>
      <c r="C145" s="11">
        <v>1044745024227.74</v>
      </c>
      <c r="D145" s="11">
        <f t="shared" si="0"/>
        <v>-2.3907034536226659</v>
      </c>
      <c r="E145" s="55">
        <v>1</v>
      </c>
      <c r="F145" s="55">
        <v>13</v>
      </c>
      <c r="G145" s="55">
        <v>0</v>
      </c>
      <c r="H145" s="8">
        <f t="shared" si="1"/>
        <v>7.1428571428571423</v>
      </c>
      <c r="I145" s="8">
        <f t="shared" si="2"/>
        <v>92.857142857142861</v>
      </c>
      <c r="J145" s="8"/>
      <c r="K145" s="8"/>
    </row>
    <row r="146" spans="1:11" x14ac:dyDescent="0.25">
      <c r="A146" s="11" t="s">
        <v>2444</v>
      </c>
      <c r="B146" s="11">
        <v>1125073021987.7402</v>
      </c>
      <c r="C146" s="11">
        <v>1089586733365.3701</v>
      </c>
      <c r="D146" s="11">
        <f t="shared" si="0"/>
        <v>-3.1541320366631993</v>
      </c>
      <c r="E146" s="55">
        <v>1</v>
      </c>
      <c r="F146" s="55">
        <v>13</v>
      </c>
      <c r="G146" s="55">
        <v>0</v>
      </c>
      <c r="H146" s="8">
        <f t="shared" si="1"/>
        <v>7.1428571428571423</v>
      </c>
      <c r="I146" s="8">
        <f t="shared" si="2"/>
        <v>92.857142857142861</v>
      </c>
      <c r="J146" s="8"/>
      <c r="K146" s="8"/>
    </row>
    <row r="147" spans="1:11" x14ac:dyDescent="0.25">
      <c r="A147" s="11" t="s">
        <v>1333</v>
      </c>
      <c r="B147" s="11">
        <v>70528126073.919998</v>
      </c>
      <c r="C147" s="11">
        <v>70361549878.720001</v>
      </c>
      <c r="D147" s="11">
        <f t="shared" si="0"/>
        <v>-0.23618406509965922</v>
      </c>
      <c r="E147" s="55">
        <v>0</v>
      </c>
      <c r="F147" s="55">
        <v>4</v>
      </c>
      <c r="G147" s="55">
        <v>0</v>
      </c>
      <c r="H147" s="8">
        <f t="shared" si="1"/>
        <v>0</v>
      </c>
      <c r="I147" s="8">
        <f t="shared" si="2"/>
        <v>100</v>
      </c>
      <c r="J147" s="8"/>
      <c r="K147" s="8"/>
    </row>
    <row r="148" spans="1:11" x14ac:dyDescent="0.25">
      <c r="A148" s="11" t="s">
        <v>758</v>
      </c>
      <c r="B148" s="11">
        <v>61902965866</v>
      </c>
      <c r="C148" s="11">
        <v>61473600456</v>
      </c>
      <c r="D148" s="11">
        <f t="shared" si="0"/>
        <v>-0.69361040136499741</v>
      </c>
      <c r="E148" s="55">
        <v>0</v>
      </c>
      <c r="F148" s="55">
        <v>2</v>
      </c>
      <c r="G148" s="55">
        <v>0</v>
      </c>
      <c r="H148" s="8">
        <f t="shared" si="1"/>
        <v>0</v>
      </c>
      <c r="I148" s="8">
        <f t="shared" si="2"/>
        <v>100</v>
      </c>
      <c r="J148" s="8"/>
      <c r="K148" s="8"/>
    </row>
    <row r="149" spans="1:11" x14ac:dyDescent="0.25">
      <c r="A149" s="11" t="s">
        <v>4177</v>
      </c>
      <c r="B149" s="11">
        <v>40503870837.5</v>
      </c>
      <c r="C149" s="11">
        <v>40106379434.25</v>
      </c>
      <c r="D149" s="11">
        <f t="shared" si="0"/>
        <v>-0.98136645962732927</v>
      </c>
      <c r="E149" s="55">
        <v>0</v>
      </c>
      <c r="F149" s="55">
        <v>1</v>
      </c>
      <c r="G149" s="55">
        <v>0</v>
      </c>
      <c r="H149" s="8">
        <f t="shared" si="1"/>
        <v>0</v>
      </c>
      <c r="I149" s="8">
        <f t="shared" si="2"/>
        <v>100</v>
      </c>
      <c r="J149" s="8"/>
      <c r="K149" s="8"/>
    </row>
    <row r="150" spans="1:11" x14ac:dyDescent="0.25">
      <c r="A150" s="11" t="s">
        <v>4210</v>
      </c>
      <c r="B150" s="11">
        <v>21894441254</v>
      </c>
      <c r="C150" s="11">
        <v>21652929334.200001</v>
      </c>
      <c r="D150" s="11">
        <f t="shared" si="0"/>
        <v>-1.1030741410488212</v>
      </c>
      <c r="E150" s="55">
        <v>0</v>
      </c>
      <c r="F150" s="55">
        <v>1</v>
      </c>
      <c r="G150" s="55">
        <v>0</v>
      </c>
      <c r="H150" s="8">
        <f t="shared" si="1"/>
        <v>0</v>
      </c>
      <c r="I150" s="8">
        <f t="shared" si="2"/>
        <v>100</v>
      </c>
      <c r="J150" s="8"/>
      <c r="K150" s="8"/>
    </row>
    <row r="151" spans="1:11" x14ac:dyDescent="0.25">
      <c r="A151" s="11" t="s">
        <v>3131</v>
      </c>
      <c r="B151" s="11">
        <v>1033877821472.55</v>
      </c>
      <c r="C151" s="11">
        <v>1019357794663.22</v>
      </c>
      <c r="D151" s="11">
        <f t="shared" si="0"/>
        <v>-1.4044238601278083</v>
      </c>
      <c r="E151" s="55">
        <v>0</v>
      </c>
      <c r="F151" s="55">
        <v>2</v>
      </c>
      <c r="G151" s="55">
        <v>0</v>
      </c>
      <c r="H151" s="8">
        <f t="shared" si="1"/>
        <v>0</v>
      </c>
      <c r="I151" s="8">
        <f t="shared" si="2"/>
        <v>100</v>
      </c>
      <c r="J151" s="8"/>
      <c r="K151" s="8"/>
    </row>
    <row r="152" spans="1:11" x14ac:dyDescent="0.25">
      <c r="A152" s="11" t="s">
        <v>659</v>
      </c>
      <c r="B152" s="11">
        <v>75219145299.25</v>
      </c>
      <c r="C152" s="11">
        <v>74140600889.75</v>
      </c>
      <c r="D152" s="11">
        <f t="shared" si="0"/>
        <v>-1.4338695357533582</v>
      </c>
      <c r="E152" s="55">
        <v>0</v>
      </c>
      <c r="F152" s="55">
        <v>2</v>
      </c>
      <c r="G152" s="55">
        <v>0</v>
      </c>
      <c r="H152" s="8">
        <f t="shared" si="1"/>
        <v>0</v>
      </c>
      <c r="I152" s="8">
        <f t="shared" si="2"/>
        <v>100</v>
      </c>
      <c r="J152" s="8"/>
      <c r="K152" s="8"/>
    </row>
    <row r="153" spans="1:11" x14ac:dyDescent="0.25">
      <c r="A153" s="11" t="s">
        <v>4128</v>
      </c>
      <c r="B153" s="11">
        <v>22812350000</v>
      </c>
      <c r="C153" s="11">
        <v>22472725000</v>
      </c>
      <c r="D153" s="11">
        <f t="shared" si="0"/>
        <v>-1.488776912505726</v>
      </c>
      <c r="E153" s="55">
        <v>0</v>
      </c>
      <c r="F153" s="55">
        <v>1</v>
      </c>
      <c r="G153" s="55">
        <v>0</v>
      </c>
      <c r="H153" s="8">
        <f t="shared" si="1"/>
        <v>0</v>
      </c>
      <c r="I153" s="8">
        <f t="shared" si="2"/>
        <v>100</v>
      </c>
      <c r="J153" s="8"/>
      <c r="K153" s="8"/>
    </row>
    <row r="154" spans="1:11" x14ac:dyDescent="0.25">
      <c r="A154" s="11" t="s">
        <v>3536</v>
      </c>
      <c r="B154" s="11">
        <v>2251463149421.2998</v>
      </c>
      <c r="C154" s="11">
        <v>2194940594975.8101</v>
      </c>
      <c r="D154" s="11">
        <f t="shared" si="0"/>
        <v>-2.5104809936604071</v>
      </c>
      <c r="E154" s="55">
        <v>0</v>
      </c>
      <c r="F154" s="55">
        <v>6</v>
      </c>
      <c r="G154" s="55">
        <v>0</v>
      </c>
      <c r="H154" s="8">
        <f t="shared" si="1"/>
        <v>0</v>
      </c>
      <c r="I154" s="8">
        <f t="shared" si="2"/>
        <v>100</v>
      </c>
      <c r="J154" s="8"/>
      <c r="K154" s="8"/>
    </row>
    <row r="155" spans="1:11" x14ac:dyDescent="0.25">
      <c r="A155" s="11" t="s">
        <v>3652</v>
      </c>
      <c r="B155" s="11">
        <v>98870933796.940018</v>
      </c>
      <c r="C155" s="11">
        <v>94846093501.979996</v>
      </c>
      <c r="D155" s="11">
        <f t="shared" si="0"/>
        <v>-4.0708023484699689</v>
      </c>
      <c r="E155" s="55">
        <v>0</v>
      </c>
      <c r="F155" s="55">
        <v>7</v>
      </c>
      <c r="G155" s="55">
        <v>0</v>
      </c>
      <c r="H155" s="8">
        <f t="shared" si="1"/>
        <v>0</v>
      </c>
      <c r="I155" s="8">
        <f t="shared" si="2"/>
        <v>100</v>
      </c>
      <c r="J155" s="8"/>
      <c r="K155" s="8"/>
    </row>
    <row r="156" spans="1:11" x14ac:dyDescent="0.25">
      <c r="A156" s="11" t="s">
        <v>262</v>
      </c>
      <c r="B156" s="11">
        <v>10277827282.66</v>
      </c>
      <c r="C156" s="11">
        <v>9789033407.6599998</v>
      </c>
      <c r="D156" s="11">
        <f t="shared" si="0"/>
        <v>-4.7558093900318541</v>
      </c>
      <c r="E156" s="55">
        <v>0</v>
      </c>
      <c r="F156" s="55">
        <v>8</v>
      </c>
      <c r="G156" s="55">
        <v>0</v>
      </c>
      <c r="H156" s="8">
        <f t="shared" si="1"/>
        <v>0</v>
      </c>
      <c r="I156" s="8">
        <f t="shared" si="2"/>
        <v>100</v>
      </c>
      <c r="J156" s="8"/>
      <c r="K156" s="8"/>
    </row>
    <row r="157" spans="1:11" x14ac:dyDescent="0.25">
      <c r="A157" s="11" t="s">
        <v>3287</v>
      </c>
      <c r="B157" s="11">
        <v>186830972895.60001</v>
      </c>
      <c r="C157" s="11">
        <v>177779468155</v>
      </c>
      <c r="D157" s="11">
        <f t="shared" si="0"/>
        <v>-4.8447559846824388</v>
      </c>
      <c r="E157" s="55">
        <v>0</v>
      </c>
      <c r="F157" s="55">
        <v>6</v>
      </c>
      <c r="G157" s="55">
        <v>0</v>
      </c>
      <c r="H157" s="8">
        <f t="shared" si="1"/>
        <v>0</v>
      </c>
      <c r="I157" s="8">
        <f t="shared" si="2"/>
        <v>100</v>
      </c>
      <c r="J157" s="8"/>
      <c r="K157" s="8"/>
    </row>
    <row r="158" spans="1:11" x14ac:dyDescent="0.25">
      <c r="A158" s="11" t="s">
        <v>324</v>
      </c>
      <c r="B158" s="11">
        <v>277107463819.29999</v>
      </c>
      <c r="C158" s="11">
        <v>263300448897.04999</v>
      </c>
      <c r="D158" s="11">
        <f t="shared" si="0"/>
        <v>-4.9825489115130672</v>
      </c>
      <c r="E158" s="55">
        <v>0</v>
      </c>
      <c r="F158" s="55">
        <v>6</v>
      </c>
      <c r="G158" s="55">
        <v>0</v>
      </c>
      <c r="H158" s="8">
        <f t="shared" si="1"/>
        <v>0</v>
      </c>
      <c r="I158" s="8">
        <f t="shared" si="2"/>
        <v>100</v>
      </c>
      <c r="J158" s="8"/>
      <c r="K158" s="8"/>
    </row>
    <row r="159" spans="1:11" x14ac:dyDescent="0.25">
      <c r="A159" s="11" t="s">
        <v>642</v>
      </c>
      <c r="B159" s="11">
        <v>1282767238363.6499</v>
      </c>
      <c r="C159" s="11">
        <v>1218660069974.95</v>
      </c>
      <c r="D159" s="11">
        <f t="shared" si="0"/>
        <v>-4.9975682626941476</v>
      </c>
      <c r="E159" s="55">
        <v>0</v>
      </c>
      <c r="F159" s="55">
        <v>4</v>
      </c>
      <c r="G159" s="55">
        <v>0</v>
      </c>
      <c r="H159" s="8">
        <f t="shared" si="1"/>
        <v>0</v>
      </c>
      <c r="I159" s="8">
        <f t="shared" si="2"/>
        <v>100</v>
      </c>
      <c r="J159" s="8"/>
      <c r="K159" s="8"/>
    </row>
    <row r="160" spans="1:11" x14ac:dyDescent="0.25">
      <c r="A160" s="11" t="s">
        <v>4133</v>
      </c>
      <c r="B160" s="11">
        <v>3477546639</v>
      </c>
      <c r="C160" s="11">
        <v>3303417675.5999999</v>
      </c>
      <c r="D160" s="11">
        <f t="shared" si="0"/>
        <v>-5.0072358900144751</v>
      </c>
      <c r="E160" s="55">
        <v>0</v>
      </c>
      <c r="F160" s="55">
        <v>1</v>
      </c>
      <c r="G160" s="55">
        <v>0</v>
      </c>
      <c r="H160" s="8">
        <f t="shared" si="1"/>
        <v>0</v>
      </c>
      <c r="I160" s="8">
        <f t="shared" si="2"/>
        <v>100</v>
      </c>
      <c r="J160" s="8"/>
      <c r="K160" s="8"/>
    </row>
    <row r="161" spans="1:11" x14ac:dyDescent="0.25">
      <c r="A161" s="11" t="s">
        <v>850</v>
      </c>
      <c r="B161" s="11">
        <v>452732642252.15002</v>
      </c>
      <c r="C161" s="11">
        <v>428902623084.97998</v>
      </c>
      <c r="D161" s="11">
        <f t="shared" si="0"/>
        <v>-5.2635964238465238</v>
      </c>
      <c r="E161" s="55">
        <v>0</v>
      </c>
      <c r="F161" s="55">
        <v>6</v>
      </c>
      <c r="G161" s="55">
        <v>0</v>
      </c>
      <c r="H161" s="8">
        <f t="shared" si="1"/>
        <v>0</v>
      </c>
      <c r="I161" s="8">
        <f t="shared" si="2"/>
        <v>100</v>
      </c>
      <c r="J161" s="8"/>
      <c r="K161" s="8"/>
    </row>
    <row r="162" spans="1:11" x14ac:dyDescent="0.25">
      <c r="A162" s="11" t="s">
        <v>3772</v>
      </c>
      <c r="B162" s="11">
        <v>550734742020.46997</v>
      </c>
      <c r="C162" s="11">
        <v>519439496248.98999</v>
      </c>
      <c r="D162" s="11">
        <f t="shared" si="0"/>
        <v>-5.6824535268408365</v>
      </c>
      <c r="E162" s="55">
        <v>0</v>
      </c>
      <c r="F162" s="55">
        <v>5</v>
      </c>
      <c r="G162" s="55">
        <v>0</v>
      </c>
      <c r="H162" s="8">
        <f t="shared" si="1"/>
        <v>0</v>
      </c>
      <c r="I162" s="8">
        <f t="shared" si="2"/>
        <v>100</v>
      </c>
      <c r="J162" s="8"/>
      <c r="K162" s="8"/>
    </row>
    <row r="163" spans="1:11" x14ac:dyDescent="0.25">
      <c r="A163" s="11" t="s">
        <v>4053</v>
      </c>
      <c r="B163" s="11">
        <v>13093151154.799999</v>
      </c>
      <c r="C163" s="11">
        <v>12311565937.9</v>
      </c>
      <c r="D163" s="11">
        <f t="shared" si="0"/>
        <v>-5.9694202538360486</v>
      </c>
      <c r="E163" s="55">
        <v>0</v>
      </c>
      <c r="F163" s="55">
        <v>4</v>
      </c>
      <c r="G163" s="55">
        <v>0</v>
      </c>
      <c r="H163" s="8">
        <f t="shared" si="1"/>
        <v>0</v>
      </c>
      <c r="I163" s="8">
        <f t="shared" si="2"/>
        <v>100</v>
      </c>
      <c r="J163" s="8"/>
      <c r="K163" s="8"/>
    </row>
    <row r="164" spans="1:11" x14ac:dyDescent="0.25">
      <c r="A164" s="11" t="s">
        <v>3707</v>
      </c>
      <c r="B164" s="11">
        <v>172056656169.29999</v>
      </c>
      <c r="C164" s="11">
        <v>160864427859.04999</v>
      </c>
      <c r="D164" s="11">
        <f t="shared" si="0"/>
        <v>-6.504966770502091</v>
      </c>
      <c r="E164" s="55">
        <v>0</v>
      </c>
      <c r="F164" s="55">
        <v>10</v>
      </c>
      <c r="G164" s="55">
        <v>0</v>
      </c>
      <c r="H164" s="8">
        <f t="shared" si="1"/>
        <v>0</v>
      </c>
      <c r="I164" s="8">
        <f t="shared" si="2"/>
        <v>100</v>
      </c>
      <c r="J164" s="8"/>
      <c r="K164" s="8"/>
    </row>
    <row r="165" spans="1:11" x14ac:dyDescent="0.25">
      <c r="A165" s="11" t="s">
        <v>2825</v>
      </c>
      <c r="B165" s="11">
        <v>1480825740.6000001</v>
      </c>
      <c r="C165" s="11">
        <v>1376423065.25</v>
      </c>
      <c r="D165" s="11">
        <f t="shared" si="0"/>
        <v>-7.0503012263751126</v>
      </c>
      <c r="E165" s="55">
        <v>0</v>
      </c>
      <c r="F165" s="55">
        <v>2</v>
      </c>
      <c r="G165" s="55">
        <v>0</v>
      </c>
      <c r="H165" s="8">
        <f t="shared" si="1"/>
        <v>0</v>
      </c>
      <c r="I165" s="8">
        <f t="shared" si="2"/>
        <v>100</v>
      </c>
      <c r="J165" s="8"/>
      <c r="K165" s="8"/>
    </row>
    <row r="166" spans="1:11" x14ac:dyDescent="0.25">
      <c r="A166" s="11" t="s">
        <v>2749</v>
      </c>
      <c r="B166" s="11">
        <v>12741355898.280001</v>
      </c>
      <c r="C166" s="11">
        <v>11837414322.92</v>
      </c>
      <c r="D166" s="11">
        <f t="shared" si="0"/>
        <v>-7.0945477277031932</v>
      </c>
      <c r="E166" s="55">
        <v>0</v>
      </c>
      <c r="F166" s="55">
        <v>2</v>
      </c>
      <c r="G166" s="55">
        <v>0</v>
      </c>
      <c r="H166" s="8">
        <f t="shared" si="1"/>
        <v>0</v>
      </c>
      <c r="I166" s="8">
        <f t="shared" si="2"/>
        <v>100</v>
      </c>
      <c r="J166" s="8"/>
      <c r="K166" s="8"/>
    </row>
    <row r="167" spans="1:11" x14ac:dyDescent="0.25">
      <c r="A167" s="11" t="s">
        <v>4077</v>
      </c>
      <c r="B167" s="11">
        <v>3568386071.2500005</v>
      </c>
      <c r="C167" s="11">
        <v>3305995143.75</v>
      </c>
      <c r="D167" s="11">
        <f t="shared" si="0"/>
        <v>-7.3532101701115904</v>
      </c>
      <c r="E167" s="55">
        <v>0</v>
      </c>
      <c r="F167" s="55">
        <v>1</v>
      </c>
      <c r="G167" s="55">
        <v>0</v>
      </c>
      <c r="H167" s="8">
        <f t="shared" si="1"/>
        <v>0</v>
      </c>
      <c r="I167" s="8">
        <f t="shared" si="2"/>
        <v>100</v>
      </c>
      <c r="J167" s="8"/>
      <c r="K167" s="8"/>
    </row>
    <row r="168" spans="1:11" x14ac:dyDescent="0.25">
      <c r="A168" s="11" t="s">
        <v>350</v>
      </c>
      <c r="B168" s="11">
        <v>721588117291.45996</v>
      </c>
      <c r="C168" s="11">
        <v>668306410116.15002</v>
      </c>
      <c r="D168" s="11">
        <f t="shared" si="0"/>
        <v>-7.3839501924321009</v>
      </c>
      <c r="E168" s="55">
        <v>0</v>
      </c>
      <c r="F168" s="55">
        <v>6</v>
      </c>
      <c r="G168" s="55">
        <v>0</v>
      </c>
      <c r="H168" s="8">
        <f t="shared" si="1"/>
        <v>0</v>
      </c>
      <c r="I168" s="8">
        <f t="shared" si="2"/>
        <v>100</v>
      </c>
      <c r="J168" s="8"/>
      <c r="K168" s="8"/>
    </row>
    <row r="169" spans="1:11" x14ac:dyDescent="0.25">
      <c r="A169" s="11" t="s">
        <v>4051</v>
      </c>
      <c r="B169" s="11">
        <v>26306666867.880001</v>
      </c>
      <c r="C169" s="11">
        <v>24338957930.599998</v>
      </c>
      <c r="D169" s="11">
        <f t="shared" si="0"/>
        <v>-7.4798869319417358</v>
      </c>
      <c r="E169" s="55">
        <v>0</v>
      </c>
      <c r="F169" s="55">
        <v>1</v>
      </c>
      <c r="G169" s="55">
        <v>0</v>
      </c>
      <c r="H169" s="8">
        <f t="shared" si="1"/>
        <v>0</v>
      </c>
      <c r="I169" s="8">
        <f t="shared" si="2"/>
        <v>100</v>
      </c>
      <c r="J169" s="8"/>
      <c r="K169" s="8"/>
    </row>
    <row r="170" spans="1:11" x14ac:dyDescent="0.25">
      <c r="A170" s="11" t="s">
        <v>166</v>
      </c>
      <c r="B170" s="11">
        <v>525088917008.60004</v>
      </c>
      <c r="C170" s="11">
        <v>485170735664.25</v>
      </c>
      <c r="D170" s="11">
        <f t="shared" si="0"/>
        <v>-7.6021755651902749</v>
      </c>
      <c r="E170" s="55">
        <v>0</v>
      </c>
      <c r="F170" s="55">
        <v>4</v>
      </c>
      <c r="G170" s="55">
        <v>0</v>
      </c>
      <c r="H170" s="8">
        <f t="shared" si="1"/>
        <v>0</v>
      </c>
      <c r="I170" s="8">
        <f t="shared" si="2"/>
        <v>100</v>
      </c>
      <c r="J170" s="8"/>
      <c r="K170" s="8"/>
    </row>
    <row r="171" spans="1:11" x14ac:dyDescent="0.25">
      <c r="A171" s="11" t="s">
        <v>815</v>
      </c>
      <c r="B171" s="11">
        <v>29756869805.299999</v>
      </c>
      <c r="C171" s="11">
        <v>27346763741.499996</v>
      </c>
      <c r="D171" s="11">
        <f t="shared" si="0"/>
        <v>-8.0993265742310658</v>
      </c>
      <c r="E171" s="55">
        <v>0</v>
      </c>
      <c r="F171" s="55">
        <v>4</v>
      </c>
      <c r="G171" s="55">
        <v>0</v>
      </c>
      <c r="H171" s="8">
        <f t="shared" si="1"/>
        <v>0</v>
      </c>
      <c r="I171" s="8">
        <f t="shared" si="2"/>
        <v>100</v>
      </c>
      <c r="J171" s="8"/>
      <c r="K171" s="8"/>
    </row>
    <row r="172" spans="1:11" x14ac:dyDescent="0.25">
      <c r="A172" s="56" t="s">
        <v>2567</v>
      </c>
      <c r="B172" s="11">
        <v>161491619386.5</v>
      </c>
      <c r="C172" s="11">
        <v>148029625512.5</v>
      </c>
      <c r="D172" s="11">
        <f t="shared" si="0"/>
        <v>-8.3360324982445277</v>
      </c>
      <c r="E172" s="55">
        <v>0</v>
      </c>
      <c r="F172" s="55">
        <v>3</v>
      </c>
      <c r="G172" s="55">
        <v>0</v>
      </c>
      <c r="H172" s="8">
        <f t="shared" si="1"/>
        <v>0</v>
      </c>
      <c r="I172" s="8">
        <f t="shared" si="2"/>
        <v>100</v>
      </c>
      <c r="J172" s="8"/>
      <c r="K172" s="8"/>
    </row>
    <row r="173" spans="1:11" x14ac:dyDescent="0.25">
      <c r="A173" s="11" t="s">
        <v>3867</v>
      </c>
      <c r="B173" s="11">
        <v>3617245907</v>
      </c>
      <c r="C173" s="11">
        <v>3305117923.8000002</v>
      </c>
      <c r="D173" s="11">
        <f t="shared" si="0"/>
        <v>-8.6288848263254057</v>
      </c>
      <c r="E173" s="55">
        <v>0</v>
      </c>
      <c r="F173" s="55">
        <v>1</v>
      </c>
      <c r="G173" s="55">
        <v>0</v>
      </c>
      <c r="H173" s="8">
        <f t="shared" si="1"/>
        <v>0</v>
      </c>
      <c r="I173" s="8">
        <f t="shared" si="2"/>
        <v>100</v>
      </c>
      <c r="J173" s="8"/>
      <c r="K173" s="8"/>
    </row>
    <row r="174" spans="1:11" x14ac:dyDescent="0.25">
      <c r="A174" s="11" t="s">
        <v>3501</v>
      </c>
      <c r="B174" s="11">
        <v>20814565767.199997</v>
      </c>
      <c r="C174" s="11">
        <v>18703350051.950001</v>
      </c>
      <c r="D174" s="11">
        <f t="shared" si="0"/>
        <v>-10.14297266088967</v>
      </c>
      <c r="E174" s="55">
        <v>0</v>
      </c>
      <c r="F174" s="55">
        <v>4</v>
      </c>
      <c r="G174" s="55">
        <v>0</v>
      </c>
      <c r="H174" s="8">
        <f t="shared" si="1"/>
        <v>0</v>
      </c>
      <c r="I174" s="8">
        <f t="shared" si="2"/>
        <v>100</v>
      </c>
      <c r="J174" s="8"/>
      <c r="K174" s="8"/>
    </row>
    <row r="175" spans="1:11" x14ac:dyDescent="0.25">
      <c r="A175" s="11" t="s">
        <v>3847</v>
      </c>
      <c r="B175" s="11">
        <v>787942994047.77991</v>
      </c>
      <c r="C175" s="11">
        <v>701905156419.6499</v>
      </c>
      <c r="D175" s="11">
        <f t="shared" si="0"/>
        <v>-10.919297243337477</v>
      </c>
      <c r="E175" s="55">
        <v>0</v>
      </c>
      <c r="F175" s="55">
        <v>7</v>
      </c>
      <c r="G175" s="55">
        <v>0</v>
      </c>
      <c r="H175" s="8">
        <f t="shared" si="1"/>
        <v>0</v>
      </c>
      <c r="I175" s="8">
        <f t="shared" si="2"/>
        <v>100</v>
      </c>
      <c r="J175" s="8"/>
      <c r="K175" s="8"/>
    </row>
    <row r="176" spans="1:11" x14ac:dyDescent="0.25">
      <c r="A176" s="11" t="s">
        <v>3023</v>
      </c>
      <c r="B176" s="11">
        <v>32736811456</v>
      </c>
      <c r="C176" s="11">
        <v>28893371363.550003</v>
      </c>
      <c r="D176" s="11">
        <f t="shared" si="0"/>
        <v>-11.740422849720055</v>
      </c>
      <c r="E176" s="55">
        <v>0</v>
      </c>
      <c r="F176" s="55">
        <v>11</v>
      </c>
      <c r="G176" s="55">
        <v>0</v>
      </c>
      <c r="H176" s="8">
        <f t="shared" si="1"/>
        <v>0</v>
      </c>
      <c r="I176" s="8">
        <f t="shared" si="2"/>
        <v>100</v>
      </c>
      <c r="J176" s="8"/>
      <c r="K176" s="8"/>
    </row>
    <row r="177" spans="1:11" x14ac:dyDescent="0.25">
      <c r="A177" s="11" t="s">
        <v>3918</v>
      </c>
      <c r="B177" s="11">
        <v>53407278786.350006</v>
      </c>
      <c r="C177" s="11">
        <v>46924832330.979996</v>
      </c>
      <c r="D177" s="11">
        <f t="shared" si="0"/>
        <v>-12.137758378033697</v>
      </c>
      <c r="E177" s="55">
        <v>0</v>
      </c>
      <c r="F177" s="55">
        <v>8</v>
      </c>
      <c r="G177" s="55">
        <v>0</v>
      </c>
      <c r="H177" s="8">
        <f t="shared" si="1"/>
        <v>0</v>
      </c>
      <c r="I177" s="8">
        <f t="shared" si="2"/>
        <v>100</v>
      </c>
      <c r="J177" s="8"/>
      <c r="K177" s="8"/>
    </row>
    <row r="178" spans="1:11" x14ac:dyDescent="0.25">
      <c r="A178" s="11" t="s">
        <v>96</v>
      </c>
      <c r="B178" s="11">
        <v>19694478307.299999</v>
      </c>
      <c r="C178" s="11">
        <v>17141686364.4</v>
      </c>
      <c r="D178" s="11">
        <f t="shared" si="0"/>
        <v>-12.961967832139914</v>
      </c>
      <c r="E178" s="55">
        <v>0</v>
      </c>
      <c r="F178" s="55">
        <v>3</v>
      </c>
      <c r="G178" s="55">
        <v>0</v>
      </c>
      <c r="H178" s="8">
        <f t="shared" si="1"/>
        <v>0</v>
      </c>
      <c r="I178" s="8">
        <f t="shared" si="2"/>
        <v>100</v>
      </c>
      <c r="J178" s="8"/>
      <c r="K178" s="8"/>
    </row>
    <row r="179" spans="1:11" x14ac:dyDescent="0.25">
      <c r="A179" s="11" t="s">
        <v>668</v>
      </c>
      <c r="B179" s="11">
        <v>63654524999.349998</v>
      </c>
      <c r="C179" s="11">
        <v>55285553495</v>
      </c>
      <c r="D179" s="11">
        <f t="shared" si="0"/>
        <v>-13.147488736166766</v>
      </c>
      <c r="E179" s="55">
        <v>0</v>
      </c>
      <c r="F179" s="55">
        <v>2</v>
      </c>
      <c r="G179" s="55">
        <v>0</v>
      </c>
      <c r="H179" s="8">
        <f t="shared" si="1"/>
        <v>0</v>
      </c>
      <c r="I179" s="8">
        <f t="shared" si="2"/>
        <v>100</v>
      </c>
      <c r="J179" s="8"/>
      <c r="K179" s="8"/>
    </row>
    <row r="180" spans="1:11" x14ac:dyDescent="0.25">
      <c r="A180" s="11" t="s">
        <v>876</v>
      </c>
      <c r="B180" s="11">
        <v>751891296.18000007</v>
      </c>
      <c r="C180" s="11">
        <v>646548914.39999998</v>
      </c>
      <c r="D180" s="11">
        <f t="shared" si="0"/>
        <v>-14.010320682683034</v>
      </c>
      <c r="E180" s="55">
        <v>0</v>
      </c>
      <c r="F180" s="55">
        <v>3</v>
      </c>
      <c r="G180" s="55">
        <v>1</v>
      </c>
      <c r="H180" s="8">
        <f t="shared" si="1"/>
        <v>0</v>
      </c>
      <c r="I180" s="8">
        <f t="shared" si="2"/>
        <v>75</v>
      </c>
      <c r="J180" s="8"/>
      <c r="K180" s="8"/>
    </row>
    <row r="181" spans="1:11" x14ac:dyDescent="0.25">
      <c r="A181" s="11" t="s">
        <v>4191</v>
      </c>
      <c r="B181" s="11">
        <v>7888392948.3999996</v>
      </c>
      <c r="C181" s="11">
        <v>6596397765.6000004</v>
      </c>
      <c r="D181" s="11">
        <f t="shared" si="0"/>
        <v>-16.378433367243126</v>
      </c>
      <c r="E181" s="55">
        <v>0</v>
      </c>
      <c r="F181" s="55">
        <v>1</v>
      </c>
      <c r="G181" s="55">
        <v>0</v>
      </c>
      <c r="H181" s="8">
        <f t="shared" si="1"/>
        <v>0</v>
      </c>
      <c r="I181" s="8">
        <f t="shared" si="2"/>
        <v>100</v>
      </c>
      <c r="J181" s="8"/>
      <c r="K181" s="8"/>
    </row>
    <row r="182" spans="1:11" x14ac:dyDescent="0.25">
      <c r="A182" s="11" t="s">
        <v>2778</v>
      </c>
      <c r="B182" s="11">
        <v>4308271688.8900003</v>
      </c>
      <c r="C182" s="11">
        <v>3391986406.3999996</v>
      </c>
      <c r="D182" s="11">
        <f t="shared" si="0"/>
        <v>-21.268047807961619</v>
      </c>
      <c r="E182" s="55">
        <v>0</v>
      </c>
      <c r="F182" s="55">
        <v>2</v>
      </c>
      <c r="G182" s="55">
        <v>0</v>
      </c>
      <c r="H182" s="8">
        <f t="shared" si="1"/>
        <v>0</v>
      </c>
      <c r="I182" s="8">
        <f t="shared" si="2"/>
        <v>100</v>
      </c>
      <c r="J182" s="8"/>
      <c r="K182" s="8"/>
    </row>
    <row r="183" spans="1:11" x14ac:dyDescent="0.25">
      <c r="A183" s="11" t="s">
        <v>4194</v>
      </c>
      <c r="B183" s="11">
        <v>250717120</v>
      </c>
      <c r="C183" s="11">
        <v>167271500</v>
      </c>
      <c r="D183" s="11">
        <f t="shared" si="0"/>
        <v>-33.282777019774315</v>
      </c>
      <c r="E183" s="55">
        <v>0</v>
      </c>
      <c r="F183" s="55">
        <v>2</v>
      </c>
      <c r="G183" s="55">
        <v>0</v>
      </c>
      <c r="H183" s="8">
        <f t="shared" si="1"/>
        <v>0</v>
      </c>
      <c r="I183" s="8">
        <f t="shared" si="2"/>
        <v>100</v>
      </c>
      <c r="J183" s="8"/>
      <c r="K183" s="8"/>
    </row>
    <row r="184" spans="1:11" x14ac:dyDescent="0.25">
      <c r="A184" s="11"/>
      <c r="B184" s="11"/>
      <c r="C184" s="11"/>
      <c r="D184" s="11"/>
      <c r="E184" s="11"/>
      <c r="F184" s="11"/>
      <c r="G184" s="11"/>
      <c r="H184" s="8"/>
      <c r="I184" s="8"/>
      <c r="J184" s="8"/>
      <c r="K184" s="8"/>
    </row>
    <row r="185" spans="1:11" x14ac:dyDescent="0.25">
      <c r="A185" s="11"/>
      <c r="B185" s="11"/>
      <c r="C185" s="11"/>
      <c r="D185" s="11"/>
      <c r="E185" s="11"/>
      <c r="F185" s="11"/>
      <c r="G185" s="11"/>
      <c r="H185" s="8"/>
      <c r="I185" s="8"/>
      <c r="J185" s="8"/>
      <c r="K185" s="8"/>
    </row>
    <row r="186" spans="1:11" x14ac:dyDescent="0.25">
      <c r="A186" s="11"/>
      <c r="B186" s="11"/>
      <c r="C186" s="11"/>
      <c r="D186" s="11"/>
      <c r="E186" s="11"/>
      <c r="F186" s="11"/>
      <c r="G186" s="11"/>
      <c r="H186" s="8"/>
      <c r="I186" s="8"/>
      <c r="J186" s="8"/>
      <c r="K186" s="8"/>
    </row>
    <row r="187" spans="1:11" x14ac:dyDescent="0.25">
      <c r="A187" s="11"/>
      <c r="B187" s="11"/>
      <c r="C187" s="11"/>
      <c r="D187" s="11"/>
      <c r="E187" s="11"/>
      <c r="F187" s="11"/>
      <c r="G187" s="11"/>
      <c r="H187" s="8"/>
      <c r="I187" s="8"/>
      <c r="J187" s="8"/>
      <c r="K187" s="8"/>
    </row>
    <row r="188" spans="1:11" x14ac:dyDescent="0.25">
      <c r="A188" s="11"/>
      <c r="B188" s="11"/>
      <c r="C188" s="11"/>
      <c r="D188" s="11"/>
      <c r="E188" s="11"/>
      <c r="F188" s="11"/>
      <c r="G188" s="11"/>
      <c r="H188" s="8"/>
      <c r="I188" s="8"/>
      <c r="J188" s="8"/>
      <c r="K188" s="8"/>
    </row>
    <row r="189" spans="1:11" x14ac:dyDescent="0.25">
      <c r="A189" s="11"/>
      <c r="B189" s="11"/>
      <c r="C189" s="11"/>
      <c r="D189" s="11"/>
      <c r="E189" s="11"/>
      <c r="F189" s="11"/>
      <c r="G189" s="11"/>
      <c r="H189" s="8"/>
      <c r="I189" s="8"/>
      <c r="J189" s="8"/>
      <c r="K189" s="8"/>
    </row>
    <row r="190" spans="1:11" x14ac:dyDescent="0.25">
      <c r="A190" s="11"/>
      <c r="B190" s="11"/>
      <c r="C190" s="11"/>
      <c r="D190" s="11"/>
      <c r="E190" s="11"/>
      <c r="F190" s="11"/>
      <c r="G190" s="11"/>
      <c r="H190" s="8"/>
      <c r="I190" s="8"/>
      <c r="J190" s="8"/>
      <c r="K190" s="8"/>
    </row>
    <row r="191" spans="1:11" x14ac:dyDescent="0.25">
      <c r="A191" s="11"/>
      <c r="B191" s="11"/>
      <c r="C191" s="11"/>
      <c r="D191" s="11"/>
      <c r="E191" s="11"/>
      <c r="F191" s="11"/>
      <c r="G191" s="11"/>
      <c r="H191" s="8"/>
      <c r="I191" s="8"/>
      <c r="J191" s="8"/>
      <c r="K191" s="8"/>
    </row>
    <row r="192" spans="1:11" x14ac:dyDescent="0.25">
      <c r="A192" s="11"/>
      <c r="B192" s="11"/>
      <c r="C192" s="11"/>
      <c r="D192" s="11"/>
      <c r="E192" s="11"/>
      <c r="F192" s="11"/>
      <c r="G192" s="11"/>
      <c r="H192" s="8"/>
      <c r="I192" s="8"/>
      <c r="J192" s="8"/>
      <c r="K192" s="8"/>
    </row>
    <row r="193" spans="1:11" x14ac:dyDescent="0.25">
      <c r="A193" s="11"/>
      <c r="B193" s="11"/>
      <c r="C193" s="11"/>
      <c r="D193" s="11"/>
      <c r="E193" s="11"/>
      <c r="F193" s="11"/>
      <c r="G193" s="11"/>
      <c r="H193" s="8"/>
      <c r="I193" s="8"/>
      <c r="J193" s="8"/>
      <c r="K193" s="8"/>
    </row>
    <row r="194" spans="1:11" x14ac:dyDescent="0.25">
      <c r="A194" s="11"/>
      <c r="B194" s="11"/>
      <c r="C194" s="11"/>
      <c r="D194" s="11"/>
      <c r="E194" s="11"/>
      <c r="F194" s="11"/>
      <c r="G194" s="11"/>
      <c r="H194" s="8"/>
      <c r="I194" s="8"/>
      <c r="J194" s="8"/>
      <c r="K194" s="8"/>
    </row>
    <row r="195" spans="1:11" x14ac:dyDescent="0.25">
      <c r="A195" s="11"/>
      <c r="B195" s="11"/>
      <c r="C195" s="11"/>
      <c r="D195" s="11"/>
      <c r="E195" s="11"/>
      <c r="F195" s="11"/>
      <c r="G195" s="11"/>
      <c r="H195" s="8"/>
      <c r="I195" s="8"/>
      <c r="J195" s="8"/>
      <c r="K195" s="8"/>
    </row>
    <row r="196" spans="1:11" x14ac:dyDescent="0.25">
      <c r="A196" s="11"/>
      <c r="B196" s="11"/>
      <c r="C196" s="11"/>
      <c r="D196" s="11"/>
      <c r="E196" s="11"/>
      <c r="F196" s="11"/>
      <c r="G196" s="11"/>
      <c r="H196" s="8"/>
      <c r="I196" s="8"/>
      <c r="J196" s="8"/>
      <c r="K196" s="8"/>
    </row>
    <row r="197" spans="1:11" x14ac:dyDescent="0.25">
      <c r="A197" s="11"/>
      <c r="B197" s="11"/>
      <c r="C197" s="11"/>
      <c r="D197" s="11"/>
      <c r="E197" s="11"/>
      <c r="F197" s="11"/>
      <c r="G197" s="11"/>
      <c r="H197" s="8"/>
      <c r="I197" s="8"/>
      <c r="J197" s="8"/>
      <c r="K197" s="8"/>
    </row>
    <row r="198" spans="1:11" x14ac:dyDescent="0.25">
      <c r="A198" s="11"/>
      <c r="B198" s="11"/>
      <c r="C198" s="11"/>
      <c r="D198" s="11"/>
      <c r="E198" s="11"/>
      <c r="F198" s="11"/>
      <c r="G198" s="11"/>
      <c r="H198" s="8"/>
      <c r="I198" s="8"/>
      <c r="J198" s="8"/>
      <c r="K198" s="8"/>
    </row>
    <row r="199" spans="1:11" x14ac:dyDescent="0.25">
      <c r="A199" s="11"/>
      <c r="B199" s="11"/>
      <c r="C199" s="11"/>
      <c r="D199" s="11"/>
      <c r="E199" s="11"/>
      <c r="F199" s="11"/>
      <c r="G199" s="11"/>
      <c r="H199" s="8"/>
      <c r="I199" s="8"/>
      <c r="J199" s="8"/>
      <c r="K199" s="8"/>
    </row>
    <row r="200" spans="1:11" x14ac:dyDescent="0.25">
      <c r="A200" s="11"/>
      <c r="B200" s="11"/>
      <c r="C200" s="11"/>
      <c r="D200" s="11"/>
      <c r="E200" s="11"/>
      <c r="F200" s="11"/>
      <c r="G200" s="11"/>
      <c r="H200" s="8"/>
      <c r="I200" s="8"/>
      <c r="J200" s="8"/>
      <c r="K200" s="8"/>
    </row>
    <row r="201" spans="1:11" x14ac:dyDescent="0.25">
      <c r="A201" s="11"/>
      <c r="B201" s="11"/>
      <c r="C201" s="11"/>
      <c r="D201" s="11"/>
      <c r="E201" s="11"/>
      <c r="F201" s="11"/>
      <c r="G201" s="11"/>
      <c r="H201" s="8"/>
      <c r="I201" s="8"/>
      <c r="J201" s="8"/>
      <c r="K201" s="8"/>
    </row>
    <row r="202" spans="1:11" x14ac:dyDescent="0.25">
      <c r="A202" s="11"/>
      <c r="B202" s="11"/>
      <c r="C202" s="11"/>
      <c r="D202" s="11"/>
      <c r="E202" s="11"/>
      <c r="F202" s="11"/>
      <c r="G202" s="11"/>
      <c r="H202" s="8"/>
      <c r="I202" s="8"/>
      <c r="J202" s="8"/>
      <c r="K202" s="8"/>
    </row>
    <row r="203" spans="1:11" x14ac:dyDescent="0.25">
      <c r="A203" s="11"/>
      <c r="B203" s="11"/>
      <c r="C203" s="11"/>
      <c r="D203" s="11"/>
      <c r="E203" s="11"/>
      <c r="F203" s="11"/>
      <c r="G203" s="11"/>
      <c r="H203" s="8"/>
      <c r="I203" s="8"/>
      <c r="J203" s="8"/>
      <c r="K203" s="8"/>
    </row>
    <row r="204" spans="1:11" x14ac:dyDescent="0.25">
      <c r="A204" s="11"/>
      <c r="B204" s="11"/>
      <c r="C204" s="11"/>
      <c r="D204" s="11"/>
      <c r="E204" s="11"/>
      <c r="F204" s="11"/>
      <c r="G204" s="11"/>
      <c r="H204" s="8"/>
      <c r="I204" s="8"/>
      <c r="J204" s="8"/>
      <c r="K204" s="8"/>
    </row>
    <row r="205" spans="1:11" x14ac:dyDescent="0.25">
      <c r="A205" s="11"/>
      <c r="B205" s="11"/>
      <c r="C205" s="11"/>
      <c r="D205" s="11"/>
      <c r="E205" s="11"/>
      <c r="F205" s="11"/>
      <c r="G205" s="11"/>
      <c r="H205" s="8"/>
      <c r="I205" s="8"/>
      <c r="J205" s="8"/>
      <c r="K205" s="8"/>
    </row>
    <row r="206" spans="1:11" x14ac:dyDescent="0.25">
      <c r="A206" s="11"/>
      <c r="B206" s="11"/>
      <c r="C206" s="11"/>
      <c r="D206" s="11"/>
      <c r="E206" s="11"/>
      <c r="F206" s="11"/>
      <c r="G206" s="11"/>
      <c r="H206" s="8"/>
      <c r="I206" s="8"/>
      <c r="J206" s="8"/>
      <c r="K206" s="8"/>
    </row>
    <row r="207" spans="1:11" x14ac:dyDescent="0.25">
      <c r="A207" s="11"/>
      <c r="B207" s="11"/>
      <c r="C207" s="11"/>
      <c r="D207" s="11"/>
      <c r="E207" s="11"/>
      <c r="F207" s="11"/>
      <c r="G207" s="11"/>
      <c r="H207" s="8"/>
      <c r="I207" s="8"/>
      <c r="J207" s="8"/>
      <c r="K207" s="8"/>
    </row>
    <row r="208" spans="1:11" x14ac:dyDescent="0.25">
      <c r="A208" s="11"/>
      <c r="B208" s="11"/>
      <c r="C208" s="11"/>
      <c r="D208" s="11"/>
      <c r="E208" s="11"/>
      <c r="F208" s="11"/>
      <c r="G208" s="11"/>
      <c r="H208" s="8"/>
      <c r="I208" s="8"/>
      <c r="J208" s="8"/>
      <c r="K208" s="8"/>
    </row>
    <row r="209" spans="1:11" x14ac:dyDescent="0.25">
      <c r="A209" s="11"/>
      <c r="B209" s="11"/>
      <c r="C209" s="11"/>
      <c r="D209" s="11"/>
      <c r="E209" s="11"/>
      <c r="F209" s="11"/>
      <c r="G209" s="11"/>
      <c r="H209" s="8"/>
      <c r="I209" s="8"/>
      <c r="J209" s="8"/>
      <c r="K209" s="8"/>
    </row>
    <row r="210" spans="1:11" x14ac:dyDescent="0.25">
      <c r="A210" s="11"/>
      <c r="B210" s="11"/>
      <c r="C210" s="11"/>
      <c r="D210" s="11"/>
      <c r="E210" s="11"/>
      <c r="F210" s="11"/>
      <c r="G210" s="11"/>
      <c r="H210" s="8"/>
      <c r="I210" s="8"/>
      <c r="J210" s="8"/>
      <c r="K210" s="8"/>
    </row>
    <row r="211" spans="1:11" x14ac:dyDescent="0.25">
      <c r="A211" s="11"/>
      <c r="B211" s="11"/>
      <c r="C211" s="11"/>
      <c r="D211" s="11"/>
      <c r="E211" s="11"/>
      <c r="F211" s="11"/>
      <c r="G211" s="11"/>
      <c r="H211" s="8"/>
      <c r="I211" s="8"/>
      <c r="J211" s="8"/>
      <c r="K211" s="8"/>
    </row>
    <row r="212" spans="1:11" x14ac:dyDescent="0.25">
      <c r="A212" s="11"/>
      <c r="B212" s="11"/>
      <c r="C212" s="11"/>
      <c r="D212" s="11"/>
      <c r="E212" s="11"/>
      <c r="F212" s="11"/>
      <c r="G212" s="11"/>
      <c r="H212" s="8"/>
      <c r="I212" s="8"/>
      <c r="J212" s="8"/>
      <c r="K212" s="8"/>
    </row>
    <row r="213" spans="1:11" x14ac:dyDescent="0.25">
      <c r="A213" s="11"/>
      <c r="B213" s="11"/>
      <c r="C213" s="11"/>
      <c r="D213" s="11"/>
      <c r="E213" s="11"/>
      <c r="F213" s="11"/>
      <c r="G213" s="11"/>
      <c r="H213" s="8"/>
      <c r="I213" s="8"/>
      <c r="J213" s="8"/>
      <c r="K213" s="8"/>
    </row>
    <row r="214" spans="1:11" x14ac:dyDescent="0.25">
      <c r="A214" s="11"/>
      <c r="B214" s="11"/>
      <c r="C214" s="11"/>
      <c r="D214" s="11"/>
      <c r="E214" s="11"/>
      <c r="F214" s="11"/>
      <c r="G214" s="11"/>
      <c r="H214" s="8"/>
      <c r="I214" s="8"/>
      <c r="J214" s="8"/>
      <c r="K214" s="8"/>
    </row>
    <row r="215" spans="1:11" x14ac:dyDescent="0.25">
      <c r="A215" s="11"/>
      <c r="B215" s="11"/>
      <c r="C215" s="11"/>
      <c r="D215" s="11"/>
      <c r="E215" s="11"/>
      <c r="F215" s="11"/>
      <c r="G215" s="11"/>
      <c r="H215" s="8"/>
      <c r="I215" s="8"/>
      <c r="J215" s="8"/>
      <c r="K215" s="8"/>
    </row>
    <row r="216" spans="1:11" x14ac:dyDescent="0.25">
      <c r="A216" s="11"/>
      <c r="B216" s="11"/>
      <c r="C216" s="11"/>
      <c r="D216" s="11"/>
      <c r="E216" s="11"/>
      <c r="F216" s="11"/>
      <c r="G216" s="11"/>
      <c r="H216" s="8"/>
      <c r="I216" s="8"/>
      <c r="J216" s="8"/>
      <c r="K216" s="8"/>
    </row>
    <row r="217" spans="1:11" x14ac:dyDescent="0.25">
      <c r="A217" s="11"/>
      <c r="B217" s="11"/>
      <c r="C217" s="11"/>
      <c r="D217" s="11"/>
      <c r="E217" s="11"/>
      <c r="F217" s="11"/>
      <c r="G217" s="11"/>
      <c r="H217" s="8"/>
      <c r="I217" s="8"/>
      <c r="J217" s="8"/>
      <c r="K217" s="8"/>
    </row>
    <row r="218" spans="1:11" x14ac:dyDescent="0.25">
      <c r="A218" s="11"/>
      <c r="B218" s="11"/>
      <c r="C218" s="11"/>
      <c r="D218" s="11"/>
      <c r="E218" s="11"/>
      <c r="F218" s="11"/>
      <c r="G218" s="11"/>
      <c r="H218" s="8"/>
      <c r="I218" s="8"/>
      <c r="J218" s="8"/>
      <c r="K218" s="8"/>
    </row>
    <row r="219" spans="1:11" x14ac:dyDescent="0.25">
      <c r="A219" s="11"/>
      <c r="B219" s="11"/>
      <c r="C219" s="11"/>
      <c r="D219" s="11"/>
      <c r="E219" s="11"/>
      <c r="F219" s="11"/>
      <c r="G219" s="11"/>
      <c r="H219" s="8"/>
      <c r="I219" s="8"/>
      <c r="J219" s="8"/>
      <c r="K219" s="8"/>
    </row>
    <row r="220" spans="1:11" x14ac:dyDescent="0.25">
      <c r="A220" s="11"/>
      <c r="B220" s="11"/>
      <c r="C220" s="11"/>
      <c r="D220" s="11"/>
      <c r="E220" s="11"/>
      <c r="F220" s="11"/>
      <c r="G220" s="11"/>
      <c r="H220" s="8"/>
      <c r="I220" s="8"/>
      <c r="J220" s="8"/>
      <c r="K220" s="8"/>
    </row>
    <row r="221" spans="1:11" x14ac:dyDescent="0.25">
      <c r="A221" s="11"/>
      <c r="B221" s="11"/>
      <c r="C221" s="11"/>
      <c r="D221" s="11"/>
      <c r="E221" s="11"/>
      <c r="F221" s="11"/>
      <c r="G221" s="11"/>
      <c r="H221" s="8"/>
      <c r="I221" s="8"/>
      <c r="J221" s="8"/>
      <c r="K221" s="8"/>
    </row>
    <row r="222" spans="1:11" x14ac:dyDescent="0.25">
      <c r="A222" s="11"/>
      <c r="B222" s="11"/>
      <c r="C222" s="11"/>
      <c r="D222" s="11"/>
      <c r="E222" s="11"/>
      <c r="F222" s="11"/>
      <c r="G222" s="11"/>
      <c r="H222" s="8"/>
      <c r="I222" s="8"/>
      <c r="J222" s="8"/>
      <c r="K222" s="8"/>
    </row>
    <row r="223" spans="1:11" x14ac:dyDescent="0.25">
      <c r="A223" s="11"/>
      <c r="B223" s="11"/>
      <c r="C223" s="11"/>
      <c r="D223" s="11"/>
      <c r="E223" s="11"/>
      <c r="F223" s="11"/>
      <c r="G223" s="11"/>
      <c r="H223" s="8"/>
      <c r="I223" s="8"/>
      <c r="J223" s="8"/>
      <c r="K223" s="8"/>
    </row>
    <row r="224" spans="1:11" x14ac:dyDescent="0.25">
      <c r="A224" s="11"/>
      <c r="B224" s="11"/>
      <c r="C224" s="11"/>
      <c r="D224" s="11"/>
      <c r="E224" s="11"/>
      <c r="F224" s="11"/>
      <c r="G224" s="11"/>
      <c r="H224" s="8"/>
      <c r="I224" s="8"/>
      <c r="J224" s="8"/>
      <c r="K224" s="8"/>
    </row>
    <row r="225" spans="1:11" x14ac:dyDescent="0.25">
      <c r="A225" s="11"/>
      <c r="B225" s="11"/>
      <c r="C225" s="11"/>
      <c r="D225" s="11"/>
      <c r="E225" s="11"/>
      <c r="F225" s="11"/>
      <c r="G225" s="11"/>
      <c r="H225" s="8"/>
      <c r="I225" s="8"/>
      <c r="J225" s="8"/>
      <c r="K225" s="8"/>
    </row>
    <row r="226" spans="1:11" x14ac:dyDescent="0.25">
      <c r="A226" s="11"/>
      <c r="B226" s="11"/>
      <c r="C226" s="11"/>
      <c r="D226" s="11"/>
      <c r="E226" s="11"/>
      <c r="F226" s="11"/>
      <c r="G226" s="11"/>
      <c r="H226" s="8"/>
      <c r="I226" s="8"/>
      <c r="J226" s="8"/>
      <c r="K226" s="8"/>
    </row>
    <row r="227" spans="1:11" x14ac:dyDescent="0.25">
      <c r="A227" s="11"/>
      <c r="B227" s="11"/>
      <c r="C227" s="11"/>
      <c r="D227" s="11"/>
      <c r="E227" s="11"/>
      <c r="F227" s="11"/>
      <c r="G227" s="11"/>
      <c r="H227" s="8"/>
      <c r="I227" s="8"/>
      <c r="J227" s="8"/>
      <c r="K227" s="8"/>
    </row>
    <row r="228" spans="1:11" x14ac:dyDescent="0.25">
      <c r="A228" s="11"/>
      <c r="B228" s="11"/>
      <c r="C228" s="11"/>
      <c r="D228" s="11"/>
      <c r="E228" s="11"/>
      <c r="F228" s="11"/>
      <c r="G228" s="11"/>
      <c r="H228" s="8"/>
      <c r="I228" s="8"/>
      <c r="J228" s="8"/>
      <c r="K228" s="8"/>
    </row>
    <row r="229" spans="1:11" x14ac:dyDescent="0.25">
      <c r="A229" s="11"/>
      <c r="B229" s="11"/>
      <c r="C229" s="11"/>
      <c r="D229" s="11"/>
      <c r="E229" s="11"/>
      <c r="F229" s="11"/>
      <c r="G229" s="11"/>
      <c r="H229" s="8"/>
      <c r="I229" s="8"/>
      <c r="J229" s="8"/>
      <c r="K229" s="8"/>
    </row>
    <row r="230" spans="1:11" x14ac:dyDescent="0.25">
      <c r="A230" s="11"/>
      <c r="B230" s="11"/>
      <c r="C230" s="11"/>
      <c r="D230" s="11"/>
      <c r="E230" s="11"/>
      <c r="F230" s="11"/>
      <c r="G230" s="11"/>
      <c r="H230" s="8"/>
      <c r="I230" s="8"/>
      <c r="J230" s="8"/>
      <c r="K230" s="8"/>
    </row>
    <row r="231" spans="1:11" x14ac:dyDescent="0.25">
      <c r="A231" s="11"/>
      <c r="B231" s="11"/>
      <c r="C231" s="11"/>
      <c r="D231" s="11"/>
      <c r="E231" s="11"/>
      <c r="F231" s="11"/>
      <c r="G231" s="11"/>
      <c r="H231" s="8"/>
      <c r="I231" s="8"/>
      <c r="J231" s="8"/>
      <c r="K231" s="8"/>
    </row>
    <row r="232" spans="1:11" x14ac:dyDescent="0.25">
      <c r="A232" s="11"/>
      <c r="B232" s="11"/>
      <c r="C232" s="11"/>
      <c r="D232" s="11"/>
      <c r="E232" s="11"/>
      <c r="F232" s="11"/>
      <c r="G232" s="11"/>
      <c r="H232" s="8"/>
      <c r="I232" s="8"/>
      <c r="J232" s="8"/>
      <c r="K232" s="8"/>
    </row>
    <row r="233" spans="1:11" x14ac:dyDescent="0.25">
      <c r="A233" s="11"/>
      <c r="B233" s="11"/>
      <c r="C233" s="11"/>
      <c r="D233" s="11"/>
      <c r="E233" s="11"/>
      <c r="F233" s="11"/>
      <c r="G233" s="11"/>
      <c r="H233" s="8"/>
      <c r="I233" s="8"/>
      <c r="J233" s="8"/>
      <c r="K233" s="8"/>
    </row>
    <row r="234" spans="1:11" x14ac:dyDescent="0.25">
      <c r="A234" s="11"/>
      <c r="B234" s="11"/>
      <c r="C234" s="11"/>
      <c r="D234" s="11"/>
      <c r="E234" s="11"/>
      <c r="F234" s="11"/>
      <c r="G234" s="11"/>
      <c r="H234" s="8"/>
      <c r="I234" s="8"/>
      <c r="J234" s="8"/>
      <c r="K234" s="8"/>
    </row>
    <row r="235" spans="1:11" x14ac:dyDescent="0.25">
      <c r="A235" s="11"/>
      <c r="B235" s="11"/>
      <c r="C235" s="11"/>
      <c r="D235" s="11"/>
      <c r="E235" s="11"/>
      <c r="F235" s="11"/>
      <c r="G235" s="11"/>
      <c r="H235" s="8"/>
      <c r="I235" s="8"/>
      <c r="J235" s="8"/>
      <c r="K235" s="8"/>
    </row>
    <row r="236" spans="1:11" x14ac:dyDescent="0.25">
      <c r="A236" s="11"/>
      <c r="B236" s="11"/>
      <c r="C236" s="11"/>
      <c r="D236" s="11"/>
      <c r="E236" s="11"/>
      <c r="F236" s="11"/>
      <c r="G236" s="11"/>
      <c r="H236" s="8"/>
      <c r="I236" s="8"/>
      <c r="J236" s="8"/>
      <c r="K236" s="8"/>
    </row>
    <row r="237" spans="1:11" x14ac:dyDescent="0.25">
      <c r="A237" s="11"/>
      <c r="B237" s="11"/>
      <c r="C237" s="11"/>
      <c r="D237" s="11"/>
      <c r="E237" s="11"/>
      <c r="F237" s="11"/>
      <c r="G237" s="11"/>
      <c r="H237" s="8"/>
      <c r="I237" s="8"/>
      <c r="J237" s="8"/>
      <c r="K237" s="8"/>
    </row>
    <row r="238" spans="1:11" x14ac:dyDescent="0.25">
      <c r="A238" s="11"/>
      <c r="B238" s="11"/>
      <c r="C238" s="11"/>
      <c r="D238" s="11"/>
      <c r="E238" s="11"/>
      <c r="F238" s="11"/>
      <c r="G238" s="11"/>
      <c r="H238" s="8"/>
      <c r="I238" s="8"/>
      <c r="J238" s="8"/>
      <c r="K238" s="8"/>
    </row>
    <row r="239" spans="1:11" x14ac:dyDescent="0.25">
      <c r="A239" s="11"/>
      <c r="B239" s="11"/>
      <c r="C239" s="11"/>
      <c r="D239" s="11"/>
      <c r="E239" s="11"/>
      <c r="F239" s="11"/>
      <c r="G239" s="11"/>
      <c r="H239" s="8"/>
      <c r="I239" s="8"/>
      <c r="J239" s="8"/>
      <c r="K239" s="8"/>
    </row>
    <row r="240" spans="1:11" x14ac:dyDescent="0.25">
      <c r="A240" s="11"/>
      <c r="B240" s="11"/>
      <c r="C240" s="11"/>
      <c r="D240" s="11"/>
      <c r="E240" s="11"/>
      <c r="F240" s="11"/>
      <c r="G240" s="11"/>
      <c r="H240" s="8"/>
      <c r="I240" s="8"/>
      <c r="J240" s="8"/>
      <c r="K240" s="8"/>
    </row>
    <row r="241" spans="1:11" x14ac:dyDescent="0.25">
      <c r="A241" s="11"/>
      <c r="B241" s="11"/>
      <c r="C241" s="11"/>
      <c r="D241" s="11"/>
      <c r="E241" s="11"/>
      <c r="F241" s="11"/>
      <c r="G241" s="11"/>
      <c r="H241" s="8"/>
      <c r="I241" s="8"/>
      <c r="J241" s="8"/>
      <c r="K241" s="8"/>
    </row>
    <row r="242" spans="1:11" x14ac:dyDescent="0.25">
      <c r="A242" s="11"/>
      <c r="B242" s="11"/>
      <c r="C242" s="11"/>
      <c r="D242" s="11"/>
      <c r="E242" s="11"/>
      <c r="F242" s="11"/>
      <c r="G242" s="11"/>
      <c r="H242" s="8"/>
      <c r="I242" s="8"/>
      <c r="J242" s="8"/>
      <c r="K242" s="8"/>
    </row>
    <row r="243" spans="1:11" x14ac:dyDescent="0.25">
      <c r="A243" s="11"/>
      <c r="B243" s="11"/>
      <c r="C243" s="11"/>
      <c r="D243" s="11"/>
      <c r="E243" s="11"/>
      <c r="F243" s="11"/>
      <c r="G243" s="11"/>
      <c r="H243" s="8"/>
      <c r="I243" s="8"/>
      <c r="J243" s="8"/>
      <c r="K243" s="8"/>
    </row>
    <row r="244" spans="1:11" x14ac:dyDescent="0.25">
      <c r="A244" s="11"/>
      <c r="B244" s="11"/>
      <c r="C244" s="11"/>
      <c r="D244" s="11"/>
      <c r="E244" s="11"/>
      <c r="F244" s="11"/>
      <c r="G244" s="11"/>
      <c r="H244" s="8"/>
      <c r="I244" s="8"/>
      <c r="J244" s="8"/>
      <c r="K244" s="8"/>
    </row>
    <row r="245" spans="1:11" x14ac:dyDescent="0.25">
      <c r="A245" s="11"/>
      <c r="B245" s="11"/>
      <c r="C245" s="11"/>
      <c r="D245" s="11"/>
      <c r="E245" s="11"/>
      <c r="F245" s="11"/>
      <c r="G245" s="11"/>
      <c r="H245" s="8"/>
      <c r="I245" s="8"/>
      <c r="J245" s="8"/>
      <c r="K245" s="8"/>
    </row>
    <row r="246" spans="1:11" x14ac:dyDescent="0.25">
      <c r="A246" s="11"/>
      <c r="B246" s="11"/>
      <c r="C246" s="11"/>
      <c r="D246" s="11"/>
      <c r="E246" s="11"/>
      <c r="F246" s="11"/>
      <c r="G246" s="11"/>
      <c r="H246" s="8"/>
      <c r="I246" s="8"/>
      <c r="J246" s="8"/>
      <c r="K246" s="8"/>
    </row>
    <row r="247" spans="1:11" x14ac:dyDescent="0.25">
      <c r="A247" s="11"/>
      <c r="B247" s="11"/>
      <c r="C247" s="11"/>
      <c r="D247" s="11"/>
      <c r="E247" s="11"/>
      <c r="F247" s="11"/>
      <c r="G247" s="11"/>
      <c r="H247" s="8"/>
      <c r="I247" s="8"/>
      <c r="J247" s="8"/>
      <c r="K247" s="8"/>
    </row>
    <row r="248" spans="1:11" x14ac:dyDescent="0.25">
      <c r="A248" s="11"/>
      <c r="B248" s="11"/>
      <c r="C248" s="11"/>
      <c r="D248" s="11"/>
      <c r="E248" s="11"/>
      <c r="F248" s="11"/>
      <c r="G248" s="11"/>
      <c r="H248" s="8"/>
      <c r="I248" s="8"/>
      <c r="J248" s="8"/>
      <c r="K248" s="8"/>
    </row>
    <row r="249" spans="1:11" x14ac:dyDescent="0.25">
      <c r="A249" s="11"/>
      <c r="B249" s="11"/>
      <c r="C249" s="11"/>
      <c r="D249" s="11"/>
      <c r="E249" s="11"/>
      <c r="F249" s="11"/>
      <c r="G249" s="11"/>
      <c r="H249" s="8"/>
      <c r="I249" s="8"/>
      <c r="J249" s="8"/>
      <c r="K249" s="8"/>
    </row>
    <row r="250" spans="1:11" x14ac:dyDescent="0.25">
      <c r="A250" s="11"/>
      <c r="B250" s="11"/>
      <c r="C250" s="11"/>
      <c r="D250" s="11"/>
      <c r="E250" s="11"/>
      <c r="F250" s="11"/>
      <c r="G250" s="11"/>
      <c r="H250" s="8"/>
      <c r="I250" s="8"/>
      <c r="J250" s="8"/>
      <c r="K250" s="8"/>
    </row>
    <row r="251" spans="1:11" x14ac:dyDescent="0.25">
      <c r="A251" s="11"/>
      <c r="B251" s="11"/>
      <c r="C251" s="11"/>
      <c r="D251" s="11"/>
      <c r="E251" s="11"/>
      <c r="F251" s="11"/>
      <c r="G251" s="11"/>
      <c r="H251" s="8"/>
      <c r="I251" s="8"/>
      <c r="J251" s="8"/>
      <c r="K251" s="8"/>
    </row>
    <row r="252" spans="1:11" x14ac:dyDescent="0.25">
      <c r="A252" s="11"/>
      <c r="B252" s="11"/>
      <c r="C252" s="11"/>
      <c r="D252" s="11"/>
      <c r="E252" s="11"/>
      <c r="F252" s="11"/>
      <c r="G252" s="11"/>
      <c r="H252" s="8"/>
      <c r="I252" s="8"/>
      <c r="J252" s="8"/>
      <c r="K252" s="8"/>
    </row>
    <row r="253" spans="1:11" x14ac:dyDescent="0.25">
      <c r="A253" s="11"/>
      <c r="B253" s="11"/>
      <c r="C253" s="11"/>
      <c r="D253" s="11"/>
      <c r="E253" s="11"/>
      <c r="F253" s="11"/>
      <c r="G253" s="11"/>
      <c r="H253" s="8"/>
      <c r="I253" s="8"/>
      <c r="J253" s="8"/>
      <c r="K253" s="8"/>
    </row>
    <row r="254" spans="1:11" x14ac:dyDescent="0.25">
      <c r="A254" s="11"/>
      <c r="B254" s="11"/>
      <c r="C254" s="11"/>
      <c r="D254" s="11"/>
      <c r="E254" s="11"/>
      <c r="F254" s="11"/>
      <c r="G254" s="11"/>
      <c r="H254" s="8"/>
      <c r="I254" s="8"/>
      <c r="J254" s="8"/>
      <c r="K254" s="8"/>
    </row>
    <row r="255" spans="1:11" x14ac:dyDescent="0.25">
      <c r="A255" s="11"/>
      <c r="B255" s="11"/>
      <c r="C255" s="11"/>
      <c r="D255" s="11"/>
      <c r="E255" s="11"/>
      <c r="F255" s="11"/>
      <c r="G255" s="11"/>
      <c r="H255" s="8"/>
      <c r="I255" s="8"/>
      <c r="J255" s="8"/>
      <c r="K255" s="8"/>
    </row>
    <row r="256" spans="1:11" x14ac:dyDescent="0.25">
      <c r="A256" s="11"/>
      <c r="B256" s="11"/>
      <c r="C256" s="11"/>
      <c r="D256" s="11"/>
      <c r="E256" s="11"/>
      <c r="F256" s="11"/>
      <c r="G256" s="11"/>
      <c r="H256" s="8"/>
      <c r="I256" s="8"/>
      <c r="J256" s="8"/>
      <c r="K256" s="8"/>
    </row>
    <row r="257" spans="1:11" x14ac:dyDescent="0.25">
      <c r="A257" s="11"/>
      <c r="B257" s="11"/>
      <c r="C257" s="11"/>
      <c r="D257" s="11"/>
      <c r="E257" s="11"/>
      <c r="F257" s="11"/>
      <c r="G257" s="11"/>
      <c r="H257" s="8"/>
      <c r="I257" s="8"/>
      <c r="J257" s="8"/>
      <c r="K257" s="8"/>
    </row>
    <row r="258" spans="1:11" x14ac:dyDescent="0.25">
      <c r="A258" s="11"/>
      <c r="B258" s="11"/>
      <c r="C258" s="11"/>
      <c r="D258" s="11"/>
      <c r="E258" s="11"/>
      <c r="F258" s="11"/>
      <c r="G258" s="11"/>
      <c r="H258" s="8"/>
      <c r="I258" s="8"/>
      <c r="J258" s="8"/>
      <c r="K258" s="8"/>
    </row>
    <row r="259" spans="1:11" x14ac:dyDescent="0.25">
      <c r="A259" s="11"/>
      <c r="B259" s="11"/>
      <c r="C259" s="11"/>
      <c r="D259" s="11"/>
      <c r="E259" s="11"/>
      <c r="F259" s="11"/>
      <c r="G259" s="11"/>
      <c r="H259" s="8"/>
      <c r="I259" s="8"/>
      <c r="J259" s="8"/>
      <c r="K259" s="8"/>
    </row>
    <row r="260" spans="1:11" x14ac:dyDescent="0.25">
      <c r="A260" s="11"/>
      <c r="B260" s="11"/>
      <c r="C260" s="11"/>
      <c r="D260" s="11"/>
      <c r="E260" s="11"/>
      <c r="F260" s="11"/>
      <c r="G260" s="11"/>
      <c r="H260" s="8"/>
      <c r="I260" s="8"/>
      <c r="J260" s="8"/>
      <c r="K260" s="8"/>
    </row>
    <row r="261" spans="1:11" x14ac:dyDescent="0.25">
      <c r="A261" s="11"/>
      <c r="B261" s="11"/>
      <c r="C261" s="11"/>
      <c r="D261" s="11"/>
      <c r="E261" s="11"/>
      <c r="F261" s="11"/>
      <c r="G261" s="11"/>
      <c r="H261" s="8"/>
      <c r="I261" s="8"/>
      <c r="J261" s="8"/>
      <c r="K261" s="8"/>
    </row>
    <row r="262" spans="1:11" x14ac:dyDescent="0.25">
      <c r="A262" s="11"/>
      <c r="B262" s="11"/>
      <c r="C262" s="11"/>
      <c r="D262" s="11"/>
      <c r="E262" s="11"/>
      <c r="F262" s="11"/>
      <c r="G262" s="11"/>
      <c r="H262" s="8"/>
      <c r="I262" s="8"/>
      <c r="J262" s="8"/>
      <c r="K262" s="8"/>
    </row>
    <row r="263" spans="1:11" x14ac:dyDescent="0.25">
      <c r="A263" s="11"/>
      <c r="B263" s="11"/>
      <c r="C263" s="11"/>
      <c r="D263" s="11"/>
      <c r="E263" s="11"/>
      <c r="F263" s="11"/>
      <c r="G263" s="11"/>
      <c r="H263" s="8"/>
      <c r="I263" s="8"/>
      <c r="J263" s="8"/>
      <c r="K263" s="8"/>
    </row>
    <row r="264" spans="1:11" x14ac:dyDescent="0.25">
      <c r="A264" s="11"/>
      <c r="B264" s="11"/>
      <c r="C264" s="11"/>
      <c r="D264" s="11"/>
      <c r="E264" s="11"/>
      <c r="F264" s="11"/>
      <c r="G264" s="11"/>
      <c r="H264" s="8"/>
      <c r="I264" s="8"/>
      <c r="J264" s="8"/>
      <c r="K264" s="8"/>
    </row>
    <row r="265" spans="1:11" x14ac:dyDescent="0.25">
      <c r="A265" s="11"/>
      <c r="B265" s="11"/>
      <c r="C265" s="11"/>
      <c r="D265" s="11"/>
      <c r="E265" s="11"/>
      <c r="F265" s="11"/>
      <c r="G265" s="11"/>
      <c r="H265" s="8"/>
      <c r="I265" s="8"/>
      <c r="J265" s="8"/>
      <c r="K265" s="8"/>
    </row>
    <row r="266" spans="1:11" x14ac:dyDescent="0.25">
      <c r="A266" s="11"/>
      <c r="B266" s="11"/>
      <c r="C266" s="11"/>
      <c r="D266" s="11"/>
      <c r="E266" s="11"/>
      <c r="F266" s="11"/>
      <c r="G266" s="11"/>
      <c r="H266" s="8"/>
      <c r="I266" s="8"/>
      <c r="J266" s="8"/>
      <c r="K266" s="8"/>
    </row>
    <row r="267" spans="1:11" x14ac:dyDescent="0.25">
      <c r="A267" s="11"/>
      <c r="B267" s="11"/>
      <c r="C267" s="11"/>
      <c r="D267" s="11"/>
      <c r="E267" s="11"/>
      <c r="F267" s="11"/>
      <c r="G267" s="11"/>
      <c r="H267" s="8"/>
      <c r="I267" s="8"/>
      <c r="J267" s="8"/>
      <c r="K267" s="8"/>
    </row>
    <row r="268" spans="1:11" x14ac:dyDescent="0.25">
      <c r="A268" s="11"/>
      <c r="B268" s="11"/>
      <c r="C268" s="11"/>
      <c r="D268" s="11"/>
      <c r="E268" s="11"/>
      <c r="F268" s="11"/>
      <c r="G268" s="11"/>
      <c r="H268" s="8"/>
      <c r="I268" s="8"/>
      <c r="J268" s="8"/>
      <c r="K268" s="8"/>
    </row>
    <row r="269" spans="1:11" x14ac:dyDescent="0.25">
      <c r="A269" s="11"/>
      <c r="B269" s="11"/>
      <c r="C269" s="11"/>
      <c r="D269" s="11"/>
      <c r="E269" s="11"/>
      <c r="F269" s="11"/>
      <c r="G269" s="11"/>
      <c r="H269" s="8"/>
      <c r="I269" s="8"/>
      <c r="J269" s="8"/>
      <c r="K269" s="8"/>
    </row>
    <row r="270" spans="1:11" x14ac:dyDescent="0.25">
      <c r="A270" s="11"/>
      <c r="B270" s="11"/>
      <c r="C270" s="11"/>
      <c r="D270" s="11"/>
      <c r="E270" s="11"/>
      <c r="F270" s="11"/>
      <c r="G270" s="11"/>
      <c r="H270" s="8"/>
      <c r="I270" s="8"/>
      <c r="J270" s="8"/>
      <c r="K270" s="8"/>
    </row>
    <row r="271" spans="1:11" x14ac:dyDescent="0.25">
      <c r="A271" s="11"/>
      <c r="B271" s="11"/>
      <c r="C271" s="11"/>
      <c r="D271" s="11"/>
      <c r="E271" s="11"/>
      <c r="F271" s="11"/>
      <c r="G271" s="11"/>
      <c r="H271" s="8"/>
      <c r="I271" s="8"/>
      <c r="J271" s="8"/>
      <c r="K271" s="8"/>
    </row>
    <row r="272" spans="1:11" x14ac:dyDescent="0.25">
      <c r="A272" s="11"/>
      <c r="B272" s="11"/>
      <c r="C272" s="11"/>
      <c r="D272" s="11"/>
      <c r="E272" s="11"/>
      <c r="F272" s="11"/>
      <c r="G272" s="11"/>
      <c r="H272" s="8"/>
      <c r="I272" s="8"/>
      <c r="J272" s="8"/>
      <c r="K272" s="8"/>
    </row>
    <row r="273" spans="1:11" x14ac:dyDescent="0.25">
      <c r="A273" s="11"/>
      <c r="B273" s="11"/>
      <c r="C273" s="11"/>
      <c r="D273" s="11"/>
      <c r="E273" s="11"/>
      <c r="F273" s="11"/>
      <c r="G273" s="11"/>
      <c r="H273" s="8"/>
      <c r="I273" s="8"/>
      <c r="J273" s="8"/>
      <c r="K273" s="8"/>
    </row>
    <row r="274" spans="1:11" x14ac:dyDescent="0.25">
      <c r="A274" s="11"/>
      <c r="B274" s="11"/>
      <c r="C274" s="11"/>
      <c r="D274" s="11"/>
      <c r="E274" s="11"/>
      <c r="F274" s="11"/>
      <c r="G274" s="11"/>
      <c r="H274" s="8"/>
      <c r="I274" s="8"/>
      <c r="J274" s="8"/>
      <c r="K274" s="8"/>
    </row>
    <row r="275" spans="1:11" x14ac:dyDescent="0.25">
      <c r="A275" s="11"/>
      <c r="B275" s="11"/>
      <c r="C275" s="11"/>
      <c r="D275" s="11"/>
      <c r="E275" s="11"/>
      <c r="F275" s="11"/>
      <c r="G275" s="11"/>
      <c r="H275" s="8"/>
      <c r="I275" s="8"/>
      <c r="J275" s="8"/>
      <c r="K275" s="8"/>
    </row>
    <row r="276" spans="1:11" x14ac:dyDescent="0.25">
      <c r="A276" s="11"/>
      <c r="B276" s="11"/>
      <c r="C276" s="11"/>
      <c r="D276" s="11"/>
      <c r="E276" s="11"/>
      <c r="F276" s="11"/>
      <c r="G276" s="11"/>
      <c r="H276" s="8"/>
      <c r="I276" s="8"/>
      <c r="J276" s="8"/>
      <c r="K276" s="8"/>
    </row>
    <row r="277" spans="1:11" x14ac:dyDescent="0.25">
      <c r="A277" s="11"/>
      <c r="B277" s="11"/>
      <c r="C277" s="11"/>
      <c r="D277" s="11"/>
      <c r="E277" s="11"/>
      <c r="F277" s="11"/>
      <c r="G277" s="11"/>
      <c r="H277" s="8"/>
      <c r="I277" s="8"/>
      <c r="J277" s="8"/>
      <c r="K277" s="8"/>
    </row>
    <row r="278" spans="1:11" x14ac:dyDescent="0.25">
      <c r="A278" s="11"/>
      <c r="B278" s="11"/>
      <c r="C278" s="11"/>
      <c r="D278" s="11"/>
      <c r="E278" s="11"/>
      <c r="F278" s="11"/>
      <c r="G278" s="11"/>
      <c r="H278" s="8"/>
      <c r="I278" s="8"/>
      <c r="J278" s="8"/>
      <c r="K278" s="8"/>
    </row>
    <row r="279" spans="1:11" x14ac:dyDescent="0.25">
      <c r="A279" s="11"/>
      <c r="B279" s="11"/>
      <c r="C279" s="11"/>
      <c r="D279" s="11"/>
      <c r="E279" s="11"/>
      <c r="F279" s="11"/>
      <c r="G279" s="11"/>
      <c r="H279" s="8"/>
      <c r="I279" s="8"/>
      <c r="J279" s="8"/>
      <c r="K279" s="8"/>
    </row>
    <row r="280" spans="1:11" x14ac:dyDescent="0.25">
      <c r="A280" s="11"/>
      <c r="B280" s="11"/>
      <c r="C280" s="11"/>
      <c r="D280" s="11"/>
      <c r="E280" s="11"/>
      <c r="F280" s="11"/>
      <c r="G280" s="11"/>
      <c r="H280" s="8"/>
      <c r="I280" s="8"/>
      <c r="J280" s="8"/>
      <c r="K280" s="8"/>
    </row>
    <row r="281" spans="1:11" x14ac:dyDescent="0.25">
      <c r="A281" s="11"/>
      <c r="B281" s="11"/>
      <c r="C281" s="11"/>
      <c r="D281" s="11"/>
      <c r="E281" s="11"/>
      <c r="F281" s="11"/>
      <c r="G281" s="11"/>
      <c r="H281" s="8"/>
      <c r="I281" s="8"/>
      <c r="J281" s="8"/>
      <c r="K281" s="8"/>
    </row>
    <row r="282" spans="1:11" x14ac:dyDescent="0.25">
      <c r="A282" s="11"/>
      <c r="B282" s="11"/>
      <c r="C282" s="11"/>
      <c r="D282" s="11"/>
      <c r="E282" s="11"/>
      <c r="F282" s="11"/>
      <c r="G282" s="11"/>
      <c r="H282" s="8"/>
      <c r="I282" s="8"/>
      <c r="J282" s="8"/>
      <c r="K282" s="8"/>
    </row>
    <row r="283" spans="1:11" x14ac:dyDescent="0.25">
      <c r="A283" s="11"/>
      <c r="B283" s="11"/>
      <c r="C283" s="11"/>
      <c r="D283" s="11"/>
      <c r="E283" s="11"/>
      <c r="F283" s="11"/>
      <c r="G283" s="11"/>
      <c r="H283" s="8"/>
      <c r="I283" s="8"/>
      <c r="J283" s="8"/>
      <c r="K283" s="8"/>
    </row>
    <row r="284" spans="1:11" x14ac:dyDescent="0.25">
      <c r="A284" s="11"/>
      <c r="B284" s="11"/>
      <c r="C284" s="11"/>
      <c r="D284" s="11"/>
      <c r="E284" s="11"/>
      <c r="F284" s="11"/>
      <c r="G284" s="11"/>
      <c r="H284" s="8"/>
      <c r="I284" s="8"/>
      <c r="J284" s="8"/>
      <c r="K284" s="8"/>
    </row>
    <row r="285" spans="1:11" x14ac:dyDescent="0.25">
      <c r="A285" s="11"/>
      <c r="B285" s="11"/>
      <c r="C285" s="11"/>
      <c r="D285" s="11"/>
      <c r="E285" s="11"/>
      <c r="F285" s="11"/>
      <c r="G285" s="11"/>
      <c r="H285" s="8"/>
      <c r="I285" s="8"/>
      <c r="J285" s="8"/>
      <c r="K285" s="8"/>
    </row>
    <row r="286" spans="1:11" x14ac:dyDescent="0.25">
      <c r="A286" s="11"/>
      <c r="B286" s="11"/>
      <c r="C286" s="11"/>
      <c r="D286" s="11"/>
      <c r="E286" s="11"/>
      <c r="F286" s="11"/>
      <c r="G286" s="11"/>
      <c r="H286" s="8"/>
      <c r="I286" s="8"/>
      <c r="J286" s="8"/>
      <c r="K286" s="8"/>
    </row>
    <row r="287" spans="1:11" x14ac:dyDescent="0.25">
      <c r="A287" s="11"/>
      <c r="B287" s="11"/>
      <c r="C287" s="11"/>
      <c r="D287" s="11"/>
      <c r="E287" s="11"/>
      <c r="F287" s="11"/>
      <c r="G287" s="11"/>
      <c r="H287" s="8"/>
      <c r="I287" s="8"/>
      <c r="J287" s="8"/>
      <c r="K287" s="8"/>
    </row>
    <row r="288" spans="1:11" x14ac:dyDescent="0.25">
      <c r="A288" s="11"/>
      <c r="B288" s="11"/>
      <c r="C288" s="11"/>
      <c r="D288" s="11"/>
      <c r="E288" s="11"/>
      <c r="F288" s="11"/>
      <c r="G288" s="11"/>
      <c r="H288" s="8"/>
      <c r="I288" s="8"/>
      <c r="J288" s="8"/>
      <c r="K288" s="8"/>
    </row>
    <row r="289" spans="1:11" x14ac:dyDescent="0.25">
      <c r="A289" s="11"/>
      <c r="B289" s="11"/>
      <c r="C289" s="11"/>
      <c r="D289" s="11"/>
      <c r="E289" s="11"/>
      <c r="F289" s="11"/>
      <c r="G289" s="11"/>
      <c r="H289" s="8"/>
      <c r="I289" s="8"/>
      <c r="J289" s="8"/>
      <c r="K289" s="8"/>
    </row>
    <row r="290" spans="1:11" x14ac:dyDescent="0.25">
      <c r="A290" s="11"/>
      <c r="B290" s="11"/>
      <c r="C290" s="11"/>
      <c r="D290" s="11"/>
      <c r="E290" s="11"/>
      <c r="F290" s="11"/>
      <c r="G290" s="11"/>
      <c r="H290" s="8"/>
      <c r="I290" s="8"/>
      <c r="J290" s="8"/>
      <c r="K290" s="8"/>
    </row>
    <row r="291" spans="1:11" x14ac:dyDescent="0.25">
      <c r="A291" s="11"/>
      <c r="B291" s="11"/>
      <c r="C291" s="11"/>
      <c r="D291" s="11"/>
      <c r="E291" s="11"/>
      <c r="F291" s="11"/>
      <c r="G291" s="11"/>
      <c r="H291" s="8"/>
      <c r="I291" s="8"/>
      <c r="J291" s="8"/>
      <c r="K291" s="8"/>
    </row>
    <row r="292" spans="1:11" x14ac:dyDescent="0.25">
      <c r="A292" s="11"/>
      <c r="B292" s="11"/>
      <c r="C292" s="11"/>
      <c r="D292" s="11"/>
      <c r="E292" s="11"/>
      <c r="F292" s="11"/>
      <c r="G292" s="11"/>
      <c r="H292" s="8"/>
      <c r="I292" s="8"/>
      <c r="J292" s="8"/>
      <c r="K292" s="8"/>
    </row>
    <row r="293" spans="1:11" x14ac:dyDescent="0.25">
      <c r="A293" s="11"/>
      <c r="B293" s="11"/>
      <c r="C293" s="11"/>
      <c r="D293" s="11"/>
      <c r="E293" s="11"/>
      <c r="F293" s="11"/>
      <c r="G293" s="11"/>
      <c r="H293" s="8"/>
      <c r="I293" s="8"/>
      <c r="J293" s="8"/>
      <c r="K293" s="8"/>
    </row>
    <row r="294" spans="1:11" x14ac:dyDescent="0.25">
      <c r="A294" s="11"/>
      <c r="B294" s="11"/>
      <c r="C294" s="11"/>
      <c r="D294" s="11"/>
      <c r="E294" s="11"/>
      <c r="F294" s="11"/>
      <c r="G294" s="11"/>
      <c r="H294" s="8"/>
      <c r="I294" s="8"/>
      <c r="J294" s="8"/>
      <c r="K294" s="8"/>
    </row>
    <row r="295" spans="1:11" x14ac:dyDescent="0.25">
      <c r="A295" s="11"/>
      <c r="B295" s="11"/>
      <c r="C295" s="11"/>
      <c r="D295" s="11"/>
      <c r="E295" s="11"/>
      <c r="F295" s="11"/>
      <c r="G295" s="11"/>
      <c r="H295" s="8"/>
      <c r="I295" s="8"/>
      <c r="J295" s="8"/>
      <c r="K295" s="8"/>
    </row>
    <row r="296" spans="1:11" x14ac:dyDescent="0.25">
      <c r="A296" s="11"/>
      <c r="B296" s="11"/>
      <c r="C296" s="11"/>
      <c r="D296" s="11"/>
      <c r="E296" s="11"/>
      <c r="F296" s="11"/>
      <c r="G296" s="11"/>
      <c r="H296" s="8"/>
      <c r="I296" s="8"/>
      <c r="J296" s="8"/>
      <c r="K296" s="8"/>
    </row>
    <row r="297" spans="1:11" x14ac:dyDescent="0.25">
      <c r="A297" s="11"/>
      <c r="B297" s="11"/>
      <c r="C297" s="11"/>
      <c r="D297" s="11"/>
      <c r="E297" s="11"/>
      <c r="F297" s="11"/>
      <c r="G297" s="11"/>
      <c r="H297" s="8"/>
      <c r="I297" s="8"/>
      <c r="J297" s="8"/>
      <c r="K297" s="8"/>
    </row>
    <row r="298" spans="1:11" x14ac:dyDescent="0.25">
      <c r="A298" s="11"/>
      <c r="B298" s="11"/>
      <c r="C298" s="11"/>
      <c r="D298" s="11"/>
      <c r="E298" s="11"/>
      <c r="F298" s="11"/>
      <c r="G298" s="11"/>
      <c r="H298" s="8"/>
      <c r="I298" s="8"/>
      <c r="J298" s="8"/>
      <c r="K298" s="8"/>
    </row>
    <row r="299" spans="1:11" x14ac:dyDescent="0.25">
      <c r="A299" s="11"/>
      <c r="B299" s="11"/>
      <c r="C299" s="11"/>
      <c r="D299" s="11"/>
      <c r="E299" s="11"/>
      <c r="F299" s="11"/>
      <c r="G299" s="11"/>
      <c r="H299" s="8"/>
      <c r="I299" s="8"/>
      <c r="J299" s="8"/>
      <c r="K299" s="8"/>
    </row>
    <row r="300" spans="1:11" x14ac:dyDescent="0.25">
      <c r="A300" s="11"/>
      <c r="B300" s="11"/>
      <c r="C300" s="11"/>
      <c r="D300" s="11"/>
      <c r="E300" s="11"/>
      <c r="F300" s="11"/>
      <c r="G300" s="11"/>
      <c r="H300" s="8"/>
      <c r="I300" s="8"/>
      <c r="J300" s="8"/>
      <c r="K300" s="8"/>
    </row>
    <row r="301" spans="1:11" x14ac:dyDescent="0.25">
      <c r="A301" s="11"/>
      <c r="B301" s="11"/>
      <c r="C301" s="11"/>
      <c r="D301" s="11"/>
      <c r="E301" s="11"/>
      <c r="F301" s="11"/>
      <c r="G301" s="11"/>
      <c r="H301" s="8"/>
      <c r="I301" s="8"/>
      <c r="J301" s="8"/>
      <c r="K301" s="8"/>
    </row>
    <row r="302" spans="1:11" x14ac:dyDescent="0.25">
      <c r="A302" s="11"/>
      <c r="B302" s="11"/>
      <c r="C302" s="11"/>
      <c r="D302" s="11"/>
      <c r="E302" s="11"/>
      <c r="F302" s="11"/>
      <c r="G302" s="11"/>
      <c r="H302" s="8"/>
      <c r="I302" s="8"/>
      <c r="J302" s="8"/>
      <c r="K302" s="8"/>
    </row>
    <row r="303" spans="1:11" x14ac:dyDescent="0.25">
      <c r="A303" s="11"/>
      <c r="B303" s="11"/>
      <c r="C303" s="11"/>
      <c r="D303" s="11"/>
      <c r="E303" s="11"/>
      <c r="F303" s="11"/>
      <c r="G303" s="11"/>
      <c r="H303" s="8"/>
      <c r="I303" s="8"/>
      <c r="J303" s="8"/>
      <c r="K303" s="8"/>
    </row>
    <row r="304" spans="1:11" x14ac:dyDescent="0.25">
      <c r="A304" s="11"/>
      <c r="B304" s="11"/>
      <c r="C304" s="11"/>
      <c r="D304" s="11"/>
      <c r="E304" s="11"/>
      <c r="F304" s="11"/>
      <c r="G304" s="11"/>
      <c r="H304" s="8"/>
      <c r="I304" s="8"/>
      <c r="J304" s="8"/>
      <c r="K304" s="8"/>
    </row>
    <row r="305" spans="1:11" x14ac:dyDescent="0.25">
      <c r="A305" s="11"/>
      <c r="B305" s="11"/>
      <c r="C305" s="11"/>
      <c r="D305" s="11"/>
      <c r="E305" s="11"/>
      <c r="F305" s="11"/>
      <c r="G305" s="11"/>
      <c r="H305" s="8"/>
      <c r="I305" s="8"/>
      <c r="J305" s="8"/>
      <c r="K305" s="8"/>
    </row>
    <row r="306" spans="1:11" x14ac:dyDescent="0.25">
      <c r="A306" s="11"/>
      <c r="B306" s="11"/>
      <c r="C306" s="11"/>
      <c r="D306" s="11"/>
      <c r="E306" s="11"/>
      <c r="F306" s="11"/>
      <c r="G306" s="11"/>
      <c r="H306" s="8"/>
      <c r="I306" s="8"/>
      <c r="J306" s="8"/>
      <c r="K306" s="8"/>
    </row>
    <row r="307" spans="1:11" x14ac:dyDescent="0.25">
      <c r="A307" s="11"/>
      <c r="B307" s="11"/>
      <c r="C307" s="11"/>
      <c r="D307" s="11"/>
      <c r="E307" s="11"/>
      <c r="F307" s="11"/>
      <c r="G307" s="11"/>
      <c r="H307" s="8"/>
      <c r="I307" s="8"/>
      <c r="J307" s="8"/>
      <c r="K307" s="8"/>
    </row>
    <row r="308" spans="1:11" x14ac:dyDescent="0.25">
      <c r="A308" s="11"/>
      <c r="B308" s="11"/>
      <c r="C308" s="11"/>
      <c r="D308" s="11"/>
      <c r="E308" s="11"/>
      <c r="F308" s="11"/>
      <c r="G308" s="11"/>
      <c r="H308" s="8"/>
      <c r="I308" s="8"/>
      <c r="J308" s="8"/>
      <c r="K308" s="8"/>
    </row>
    <row r="309" spans="1:11" x14ac:dyDescent="0.25">
      <c r="A309" s="11"/>
      <c r="B309" s="11"/>
      <c r="C309" s="11"/>
      <c r="D309" s="11"/>
      <c r="E309" s="11"/>
      <c r="F309" s="11"/>
      <c r="G309" s="11"/>
      <c r="H309" s="8"/>
      <c r="I309" s="8"/>
      <c r="J309" s="8"/>
      <c r="K309" s="8"/>
    </row>
    <row r="310" spans="1:11" x14ac:dyDescent="0.25">
      <c r="A310" s="11"/>
      <c r="B310" s="11"/>
      <c r="C310" s="11"/>
      <c r="D310" s="11"/>
      <c r="E310" s="11"/>
      <c r="F310" s="11"/>
      <c r="G310" s="11"/>
      <c r="H310" s="8"/>
      <c r="I310" s="8"/>
      <c r="J310" s="8"/>
      <c r="K310" s="8"/>
    </row>
    <row r="311" spans="1:11" x14ac:dyDescent="0.25">
      <c r="A311" s="11"/>
      <c r="B311" s="11"/>
      <c r="C311" s="11"/>
      <c r="D311" s="11"/>
      <c r="E311" s="11"/>
      <c r="F311" s="11"/>
      <c r="G311" s="11"/>
      <c r="H311" s="8"/>
      <c r="I311" s="8"/>
      <c r="J311" s="8"/>
      <c r="K311" s="8"/>
    </row>
    <row r="312" spans="1:11" x14ac:dyDescent="0.25">
      <c r="A312" s="11"/>
      <c r="B312" s="11"/>
      <c r="C312" s="11"/>
      <c r="D312" s="11"/>
      <c r="E312" s="11"/>
      <c r="F312" s="11"/>
      <c r="G312" s="11"/>
      <c r="H312" s="8"/>
      <c r="I312" s="8"/>
      <c r="J312" s="8"/>
      <c r="K312" s="8"/>
    </row>
    <row r="313" spans="1:11" x14ac:dyDescent="0.25">
      <c r="A313" s="11"/>
      <c r="B313" s="11"/>
      <c r="C313" s="11"/>
      <c r="D313" s="11"/>
      <c r="E313" s="11"/>
      <c r="F313" s="11"/>
      <c r="G313" s="11"/>
      <c r="H313" s="8"/>
      <c r="I313" s="8"/>
      <c r="J313" s="8"/>
      <c r="K313" s="8"/>
    </row>
    <row r="314" spans="1:11" x14ac:dyDescent="0.25">
      <c r="A314" s="11"/>
      <c r="B314" s="11"/>
      <c r="C314" s="11"/>
      <c r="D314" s="11"/>
      <c r="E314" s="11"/>
      <c r="F314" s="11"/>
      <c r="G314" s="11"/>
      <c r="H314" s="8"/>
      <c r="I314" s="8"/>
      <c r="J314" s="8"/>
      <c r="K314" s="8"/>
    </row>
    <row r="315" spans="1:11" x14ac:dyDescent="0.25">
      <c r="A315" s="11"/>
      <c r="B315" s="11"/>
      <c r="C315" s="11"/>
      <c r="D315" s="11"/>
      <c r="E315" s="11"/>
      <c r="F315" s="11"/>
      <c r="G315" s="11"/>
      <c r="H315" s="8"/>
      <c r="I315" s="8"/>
      <c r="J315" s="8"/>
      <c r="K315" s="8"/>
    </row>
    <row r="316" spans="1:11" x14ac:dyDescent="0.25">
      <c r="A316" s="11"/>
      <c r="B316" s="11"/>
      <c r="C316" s="11"/>
      <c r="D316" s="11"/>
      <c r="E316" s="11"/>
      <c r="F316" s="11"/>
      <c r="G316" s="11"/>
      <c r="H316" s="8"/>
      <c r="I316" s="8"/>
      <c r="J316" s="8"/>
      <c r="K316" s="8"/>
    </row>
    <row r="317" spans="1:11" x14ac:dyDescent="0.25">
      <c r="A317" s="11"/>
      <c r="B317" s="11"/>
      <c r="C317" s="11"/>
      <c r="D317" s="11"/>
      <c r="E317" s="11"/>
      <c r="F317" s="11"/>
      <c r="G317" s="11"/>
      <c r="H317" s="8"/>
      <c r="I317" s="8"/>
      <c r="J317" s="8"/>
      <c r="K317" s="8"/>
    </row>
    <row r="318" spans="1:11" x14ac:dyDescent="0.25">
      <c r="A318" s="11"/>
      <c r="B318" s="11"/>
      <c r="C318" s="11"/>
      <c r="D318" s="11"/>
      <c r="E318" s="11"/>
      <c r="F318" s="11"/>
      <c r="G318" s="11"/>
      <c r="H318" s="8"/>
      <c r="I318" s="8"/>
      <c r="J318" s="8"/>
      <c r="K318" s="8"/>
    </row>
    <row r="319" spans="1:11" x14ac:dyDescent="0.25">
      <c r="A319" s="11"/>
      <c r="B319" s="11"/>
      <c r="C319" s="11"/>
      <c r="D319" s="11"/>
      <c r="E319" s="11"/>
      <c r="F319" s="11"/>
      <c r="G319" s="11"/>
      <c r="H319" s="8"/>
      <c r="I319" s="8"/>
      <c r="J319" s="8"/>
      <c r="K319" s="8"/>
    </row>
    <row r="320" spans="1:11" x14ac:dyDescent="0.25">
      <c r="A320" s="11"/>
      <c r="B320" s="11"/>
      <c r="C320" s="11"/>
      <c r="D320" s="11"/>
      <c r="E320" s="11"/>
      <c r="F320" s="11"/>
      <c r="G320" s="11"/>
      <c r="H320" s="8"/>
      <c r="I320" s="8"/>
      <c r="J320" s="8"/>
      <c r="K320" s="8"/>
    </row>
    <row r="321" spans="1:11" x14ac:dyDescent="0.25">
      <c r="A321" s="11"/>
      <c r="B321" s="11"/>
      <c r="C321" s="11"/>
      <c r="D321" s="11"/>
      <c r="E321" s="11"/>
      <c r="F321" s="11"/>
      <c r="G321" s="11"/>
      <c r="H321" s="8"/>
      <c r="I321" s="8"/>
      <c r="J321" s="8"/>
      <c r="K321" s="8"/>
    </row>
    <row r="322" spans="1:11" x14ac:dyDescent="0.25">
      <c r="A322" s="11"/>
      <c r="B322" s="11"/>
      <c r="C322" s="11"/>
      <c r="D322" s="11"/>
      <c r="E322" s="11"/>
      <c r="F322" s="11"/>
      <c r="G322" s="11"/>
      <c r="H322" s="8"/>
      <c r="I322" s="8"/>
      <c r="J322" s="8"/>
      <c r="K322" s="8"/>
    </row>
    <row r="323" spans="1:11" x14ac:dyDescent="0.25">
      <c r="A323" s="11"/>
      <c r="B323" s="11"/>
      <c r="C323" s="11"/>
      <c r="D323" s="11"/>
      <c r="E323" s="11"/>
      <c r="F323" s="11"/>
      <c r="G323" s="11"/>
      <c r="H323" s="8"/>
      <c r="I323" s="8"/>
      <c r="J323" s="8"/>
      <c r="K323" s="8"/>
    </row>
    <row r="324" spans="1:11" x14ac:dyDescent="0.25">
      <c r="A324" s="11"/>
      <c r="B324" s="11"/>
      <c r="C324" s="11"/>
      <c r="D324" s="11"/>
      <c r="E324" s="11"/>
      <c r="F324" s="11"/>
      <c r="G324" s="11"/>
      <c r="H324" s="8"/>
      <c r="I324" s="8"/>
      <c r="J324" s="8"/>
      <c r="K324" s="8"/>
    </row>
    <row r="325" spans="1:11" x14ac:dyDescent="0.25">
      <c r="A325" s="11"/>
      <c r="B325" s="11"/>
      <c r="C325" s="11"/>
      <c r="D325" s="11"/>
      <c r="E325" s="11"/>
      <c r="F325" s="11"/>
      <c r="G325" s="11"/>
      <c r="H325" s="8"/>
      <c r="I325" s="8"/>
      <c r="J325" s="8"/>
      <c r="K325" s="8"/>
    </row>
    <row r="326" spans="1:11" x14ac:dyDescent="0.25">
      <c r="A326" s="11"/>
      <c r="B326" s="11"/>
      <c r="C326" s="11"/>
      <c r="D326" s="11"/>
      <c r="E326" s="11"/>
      <c r="F326" s="11"/>
      <c r="G326" s="11"/>
      <c r="H326" s="8"/>
      <c r="I326" s="8"/>
      <c r="J326" s="8"/>
      <c r="K326" s="8"/>
    </row>
    <row r="327" spans="1:11" x14ac:dyDescent="0.25">
      <c r="A327" s="11"/>
      <c r="B327" s="11"/>
      <c r="C327" s="11"/>
      <c r="D327" s="11"/>
      <c r="E327" s="11"/>
      <c r="F327" s="11"/>
      <c r="G327" s="11"/>
      <c r="H327" s="8"/>
      <c r="I327" s="8"/>
      <c r="J327" s="8"/>
      <c r="K327" s="8"/>
    </row>
    <row r="328" spans="1:11" x14ac:dyDescent="0.25">
      <c r="A328" s="11"/>
      <c r="B328" s="11"/>
      <c r="C328" s="11"/>
      <c r="D328" s="11"/>
      <c r="E328" s="11"/>
      <c r="F328" s="11"/>
      <c r="G328" s="11"/>
      <c r="H328" s="8"/>
      <c r="I328" s="8"/>
      <c r="J328" s="8"/>
      <c r="K328" s="8"/>
    </row>
    <row r="329" spans="1:11" x14ac:dyDescent="0.25">
      <c r="A329" s="11"/>
      <c r="B329" s="11"/>
      <c r="C329" s="11"/>
      <c r="D329" s="11"/>
      <c r="E329" s="11"/>
      <c r="F329" s="11"/>
      <c r="G329" s="11"/>
      <c r="H329" s="8"/>
      <c r="I329" s="8"/>
      <c r="J329" s="8"/>
      <c r="K329" s="8"/>
    </row>
    <row r="330" spans="1:11" x14ac:dyDescent="0.25">
      <c r="A330" s="11"/>
      <c r="B330" s="11"/>
      <c r="C330" s="11"/>
      <c r="D330" s="11"/>
      <c r="E330" s="11"/>
      <c r="F330" s="11"/>
      <c r="G330" s="11"/>
      <c r="H330" s="8"/>
      <c r="I330" s="8"/>
      <c r="J330" s="8"/>
      <c r="K330" s="8"/>
    </row>
    <row r="331" spans="1:11" x14ac:dyDescent="0.25">
      <c r="A331" s="11"/>
      <c r="B331" s="11"/>
      <c r="C331" s="11"/>
      <c r="D331" s="11"/>
      <c r="E331" s="11"/>
      <c r="F331" s="11"/>
      <c r="G331" s="11"/>
      <c r="H331" s="8"/>
      <c r="I331" s="8"/>
      <c r="J331" s="8"/>
      <c r="K331" s="8"/>
    </row>
    <row r="332" spans="1:11" x14ac:dyDescent="0.25">
      <c r="A332" s="11"/>
      <c r="B332" s="11"/>
      <c r="C332" s="11"/>
      <c r="D332" s="11"/>
      <c r="E332" s="11"/>
      <c r="F332" s="11"/>
      <c r="G332" s="11"/>
      <c r="H332" s="8"/>
      <c r="I332" s="8"/>
      <c r="J332" s="8"/>
      <c r="K332" s="8"/>
    </row>
    <row r="333" spans="1:11" x14ac:dyDescent="0.25">
      <c r="A333" s="11"/>
      <c r="B333" s="11"/>
      <c r="C333" s="11"/>
      <c r="D333" s="11"/>
      <c r="E333" s="11"/>
      <c r="F333" s="11"/>
      <c r="G333" s="11"/>
      <c r="H333" s="8"/>
      <c r="I333" s="8"/>
      <c r="J333" s="8"/>
      <c r="K333" s="8"/>
    </row>
    <row r="334" spans="1:11" x14ac:dyDescent="0.25">
      <c r="A334" s="11"/>
      <c r="B334" s="11"/>
      <c r="C334" s="11"/>
      <c r="D334" s="11"/>
      <c r="E334" s="11"/>
      <c r="F334" s="11"/>
      <c r="G334" s="11"/>
      <c r="H334" s="8"/>
      <c r="I334" s="8"/>
      <c r="J334" s="8"/>
      <c r="K334" s="8"/>
    </row>
    <row r="335" spans="1:11" x14ac:dyDescent="0.25">
      <c r="A335" s="11"/>
      <c r="B335" s="11"/>
      <c r="C335" s="11"/>
      <c r="D335" s="11"/>
      <c r="E335" s="11"/>
      <c r="F335" s="11"/>
      <c r="G335" s="11"/>
      <c r="H335" s="8"/>
      <c r="I335" s="8"/>
      <c r="J335" s="8"/>
      <c r="K335" s="8"/>
    </row>
    <row r="336" spans="1:11" x14ac:dyDescent="0.25">
      <c r="A336" s="11"/>
      <c r="B336" s="11"/>
      <c r="C336" s="11"/>
      <c r="D336" s="11"/>
      <c r="E336" s="11"/>
      <c r="F336" s="11"/>
      <c r="G336" s="11"/>
      <c r="H336" s="8"/>
      <c r="I336" s="8"/>
      <c r="J336" s="8"/>
      <c r="K336" s="8"/>
    </row>
    <row r="337" spans="1:11" x14ac:dyDescent="0.25">
      <c r="A337" s="11"/>
      <c r="B337" s="11"/>
      <c r="C337" s="11"/>
      <c r="D337" s="11"/>
      <c r="E337" s="11"/>
      <c r="F337" s="11"/>
      <c r="G337" s="11"/>
      <c r="H337" s="8"/>
      <c r="I337" s="8"/>
      <c r="J337" s="8"/>
      <c r="K337" s="8"/>
    </row>
    <row r="338" spans="1:11" x14ac:dyDescent="0.25">
      <c r="A338" s="11"/>
      <c r="B338" s="11"/>
      <c r="C338" s="11"/>
      <c r="D338" s="11"/>
      <c r="E338" s="11"/>
      <c r="F338" s="11"/>
      <c r="G338" s="11"/>
      <c r="H338" s="8"/>
      <c r="I338" s="8"/>
      <c r="J338" s="8"/>
      <c r="K338" s="8"/>
    </row>
    <row r="339" spans="1:11" x14ac:dyDescent="0.25">
      <c r="A339" s="11"/>
      <c r="B339" s="11"/>
      <c r="C339" s="11"/>
      <c r="D339" s="11"/>
      <c r="E339" s="11"/>
      <c r="F339" s="11"/>
      <c r="G339" s="11"/>
      <c r="H339" s="8"/>
      <c r="I339" s="8"/>
      <c r="J339" s="8"/>
      <c r="K339" s="8"/>
    </row>
    <row r="340" spans="1:11" x14ac:dyDescent="0.25">
      <c r="A340" s="11"/>
      <c r="B340" s="11"/>
      <c r="C340" s="11"/>
      <c r="D340" s="11"/>
      <c r="E340" s="11"/>
      <c r="F340" s="11"/>
      <c r="G340" s="11"/>
      <c r="H340" s="8"/>
      <c r="I340" s="8"/>
      <c r="J340" s="8"/>
      <c r="K340" s="8"/>
    </row>
    <row r="341" spans="1:11" x14ac:dyDescent="0.25">
      <c r="A341" s="11"/>
      <c r="B341" s="11"/>
      <c r="C341" s="11"/>
      <c r="D341" s="11"/>
      <c r="E341" s="11"/>
      <c r="F341" s="11"/>
      <c r="G341" s="11"/>
      <c r="H341" s="8"/>
      <c r="I341" s="8"/>
      <c r="J341" s="8"/>
      <c r="K341" s="8"/>
    </row>
    <row r="342" spans="1:11" x14ac:dyDescent="0.25">
      <c r="A342" s="11"/>
      <c r="B342" s="11"/>
      <c r="C342" s="11"/>
      <c r="D342" s="11"/>
      <c r="E342" s="11"/>
      <c r="F342" s="11"/>
      <c r="G342" s="11"/>
      <c r="H342" s="8"/>
      <c r="I342" s="8"/>
      <c r="J342" s="8"/>
      <c r="K342" s="8"/>
    </row>
    <row r="343" spans="1:11" x14ac:dyDescent="0.25">
      <c r="A343" s="11"/>
      <c r="B343" s="11"/>
      <c r="C343" s="11"/>
      <c r="D343" s="11"/>
      <c r="E343" s="11"/>
      <c r="F343" s="11"/>
      <c r="G343" s="11"/>
      <c r="H343" s="8"/>
      <c r="I343" s="8"/>
      <c r="J343" s="8"/>
      <c r="K343" s="8"/>
    </row>
    <row r="344" spans="1:11" x14ac:dyDescent="0.25">
      <c r="A344" s="11"/>
      <c r="B344" s="11"/>
      <c r="C344" s="11"/>
      <c r="D344" s="11"/>
      <c r="E344" s="11"/>
      <c r="F344" s="11"/>
      <c r="G344" s="11"/>
      <c r="H344" s="8"/>
      <c r="I344" s="8"/>
      <c r="J344" s="8"/>
      <c r="K344" s="8"/>
    </row>
    <row r="345" spans="1:11" x14ac:dyDescent="0.25">
      <c r="A345" s="11"/>
      <c r="B345" s="11"/>
      <c r="C345" s="11"/>
      <c r="D345" s="11"/>
      <c r="E345" s="11"/>
      <c r="F345" s="11"/>
      <c r="G345" s="11"/>
      <c r="H345" s="8"/>
      <c r="I345" s="8"/>
      <c r="J345" s="8"/>
      <c r="K345" s="8"/>
    </row>
    <row r="346" spans="1:11" x14ac:dyDescent="0.25">
      <c r="A346" s="11"/>
      <c r="B346" s="11"/>
      <c r="C346" s="11"/>
      <c r="D346" s="11"/>
      <c r="E346" s="11"/>
      <c r="F346" s="11"/>
      <c r="G346" s="11"/>
      <c r="H346" s="8"/>
      <c r="I346" s="8"/>
      <c r="J346" s="8"/>
      <c r="K346" s="8"/>
    </row>
    <row r="347" spans="1:11" x14ac:dyDescent="0.25">
      <c r="A347" s="11"/>
      <c r="B347" s="11"/>
      <c r="C347" s="11"/>
      <c r="D347" s="11"/>
      <c r="E347" s="11"/>
      <c r="F347" s="11"/>
      <c r="G347" s="11"/>
      <c r="H347" s="8"/>
      <c r="I347" s="8"/>
      <c r="J347" s="8"/>
      <c r="K347" s="8"/>
    </row>
    <row r="348" spans="1:11" x14ac:dyDescent="0.25">
      <c r="A348" s="11"/>
      <c r="B348" s="11"/>
      <c r="C348" s="11"/>
      <c r="D348" s="11"/>
      <c r="E348" s="11"/>
      <c r="F348" s="11"/>
      <c r="G348" s="11"/>
      <c r="H348" s="8"/>
      <c r="I348" s="8"/>
      <c r="J348" s="8"/>
      <c r="K348" s="8"/>
    </row>
    <row r="349" spans="1:11" x14ac:dyDescent="0.25">
      <c r="A349" s="11"/>
      <c r="B349" s="11"/>
      <c r="C349" s="11"/>
      <c r="D349" s="11"/>
      <c r="E349" s="11"/>
      <c r="F349" s="11"/>
      <c r="G349" s="11"/>
      <c r="H349" s="8"/>
      <c r="I349" s="8"/>
      <c r="J349" s="8"/>
      <c r="K349" s="8"/>
    </row>
    <row r="350" spans="1:11" x14ac:dyDescent="0.25">
      <c r="A350" s="11"/>
      <c r="B350" s="11"/>
      <c r="C350" s="11"/>
      <c r="D350" s="11"/>
      <c r="E350" s="11"/>
      <c r="F350" s="11"/>
      <c r="G350" s="11"/>
      <c r="H350" s="8"/>
      <c r="I350" s="8"/>
      <c r="J350" s="8"/>
      <c r="K350" s="8"/>
    </row>
    <row r="351" spans="1:11" x14ac:dyDescent="0.25">
      <c r="A351" s="11"/>
      <c r="B351" s="11"/>
      <c r="C351" s="11"/>
      <c r="D351" s="11"/>
      <c r="E351" s="11"/>
      <c r="F351" s="11"/>
      <c r="G351" s="11"/>
      <c r="H351" s="8"/>
      <c r="I351" s="8"/>
      <c r="J351" s="8"/>
      <c r="K351" s="8"/>
    </row>
    <row r="352" spans="1:11" x14ac:dyDescent="0.25">
      <c r="A352" s="11"/>
      <c r="B352" s="11"/>
      <c r="C352" s="11"/>
      <c r="D352" s="11"/>
      <c r="E352" s="11"/>
      <c r="F352" s="11"/>
      <c r="G352" s="11"/>
      <c r="H352" s="8"/>
      <c r="I352" s="8"/>
      <c r="J352" s="8"/>
      <c r="K352" s="8"/>
    </row>
    <row r="353" spans="1:11" x14ac:dyDescent="0.25">
      <c r="A353" s="11"/>
      <c r="B353" s="11"/>
      <c r="C353" s="11"/>
      <c r="D353" s="11"/>
      <c r="E353" s="11"/>
      <c r="F353" s="11"/>
      <c r="G353" s="11"/>
      <c r="H353" s="8"/>
      <c r="I353" s="8"/>
      <c r="J353" s="8"/>
      <c r="K353" s="8"/>
    </row>
    <row r="354" spans="1:11" x14ac:dyDescent="0.25">
      <c r="A354" s="11"/>
      <c r="B354" s="11"/>
      <c r="C354" s="11"/>
      <c r="D354" s="11"/>
      <c r="E354" s="11"/>
      <c r="F354" s="11"/>
      <c r="G354" s="11"/>
      <c r="H354" s="8"/>
      <c r="I354" s="8"/>
      <c r="J354" s="8"/>
      <c r="K354" s="8"/>
    </row>
    <row r="355" spans="1:11" x14ac:dyDescent="0.25">
      <c r="A355" s="11"/>
      <c r="B355" s="11"/>
      <c r="C355" s="11"/>
      <c r="D355" s="11"/>
      <c r="E355" s="11"/>
      <c r="F355" s="11"/>
      <c r="G355" s="11"/>
      <c r="H355" s="8"/>
      <c r="I355" s="8"/>
      <c r="J355" s="8"/>
      <c r="K355" s="8"/>
    </row>
    <row r="356" spans="1:11" x14ac:dyDescent="0.25">
      <c r="A356" s="11"/>
      <c r="B356" s="11"/>
      <c r="C356" s="11"/>
      <c r="D356" s="11"/>
      <c r="E356" s="11"/>
      <c r="F356" s="11"/>
      <c r="G356" s="11"/>
      <c r="H356" s="8"/>
      <c r="I356" s="8"/>
      <c r="J356" s="8"/>
      <c r="K356" s="8"/>
    </row>
    <row r="357" spans="1:11" x14ac:dyDescent="0.25">
      <c r="A357" s="11"/>
      <c r="B357" s="11"/>
      <c r="C357" s="11"/>
      <c r="D357" s="11"/>
      <c r="E357" s="11"/>
      <c r="F357" s="11"/>
      <c r="G357" s="11"/>
      <c r="H357" s="8"/>
      <c r="I357" s="8"/>
      <c r="J357" s="8"/>
      <c r="K357" s="8"/>
    </row>
    <row r="358" spans="1:11" x14ac:dyDescent="0.25">
      <c r="A358" s="11"/>
      <c r="B358" s="11"/>
      <c r="C358" s="11"/>
      <c r="D358" s="11"/>
      <c r="E358" s="11"/>
      <c r="F358" s="11"/>
      <c r="G358" s="11"/>
      <c r="H358" s="8"/>
      <c r="I358" s="8"/>
      <c r="J358" s="8"/>
      <c r="K358" s="8"/>
    </row>
    <row r="359" spans="1:11" x14ac:dyDescent="0.25">
      <c r="A359" s="11"/>
      <c r="B359" s="11"/>
      <c r="C359" s="11"/>
      <c r="D359" s="11"/>
      <c r="E359" s="11"/>
      <c r="F359" s="11"/>
      <c r="G359" s="11"/>
      <c r="H359" s="8"/>
      <c r="I359" s="8"/>
      <c r="J359" s="8"/>
      <c r="K359" s="8"/>
    </row>
    <row r="360" spans="1:11" x14ac:dyDescent="0.25">
      <c r="A360" s="11"/>
      <c r="B360" s="11"/>
      <c r="C360" s="11"/>
      <c r="D360" s="11"/>
      <c r="E360" s="11"/>
      <c r="F360" s="11"/>
      <c r="G360" s="11"/>
      <c r="H360" s="8"/>
      <c r="I360" s="8"/>
      <c r="J360" s="8"/>
      <c r="K360" s="8"/>
    </row>
    <row r="361" spans="1:11" x14ac:dyDescent="0.25">
      <c r="A361" s="11"/>
      <c r="B361" s="11"/>
      <c r="C361" s="11"/>
      <c r="D361" s="11"/>
      <c r="E361" s="11"/>
      <c r="F361" s="11"/>
      <c r="G361" s="11"/>
      <c r="H361" s="8"/>
      <c r="I361" s="8"/>
      <c r="J361" s="8"/>
      <c r="K361" s="8"/>
    </row>
    <row r="362" spans="1:11" x14ac:dyDescent="0.25">
      <c r="A362" s="11"/>
      <c r="B362" s="11"/>
      <c r="C362" s="11"/>
      <c r="D362" s="11"/>
      <c r="E362" s="11"/>
      <c r="F362" s="11"/>
      <c r="G362" s="11"/>
      <c r="H362" s="8"/>
      <c r="I362" s="8"/>
      <c r="J362" s="8"/>
      <c r="K362" s="8"/>
    </row>
    <row r="363" spans="1:11" x14ac:dyDescent="0.25">
      <c r="A363" s="11"/>
      <c r="B363" s="11"/>
      <c r="C363" s="11"/>
      <c r="D363" s="11"/>
      <c r="E363" s="11"/>
      <c r="F363" s="11"/>
      <c r="G363" s="11"/>
      <c r="H363" s="8"/>
      <c r="I363" s="8"/>
      <c r="J363" s="8"/>
      <c r="K363" s="8"/>
    </row>
    <row r="364" spans="1:11" x14ac:dyDescent="0.25">
      <c r="A364" s="11"/>
      <c r="B364" s="11"/>
      <c r="C364" s="11"/>
      <c r="D364" s="11"/>
      <c r="E364" s="11"/>
      <c r="F364" s="11"/>
      <c r="G364" s="11"/>
      <c r="H364" s="8"/>
      <c r="I364" s="8"/>
      <c r="J364" s="8"/>
      <c r="K364" s="8"/>
    </row>
    <row r="365" spans="1:11" x14ac:dyDescent="0.25">
      <c r="A365" s="11"/>
      <c r="B365" s="11"/>
      <c r="C365" s="11"/>
      <c r="D365" s="11"/>
      <c r="E365" s="11"/>
      <c r="F365" s="11"/>
      <c r="G365" s="11"/>
      <c r="H365" s="8"/>
      <c r="I365" s="8"/>
      <c r="J365" s="8"/>
      <c r="K365" s="8"/>
    </row>
    <row r="366" spans="1:11" x14ac:dyDescent="0.25">
      <c r="A366" s="11"/>
      <c r="B366" s="11"/>
      <c r="C366" s="11"/>
      <c r="D366" s="11"/>
      <c r="E366" s="11"/>
      <c r="F366" s="11"/>
      <c r="G366" s="11"/>
      <c r="H366" s="8"/>
      <c r="I366" s="8"/>
      <c r="J366" s="8"/>
      <c r="K366" s="8"/>
    </row>
    <row r="367" spans="1:11" x14ac:dyDescent="0.25">
      <c r="A367" s="11"/>
      <c r="B367" s="11"/>
      <c r="C367" s="11"/>
      <c r="D367" s="11"/>
      <c r="E367" s="11"/>
      <c r="F367" s="11"/>
      <c r="G367" s="11"/>
      <c r="H367" s="8"/>
      <c r="I367" s="8"/>
      <c r="J367" s="8"/>
      <c r="K367" s="8"/>
    </row>
    <row r="368" spans="1:11" x14ac:dyDescent="0.25">
      <c r="A368" s="11"/>
      <c r="B368" s="11"/>
      <c r="C368" s="11"/>
      <c r="D368" s="11"/>
      <c r="E368" s="11"/>
      <c r="F368" s="11"/>
      <c r="G368" s="11"/>
      <c r="H368" s="8"/>
      <c r="I368" s="8"/>
      <c r="J368" s="8"/>
      <c r="K368" s="8"/>
    </row>
    <row r="369" spans="1:11" x14ac:dyDescent="0.25">
      <c r="A369" s="11"/>
      <c r="B369" s="11"/>
      <c r="C369" s="11"/>
      <c r="D369" s="11"/>
      <c r="E369" s="11"/>
      <c r="F369" s="11"/>
      <c r="G369" s="11"/>
      <c r="H369" s="8"/>
      <c r="I369" s="8"/>
      <c r="J369" s="8"/>
      <c r="K369" s="8"/>
    </row>
    <row r="370" spans="1:11" x14ac:dyDescent="0.25">
      <c r="A370" s="11"/>
      <c r="B370" s="11"/>
      <c r="C370" s="11"/>
      <c r="D370" s="11"/>
      <c r="E370" s="11"/>
      <c r="F370" s="11"/>
      <c r="G370" s="11"/>
      <c r="H370" s="8"/>
      <c r="I370" s="8"/>
      <c r="J370" s="8"/>
      <c r="K370" s="8"/>
    </row>
    <row r="371" spans="1:11" x14ac:dyDescent="0.25">
      <c r="A371" s="11"/>
      <c r="B371" s="11"/>
      <c r="C371" s="11"/>
      <c r="D371" s="11"/>
      <c r="E371" s="11"/>
      <c r="F371" s="11"/>
      <c r="G371" s="11"/>
      <c r="H371" s="8"/>
      <c r="I371" s="8"/>
      <c r="J371" s="8"/>
      <c r="K371" s="8"/>
    </row>
    <row r="372" spans="1:11" x14ac:dyDescent="0.25">
      <c r="A372" s="11"/>
      <c r="B372" s="11"/>
      <c r="C372" s="11"/>
      <c r="D372" s="11"/>
      <c r="E372" s="11"/>
      <c r="F372" s="11"/>
      <c r="G372" s="11"/>
      <c r="H372" s="8"/>
      <c r="I372" s="8"/>
      <c r="J372" s="8"/>
      <c r="K372" s="8"/>
    </row>
    <row r="373" spans="1:11" x14ac:dyDescent="0.25">
      <c r="A373" s="11"/>
      <c r="B373" s="11"/>
      <c r="C373" s="11"/>
      <c r="D373" s="11"/>
      <c r="E373" s="11"/>
      <c r="F373" s="11"/>
      <c r="G373" s="11"/>
      <c r="H373" s="8"/>
      <c r="I373" s="8"/>
      <c r="J373" s="8"/>
      <c r="K373" s="8"/>
    </row>
    <row r="374" spans="1:11" x14ac:dyDescent="0.25">
      <c r="A374" s="11"/>
      <c r="B374" s="11"/>
      <c r="C374" s="11"/>
      <c r="D374" s="11"/>
      <c r="E374" s="11"/>
      <c r="F374" s="11"/>
      <c r="G374" s="11"/>
      <c r="H374" s="8"/>
      <c r="I374" s="8"/>
      <c r="J374" s="8"/>
      <c r="K374" s="8"/>
    </row>
    <row r="375" spans="1:11" x14ac:dyDescent="0.25">
      <c r="A375" s="11"/>
      <c r="B375" s="11"/>
      <c r="C375" s="11"/>
      <c r="D375" s="11"/>
      <c r="E375" s="11"/>
      <c r="F375" s="11"/>
      <c r="G375" s="11"/>
      <c r="H375" s="8"/>
      <c r="I375" s="8"/>
      <c r="J375" s="8"/>
      <c r="K375" s="8"/>
    </row>
    <row r="376" spans="1:11" x14ac:dyDescent="0.25">
      <c r="A376" s="11"/>
      <c r="B376" s="11"/>
      <c r="C376" s="11"/>
      <c r="D376" s="11"/>
      <c r="E376" s="11"/>
      <c r="F376" s="11"/>
      <c r="G376" s="11"/>
      <c r="H376" s="8"/>
      <c r="I376" s="8"/>
      <c r="J376" s="8"/>
      <c r="K376" s="8"/>
    </row>
    <row r="377" spans="1:11" x14ac:dyDescent="0.25">
      <c r="A377" s="11"/>
      <c r="B377" s="11"/>
      <c r="C377" s="11"/>
      <c r="D377" s="11"/>
      <c r="E377" s="11"/>
      <c r="F377" s="11"/>
      <c r="G377" s="11"/>
      <c r="H377" s="8"/>
      <c r="I377" s="8"/>
      <c r="J377" s="8"/>
      <c r="K377" s="8"/>
    </row>
    <row r="378" spans="1:11" x14ac:dyDescent="0.25">
      <c r="A378" s="11"/>
      <c r="B378" s="11"/>
      <c r="C378" s="11"/>
      <c r="D378" s="11"/>
      <c r="E378" s="11"/>
      <c r="F378" s="11"/>
      <c r="G378" s="11"/>
      <c r="H378" s="8"/>
      <c r="I378" s="8"/>
      <c r="J378" s="8"/>
      <c r="K378" s="8"/>
    </row>
    <row r="379" spans="1:11" x14ac:dyDescent="0.25">
      <c r="A379" s="11"/>
      <c r="B379" s="11"/>
      <c r="C379" s="11"/>
      <c r="D379" s="11"/>
      <c r="E379" s="11"/>
      <c r="F379" s="11"/>
      <c r="G379" s="11"/>
      <c r="H379" s="8"/>
      <c r="I379" s="8"/>
      <c r="J379" s="8"/>
      <c r="K379" s="8"/>
    </row>
    <row r="380" spans="1:11" x14ac:dyDescent="0.25">
      <c r="A380" s="11"/>
      <c r="B380" s="11"/>
      <c r="C380" s="11"/>
      <c r="D380" s="11"/>
      <c r="E380" s="11"/>
      <c r="F380" s="11"/>
      <c r="G380" s="11"/>
      <c r="H380" s="8"/>
      <c r="I380" s="8"/>
      <c r="J380" s="8"/>
      <c r="K380" s="8"/>
    </row>
    <row r="381" spans="1:11" x14ac:dyDescent="0.25">
      <c r="A381" s="11"/>
      <c r="B381" s="11"/>
      <c r="C381" s="11"/>
      <c r="D381" s="11"/>
      <c r="E381" s="11"/>
      <c r="F381" s="11"/>
      <c r="G381" s="11"/>
      <c r="H381" s="8"/>
      <c r="I381" s="8"/>
      <c r="J381" s="8"/>
      <c r="K381" s="8"/>
    </row>
    <row r="382" spans="1:11" x14ac:dyDescent="0.25">
      <c r="A382" s="11"/>
      <c r="B382" s="11"/>
      <c r="C382" s="11"/>
      <c r="D382" s="11"/>
      <c r="E382" s="11"/>
      <c r="F382" s="11"/>
      <c r="G382" s="11"/>
      <c r="H382" s="8"/>
      <c r="I382" s="8"/>
      <c r="J382" s="8"/>
      <c r="K382" s="8"/>
    </row>
    <row r="383" spans="1:11" x14ac:dyDescent="0.25">
      <c r="A383" s="11"/>
      <c r="B383" s="11"/>
      <c r="C383" s="11"/>
      <c r="D383" s="11"/>
      <c r="E383" s="11"/>
      <c r="F383" s="11"/>
      <c r="G383" s="11"/>
      <c r="H383" s="8"/>
      <c r="I383" s="8"/>
      <c r="J383" s="8"/>
      <c r="K383" s="8"/>
    </row>
    <row r="384" spans="1:11" x14ac:dyDescent="0.25">
      <c r="A384" s="11"/>
      <c r="B384" s="11"/>
      <c r="C384" s="11"/>
      <c r="D384" s="11"/>
      <c r="E384" s="11"/>
      <c r="F384" s="11"/>
      <c r="G384" s="11"/>
      <c r="H384" s="8"/>
      <c r="I384" s="8"/>
      <c r="J384" s="8"/>
      <c r="K384" s="8"/>
    </row>
    <row r="385" spans="1:11" x14ac:dyDescent="0.25">
      <c r="A385" s="11"/>
      <c r="B385" s="11"/>
      <c r="C385" s="11"/>
      <c r="D385" s="11"/>
      <c r="E385" s="11"/>
      <c r="F385" s="11"/>
      <c r="G385" s="11"/>
      <c r="H385" s="8"/>
      <c r="I385" s="8"/>
      <c r="J385" s="8"/>
      <c r="K385" s="8"/>
    </row>
    <row r="386" spans="1:11" x14ac:dyDescent="0.25">
      <c r="A386" s="11"/>
      <c r="B386" s="11"/>
      <c r="C386" s="11"/>
      <c r="D386" s="11"/>
      <c r="E386" s="11"/>
      <c r="F386" s="11"/>
      <c r="G386" s="11"/>
      <c r="H386" s="8"/>
      <c r="I386" s="8"/>
      <c r="J386" s="8"/>
      <c r="K386" s="8"/>
    </row>
    <row r="387" spans="1:11" x14ac:dyDescent="0.25">
      <c r="A387" s="11"/>
      <c r="B387" s="11"/>
      <c r="C387" s="11"/>
      <c r="D387" s="11"/>
      <c r="E387" s="11"/>
      <c r="F387" s="11"/>
      <c r="G387" s="11"/>
      <c r="H387" s="8"/>
      <c r="I387" s="8"/>
      <c r="J387" s="8"/>
      <c r="K387" s="8"/>
    </row>
    <row r="388" spans="1:11" x14ac:dyDescent="0.25">
      <c r="A388" s="11"/>
      <c r="B388" s="11"/>
      <c r="C388" s="11"/>
      <c r="D388" s="11"/>
      <c r="E388" s="11"/>
      <c r="F388" s="11"/>
      <c r="G388" s="11"/>
      <c r="H388" s="8"/>
      <c r="I388" s="8"/>
      <c r="J388" s="8"/>
      <c r="K388" s="8"/>
    </row>
    <row r="389" spans="1:11" x14ac:dyDescent="0.25">
      <c r="A389" s="11"/>
      <c r="B389" s="11"/>
      <c r="C389" s="11"/>
      <c r="D389" s="11"/>
      <c r="E389" s="11"/>
      <c r="F389" s="11"/>
      <c r="G389" s="11"/>
      <c r="H389" s="8"/>
      <c r="I389" s="8"/>
      <c r="J389" s="8"/>
      <c r="K389" s="8"/>
    </row>
    <row r="390" spans="1:11" x14ac:dyDescent="0.25">
      <c r="A390" s="11"/>
      <c r="B390" s="11"/>
      <c r="C390" s="11"/>
      <c r="D390" s="11"/>
      <c r="E390" s="11"/>
      <c r="F390" s="11"/>
      <c r="G390" s="11"/>
      <c r="H390" s="8"/>
      <c r="I390" s="8"/>
      <c r="J390" s="8"/>
      <c r="K390" s="8"/>
    </row>
    <row r="391" spans="1:11" x14ac:dyDescent="0.25">
      <c r="A391" s="11"/>
      <c r="B391" s="11"/>
      <c r="C391" s="11"/>
      <c r="D391" s="11"/>
      <c r="E391" s="11"/>
      <c r="F391" s="11"/>
      <c r="G391" s="11"/>
      <c r="H391" s="8"/>
      <c r="I391" s="8"/>
      <c r="J391" s="8"/>
      <c r="K391" s="8"/>
    </row>
    <row r="392" spans="1:11" x14ac:dyDescent="0.25">
      <c r="A392" s="11"/>
      <c r="B392" s="11"/>
      <c r="C392" s="11"/>
      <c r="D392" s="11"/>
      <c r="E392" s="11"/>
      <c r="F392" s="11"/>
      <c r="G392" s="11"/>
      <c r="H392" s="8"/>
      <c r="I392" s="8"/>
      <c r="J392" s="8"/>
      <c r="K392" s="8"/>
    </row>
    <row r="393" spans="1:11" x14ac:dyDescent="0.25">
      <c r="A393" s="11"/>
      <c r="B393" s="11"/>
      <c r="C393" s="11"/>
      <c r="D393" s="11"/>
      <c r="E393" s="11"/>
      <c r="F393" s="11"/>
      <c r="G393" s="11"/>
      <c r="H393" s="8"/>
      <c r="I393" s="8"/>
      <c r="J393" s="8"/>
      <c r="K393" s="8"/>
    </row>
    <row r="394" spans="1:11" x14ac:dyDescent="0.25">
      <c r="A394" s="11"/>
      <c r="B394" s="11"/>
      <c r="C394" s="11"/>
      <c r="D394" s="11"/>
      <c r="E394" s="11"/>
      <c r="F394" s="11"/>
      <c r="G394" s="11"/>
      <c r="H394" s="8"/>
      <c r="I394" s="8"/>
      <c r="J394" s="8"/>
      <c r="K394" s="8"/>
    </row>
    <row r="395" spans="1:11" x14ac:dyDescent="0.25">
      <c r="A395" s="11"/>
      <c r="B395" s="11"/>
      <c r="C395" s="11"/>
      <c r="D395" s="11"/>
      <c r="E395" s="11"/>
      <c r="F395" s="11"/>
      <c r="G395" s="11"/>
      <c r="H395" s="8"/>
      <c r="I395" s="8"/>
      <c r="J395" s="8"/>
      <c r="K395" s="8"/>
    </row>
    <row r="396" spans="1:11" x14ac:dyDescent="0.25">
      <c r="A396" s="11"/>
      <c r="B396" s="11"/>
      <c r="C396" s="11"/>
      <c r="D396" s="11"/>
      <c r="E396" s="11"/>
      <c r="F396" s="11"/>
      <c r="G396" s="11"/>
      <c r="H396" s="8"/>
      <c r="I396" s="8"/>
      <c r="J396" s="8"/>
      <c r="K396" s="8"/>
    </row>
    <row r="397" spans="1:11" x14ac:dyDescent="0.25">
      <c r="A397" s="11"/>
      <c r="B397" s="11"/>
      <c r="C397" s="11"/>
      <c r="D397" s="11"/>
      <c r="E397" s="11"/>
      <c r="F397" s="11"/>
      <c r="G397" s="11"/>
      <c r="H397" s="8"/>
      <c r="I397" s="8"/>
      <c r="J397" s="8"/>
      <c r="K397" s="8"/>
    </row>
    <row r="398" spans="1:11" x14ac:dyDescent="0.25">
      <c r="A398" s="11"/>
      <c r="B398" s="11"/>
      <c r="C398" s="11"/>
      <c r="D398" s="11"/>
      <c r="E398" s="11"/>
      <c r="F398" s="11"/>
      <c r="G398" s="11"/>
      <c r="H398" s="8"/>
      <c r="I398" s="8"/>
      <c r="J398" s="8"/>
      <c r="K398" s="8"/>
    </row>
    <row r="399" spans="1:11" x14ac:dyDescent="0.25">
      <c r="A399" s="11"/>
      <c r="B399" s="11"/>
      <c r="C399" s="11"/>
      <c r="D399" s="11"/>
      <c r="E399" s="11"/>
      <c r="F399" s="11"/>
      <c r="G399" s="11"/>
      <c r="H399" s="8"/>
      <c r="I399" s="8"/>
      <c r="J399" s="8"/>
      <c r="K399" s="8"/>
    </row>
    <row r="400" spans="1:11" x14ac:dyDescent="0.25">
      <c r="A400" s="11"/>
      <c r="B400" s="11"/>
      <c r="C400" s="11"/>
      <c r="D400" s="11"/>
      <c r="E400" s="11"/>
      <c r="F400" s="11"/>
      <c r="G400" s="11"/>
      <c r="H400" s="8"/>
      <c r="I400" s="8"/>
      <c r="J400" s="8"/>
      <c r="K400" s="8"/>
    </row>
    <row r="401" spans="1:11" x14ac:dyDescent="0.25">
      <c r="A401" s="11"/>
      <c r="B401" s="11"/>
      <c r="C401" s="11"/>
      <c r="D401" s="11"/>
      <c r="E401" s="11"/>
      <c r="F401" s="11"/>
      <c r="G401" s="11"/>
      <c r="H401" s="8"/>
      <c r="I401" s="8"/>
      <c r="J401" s="8"/>
      <c r="K401" s="8"/>
    </row>
    <row r="402" spans="1:11" x14ac:dyDescent="0.25">
      <c r="A402" s="11"/>
      <c r="B402" s="11"/>
      <c r="C402" s="11"/>
      <c r="D402" s="11"/>
      <c r="E402" s="11"/>
      <c r="F402" s="11"/>
      <c r="G402" s="11"/>
      <c r="H402" s="8"/>
      <c r="I402" s="8"/>
      <c r="J402" s="8"/>
      <c r="K402" s="8"/>
    </row>
    <row r="403" spans="1:11" x14ac:dyDescent="0.25">
      <c r="A403" s="11"/>
      <c r="B403" s="11"/>
      <c r="C403" s="11"/>
      <c r="D403" s="11"/>
      <c r="E403" s="11"/>
      <c r="F403" s="11"/>
      <c r="G403" s="11"/>
      <c r="H403" s="8"/>
      <c r="I403" s="8"/>
      <c r="J403" s="8"/>
      <c r="K403" s="8"/>
    </row>
    <row r="404" spans="1:11" x14ac:dyDescent="0.25">
      <c r="A404" s="11"/>
      <c r="B404" s="11"/>
      <c r="C404" s="11"/>
      <c r="D404" s="11"/>
      <c r="E404" s="11"/>
      <c r="F404" s="11"/>
      <c r="G404" s="11"/>
      <c r="H404" s="8"/>
      <c r="I404" s="8"/>
      <c r="J404" s="8"/>
      <c r="K404" s="8"/>
    </row>
    <row r="405" spans="1:11" x14ac:dyDescent="0.25">
      <c r="A405" s="11"/>
      <c r="B405" s="11"/>
      <c r="C405" s="11"/>
      <c r="D405" s="11"/>
      <c r="E405" s="11"/>
      <c r="F405" s="11"/>
      <c r="G405" s="11"/>
      <c r="H405" s="8"/>
      <c r="I405" s="8"/>
      <c r="J405" s="8"/>
      <c r="K405" s="8"/>
    </row>
    <row r="406" spans="1:11" x14ac:dyDescent="0.25">
      <c r="A406" s="11"/>
      <c r="B406" s="11"/>
      <c r="C406" s="11"/>
      <c r="D406" s="11"/>
      <c r="E406" s="11"/>
      <c r="F406" s="11"/>
      <c r="G406" s="11"/>
      <c r="H406" s="8"/>
      <c r="I406" s="8"/>
      <c r="J406" s="8"/>
      <c r="K406" s="8"/>
    </row>
    <row r="407" spans="1:11" x14ac:dyDescent="0.25">
      <c r="A407" s="11"/>
      <c r="B407" s="11"/>
      <c r="C407" s="11"/>
      <c r="D407" s="11"/>
      <c r="E407" s="11"/>
      <c r="F407" s="11"/>
      <c r="G407" s="11"/>
      <c r="H407" s="8"/>
      <c r="I407" s="8"/>
      <c r="J407" s="8"/>
      <c r="K407" s="8"/>
    </row>
    <row r="408" spans="1:11" x14ac:dyDescent="0.25">
      <c r="A408" s="11"/>
      <c r="B408" s="11"/>
      <c r="C408" s="11"/>
      <c r="D408" s="11"/>
      <c r="E408" s="11"/>
      <c r="F408" s="11"/>
      <c r="G408" s="11"/>
      <c r="H408" s="8"/>
      <c r="I408" s="8"/>
      <c r="J408" s="8"/>
      <c r="K408" s="8"/>
    </row>
    <row r="409" spans="1:11" x14ac:dyDescent="0.25">
      <c r="A409" s="11"/>
      <c r="B409" s="11"/>
      <c r="C409" s="11"/>
      <c r="D409" s="11"/>
      <c r="E409" s="11"/>
      <c r="F409" s="11"/>
      <c r="G409" s="11"/>
      <c r="H409" s="8"/>
      <c r="I409" s="8"/>
      <c r="J409" s="8"/>
      <c r="K409" s="8"/>
    </row>
    <row r="410" spans="1:11" x14ac:dyDescent="0.25">
      <c r="A410" s="11"/>
      <c r="B410" s="11"/>
      <c r="C410" s="11"/>
      <c r="D410" s="11"/>
      <c r="E410" s="11"/>
      <c r="F410" s="11"/>
      <c r="G410" s="11"/>
      <c r="H410" s="8"/>
      <c r="I410" s="8"/>
      <c r="J410" s="8"/>
      <c r="K410" s="8"/>
    </row>
    <row r="411" spans="1:11" x14ac:dyDescent="0.25">
      <c r="A411" s="11"/>
      <c r="B411" s="11"/>
      <c r="C411" s="11"/>
      <c r="D411" s="11"/>
      <c r="E411" s="11"/>
      <c r="F411" s="11"/>
      <c r="G411" s="11"/>
      <c r="H411" s="8"/>
      <c r="I411" s="8"/>
      <c r="J411" s="8"/>
      <c r="K411" s="8"/>
    </row>
    <row r="412" spans="1:11" x14ac:dyDescent="0.25">
      <c r="A412" s="11"/>
      <c r="B412" s="11"/>
      <c r="C412" s="11"/>
      <c r="D412" s="11"/>
      <c r="E412" s="11"/>
      <c r="F412" s="11"/>
      <c r="G412" s="11"/>
      <c r="H412" s="8"/>
      <c r="I412" s="8"/>
      <c r="J412" s="8"/>
      <c r="K412" s="8"/>
    </row>
    <row r="413" spans="1:11" x14ac:dyDescent="0.25">
      <c r="A413" s="11"/>
      <c r="B413" s="11"/>
      <c r="C413" s="11"/>
      <c r="D413" s="11"/>
      <c r="E413" s="11"/>
      <c r="F413" s="11"/>
      <c r="G413" s="11"/>
      <c r="H413" s="8"/>
      <c r="I413" s="8"/>
      <c r="J413" s="8"/>
      <c r="K413" s="8"/>
    </row>
    <row r="414" spans="1:11" x14ac:dyDescent="0.25">
      <c r="A414" s="11"/>
      <c r="B414" s="11"/>
      <c r="C414" s="11"/>
      <c r="D414" s="11"/>
      <c r="E414" s="11"/>
      <c r="F414" s="11"/>
      <c r="G414" s="11"/>
      <c r="H414" s="8"/>
      <c r="I414" s="8"/>
      <c r="J414" s="8"/>
      <c r="K414" s="8"/>
    </row>
    <row r="415" spans="1:11" x14ac:dyDescent="0.25">
      <c r="A415" s="11"/>
      <c r="B415" s="11"/>
      <c r="C415" s="11"/>
      <c r="D415" s="11"/>
      <c r="E415" s="11"/>
      <c r="F415" s="11"/>
      <c r="G415" s="11"/>
      <c r="H415" s="8"/>
      <c r="I415" s="8"/>
      <c r="J415" s="8"/>
      <c r="K415" s="8"/>
    </row>
    <row r="416" spans="1:11" x14ac:dyDescent="0.25">
      <c r="A416" s="11"/>
      <c r="B416" s="11"/>
      <c r="C416" s="11"/>
      <c r="D416" s="11"/>
      <c r="E416" s="11"/>
      <c r="F416" s="11"/>
      <c r="G416" s="11"/>
      <c r="H416" s="8"/>
      <c r="I416" s="8"/>
      <c r="J416" s="8"/>
      <c r="K416" s="8"/>
    </row>
    <row r="417" spans="1:11" x14ac:dyDescent="0.25">
      <c r="A417" s="11"/>
      <c r="B417" s="11"/>
      <c r="C417" s="11"/>
      <c r="D417" s="11"/>
      <c r="E417" s="11"/>
      <c r="F417" s="11"/>
      <c r="G417" s="11"/>
      <c r="H417" s="8"/>
      <c r="I417" s="8"/>
      <c r="J417" s="8"/>
      <c r="K417" s="8"/>
    </row>
    <row r="418" spans="1:11" x14ac:dyDescent="0.25">
      <c r="A418" s="11"/>
      <c r="B418" s="11"/>
      <c r="C418" s="11"/>
      <c r="D418" s="11"/>
      <c r="E418" s="11"/>
      <c r="F418" s="11"/>
      <c r="G418" s="11"/>
      <c r="H418" s="8"/>
      <c r="I418" s="8"/>
      <c r="J418" s="8"/>
      <c r="K418" s="8"/>
    </row>
    <row r="419" spans="1:11" x14ac:dyDescent="0.25">
      <c r="A419" s="11"/>
      <c r="B419" s="11"/>
      <c r="C419" s="11"/>
      <c r="D419" s="11"/>
      <c r="E419" s="11"/>
      <c r="F419" s="11"/>
      <c r="G419" s="11"/>
      <c r="H419" s="8"/>
      <c r="I419" s="8"/>
      <c r="J419" s="8"/>
      <c r="K419" s="8"/>
    </row>
    <row r="420" spans="1:11" x14ac:dyDescent="0.25">
      <c r="A420" s="11"/>
      <c r="B420" s="11"/>
      <c r="C420" s="11"/>
      <c r="D420" s="11"/>
      <c r="E420" s="11"/>
      <c r="F420" s="11"/>
      <c r="G420" s="11"/>
      <c r="H420" s="8"/>
      <c r="I420" s="8"/>
      <c r="J420" s="8"/>
      <c r="K420" s="8"/>
    </row>
    <row r="421" spans="1:11" x14ac:dyDescent="0.25">
      <c r="A421" s="11"/>
      <c r="B421" s="11"/>
      <c r="C421" s="11"/>
      <c r="D421" s="11"/>
      <c r="E421" s="11"/>
      <c r="F421" s="11"/>
      <c r="G421" s="11"/>
      <c r="H421" s="8"/>
      <c r="I421" s="8"/>
      <c r="J421" s="8"/>
      <c r="K421" s="8"/>
    </row>
    <row r="422" spans="1:11" x14ac:dyDescent="0.25">
      <c r="A422" s="11"/>
      <c r="B422" s="11"/>
      <c r="C422" s="11"/>
      <c r="D422" s="11"/>
      <c r="E422" s="11"/>
      <c r="F422" s="11"/>
      <c r="G422" s="11"/>
      <c r="H422" s="8"/>
      <c r="I422" s="8"/>
      <c r="J422" s="8"/>
      <c r="K422" s="8"/>
    </row>
    <row r="423" spans="1:11" x14ac:dyDescent="0.25">
      <c r="A423" s="11"/>
      <c r="B423" s="11"/>
      <c r="C423" s="11"/>
      <c r="D423" s="11"/>
      <c r="E423" s="11"/>
      <c r="F423" s="11"/>
      <c r="G423" s="11"/>
      <c r="H423" s="8"/>
      <c r="I423" s="8"/>
      <c r="J423" s="8"/>
      <c r="K423" s="8"/>
    </row>
    <row r="424" spans="1:11" x14ac:dyDescent="0.25">
      <c r="A424" s="11"/>
      <c r="B424" s="11"/>
      <c r="C424" s="11"/>
      <c r="D424" s="11"/>
      <c r="E424" s="11"/>
      <c r="F424" s="11"/>
      <c r="G424" s="11"/>
      <c r="H424" s="8"/>
      <c r="I424" s="8"/>
      <c r="J424" s="8"/>
      <c r="K424" s="8"/>
    </row>
    <row r="425" spans="1:11" x14ac:dyDescent="0.25">
      <c r="A425" s="11"/>
      <c r="B425" s="11"/>
      <c r="C425" s="11"/>
      <c r="D425" s="11"/>
      <c r="E425" s="11"/>
      <c r="F425" s="11"/>
      <c r="G425" s="11"/>
      <c r="H425" s="8"/>
      <c r="I425" s="8"/>
      <c r="J425" s="8"/>
      <c r="K425" s="8"/>
    </row>
    <row r="426" spans="1:11" x14ac:dyDescent="0.25">
      <c r="A426" s="11"/>
      <c r="B426" s="11"/>
      <c r="C426" s="11"/>
      <c r="D426" s="11"/>
      <c r="E426" s="11"/>
      <c r="F426" s="11"/>
      <c r="G426" s="11"/>
      <c r="H426" s="8"/>
      <c r="I426" s="8"/>
      <c r="J426" s="8"/>
      <c r="K426" s="8"/>
    </row>
    <row r="427" spans="1:11" x14ac:dyDescent="0.25">
      <c r="A427" s="11"/>
      <c r="B427" s="11"/>
      <c r="C427" s="11"/>
      <c r="D427" s="11"/>
      <c r="E427" s="11"/>
      <c r="F427" s="11"/>
      <c r="G427" s="11"/>
      <c r="H427" s="8"/>
      <c r="I427" s="8"/>
      <c r="J427" s="8"/>
      <c r="K427" s="8"/>
    </row>
    <row r="428" spans="1:11" x14ac:dyDescent="0.25">
      <c r="A428" s="11"/>
      <c r="B428" s="11"/>
      <c r="C428" s="11"/>
      <c r="D428" s="11"/>
      <c r="E428" s="11"/>
      <c r="F428" s="11"/>
      <c r="G428" s="11"/>
      <c r="H428" s="8"/>
      <c r="I428" s="8"/>
      <c r="J428" s="8"/>
      <c r="K428" s="8"/>
    </row>
    <row r="429" spans="1:11" x14ac:dyDescent="0.25">
      <c r="A429" s="11"/>
      <c r="B429" s="11"/>
      <c r="C429" s="11"/>
      <c r="D429" s="11"/>
      <c r="E429" s="11"/>
      <c r="F429" s="11"/>
      <c r="G429" s="11"/>
      <c r="H429" s="8"/>
      <c r="I429" s="8"/>
      <c r="J429" s="8"/>
      <c r="K429" s="8"/>
    </row>
    <row r="430" spans="1:11" x14ac:dyDescent="0.25">
      <c r="A430" s="11"/>
      <c r="B430" s="11"/>
      <c r="C430" s="11"/>
      <c r="D430" s="11"/>
      <c r="E430" s="11"/>
      <c r="F430" s="11"/>
      <c r="G430" s="11"/>
      <c r="H430" s="8"/>
      <c r="I430" s="8"/>
      <c r="J430" s="8"/>
      <c r="K430" s="8"/>
    </row>
    <row r="431" spans="1:11" x14ac:dyDescent="0.25">
      <c r="A431" s="11"/>
      <c r="B431" s="11"/>
      <c r="C431" s="11"/>
      <c r="D431" s="11"/>
      <c r="E431" s="11"/>
      <c r="F431" s="11"/>
      <c r="G431" s="11"/>
      <c r="H431" s="8"/>
      <c r="I431" s="8"/>
      <c r="J431" s="8"/>
      <c r="K431" s="8"/>
    </row>
    <row r="432" spans="1:11" x14ac:dyDescent="0.25">
      <c r="A432" s="11"/>
      <c r="B432" s="11"/>
      <c r="C432" s="11"/>
      <c r="D432" s="11"/>
      <c r="E432" s="11"/>
      <c r="F432" s="11"/>
      <c r="G432" s="11"/>
      <c r="H432" s="8"/>
      <c r="I432" s="8"/>
      <c r="J432" s="8"/>
      <c r="K432" s="8"/>
    </row>
    <row r="433" spans="1:11" x14ac:dyDescent="0.25">
      <c r="A433" s="11"/>
      <c r="B433" s="11"/>
      <c r="C433" s="11"/>
      <c r="D433" s="11"/>
      <c r="E433" s="11"/>
      <c r="F433" s="11"/>
      <c r="G433" s="11"/>
      <c r="H433" s="8"/>
      <c r="I433" s="8"/>
      <c r="J433" s="8"/>
      <c r="K433" s="8"/>
    </row>
    <row r="434" spans="1:11" x14ac:dyDescent="0.25">
      <c r="A434" s="11"/>
      <c r="B434" s="11"/>
      <c r="C434" s="11"/>
      <c r="D434" s="11"/>
      <c r="E434" s="11"/>
      <c r="F434" s="11"/>
      <c r="G434" s="11"/>
      <c r="H434" s="8"/>
      <c r="I434" s="8"/>
      <c r="J434" s="8"/>
      <c r="K434" s="8"/>
    </row>
    <row r="435" spans="1:11" x14ac:dyDescent="0.25">
      <c r="A435" s="11"/>
      <c r="B435" s="11"/>
      <c r="C435" s="11"/>
      <c r="D435" s="11"/>
      <c r="E435" s="11"/>
      <c r="F435" s="11"/>
      <c r="G435" s="11"/>
      <c r="H435" s="8"/>
      <c r="I435" s="8"/>
      <c r="J435" s="8"/>
      <c r="K435" s="8"/>
    </row>
    <row r="436" spans="1:11" x14ac:dyDescent="0.25">
      <c r="A436" s="11"/>
      <c r="B436" s="11"/>
      <c r="C436" s="11"/>
      <c r="D436" s="11"/>
      <c r="E436" s="11"/>
      <c r="F436" s="11"/>
      <c r="G436" s="11"/>
      <c r="H436" s="8"/>
      <c r="I436" s="8"/>
      <c r="J436" s="8"/>
      <c r="K436" s="8"/>
    </row>
    <row r="437" spans="1:11" x14ac:dyDescent="0.25">
      <c r="A437" s="11"/>
      <c r="B437" s="11"/>
      <c r="C437" s="11"/>
      <c r="D437" s="11"/>
      <c r="E437" s="11"/>
      <c r="F437" s="11"/>
      <c r="G437" s="11"/>
      <c r="H437" s="8"/>
      <c r="I437" s="8"/>
      <c r="J437" s="8"/>
      <c r="K437" s="8"/>
    </row>
    <row r="438" spans="1:11" x14ac:dyDescent="0.25">
      <c r="A438" s="11"/>
      <c r="B438" s="11"/>
      <c r="C438" s="11"/>
      <c r="D438" s="11"/>
      <c r="E438" s="11"/>
      <c r="F438" s="11"/>
      <c r="G438" s="11"/>
      <c r="H438" s="8"/>
      <c r="I438" s="8"/>
      <c r="J438" s="8"/>
      <c r="K438" s="8"/>
    </row>
    <row r="439" spans="1:11" x14ac:dyDescent="0.25">
      <c r="A439" s="11"/>
      <c r="B439" s="11"/>
      <c r="C439" s="11"/>
      <c r="D439" s="11"/>
      <c r="E439" s="11"/>
      <c r="F439" s="11"/>
      <c r="G439" s="11"/>
      <c r="H439" s="8"/>
      <c r="I439" s="8"/>
      <c r="J439" s="8"/>
      <c r="K439" s="8"/>
    </row>
    <row r="440" spans="1:11" x14ac:dyDescent="0.25">
      <c r="A440" s="11"/>
      <c r="B440" s="11"/>
      <c r="C440" s="11"/>
      <c r="D440" s="11"/>
      <c r="E440" s="11"/>
      <c r="F440" s="11"/>
      <c r="G440" s="11"/>
      <c r="H440" s="8"/>
      <c r="I440" s="8"/>
      <c r="J440" s="8"/>
      <c r="K440" s="8"/>
    </row>
    <row r="441" spans="1:11" x14ac:dyDescent="0.25">
      <c r="A441" s="11"/>
      <c r="B441" s="11"/>
      <c r="C441" s="11"/>
      <c r="D441" s="11"/>
      <c r="E441" s="11"/>
      <c r="F441" s="11"/>
      <c r="G441" s="11"/>
      <c r="H441" s="8"/>
      <c r="I441" s="8"/>
      <c r="J441" s="8"/>
      <c r="K441" s="8"/>
    </row>
    <row r="442" spans="1:11" x14ac:dyDescent="0.25">
      <c r="A442" s="11"/>
      <c r="B442" s="11"/>
      <c r="C442" s="11"/>
      <c r="D442" s="11"/>
      <c r="E442" s="11"/>
      <c r="F442" s="11"/>
      <c r="G442" s="11"/>
      <c r="H442" s="8"/>
      <c r="I442" s="8"/>
      <c r="J442" s="8"/>
      <c r="K442" s="8"/>
    </row>
    <row r="443" spans="1:11" x14ac:dyDescent="0.25">
      <c r="A443" s="11"/>
      <c r="B443" s="11"/>
      <c r="C443" s="11"/>
      <c r="D443" s="11"/>
      <c r="E443" s="11"/>
      <c r="F443" s="11"/>
      <c r="G443" s="11"/>
      <c r="H443" s="8"/>
      <c r="I443" s="8"/>
      <c r="J443" s="8"/>
      <c r="K443" s="8"/>
    </row>
    <row r="444" spans="1:11" x14ac:dyDescent="0.25">
      <c r="A444" s="11"/>
      <c r="B444" s="11"/>
      <c r="C444" s="11"/>
      <c r="D444" s="11"/>
      <c r="E444" s="11"/>
      <c r="F444" s="11"/>
      <c r="G444" s="11"/>
      <c r="H444" s="8"/>
      <c r="I444" s="8"/>
      <c r="J444" s="8"/>
      <c r="K444" s="8"/>
    </row>
    <row r="445" spans="1:11" x14ac:dyDescent="0.25">
      <c r="A445" s="11"/>
      <c r="B445" s="11"/>
      <c r="C445" s="11"/>
      <c r="D445" s="11"/>
      <c r="E445" s="11"/>
      <c r="F445" s="11"/>
      <c r="G445" s="11"/>
      <c r="H445" s="8"/>
      <c r="I445" s="8"/>
      <c r="J445" s="8"/>
      <c r="K445" s="8"/>
    </row>
    <row r="446" spans="1:11" x14ac:dyDescent="0.25">
      <c r="A446" s="11"/>
      <c r="B446" s="11"/>
      <c r="C446" s="11"/>
      <c r="D446" s="11"/>
      <c r="E446" s="11"/>
      <c r="F446" s="11"/>
      <c r="G446" s="11"/>
      <c r="H446" s="8"/>
      <c r="I446" s="8"/>
      <c r="J446" s="8"/>
      <c r="K446" s="8"/>
    </row>
    <row r="447" spans="1:11" x14ac:dyDescent="0.25">
      <c r="A447" s="11"/>
      <c r="B447" s="11"/>
      <c r="C447" s="11"/>
      <c r="D447" s="11"/>
      <c r="E447" s="11"/>
      <c r="F447" s="11"/>
      <c r="G447" s="11"/>
      <c r="H447" s="8"/>
      <c r="I447" s="8"/>
      <c r="J447" s="8"/>
      <c r="K447" s="8"/>
    </row>
    <row r="448" spans="1:11" x14ac:dyDescent="0.25">
      <c r="A448" s="11"/>
      <c r="B448" s="11"/>
      <c r="C448" s="11"/>
      <c r="D448" s="11"/>
      <c r="E448" s="11"/>
      <c r="F448" s="11"/>
      <c r="G448" s="11"/>
      <c r="H448" s="8"/>
      <c r="I448" s="8"/>
      <c r="J448" s="8"/>
      <c r="K448" s="8"/>
    </row>
    <row r="449" spans="1:11" x14ac:dyDescent="0.25">
      <c r="A449" s="11"/>
      <c r="B449" s="11"/>
      <c r="C449" s="11"/>
      <c r="D449" s="11"/>
      <c r="E449" s="11"/>
      <c r="F449" s="11"/>
      <c r="G449" s="11"/>
      <c r="H449" s="8"/>
      <c r="I449" s="8"/>
      <c r="J449" s="8"/>
      <c r="K449" s="8"/>
    </row>
    <row r="450" spans="1:11" x14ac:dyDescent="0.25">
      <c r="A450" s="11"/>
      <c r="B450" s="11"/>
      <c r="C450" s="11"/>
      <c r="D450" s="11"/>
      <c r="E450" s="11"/>
      <c r="F450" s="11"/>
      <c r="G450" s="11"/>
      <c r="H450" s="8"/>
      <c r="I450" s="8"/>
      <c r="J450" s="8"/>
      <c r="K450" s="8"/>
    </row>
    <row r="451" spans="1:11" x14ac:dyDescent="0.25">
      <c r="A451" s="11"/>
      <c r="B451" s="11"/>
      <c r="C451" s="11"/>
      <c r="D451" s="11"/>
      <c r="E451" s="11"/>
      <c r="F451" s="11"/>
      <c r="G451" s="11"/>
      <c r="H451" s="8"/>
      <c r="I451" s="8"/>
      <c r="J451" s="8"/>
      <c r="K451" s="8"/>
    </row>
    <row r="452" spans="1:11" x14ac:dyDescent="0.25">
      <c r="A452" s="11"/>
      <c r="B452" s="11"/>
      <c r="C452" s="11"/>
      <c r="D452" s="11"/>
      <c r="E452" s="11"/>
      <c r="F452" s="11"/>
      <c r="G452" s="11"/>
      <c r="H452" s="8"/>
      <c r="I452" s="8"/>
      <c r="J452" s="8"/>
      <c r="K452" s="8"/>
    </row>
    <row r="453" spans="1:11" x14ac:dyDescent="0.25">
      <c r="A453" s="11"/>
      <c r="B453" s="11"/>
      <c r="C453" s="11"/>
      <c r="D453" s="11"/>
      <c r="E453" s="11"/>
      <c r="F453" s="11"/>
      <c r="G453" s="11"/>
      <c r="H453" s="8"/>
      <c r="I453" s="8"/>
      <c r="J453" s="8"/>
      <c r="K453" s="8"/>
    </row>
    <row r="454" spans="1:11" x14ac:dyDescent="0.25">
      <c r="A454" s="11"/>
      <c r="B454" s="11"/>
      <c r="C454" s="11"/>
      <c r="D454" s="11"/>
      <c r="E454" s="11"/>
      <c r="F454" s="11"/>
      <c r="G454" s="11"/>
      <c r="H454" s="8"/>
      <c r="I454" s="8"/>
      <c r="J454" s="8"/>
      <c r="K454" s="8"/>
    </row>
    <row r="455" spans="1:11" x14ac:dyDescent="0.25">
      <c r="A455" s="11"/>
      <c r="B455" s="11"/>
      <c r="C455" s="11"/>
      <c r="D455" s="11"/>
      <c r="E455" s="11"/>
      <c r="F455" s="11"/>
      <c r="G455" s="11"/>
      <c r="H455" s="8"/>
      <c r="I455" s="8"/>
      <c r="J455" s="8"/>
      <c r="K455" s="8"/>
    </row>
    <row r="456" spans="1:11" x14ac:dyDescent="0.25">
      <c r="A456" s="11"/>
      <c r="B456" s="11"/>
      <c r="C456" s="11"/>
      <c r="D456" s="11"/>
      <c r="E456" s="11"/>
      <c r="F456" s="11"/>
      <c r="G456" s="11"/>
      <c r="H456" s="8"/>
      <c r="I456" s="8"/>
      <c r="J456" s="8"/>
      <c r="K456" s="8"/>
    </row>
    <row r="457" spans="1:11" x14ac:dyDescent="0.25">
      <c r="A457" s="11"/>
      <c r="B457" s="11"/>
      <c r="C457" s="11"/>
      <c r="D457" s="11"/>
      <c r="E457" s="11"/>
      <c r="F457" s="11"/>
      <c r="G457" s="11"/>
      <c r="H457" s="8"/>
      <c r="I457" s="8"/>
      <c r="J457" s="8"/>
      <c r="K457" s="8"/>
    </row>
    <row r="458" spans="1:11" x14ac:dyDescent="0.25">
      <c r="A458" s="11"/>
      <c r="B458" s="11"/>
      <c r="C458" s="11"/>
      <c r="D458" s="11"/>
      <c r="E458" s="11"/>
      <c r="F458" s="11"/>
      <c r="G458" s="11"/>
      <c r="H458" s="8"/>
      <c r="I458" s="8"/>
      <c r="J458" s="8"/>
      <c r="K458" s="8"/>
    </row>
    <row r="459" spans="1:11" x14ac:dyDescent="0.25">
      <c r="A459" s="11"/>
      <c r="B459" s="11"/>
      <c r="C459" s="11"/>
      <c r="D459" s="11"/>
      <c r="E459" s="11"/>
      <c r="F459" s="11"/>
      <c r="G459" s="11"/>
      <c r="H459" s="8"/>
      <c r="I459" s="8"/>
      <c r="J459" s="8"/>
      <c r="K459" s="8"/>
    </row>
    <row r="460" spans="1:11" x14ac:dyDescent="0.25">
      <c r="A460" s="11"/>
      <c r="B460" s="11"/>
      <c r="C460" s="11"/>
      <c r="D460" s="11"/>
      <c r="E460" s="11"/>
      <c r="F460" s="11"/>
      <c r="G460" s="11"/>
      <c r="H460" s="8"/>
      <c r="I460" s="8"/>
      <c r="J460" s="8"/>
      <c r="K460" s="8"/>
    </row>
    <row r="461" spans="1:11" x14ac:dyDescent="0.25">
      <c r="A461" s="11"/>
      <c r="B461" s="11"/>
      <c r="C461" s="11"/>
      <c r="D461" s="11"/>
      <c r="E461" s="11"/>
      <c r="F461" s="11"/>
      <c r="G461" s="11"/>
      <c r="H461" s="8"/>
      <c r="I461" s="8"/>
      <c r="J461" s="8"/>
      <c r="K461" s="8"/>
    </row>
    <row r="462" spans="1:11" x14ac:dyDescent="0.25">
      <c r="A462" s="11"/>
      <c r="B462" s="11"/>
      <c r="C462" s="11"/>
      <c r="D462" s="11"/>
      <c r="E462" s="11"/>
      <c r="F462" s="11"/>
      <c r="G462" s="11"/>
      <c r="H462" s="8"/>
      <c r="I462" s="8"/>
      <c r="J462" s="8"/>
      <c r="K462" s="8"/>
    </row>
    <row r="463" spans="1:11" x14ac:dyDescent="0.25">
      <c r="A463" s="11"/>
      <c r="B463" s="11"/>
      <c r="C463" s="11"/>
      <c r="D463" s="11"/>
      <c r="E463" s="11"/>
      <c r="F463" s="11"/>
      <c r="G463" s="11"/>
      <c r="H463" s="8"/>
      <c r="I463" s="8"/>
      <c r="J463" s="8"/>
      <c r="K463" s="8"/>
    </row>
    <row r="464" spans="1:11" x14ac:dyDescent="0.25">
      <c r="A464" s="11"/>
      <c r="B464" s="11"/>
      <c r="C464" s="11"/>
      <c r="D464" s="11"/>
      <c r="E464" s="11"/>
      <c r="F464" s="11"/>
      <c r="G464" s="11"/>
      <c r="H464" s="8"/>
      <c r="I464" s="8"/>
      <c r="J464" s="8"/>
      <c r="K464" s="8"/>
    </row>
    <row r="465" spans="1:11" x14ac:dyDescent="0.25">
      <c r="A465" s="11"/>
      <c r="B465" s="11"/>
      <c r="C465" s="11"/>
      <c r="D465" s="11"/>
      <c r="E465" s="11"/>
      <c r="F465" s="11"/>
      <c r="G465" s="11"/>
      <c r="H465" s="8"/>
      <c r="I465" s="8"/>
      <c r="J465" s="8"/>
      <c r="K465" s="8"/>
    </row>
    <row r="466" spans="1:11" x14ac:dyDescent="0.25">
      <c r="A466" s="11"/>
      <c r="B466" s="11"/>
      <c r="C466" s="11"/>
      <c r="D466" s="11"/>
      <c r="E466" s="11"/>
      <c r="F466" s="11"/>
      <c r="G466" s="11"/>
      <c r="H466" s="8"/>
      <c r="I466" s="8"/>
      <c r="J466" s="8"/>
      <c r="K466" s="8"/>
    </row>
    <row r="467" spans="1:11" x14ac:dyDescent="0.25">
      <c r="A467" s="11"/>
      <c r="B467" s="11"/>
      <c r="C467" s="11"/>
      <c r="D467" s="11"/>
      <c r="E467" s="11"/>
      <c r="F467" s="11"/>
      <c r="G467" s="11"/>
      <c r="H467" s="8"/>
      <c r="I467" s="8"/>
      <c r="J467" s="8"/>
      <c r="K467" s="8"/>
    </row>
    <row r="468" spans="1:11" x14ac:dyDescent="0.25">
      <c r="A468" s="11"/>
      <c r="B468" s="11"/>
      <c r="C468" s="11"/>
      <c r="D468" s="11"/>
      <c r="E468" s="11"/>
      <c r="F468" s="11"/>
      <c r="G468" s="11"/>
      <c r="H468" s="8"/>
      <c r="I468" s="8"/>
      <c r="J468" s="8"/>
      <c r="K468" s="8"/>
    </row>
    <row r="469" spans="1:11" x14ac:dyDescent="0.25">
      <c r="A469" s="11"/>
      <c r="B469" s="11"/>
      <c r="C469" s="11"/>
      <c r="D469" s="11"/>
      <c r="E469" s="11"/>
      <c r="F469" s="11"/>
      <c r="G469" s="11"/>
      <c r="H469" s="8"/>
      <c r="I469" s="8"/>
      <c r="J469" s="8"/>
      <c r="K469" s="8"/>
    </row>
    <row r="470" spans="1:11" x14ac:dyDescent="0.25">
      <c r="A470" s="11"/>
      <c r="B470" s="11"/>
      <c r="C470" s="11"/>
      <c r="D470" s="11"/>
      <c r="E470" s="11"/>
      <c r="F470" s="11"/>
      <c r="G470" s="11"/>
      <c r="H470" s="8"/>
      <c r="I470" s="8"/>
      <c r="J470" s="8"/>
      <c r="K470" s="8"/>
    </row>
    <row r="471" spans="1:11" x14ac:dyDescent="0.25">
      <c r="A471" s="11"/>
      <c r="B471" s="11"/>
      <c r="C471" s="11"/>
      <c r="D471" s="11"/>
      <c r="E471" s="11"/>
      <c r="F471" s="11"/>
      <c r="G471" s="11"/>
      <c r="H471" s="8"/>
      <c r="I471" s="8"/>
      <c r="J471" s="8"/>
      <c r="K471" s="8"/>
    </row>
    <row r="472" spans="1:11" x14ac:dyDescent="0.25">
      <c r="A472" s="11"/>
      <c r="B472" s="11"/>
      <c r="C472" s="11"/>
      <c r="D472" s="11"/>
      <c r="E472" s="11"/>
      <c r="F472" s="11"/>
      <c r="G472" s="11"/>
      <c r="H472" s="8"/>
      <c r="I472" s="8"/>
      <c r="J472" s="8"/>
      <c r="K472" s="8"/>
    </row>
    <row r="473" spans="1:11" x14ac:dyDescent="0.25">
      <c r="A473" s="11"/>
      <c r="B473" s="11"/>
      <c r="C473" s="11"/>
      <c r="D473" s="11"/>
      <c r="E473" s="11"/>
      <c r="F473" s="11"/>
      <c r="G473" s="11"/>
      <c r="H473" s="8"/>
      <c r="I473" s="8"/>
      <c r="J473" s="8"/>
      <c r="K473" s="8"/>
    </row>
    <row r="474" spans="1:11" x14ac:dyDescent="0.25">
      <c r="A474" s="11"/>
      <c r="B474" s="11"/>
      <c r="C474" s="11"/>
      <c r="D474" s="11"/>
      <c r="E474" s="11"/>
      <c r="F474" s="11"/>
      <c r="G474" s="11"/>
      <c r="H474" s="8"/>
      <c r="I474" s="8"/>
      <c r="J474" s="8"/>
      <c r="K474" s="8"/>
    </row>
    <row r="475" spans="1:11" x14ac:dyDescent="0.25">
      <c r="A475" s="11"/>
      <c r="B475" s="11"/>
      <c r="C475" s="11"/>
      <c r="D475" s="11"/>
      <c r="E475" s="11"/>
      <c r="F475" s="11"/>
      <c r="G475" s="11"/>
      <c r="H475" s="8"/>
      <c r="I475" s="8"/>
      <c r="J475" s="8"/>
      <c r="K475" s="8"/>
    </row>
    <row r="476" spans="1:11" x14ac:dyDescent="0.25">
      <c r="A476" s="11"/>
      <c r="B476" s="11"/>
      <c r="C476" s="11"/>
      <c r="D476" s="11"/>
      <c r="E476" s="11"/>
      <c r="F476" s="11"/>
      <c r="G476" s="11"/>
      <c r="H476" s="8"/>
      <c r="I476" s="8"/>
      <c r="J476" s="8"/>
      <c r="K476" s="8"/>
    </row>
    <row r="477" spans="1:11" x14ac:dyDescent="0.25">
      <c r="A477" s="11"/>
      <c r="B477" s="11"/>
      <c r="C477" s="11"/>
      <c r="D477" s="11"/>
      <c r="E477" s="11"/>
      <c r="F477" s="11"/>
      <c r="G477" s="11"/>
      <c r="H477" s="8"/>
      <c r="I477" s="8"/>
      <c r="J477" s="8"/>
      <c r="K477" s="8"/>
    </row>
    <row r="478" spans="1:11" x14ac:dyDescent="0.25">
      <c r="A478" s="11"/>
      <c r="B478" s="11"/>
      <c r="C478" s="11"/>
      <c r="D478" s="11"/>
      <c r="E478" s="11"/>
      <c r="F478" s="11"/>
      <c r="G478" s="11"/>
      <c r="H478" s="8"/>
      <c r="I478" s="8"/>
      <c r="J478" s="8"/>
      <c r="K478" s="8"/>
    </row>
    <row r="479" spans="1:11" x14ac:dyDescent="0.25">
      <c r="A479" s="11"/>
      <c r="B479" s="11"/>
      <c r="C479" s="11"/>
      <c r="D479" s="11"/>
      <c r="E479" s="11"/>
      <c r="F479" s="11"/>
      <c r="G479" s="11"/>
      <c r="H479" s="8"/>
      <c r="I479" s="8"/>
      <c r="J479" s="8"/>
      <c r="K479" s="8"/>
    </row>
    <row r="480" spans="1:11" x14ac:dyDescent="0.25">
      <c r="A480" s="11"/>
      <c r="B480" s="11"/>
      <c r="C480" s="11"/>
      <c r="D480" s="11"/>
      <c r="E480" s="11"/>
      <c r="F480" s="11"/>
      <c r="G480" s="11"/>
      <c r="H480" s="8"/>
      <c r="I480" s="8"/>
      <c r="J480" s="8"/>
      <c r="K480" s="8"/>
    </row>
    <row r="481" spans="1:11" x14ac:dyDescent="0.25">
      <c r="A481" s="11"/>
      <c r="B481" s="11"/>
      <c r="C481" s="11"/>
      <c r="D481" s="11"/>
      <c r="E481" s="11"/>
      <c r="F481" s="11"/>
      <c r="G481" s="11"/>
      <c r="H481" s="8"/>
      <c r="I481" s="8"/>
      <c r="J481" s="8"/>
      <c r="K481" s="8"/>
    </row>
    <row r="482" spans="1:11" x14ac:dyDescent="0.25">
      <c r="A482" s="11"/>
      <c r="B482" s="11"/>
      <c r="C482" s="11"/>
      <c r="D482" s="11"/>
      <c r="E482" s="11"/>
      <c r="F482" s="11"/>
      <c r="G482" s="11"/>
      <c r="H482" s="8"/>
      <c r="I482" s="8"/>
      <c r="J482" s="8"/>
      <c r="K482" s="8"/>
    </row>
    <row r="483" spans="1:11" x14ac:dyDescent="0.25">
      <c r="A483" s="11"/>
      <c r="B483" s="11"/>
      <c r="C483" s="11"/>
      <c r="D483" s="11"/>
      <c r="E483" s="11"/>
      <c r="F483" s="11"/>
      <c r="G483" s="11"/>
      <c r="H483" s="8"/>
      <c r="I483" s="8"/>
      <c r="J483" s="8"/>
      <c r="K483" s="8"/>
    </row>
    <row r="484" spans="1:11" x14ac:dyDescent="0.25">
      <c r="A484" s="11"/>
      <c r="B484" s="11"/>
      <c r="C484" s="11"/>
      <c r="D484" s="11"/>
      <c r="E484" s="11"/>
      <c r="F484" s="11"/>
      <c r="G484" s="11"/>
      <c r="H484" s="8"/>
      <c r="I484" s="8"/>
      <c r="J484" s="8"/>
      <c r="K484" s="8"/>
    </row>
    <row r="485" spans="1:11" x14ac:dyDescent="0.25">
      <c r="A485" s="11"/>
      <c r="B485" s="11"/>
      <c r="C485" s="11"/>
      <c r="D485" s="11"/>
      <c r="E485" s="11"/>
      <c r="F485" s="11"/>
      <c r="G485" s="11"/>
      <c r="H485" s="8"/>
      <c r="I485" s="8"/>
      <c r="J485" s="8"/>
      <c r="K485" s="8"/>
    </row>
    <row r="486" spans="1:11" x14ac:dyDescent="0.25">
      <c r="A486" s="11"/>
      <c r="B486" s="11"/>
      <c r="C486" s="11"/>
      <c r="D486" s="11"/>
      <c r="E486" s="11"/>
      <c r="F486" s="11"/>
      <c r="G486" s="11"/>
      <c r="H486" s="8"/>
      <c r="I486" s="8"/>
      <c r="J486" s="8"/>
      <c r="K486" s="8"/>
    </row>
    <row r="487" spans="1:11" x14ac:dyDescent="0.25">
      <c r="A487" s="11"/>
      <c r="B487" s="11"/>
      <c r="C487" s="11"/>
      <c r="D487" s="11"/>
      <c r="E487" s="11"/>
      <c r="F487" s="11"/>
      <c r="G487" s="11"/>
      <c r="H487" s="8"/>
      <c r="I487" s="8"/>
      <c r="J487" s="8"/>
      <c r="K487" s="8"/>
    </row>
    <row r="488" spans="1:11" x14ac:dyDescent="0.25">
      <c r="A488" s="11"/>
      <c r="B488" s="11"/>
      <c r="C488" s="11"/>
      <c r="D488" s="11"/>
      <c r="E488" s="11"/>
      <c r="F488" s="11"/>
      <c r="G488" s="11"/>
      <c r="H488" s="8"/>
      <c r="I488" s="8"/>
      <c r="J488" s="8"/>
      <c r="K488" s="8"/>
    </row>
    <row r="489" spans="1:11" x14ac:dyDescent="0.25">
      <c r="A489" s="11"/>
      <c r="B489" s="11"/>
      <c r="C489" s="11"/>
      <c r="D489" s="11"/>
      <c r="E489" s="11"/>
      <c r="F489" s="11"/>
      <c r="G489" s="11"/>
      <c r="H489" s="8"/>
      <c r="I489" s="8"/>
      <c r="J489" s="8"/>
      <c r="K489" s="8"/>
    </row>
    <row r="490" spans="1:11" x14ac:dyDescent="0.25">
      <c r="A490" s="11"/>
      <c r="B490" s="11"/>
      <c r="C490" s="11"/>
      <c r="D490" s="11"/>
      <c r="E490" s="11"/>
      <c r="F490" s="11"/>
      <c r="G490" s="11"/>
      <c r="H490" s="8"/>
      <c r="I490" s="8"/>
      <c r="J490" s="8"/>
      <c r="K490" s="8"/>
    </row>
    <row r="491" spans="1:11" x14ac:dyDescent="0.25">
      <c r="A491" s="11"/>
      <c r="B491" s="11"/>
      <c r="C491" s="11"/>
      <c r="D491" s="11"/>
      <c r="E491" s="11"/>
      <c r="F491" s="11"/>
      <c r="G491" s="11"/>
      <c r="H491" s="8"/>
      <c r="I491" s="8"/>
      <c r="J491" s="8"/>
      <c r="K491" s="8"/>
    </row>
    <row r="492" spans="1:11" x14ac:dyDescent="0.25">
      <c r="A492" s="11"/>
      <c r="B492" s="11"/>
      <c r="C492" s="11"/>
      <c r="D492" s="11"/>
      <c r="E492" s="11"/>
      <c r="F492" s="11"/>
      <c r="G492" s="11"/>
      <c r="H492" s="8"/>
      <c r="I492" s="8"/>
      <c r="J492" s="8"/>
      <c r="K492" s="8"/>
    </row>
    <row r="493" spans="1:11" x14ac:dyDescent="0.25">
      <c r="A493" s="11"/>
      <c r="B493" s="11"/>
      <c r="C493" s="11"/>
      <c r="D493" s="11"/>
      <c r="E493" s="11"/>
      <c r="F493" s="11"/>
      <c r="G493" s="11"/>
      <c r="H493" s="8"/>
      <c r="I493" s="8"/>
      <c r="J493" s="8"/>
      <c r="K493" s="8"/>
    </row>
    <row r="494" spans="1:11" x14ac:dyDescent="0.25">
      <c r="A494" s="11"/>
      <c r="B494" s="11"/>
      <c r="C494" s="11"/>
      <c r="D494" s="11"/>
      <c r="E494" s="11"/>
      <c r="F494" s="11"/>
      <c r="G494" s="11"/>
      <c r="H494" s="8"/>
      <c r="I494" s="8"/>
      <c r="J494" s="8"/>
      <c r="K494" s="8"/>
    </row>
    <row r="495" spans="1:11" x14ac:dyDescent="0.25">
      <c r="A495" s="11"/>
      <c r="B495" s="11"/>
      <c r="C495" s="11"/>
      <c r="D495" s="11"/>
      <c r="E495" s="11"/>
      <c r="F495" s="11"/>
      <c r="G495" s="11"/>
      <c r="H495" s="8"/>
      <c r="I495" s="8"/>
      <c r="J495" s="8"/>
      <c r="K495" s="8"/>
    </row>
    <row r="496" spans="1:11" x14ac:dyDescent="0.25">
      <c r="A496" s="11"/>
      <c r="B496" s="11"/>
      <c r="C496" s="11"/>
      <c r="D496" s="11"/>
      <c r="E496" s="11"/>
      <c r="F496" s="11"/>
      <c r="G496" s="11"/>
      <c r="H496" s="8"/>
      <c r="I496" s="8"/>
      <c r="J496" s="8"/>
      <c r="K496" s="8"/>
    </row>
    <row r="497" spans="1:11" x14ac:dyDescent="0.25">
      <c r="A497" s="11"/>
      <c r="B497" s="11"/>
      <c r="C497" s="11"/>
      <c r="D497" s="11"/>
      <c r="E497" s="11"/>
      <c r="F497" s="11"/>
      <c r="G497" s="11"/>
      <c r="H497" s="8"/>
      <c r="I497" s="8"/>
      <c r="J497" s="8"/>
      <c r="K497" s="8"/>
    </row>
    <row r="498" spans="1:11" x14ac:dyDescent="0.25">
      <c r="A498" s="11"/>
      <c r="B498" s="11"/>
      <c r="C498" s="11"/>
      <c r="D498" s="11"/>
      <c r="E498" s="11"/>
      <c r="F498" s="11"/>
      <c r="G498" s="11"/>
      <c r="H498" s="8"/>
      <c r="I498" s="8"/>
      <c r="J498" s="8"/>
      <c r="K498" s="8"/>
    </row>
    <row r="499" spans="1:11" x14ac:dyDescent="0.25">
      <c r="A499" s="11"/>
      <c r="B499" s="11"/>
      <c r="C499" s="11"/>
      <c r="D499" s="11"/>
      <c r="E499" s="11"/>
      <c r="F499" s="11"/>
      <c r="G499" s="11"/>
      <c r="H499" s="8"/>
      <c r="I499" s="8"/>
      <c r="J499" s="8"/>
      <c r="K499" s="8"/>
    </row>
    <row r="500" spans="1:11" x14ac:dyDescent="0.25">
      <c r="A500" s="11"/>
      <c r="B500" s="11"/>
      <c r="C500" s="11"/>
      <c r="D500" s="11"/>
      <c r="E500" s="11"/>
      <c r="F500" s="11"/>
      <c r="G500" s="11"/>
      <c r="H500" s="8"/>
      <c r="I500" s="8"/>
      <c r="J500" s="8"/>
      <c r="K500" s="8"/>
    </row>
    <row r="501" spans="1:11" x14ac:dyDescent="0.25">
      <c r="A501" s="11"/>
      <c r="B501" s="11"/>
      <c r="C501" s="11"/>
      <c r="D501" s="11"/>
      <c r="E501" s="11"/>
      <c r="F501" s="11"/>
      <c r="G501" s="11"/>
      <c r="H501" s="8"/>
      <c r="I501" s="8"/>
      <c r="J501" s="8"/>
      <c r="K501" s="8"/>
    </row>
    <row r="502" spans="1:11" x14ac:dyDescent="0.25">
      <c r="A502" s="11"/>
      <c r="B502" s="11"/>
      <c r="C502" s="11"/>
      <c r="D502" s="11"/>
      <c r="E502" s="11"/>
      <c r="F502" s="11"/>
      <c r="G502" s="11"/>
      <c r="H502" s="8"/>
      <c r="I502" s="8"/>
      <c r="J502" s="8"/>
      <c r="K502" s="8"/>
    </row>
    <row r="503" spans="1:11" x14ac:dyDescent="0.25">
      <c r="A503" s="11"/>
      <c r="B503" s="11"/>
      <c r="C503" s="11"/>
      <c r="D503" s="11"/>
      <c r="E503" s="11"/>
      <c r="F503" s="11"/>
      <c r="G503" s="11"/>
      <c r="H503" s="8"/>
      <c r="I503" s="8"/>
      <c r="J503" s="8"/>
      <c r="K503" s="8"/>
    </row>
    <row r="504" spans="1:11" x14ac:dyDescent="0.25">
      <c r="A504" s="11"/>
      <c r="B504" s="11"/>
      <c r="C504" s="11"/>
      <c r="D504" s="11"/>
      <c r="E504" s="11"/>
      <c r="F504" s="11"/>
      <c r="G504" s="11"/>
      <c r="H504" s="8"/>
      <c r="I504" s="8"/>
      <c r="J504" s="8"/>
      <c r="K504" s="8"/>
    </row>
    <row r="505" spans="1:11" x14ac:dyDescent="0.25">
      <c r="A505" s="11"/>
      <c r="B505" s="11"/>
      <c r="C505" s="11"/>
      <c r="D505" s="11"/>
      <c r="E505" s="11"/>
      <c r="F505" s="11"/>
      <c r="G505" s="11"/>
      <c r="H505" s="8"/>
      <c r="I505" s="8"/>
      <c r="J505" s="8"/>
      <c r="K505" s="8"/>
    </row>
    <row r="506" spans="1:11" x14ac:dyDescent="0.25">
      <c r="A506" s="11"/>
      <c r="B506" s="11"/>
      <c r="C506" s="11"/>
      <c r="D506" s="11"/>
      <c r="E506" s="11"/>
      <c r="F506" s="11"/>
      <c r="G506" s="11"/>
      <c r="H506" s="8"/>
      <c r="I506" s="8"/>
      <c r="J506" s="8"/>
      <c r="K506" s="8"/>
    </row>
    <row r="507" spans="1:11" x14ac:dyDescent="0.25">
      <c r="A507" s="11"/>
      <c r="B507" s="11"/>
      <c r="C507" s="11"/>
      <c r="D507" s="11"/>
      <c r="E507" s="11"/>
      <c r="F507" s="11"/>
      <c r="G507" s="11"/>
      <c r="H507" s="8"/>
      <c r="I507" s="8"/>
      <c r="J507" s="8"/>
      <c r="K507" s="8"/>
    </row>
    <row r="508" spans="1:11" x14ac:dyDescent="0.25">
      <c r="A508" s="11"/>
      <c r="B508" s="11"/>
      <c r="C508" s="11"/>
      <c r="D508" s="11"/>
      <c r="E508" s="11"/>
      <c r="F508" s="11"/>
      <c r="G508" s="11"/>
      <c r="H508" s="8"/>
      <c r="I508" s="8"/>
      <c r="J508" s="8"/>
      <c r="K508" s="8"/>
    </row>
    <row r="509" spans="1:11" x14ac:dyDescent="0.25">
      <c r="A509" s="11"/>
      <c r="B509" s="11"/>
      <c r="C509" s="11"/>
      <c r="D509" s="11"/>
      <c r="E509" s="11"/>
      <c r="F509" s="11"/>
      <c r="G509" s="11"/>
      <c r="H509" s="8"/>
      <c r="I509" s="8"/>
      <c r="J509" s="8"/>
      <c r="K509" s="8"/>
    </row>
    <row r="510" spans="1:11" x14ac:dyDescent="0.25">
      <c r="A510" s="11"/>
      <c r="B510" s="11"/>
      <c r="C510" s="11"/>
      <c r="D510" s="11"/>
      <c r="E510" s="11"/>
      <c r="F510" s="11"/>
      <c r="G510" s="11"/>
      <c r="H510" s="8"/>
      <c r="I510" s="8"/>
      <c r="J510" s="8"/>
      <c r="K510" s="8"/>
    </row>
    <row r="511" spans="1:11" x14ac:dyDescent="0.25">
      <c r="A511" s="11"/>
      <c r="B511" s="11"/>
      <c r="C511" s="11"/>
      <c r="D511" s="11"/>
      <c r="E511" s="11"/>
      <c r="F511" s="11"/>
      <c r="G511" s="11"/>
      <c r="H511" s="8"/>
      <c r="I511" s="8"/>
      <c r="J511" s="8"/>
      <c r="K511" s="8"/>
    </row>
    <row r="512" spans="1:11" x14ac:dyDescent="0.25">
      <c r="A512" s="11"/>
      <c r="B512" s="11"/>
      <c r="C512" s="11"/>
      <c r="D512" s="11"/>
      <c r="E512" s="11"/>
      <c r="F512" s="11"/>
      <c r="G512" s="11"/>
      <c r="H512" s="8"/>
      <c r="I512" s="8"/>
      <c r="J512" s="8"/>
      <c r="K512" s="8"/>
    </row>
    <row r="513" spans="1:11" x14ac:dyDescent="0.25">
      <c r="A513" s="11"/>
      <c r="B513" s="11"/>
      <c r="C513" s="11"/>
      <c r="D513" s="11"/>
      <c r="E513" s="11"/>
      <c r="F513" s="11"/>
      <c r="G513" s="11"/>
      <c r="H513" s="8"/>
      <c r="I513" s="8"/>
      <c r="J513" s="8"/>
      <c r="K513" s="8"/>
    </row>
    <row r="514" spans="1:11" x14ac:dyDescent="0.25">
      <c r="A514" s="11"/>
      <c r="B514" s="11"/>
      <c r="C514" s="11"/>
      <c r="D514" s="11"/>
      <c r="E514" s="11"/>
      <c r="F514" s="11"/>
      <c r="G514" s="11"/>
      <c r="H514" s="8"/>
      <c r="I514" s="8"/>
      <c r="J514" s="8"/>
      <c r="K514" s="8"/>
    </row>
    <row r="515" spans="1:11" x14ac:dyDescent="0.25">
      <c r="A515" s="11"/>
      <c r="B515" s="11"/>
      <c r="C515" s="11"/>
      <c r="D515" s="11"/>
      <c r="E515" s="11"/>
      <c r="F515" s="11"/>
      <c r="G515" s="11"/>
      <c r="H515" s="8"/>
      <c r="I515" s="8"/>
      <c r="J515" s="8"/>
      <c r="K515" s="8"/>
    </row>
    <row r="516" spans="1:11" x14ac:dyDescent="0.25">
      <c r="A516" s="11"/>
      <c r="B516" s="11"/>
      <c r="C516" s="11"/>
      <c r="D516" s="11"/>
      <c r="E516" s="11"/>
      <c r="F516" s="11"/>
      <c r="G516" s="11"/>
      <c r="H516" s="8"/>
      <c r="I516" s="8"/>
      <c r="J516" s="8"/>
      <c r="K516" s="8"/>
    </row>
    <row r="517" spans="1:11" x14ac:dyDescent="0.25">
      <c r="A517" s="11"/>
      <c r="B517" s="11"/>
      <c r="C517" s="11"/>
      <c r="D517" s="11"/>
      <c r="E517" s="11"/>
      <c r="F517" s="11"/>
      <c r="G517" s="11"/>
      <c r="H517" s="8"/>
      <c r="I517" s="8"/>
      <c r="J517" s="8"/>
      <c r="K517" s="8"/>
    </row>
    <row r="518" spans="1:11" x14ac:dyDescent="0.25">
      <c r="A518" s="11"/>
      <c r="B518" s="11"/>
      <c r="C518" s="11"/>
      <c r="D518" s="11"/>
      <c r="E518" s="11"/>
      <c r="F518" s="11"/>
      <c r="G518" s="11"/>
      <c r="H518" s="8"/>
      <c r="I518" s="8"/>
      <c r="J518" s="8"/>
      <c r="K518" s="8"/>
    </row>
    <row r="519" spans="1:11" x14ac:dyDescent="0.25">
      <c r="A519" s="11"/>
      <c r="B519" s="11"/>
      <c r="C519" s="11"/>
      <c r="D519" s="11"/>
      <c r="E519" s="11"/>
      <c r="F519" s="11"/>
      <c r="G519" s="11"/>
      <c r="H519" s="8"/>
      <c r="I519" s="8"/>
      <c r="J519" s="8"/>
      <c r="K519" s="8"/>
    </row>
    <row r="520" spans="1:11" x14ac:dyDescent="0.25">
      <c r="A520" s="11"/>
      <c r="B520" s="11"/>
      <c r="C520" s="11"/>
      <c r="D520" s="11"/>
      <c r="E520" s="11"/>
      <c r="F520" s="11"/>
      <c r="G520" s="11"/>
      <c r="H520" s="8"/>
      <c r="I520" s="8"/>
      <c r="J520" s="8"/>
      <c r="K520" s="8"/>
    </row>
    <row r="521" spans="1:11" x14ac:dyDescent="0.25">
      <c r="A521" s="11"/>
      <c r="B521" s="11"/>
      <c r="C521" s="11"/>
      <c r="D521" s="11"/>
      <c r="E521" s="11"/>
      <c r="F521" s="11"/>
      <c r="G521" s="11"/>
      <c r="H521" s="8"/>
      <c r="I521" s="8"/>
      <c r="J521" s="8"/>
      <c r="K521" s="8"/>
    </row>
    <row r="522" spans="1:11" x14ac:dyDescent="0.25">
      <c r="A522" s="11"/>
      <c r="B522" s="11"/>
      <c r="C522" s="11"/>
      <c r="D522" s="11"/>
      <c r="E522" s="11"/>
      <c r="F522" s="11"/>
      <c r="G522" s="11"/>
      <c r="H522" s="8"/>
      <c r="I522" s="8"/>
      <c r="J522" s="8"/>
      <c r="K522" s="8"/>
    </row>
    <row r="523" spans="1:11" x14ac:dyDescent="0.25">
      <c r="A523" s="11"/>
      <c r="B523" s="11"/>
      <c r="C523" s="11"/>
      <c r="D523" s="11"/>
      <c r="E523" s="11"/>
      <c r="F523" s="11"/>
      <c r="G523" s="11"/>
      <c r="H523" s="8"/>
      <c r="I523" s="8"/>
      <c r="J523" s="8"/>
      <c r="K523" s="8"/>
    </row>
    <row r="524" spans="1:11" x14ac:dyDescent="0.25">
      <c r="A524" s="11"/>
      <c r="B524" s="11"/>
      <c r="C524" s="11"/>
      <c r="D524" s="11"/>
      <c r="E524" s="11"/>
      <c r="F524" s="11"/>
      <c r="G524" s="11"/>
      <c r="H524" s="8"/>
      <c r="I524" s="8"/>
      <c r="J524" s="8"/>
      <c r="K524" s="8"/>
    </row>
    <row r="525" spans="1:11" x14ac:dyDescent="0.25">
      <c r="A525" s="11"/>
      <c r="B525" s="11"/>
      <c r="C525" s="11"/>
      <c r="D525" s="11"/>
      <c r="E525" s="11"/>
      <c r="F525" s="11"/>
      <c r="G525" s="11"/>
      <c r="H525" s="8"/>
      <c r="I525" s="8"/>
      <c r="J525" s="8"/>
      <c r="K525" s="8"/>
    </row>
    <row r="526" spans="1:11" x14ac:dyDescent="0.25">
      <c r="A526" s="11"/>
      <c r="B526" s="11"/>
      <c r="C526" s="11"/>
      <c r="D526" s="11"/>
      <c r="E526" s="11"/>
      <c r="F526" s="11"/>
      <c r="G526" s="11"/>
      <c r="H526" s="8"/>
      <c r="I526" s="8"/>
      <c r="J526" s="8"/>
      <c r="K526" s="8"/>
    </row>
    <row r="527" spans="1:11" x14ac:dyDescent="0.25">
      <c r="A527" s="11"/>
      <c r="B527" s="11"/>
      <c r="C527" s="11"/>
      <c r="D527" s="11"/>
      <c r="E527" s="11"/>
      <c r="F527" s="11"/>
      <c r="G527" s="11"/>
      <c r="H527" s="8"/>
      <c r="I527" s="8"/>
      <c r="J527" s="8"/>
      <c r="K527" s="8"/>
    </row>
    <row r="528" spans="1:11" x14ac:dyDescent="0.25">
      <c r="A528" s="11"/>
      <c r="B528" s="11"/>
      <c r="C528" s="11"/>
      <c r="D528" s="11"/>
      <c r="E528" s="11"/>
      <c r="F528" s="11"/>
      <c r="G528" s="11"/>
      <c r="H528" s="8"/>
      <c r="I528" s="8"/>
      <c r="J528" s="8"/>
      <c r="K528" s="8"/>
    </row>
    <row r="529" spans="1:11" x14ac:dyDescent="0.25">
      <c r="A529" s="11"/>
      <c r="B529" s="11"/>
      <c r="C529" s="11"/>
      <c r="D529" s="11"/>
      <c r="E529" s="11"/>
      <c r="F529" s="11"/>
      <c r="G529" s="11"/>
      <c r="H529" s="8"/>
      <c r="I529" s="8"/>
      <c r="J529" s="8"/>
      <c r="K529" s="8"/>
    </row>
    <row r="530" spans="1:11" x14ac:dyDescent="0.25">
      <c r="A530" s="11"/>
      <c r="B530" s="11"/>
      <c r="C530" s="11"/>
      <c r="D530" s="11"/>
      <c r="E530" s="11"/>
      <c r="F530" s="11"/>
      <c r="G530" s="11"/>
      <c r="H530" s="8"/>
      <c r="I530" s="8"/>
      <c r="J530" s="8"/>
      <c r="K530" s="8"/>
    </row>
    <row r="531" spans="1:11" x14ac:dyDescent="0.25">
      <c r="A531" s="11"/>
      <c r="B531" s="11"/>
      <c r="C531" s="11"/>
      <c r="D531" s="11"/>
      <c r="E531" s="11"/>
      <c r="F531" s="11"/>
      <c r="G531" s="11"/>
      <c r="H531" s="8"/>
      <c r="I531" s="8"/>
      <c r="J531" s="8"/>
      <c r="K531" s="8"/>
    </row>
    <row r="532" spans="1:11" x14ac:dyDescent="0.25">
      <c r="A532" s="11"/>
      <c r="B532" s="11"/>
      <c r="C532" s="11"/>
      <c r="D532" s="11"/>
      <c r="E532" s="11"/>
      <c r="F532" s="11"/>
      <c r="G532" s="11"/>
      <c r="H532" s="8"/>
      <c r="I532" s="8"/>
      <c r="J532" s="8"/>
      <c r="K532" s="8"/>
    </row>
    <row r="533" spans="1:11" x14ac:dyDescent="0.25">
      <c r="A533" s="11"/>
      <c r="B533" s="11"/>
      <c r="C533" s="11"/>
      <c r="D533" s="11"/>
      <c r="E533" s="11"/>
      <c r="F533" s="11"/>
      <c r="G533" s="11"/>
      <c r="H533" s="8"/>
      <c r="I533" s="8"/>
      <c r="J533" s="8"/>
      <c r="K533" s="8"/>
    </row>
    <row r="534" spans="1:11" x14ac:dyDescent="0.25">
      <c r="A534" s="11"/>
      <c r="B534" s="11"/>
      <c r="C534" s="11"/>
      <c r="D534" s="11"/>
      <c r="E534" s="11"/>
      <c r="F534" s="11"/>
      <c r="G534" s="11"/>
      <c r="H534" s="8"/>
      <c r="I534" s="8"/>
      <c r="J534" s="8"/>
      <c r="K534" s="8"/>
    </row>
    <row r="535" spans="1:11" x14ac:dyDescent="0.25">
      <c r="A535" s="11"/>
      <c r="B535" s="11"/>
      <c r="C535" s="11"/>
      <c r="D535" s="11"/>
      <c r="E535" s="11"/>
      <c r="F535" s="11"/>
      <c r="G535" s="11"/>
      <c r="H535" s="8"/>
      <c r="I535" s="8"/>
      <c r="J535" s="8"/>
      <c r="K535" s="8"/>
    </row>
    <row r="536" spans="1:11" x14ac:dyDescent="0.25">
      <c r="A536" s="11"/>
      <c r="B536" s="11"/>
      <c r="C536" s="11"/>
      <c r="D536" s="11"/>
      <c r="E536" s="11"/>
      <c r="F536" s="11"/>
      <c r="G536" s="11"/>
      <c r="H536" s="8"/>
      <c r="I536" s="8"/>
      <c r="J536" s="8"/>
      <c r="K536" s="8"/>
    </row>
    <row r="537" spans="1:11" x14ac:dyDescent="0.25">
      <c r="A537" s="11"/>
      <c r="B537" s="11"/>
      <c r="C537" s="11"/>
      <c r="D537" s="11"/>
      <c r="E537" s="11"/>
      <c r="F537" s="11"/>
      <c r="G537" s="11"/>
      <c r="H537" s="8"/>
      <c r="I537" s="8"/>
      <c r="J537" s="8"/>
      <c r="K537" s="8"/>
    </row>
    <row r="538" spans="1:11" x14ac:dyDescent="0.25">
      <c r="A538" s="11"/>
      <c r="B538" s="11"/>
      <c r="C538" s="11"/>
      <c r="D538" s="11"/>
      <c r="E538" s="11"/>
      <c r="F538" s="11"/>
      <c r="G538" s="11"/>
      <c r="H538" s="8"/>
      <c r="I538" s="8"/>
      <c r="J538" s="8"/>
      <c r="K538" s="8"/>
    </row>
    <row r="539" spans="1:11" x14ac:dyDescent="0.25">
      <c r="A539" s="11"/>
      <c r="B539" s="11"/>
      <c r="C539" s="11"/>
      <c r="D539" s="11"/>
      <c r="E539" s="11"/>
      <c r="F539" s="11"/>
      <c r="G539" s="11"/>
      <c r="H539" s="8"/>
      <c r="I539" s="8"/>
      <c r="J539" s="8"/>
      <c r="K539" s="8"/>
    </row>
    <row r="540" spans="1:11" x14ac:dyDescent="0.25">
      <c r="A540" s="11"/>
      <c r="B540" s="11"/>
      <c r="C540" s="11"/>
      <c r="D540" s="11"/>
      <c r="E540" s="11"/>
      <c r="F540" s="11"/>
      <c r="G540" s="11"/>
      <c r="H540" s="8"/>
      <c r="I540" s="8"/>
      <c r="J540" s="8"/>
      <c r="K540" s="8"/>
    </row>
    <row r="541" spans="1:11" x14ac:dyDescent="0.25">
      <c r="A541" s="11"/>
      <c r="B541" s="11"/>
      <c r="C541" s="11"/>
      <c r="D541" s="11"/>
      <c r="E541" s="11"/>
      <c r="F541" s="11"/>
      <c r="G541" s="11"/>
      <c r="H541" s="8"/>
      <c r="I541" s="8"/>
      <c r="J541" s="8"/>
      <c r="K541" s="8"/>
    </row>
    <row r="542" spans="1:11" x14ac:dyDescent="0.25">
      <c r="A542" s="11"/>
      <c r="B542" s="11"/>
      <c r="C542" s="11"/>
      <c r="D542" s="11"/>
      <c r="E542" s="11"/>
      <c r="F542" s="11"/>
      <c r="G542" s="11"/>
      <c r="H542" s="8"/>
      <c r="I542" s="8"/>
      <c r="J542" s="8"/>
      <c r="K542" s="8"/>
    </row>
    <row r="543" spans="1:11" x14ac:dyDescent="0.25">
      <c r="A543" s="11"/>
      <c r="B543" s="11"/>
      <c r="C543" s="11"/>
      <c r="D543" s="11"/>
      <c r="E543" s="11"/>
      <c r="F543" s="11"/>
      <c r="G543" s="11"/>
      <c r="H543" s="8"/>
      <c r="I543" s="8"/>
      <c r="J543" s="8"/>
      <c r="K543" s="8"/>
    </row>
    <row r="544" spans="1:11" x14ac:dyDescent="0.25">
      <c r="A544" s="11"/>
      <c r="B544" s="11"/>
      <c r="C544" s="11"/>
      <c r="D544" s="11"/>
      <c r="E544" s="11"/>
      <c r="F544" s="11"/>
      <c r="G544" s="11"/>
      <c r="H544" s="8"/>
      <c r="I544" s="8"/>
      <c r="J544" s="8"/>
      <c r="K544" s="8"/>
    </row>
    <row r="545" spans="1:11" x14ac:dyDescent="0.25">
      <c r="A545" s="11"/>
      <c r="B545" s="11"/>
      <c r="C545" s="11"/>
      <c r="D545" s="11"/>
      <c r="E545" s="11"/>
      <c r="F545" s="11"/>
      <c r="G545" s="11"/>
      <c r="H545" s="8"/>
      <c r="I545" s="8"/>
      <c r="J545" s="8"/>
      <c r="K545" s="8"/>
    </row>
    <row r="546" spans="1:11" x14ac:dyDescent="0.25">
      <c r="A546" s="11"/>
      <c r="B546" s="11"/>
      <c r="C546" s="11"/>
      <c r="D546" s="11"/>
      <c r="E546" s="11"/>
      <c r="F546" s="11"/>
      <c r="G546" s="11"/>
      <c r="H546" s="8"/>
      <c r="I546" s="8"/>
      <c r="J546" s="8"/>
      <c r="K546" s="8"/>
    </row>
    <row r="547" spans="1:11" x14ac:dyDescent="0.25">
      <c r="A547" s="11"/>
      <c r="B547" s="11"/>
      <c r="C547" s="11"/>
      <c r="D547" s="11"/>
      <c r="E547" s="11"/>
      <c r="F547" s="11"/>
      <c r="G547" s="11"/>
      <c r="H547" s="8"/>
      <c r="I547" s="8"/>
      <c r="J547" s="8"/>
      <c r="K547" s="8"/>
    </row>
    <row r="548" spans="1:11" x14ac:dyDescent="0.25">
      <c r="A548" s="11"/>
      <c r="B548" s="11"/>
      <c r="C548" s="11"/>
      <c r="D548" s="11"/>
      <c r="E548" s="11"/>
      <c r="F548" s="11"/>
      <c r="G548" s="11"/>
      <c r="H548" s="8"/>
      <c r="I548" s="8"/>
      <c r="J548" s="8"/>
      <c r="K548" s="8"/>
    </row>
    <row r="549" spans="1:11" x14ac:dyDescent="0.25">
      <c r="A549" s="11"/>
      <c r="B549" s="11"/>
      <c r="C549" s="11"/>
      <c r="D549" s="11"/>
      <c r="E549" s="11"/>
      <c r="F549" s="11"/>
      <c r="G549" s="11"/>
      <c r="H549" s="8"/>
      <c r="I549" s="8"/>
      <c r="J549" s="8"/>
      <c r="K549" s="8"/>
    </row>
    <row r="550" spans="1:11" x14ac:dyDescent="0.25">
      <c r="A550" s="11"/>
      <c r="B550" s="11"/>
      <c r="C550" s="11"/>
      <c r="D550" s="11"/>
      <c r="E550" s="11"/>
      <c r="F550" s="11"/>
      <c r="G550" s="11"/>
      <c r="H550" s="8"/>
      <c r="I550" s="8"/>
      <c r="J550" s="8"/>
      <c r="K550" s="8"/>
    </row>
    <row r="551" spans="1:11" x14ac:dyDescent="0.25">
      <c r="A551" s="11"/>
      <c r="B551" s="11"/>
      <c r="C551" s="11"/>
      <c r="D551" s="11"/>
      <c r="E551" s="11"/>
      <c r="F551" s="11"/>
      <c r="G551" s="11"/>
      <c r="H551" s="8"/>
      <c r="I551" s="8"/>
      <c r="J551" s="8"/>
      <c r="K551" s="8"/>
    </row>
    <row r="552" spans="1:11" x14ac:dyDescent="0.25">
      <c r="A552" s="11"/>
      <c r="B552" s="11"/>
      <c r="C552" s="11"/>
      <c r="D552" s="11"/>
      <c r="E552" s="11"/>
      <c r="F552" s="11"/>
      <c r="G552" s="11"/>
      <c r="H552" s="8"/>
      <c r="I552" s="8"/>
      <c r="J552" s="8"/>
      <c r="K552" s="8"/>
    </row>
    <row r="553" spans="1:11" x14ac:dyDescent="0.25">
      <c r="A553" s="11"/>
      <c r="B553" s="11"/>
      <c r="C553" s="11"/>
      <c r="D553" s="11"/>
      <c r="E553" s="11"/>
      <c r="F553" s="11"/>
      <c r="G553" s="11"/>
      <c r="H553" s="8"/>
      <c r="I553" s="8"/>
      <c r="J553" s="8"/>
      <c r="K553" s="8"/>
    </row>
    <row r="554" spans="1:11" x14ac:dyDescent="0.25">
      <c r="A554" s="11"/>
      <c r="B554" s="11"/>
      <c r="C554" s="11"/>
      <c r="D554" s="11"/>
      <c r="E554" s="11"/>
      <c r="F554" s="11"/>
      <c r="G554" s="11"/>
      <c r="H554" s="8"/>
      <c r="I554" s="8"/>
      <c r="J554" s="8"/>
      <c r="K554" s="8"/>
    </row>
    <row r="555" spans="1:11" x14ac:dyDescent="0.25">
      <c r="A555" s="11"/>
      <c r="B555" s="11"/>
      <c r="C555" s="11"/>
      <c r="D555" s="11"/>
      <c r="E555" s="11"/>
      <c r="F555" s="11"/>
      <c r="G555" s="11"/>
      <c r="H555" s="8"/>
      <c r="I555" s="8"/>
      <c r="J555" s="8"/>
      <c r="K555" s="8"/>
    </row>
    <row r="556" spans="1:11" x14ac:dyDescent="0.25">
      <c r="A556" s="11"/>
      <c r="B556" s="11"/>
      <c r="C556" s="11"/>
      <c r="D556" s="11"/>
      <c r="E556" s="11"/>
      <c r="F556" s="11"/>
      <c r="G556" s="11"/>
      <c r="H556" s="8"/>
      <c r="I556" s="8"/>
      <c r="J556" s="8"/>
      <c r="K556" s="8"/>
    </row>
    <row r="557" spans="1:11" x14ac:dyDescent="0.25">
      <c r="A557" s="11"/>
      <c r="B557" s="11"/>
      <c r="C557" s="11"/>
      <c r="D557" s="11"/>
      <c r="E557" s="11"/>
      <c r="F557" s="11"/>
      <c r="G557" s="11"/>
      <c r="H557" s="8"/>
      <c r="I557" s="8"/>
      <c r="J557" s="8"/>
      <c r="K557" s="8"/>
    </row>
    <row r="558" spans="1:11" x14ac:dyDescent="0.25">
      <c r="A558" s="11"/>
      <c r="B558" s="11"/>
      <c r="C558" s="11"/>
      <c r="D558" s="11"/>
      <c r="E558" s="11"/>
      <c r="F558" s="11"/>
      <c r="G558" s="11"/>
      <c r="H558" s="8"/>
      <c r="I558" s="8"/>
      <c r="J558" s="8"/>
      <c r="K558" s="8"/>
    </row>
    <row r="559" spans="1:11" x14ac:dyDescent="0.25">
      <c r="A559" s="11"/>
      <c r="B559" s="11"/>
      <c r="C559" s="11"/>
      <c r="D559" s="11"/>
      <c r="E559" s="11"/>
      <c r="F559" s="11"/>
      <c r="G559" s="11"/>
      <c r="H559" s="8"/>
      <c r="I559" s="8"/>
      <c r="J559" s="8"/>
      <c r="K559" s="8"/>
    </row>
    <row r="560" spans="1:11" x14ac:dyDescent="0.25">
      <c r="A560" s="11"/>
      <c r="B560" s="11"/>
      <c r="C560" s="11"/>
      <c r="D560" s="11"/>
      <c r="E560" s="11"/>
      <c r="F560" s="11"/>
      <c r="G560" s="11"/>
      <c r="H560" s="8"/>
      <c r="I560" s="8"/>
      <c r="J560" s="8"/>
      <c r="K560" s="8"/>
    </row>
    <row r="561" spans="1:11" x14ac:dyDescent="0.25">
      <c r="A561" s="11"/>
      <c r="B561" s="11"/>
      <c r="C561" s="11"/>
      <c r="D561" s="11"/>
      <c r="E561" s="11"/>
      <c r="F561" s="11"/>
      <c r="G561" s="11"/>
      <c r="H561" s="8"/>
      <c r="I561" s="8"/>
      <c r="J561" s="8"/>
      <c r="K561" s="8"/>
    </row>
    <row r="562" spans="1:11" x14ac:dyDescent="0.25">
      <c r="A562" s="11"/>
      <c r="B562" s="11"/>
      <c r="C562" s="11"/>
      <c r="D562" s="11"/>
      <c r="E562" s="11"/>
      <c r="F562" s="11"/>
      <c r="G562" s="11"/>
      <c r="H562" s="8"/>
      <c r="I562" s="8"/>
      <c r="J562" s="8"/>
      <c r="K562" s="8"/>
    </row>
    <row r="563" spans="1:11" x14ac:dyDescent="0.25">
      <c r="A563" s="11"/>
      <c r="B563" s="11"/>
      <c r="C563" s="11"/>
      <c r="D563" s="11"/>
      <c r="E563" s="11"/>
      <c r="F563" s="11"/>
      <c r="G563" s="11"/>
      <c r="H563" s="8"/>
      <c r="I563" s="8"/>
      <c r="J563" s="8"/>
      <c r="K563" s="8"/>
    </row>
    <row r="564" spans="1:11" x14ac:dyDescent="0.25">
      <c r="A564" s="11"/>
      <c r="B564" s="11"/>
      <c r="C564" s="11"/>
      <c r="D564" s="11"/>
      <c r="E564" s="11"/>
      <c r="F564" s="11"/>
      <c r="G564" s="11"/>
      <c r="H564" s="8"/>
      <c r="I564" s="8"/>
      <c r="J564" s="8"/>
      <c r="K564" s="8"/>
    </row>
    <row r="565" spans="1:11" x14ac:dyDescent="0.25">
      <c r="A565" s="11"/>
      <c r="B565" s="11"/>
      <c r="C565" s="11"/>
      <c r="D565" s="11"/>
      <c r="E565" s="11"/>
      <c r="F565" s="11"/>
      <c r="G565" s="11"/>
      <c r="H565" s="8"/>
      <c r="I565" s="8"/>
      <c r="J565" s="8"/>
      <c r="K565" s="8"/>
    </row>
    <row r="566" spans="1:11" x14ac:dyDescent="0.25">
      <c r="A566" s="11"/>
      <c r="B566" s="11"/>
      <c r="C566" s="11"/>
      <c r="D566" s="11"/>
      <c r="E566" s="11"/>
      <c r="F566" s="11"/>
      <c r="G566" s="11"/>
      <c r="H566" s="8"/>
      <c r="I566" s="8"/>
      <c r="J566" s="8"/>
      <c r="K566" s="8"/>
    </row>
    <row r="567" spans="1:11" x14ac:dyDescent="0.25">
      <c r="A567" s="11"/>
      <c r="B567" s="11"/>
      <c r="C567" s="11"/>
      <c r="D567" s="11"/>
      <c r="E567" s="11"/>
      <c r="F567" s="11"/>
      <c r="G567" s="11"/>
      <c r="H567" s="8"/>
      <c r="I567" s="8"/>
      <c r="J567" s="8"/>
      <c r="K567" s="8"/>
    </row>
    <row r="568" spans="1:11" x14ac:dyDescent="0.25">
      <c r="A568" s="11"/>
      <c r="B568" s="11"/>
      <c r="C568" s="11"/>
      <c r="D568" s="11"/>
      <c r="E568" s="11"/>
      <c r="F568" s="11"/>
      <c r="G568" s="11"/>
      <c r="H568" s="8"/>
      <c r="I568" s="8"/>
      <c r="J568" s="8"/>
      <c r="K568" s="8"/>
    </row>
    <row r="569" spans="1:11" x14ac:dyDescent="0.25">
      <c r="A569" s="11"/>
      <c r="B569" s="11"/>
      <c r="C569" s="11"/>
      <c r="D569" s="11"/>
      <c r="E569" s="11"/>
      <c r="F569" s="11"/>
      <c r="G569" s="11"/>
      <c r="H569" s="8"/>
      <c r="I569" s="8"/>
      <c r="J569" s="8"/>
      <c r="K569" s="8"/>
    </row>
    <row r="570" spans="1:11" x14ac:dyDescent="0.25">
      <c r="A570" s="11"/>
      <c r="B570" s="11"/>
      <c r="C570" s="11"/>
      <c r="D570" s="11"/>
      <c r="E570" s="11"/>
      <c r="F570" s="11"/>
      <c r="G570" s="11"/>
      <c r="H570" s="8"/>
      <c r="I570" s="8"/>
      <c r="J570" s="8"/>
      <c r="K570" s="8"/>
    </row>
    <row r="571" spans="1:11" x14ac:dyDescent="0.25">
      <c r="A571" s="11"/>
      <c r="B571" s="11"/>
      <c r="C571" s="11"/>
      <c r="D571" s="11"/>
      <c r="E571" s="11"/>
      <c r="F571" s="11"/>
      <c r="G571" s="11"/>
      <c r="H571" s="8"/>
      <c r="I571" s="8"/>
      <c r="J571" s="8"/>
      <c r="K571" s="8"/>
    </row>
    <row r="572" spans="1:11" x14ac:dyDescent="0.25">
      <c r="A572" s="11"/>
      <c r="B572" s="11"/>
      <c r="C572" s="11"/>
      <c r="D572" s="11"/>
      <c r="E572" s="11"/>
      <c r="F572" s="11"/>
      <c r="G572" s="11"/>
      <c r="H572" s="8"/>
      <c r="I572" s="8"/>
      <c r="J572" s="8"/>
      <c r="K572" s="8"/>
    </row>
    <row r="573" spans="1:11" x14ac:dyDescent="0.25">
      <c r="A573" s="11"/>
      <c r="B573" s="11"/>
      <c r="C573" s="11"/>
      <c r="D573" s="11"/>
      <c r="E573" s="11"/>
      <c r="F573" s="11"/>
      <c r="G573" s="11"/>
      <c r="H573" s="8"/>
      <c r="I573" s="8"/>
      <c r="J573" s="8"/>
      <c r="K573" s="8"/>
    </row>
    <row r="574" spans="1:11" x14ac:dyDescent="0.25">
      <c r="A574" s="11"/>
      <c r="B574" s="11"/>
      <c r="C574" s="11"/>
      <c r="D574" s="11"/>
      <c r="E574" s="11"/>
      <c r="F574" s="11"/>
      <c r="G574" s="11"/>
      <c r="H574" s="8"/>
      <c r="I574" s="8"/>
      <c r="J574" s="8"/>
      <c r="K574" s="8"/>
    </row>
    <row r="575" spans="1:11" x14ac:dyDescent="0.25">
      <c r="A575" s="11"/>
      <c r="B575" s="11"/>
      <c r="C575" s="11"/>
      <c r="D575" s="11"/>
      <c r="E575" s="11"/>
      <c r="F575" s="11"/>
      <c r="G575" s="11"/>
      <c r="H575" s="8"/>
      <c r="I575" s="8"/>
      <c r="J575" s="8"/>
      <c r="K575" s="8"/>
    </row>
    <row r="576" spans="1:11" x14ac:dyDescent="0.25">
      <c r="A576" s="11"/>
      <c r="B576" s="11"/>
      <c r="C576" s="11"/>
      <c r="D576" s="11"/>
      <c r="E576" s="11"/>
      <c r="F576" s="11"/>
      <c r="G576" s="11"/>
      <c r="H576" s="8"/>
      <c r="I576" s="8"/>
      <c r="J576" s="8"/>
      <c r="K576" s="8"/>
    </row>
    <row r="577" spans="1:11" x14ac:dyDescent="0.25">
      <c r="A577" s="11"/>
      <c r="B577" s="11"/>
      <c r="C577" s="11"/>
      <c r="D577" s="11"/>
      <c r="E577" s="11"/>
      <c r="F577" s="11"/>
      <c r="G577" s="11"/>
      <c r="H577" s="8"/>
      <c r="I577" s="8"/>
      <c r="J577" s="8"/>
      <c r="K577" s="8"/>
    </row>
    <row r="578" spans="1:11" x14ac:dyDescent="0.25">
      <c r="A578" s="11"/>
      <c r="B578" s="11"/>
      <c r="C578" s="11"/>
      <c r="D578" s="11"/>
      <c r="E578" s="11"/>
      <c r="F578" s="11"/>
      <c r="G578" s="11"/>
      <c r="H578" s="8"/>
      <c r="I578" s="8"/>
      <c r="J578" s="8"/>
      <c r="K578" s="8"/>
    </row>
    <row r="579" spans="1:11" x14ac:dyDescent="0.25">
      <c r="A579" s="11"/>
      <c r="B579" s="11"/>
      <c r="C579" s="11"/>
      <c r="D579" s="11"/>
      <c r="E579" s="11"/>
      <c r="F579" s="11"/>
      <c r="G579" s="11"/>
      <c r="H579" s="8"/>
      <c r="I579" s="8"/>
      <c r="J579" s="8"/>
      <c r="K579" s="8"/>
    </row>
    <row r="580" spans="1:11" x14ac:dyDescent="0.25">
      <c r="A580" s="11"/>
      <c r="B580" s="11"/>
      <c r="C580" s="11"/>
      <c r="D580" s="11"/>
      <c r="E580" s="11"/>
      <c r="F580" s="11"/>
      <c r="G580" s="11"/>
      <c r="H580" s="8"/>
      <c r="I580" s="8"/>
      <c r="J580" s="8"/>
      <c r="K580" s="8"/>
    </row>
    <row r="581" spans="1:11" x14ac:dyDescent="0.25">
      <c r="A581" s="11"/>
      <c r="B581" s="11"/>
      <c r="C581" s="11"/>
      <c r="D581" s="11"/>
      <c r="E581" s="11"/>
      <c r="F581" s="11"/>
      <c r="G581" s="11"/>
      <c r="H581" s="8"/>
      <c r="I581" s="8"/>
      <c r="J581" s="8"/>
      <c r="K581" s="8"/>
    </row>
    <row r="582" spans="1:11" x14ac:dyDescent="0.25">
      <c r="A582" s="11"/>
      <c r="B582" s="11"/>
      <c r="C582" s="11"/>
      <c r="D582" s="11"/>
      <c r="E582" s="11"/>
      <c r="F582" s="11"/>
      <c r="G582" s="11"/>
      <c r="H582" s="8"/>
      <c r="I582" s="8"/>
      <c r="J582" s="8"/>
      <c r="K582" s="8"/>
    </row>
    <row r="583" spans="1:11" x14ac:dyDescent="0.25">
      <c r="A583" s="11"/>
      <c r="B583" s="11"/>
      <c r="C583" s="11"/>
      <c r="D583" s="11"/>
      <c r="E583" s="11"/>
      <c r="F583" s="11"/>
      <c r="G583" s="11"/>
      <c r="H583" s="8"/>
      <c r="I583" s="8"/>
      <c r="J583" s="8"/>
      <c r="K583" s="8"/>
    </row>
    <row r="584" spans="1:11" x14ac:dyDescent="0.25">
      <c r="A584" s="11"/>
      <c r="B584" s="11"/>
      <c r="C584" s="11"/>
      <c r="D584" s="11"/>
      <c r="E584" s="11"/>
      <c r="F584" s="11"/>
      <c r="G584" s="11"/>
      <c r="H584" s="8"/>
      <c r="I584" s="8"/>
      <c r="J584" s="8"/>
      <c r="K584" s="8"/>
    </row>
    <row r="585" spans="1:11" x14ac:dyDescent="0.25">
      <c r="A585" s="11"/>
      <c r="B585" s="11"/>
      <c r="C585" s="11"/>
      <c r="D585" s="11"/>
      <c r="E585" s="11"/>
      <c r="F585" s="11"/>
      <c r="G585" s="11"/>
      <c r="H585" s="8"/>
      <c r="I585" s="8"/>
      <c r="J585" s="8"/>
      <c r="K585" s="8"/>
    </row>
    <row r="586" spans="1:11" x14ac:dyDescent="0.25">
      <c r="A586" s="11"/>
      <c r="B586" s="11"/>
      <c r="C586" s="11"/>
      <c r="D586" s="11"/>
      <c r="E586" s="11"/>
      <c r="F586" s="11"/>
      <c r="G586" s="11"/>
      <c r="H586" s="8"/>
      <c r="I586" s="8"/>
      <c r="J586" s="8"/>
      <c r="K586" s="8"/>
    </row>
    <row r="587" spans="1:11" x14ac:dyDescent="0.25">
      <c r="A587" s="11"/>
      <c r="B587" s="11"/>
      <c r="C587" s="11"/>
      <c r="D587" s="11"/>
      <c r="E587" s="11"/>
      <c r="F587" s="11"/>
      <c r="G587" s="11"/>
      <c r="H587" s="8"/>
      <c r="I587" s="8"/>
      <c r="J587" s="8"/>
      <c r="K587" s="8"/>
    </row>
    <row r="588" spans="1:11" x14ac:dyDescent="0.25">
      <c r="A588" s="11"/>
      <c r="B588" s="11"/>
      <c r="C588" s="11"/>
      <c r="D588" s="11"/>
      <c r="E588" s="11"/>
      <c r="F588" s="11"/>
      <c r="G588" s="11"/>
      <c r="H588" s="8"/>
      <c r="I588" s="8"/>
      <c r="J588" s="8"/>
      <c r="K588" s="8"/>
    </row>
    <row r="589" spans="1:11" x14ac:dyDescent="0.25">
      <c r="A589" s="11"/>
      <c r="B589" s="11"/>
      <c r="C589" s="11"/>
      <c r="D589" s="11"/>
      <c r="E589" s="11"/>
      <c r="F589" s="11"/>
      <c r="G589" s="11"/>
      <c r="H589" s="8"/>
      <c r="I589" s="8"/>
      <c r="J589" s="8"/>
      <c r="K589" s="8"/>
    </row>
    <row r="590" spans="1:11" x14ac:dyDescent="0.25">
      <c r="A590" s="11"/>
      <c r="B590" s="11"/>
      <c r="C590" s="11"/>
      <c r="D590" s="11"/>
      <c r="E590" s="11"/>
      <c r="F590" s="11"/>
      <c r="G590" s="11"/>
      <c r="H590" s="8"/>
      <c r="I590" s="8"/>
      <c r="J590" s="8"/>
      <c r="K590" s="8"/>
    </row>
    <row r="591" spans="1:11" x14ac:dyDescent="0.25">
      <c r="A591" s="11"/>
      <c r="B591" s="11"/>
      <c r="C591" s="11"/>
      <c r="D591" s="11"/>
      <c r="E591" s="11"/>
      <c r="F591" s="11"/>
      <c r="G591" s="11"/>
      <c r="H591" s="8"/>
      <c r="I591" s="8"/>
      <c r="J591" s="8"/>
      <c r="K591" s="8"/>
    </row>
    <row r="592" spans="1:11" x14ac:dyDescent="0.25">
      <c r="A592" s="11"/>
      <c r="B592" s="11"/>
      <c r="C592" s="11"/>
      <c r="D592" s="11"/>
      <c r="E592" s="11"/>
      <c r="F592" s="11"/>
      <c r="G592" s="11"/>
      <c r="H592" s="8"/>
      <c r="I592" s="8"/>
      <c r="J592" s="8"/>
      <c r="K592" s="8"/>
    </row>
    <row r="593" spans="1:11" x14ac:dyDescent="0.25">
      <c r="A593" s="11"/>
      <c r="B593" s="11"/>
      <c r="C593" s="11"/>
      <c r="D593" s="11"/>
      <c r="E593" s="11"/>
      <c r="F593" s="11"/>
      <c r="G593" s="11"/>
      <c r="H593" s="8"/>
      <c r="I593" s="8"/>
      <c r="J593" s="8"/>
      <c r="K593" s="8"/>
    </row>
    <row r="594" spans="1:11" x14ac:dyDescent="0.25">
      <c r="A594" s="11"/>
      <c r="B594" s="11"/>
      <c r="C594" s="11"/>
      <c r="D594" s="11"/>
      <c r="E594" s="11"/>
      <c r="F594" s="11"/>
      <c r="G594" s="11"/>
      <c r="H594" s="8"/>
      <c r="I594" s="8"/>
      <c r="J594" s="8"/>
      <c r="K594" s="8"/>
    </row>
    <row r="595" spans="1:11" x14ac:dyDescent="0.25">
      <c r="A595" s="11"/>
      <c r="B595" s="11"/>
      <c r="C595" s="11"/>
      <c r="D595" s="11"/>
      <c r="E595" s="11"/>
      <c r="F595" s="11"/>
      <c r="G595" s="11"/>
      <c r="H595" s="8"/>
      <c r="I595" s="8"/>
      <c r="J595" s="8"/>
      <c r="K595" s="8"/>
    </row>
    <row r="596" spans="1:11" x14ac:dyDescent="0.25">
      <c r="A596" s="11"/>
      <c r="B596" s="11"/>
      <c r="C596" s="11"/>
      <c r="D596" s="11"/>
      <c r="E596" s="11"/>
      <c r="F596" s="11"/>
      <c r="G596" s="11"/>
      <c r="H596" s="8"/>
      <c r="I596" s="8"/>
      <c r="J596" s="8"/>
      <c r="K596" s="8"/>
    </row>
    <row r="597" spans="1:11" x14ac:dyDescent="0.25">
      <c r="A597" s="11"/>
      <c r="B597" s="11"/>
      <c r="C597" s="11"/>
      <c r="D597" s="11"/>
      <c r="E597" s="11"/>
      <c r="F597" s="11"/>
      <c r="G597" s="11"/>
      <c r="H597" s="8"/>
      <c r="I597" s="8"/>
      <c r="J597" s="8"/>
      <c r="K597" s="8"/>
    </row>
    <row r="598" spans="1:11" x14ac:dyDescent="0.25">
      <c r="A598" s="11"/>
      <c r="B598" s="11"/>
      <c r="C598" s="11"/>
      <c r="D598" s="11"/>
      <c r="E598" s="11"/>
      <c r="F598" s="11"/>
      <c r="G598" s="11"/>
      <c r="H598" s="8"/>
      <c r="I598" s="8"/>
      <c r="J598" s="8"/>
      <c r="K598" s="8"/>
    </row>
    <row r="599" spans="1:11" x14ac:dyDescent="0.25">
      <c r="A599" s="11"/>
      <c r="B599" s="11"/>
      <c r="C599" s="11"/>
      <c r="D599" s="11"/>
      <c r="E599" s="11"/>
      <c r="F599" s="11"/>
      <c r="G599" s="11"/>
      <c r="H599" s="8"/>
      <c r="I599" s="8"/>
      <c r="J599" s="8"/>
      <c r="K599" s="8"/>
    </row>
    <row r="600" spans="1:11" x14ac:dyDescent="0.25">
      <c r="A600" s="11"/>
      <c r="B600" s="11"/>
      <c r="C600" s="11"/>
      <c r="D600" s="11"/>
      <c r="E600" s="11"/>
      <c r="F600" s="11"/>
      <c r="G600" s="11"/>
      <c r="H600" s="8"/>
      <c r="I600" s="8"/>
      <c r="J600" s="8"/>
      <c r="K600" s="8"/>
    </row>
    <row r="601" spans="1:11" x14ac:dyDescent="0.25">
      <c r="A601" s="11"/>
      <c r="B601" s="11"/>
      <c r="C601" s="11"/>
      <c r="D601" s="11"/>
      <c r="E601" s="11"/>
      <c r="F601" s="11"/>
      <c r="G601" s="11"/>
      <c r="H601" s="8"/>
      <c r="I601" s="8"/>
      <c r="J601" s="8"/>
      <c r="K601" s="8"/>
    </row>
    <row r="602" spans="1:11" x14ac:dyDescent="0.25">
      <c r="A602" s="11"/>
      <c r="B602" s="11"/>
      <c r="C602" s="11"/>
      <c r="D602" s="11"/>
      <c r="E602" s="11"/>
      <c r="F602" s="11"/>
      <c r="G602" s="11"/>
      <c r="H602" s="8"/>
      <c r="I602" s="8"/>
      <c r="J602" s="8"/>
      <c r="K602" s="8"/>
    </row>
    <row r="603" spans="1:11" x14ac:dyDescent="0.25">
      <c r="A603" s="11"/>
      <c r="B603" s="11"/>
      <c r="C603" s="11"/>
      <c r="D603" s="11"/>
      <c r="E603" s="11"/>
      <c r="F603" s="11"/>
      <c r="G603" s="11"/>
      <c r="H603" s="8"/>
      <c r="I603" s="8"/>
      <c r="J603" s="8"/>
      <c r="K603" s="8"/>
    </row>
    <row r="604" spans="1:11" x14ac:dyDescent="0.25">
      <c r="A604" s="11"/>
      <c r="B604" s="11"/>
      <c r="C604" s="11"/>
      <c r="D604" s="11"/>
      <c r="E604" s="11"/>
      <c r="F604" s="11"/>
      <c r="G604" s="11"/>
      <c r="H604" s="8"/>
      <c r="I604" s="8"/>
      <c r="J604" s="8"/>
      <c r="K604" s="8"/>
    </row>
    <row r="605" spans="1:11" x14ac:dyDescent="0.25">
      <c r="A605" s="11"/>
      <c r="B605" s="11"/>
      <c r="C605" s="11"/>
      <c r="D605" s="11"/>
      <c r="E605" s="11"/>
      <c r="F605" s="11"/>
      <c r="G605" s="11"/>
      <c r="H605" s="8"/>
      <c r="I605" s="8"/>
      <c r="J605" s="8"/>
      <c r="K605" s="8"/>
    </row>
    <row r="606" spans="1:11" x14ac:dyDescent="0.25">
      <c r="A606" s="11"/>
      <c r="B606" s="11"/>
      <c r="C606" s="11"/>
      <c r="D606" s="11"/>
      <c r="E606" s="11"/>
      <c r="F606" s="11"/>
      <c r="G606" s="11"/>
      <c r="H606" s="8"/>
      <c r="I606" s="8"/>
      <c r="J606" s="8"/>
      <c r="K606" s="8"/>
    </row>
    <row r="607" spans="1:11" x14ac:dyDescent="0.25">
      <c r="A607" s="11"/>
      <c r="B607" s="11"/>
      <c r="C607" s="11"/>
      <c r="D607" s="11"/>
      <c r="E607" s="11"/>
      <c r="F607" s="11"/>
      <c r="G607" s="11"/>
      <c r="H607" s="8"/>
      <c r="I607" s="8"/>
      <c r="J607" s="8"/>
      <c r="K607" s="8"/>
    </row>
    <row r="608" spans="1:11" x14ac:dyDescent="0.25">
      <c r="A608" s="11"/>
      <c r="B608" s="11"/>
      <c r="C608" s="11"/>
      <c r="D608" s="11"/>
      <c r="E608" s="11"/>
      <c r="F608" s="11"/>
      <c r="G608" s="11"/>
      <c r="H608" s="8"/>
      <c r="I608" s="8"/>
      <c r="J608" s="8"/>
      <c r="K608" s="8"/>
    </row>
    <row r="609" spans="1:11" x14ac:dyDescent="0.25">
      <c r="A609" s="11"/>
      <c r="B609" s="11"/>
      <c r="C609" s="11"/>
      <c r="D609" s="11"/>
      <c r="E609" s="11"/>
      <c r="F609" s="11"/>
      <c r="G609" s="11"/>
      <c r="H609" s="8"/>
      <c r="I609" s="8"/>
      <c r="J609" s="8"/>
      <c r="K609" s="8"/>
    </row>
    <row r="610" spans="1:11" x14ac:dyDescent="0.25">
      <c r="A610" s="11"/>
      <c r="B610" s="11"/>
      <c r="C610" s="11"/>
      <c r="D610" s="11"/>
      <c r="E610" s="11"/>
      <c r="F610" s="11"/>
      <c r="G610" s="11"/>
      <c r="H610" s="8"/>
      <c r="I610" s="8"/>
      <c r="J610" s="8"/>
      <c r="K610" s="8"/>
    </row>
    <row r="611" spans="1:11" x14ac:dyDescent="0.25">
      <c r="A611" s="11"/>
      <c r="B611" s="11"/>
      <c r="C611" s="11"/>
      <c r="D611" s="11"/>
      <c r="E611" s="11"/>
      <c r="F611" s="11"/>
      <c r="G611" s="11"/>
      <c r="H611" s="8"/>
      <c r="I611" s="8"/>
      <c r="J611" s="8"/>
      <c r="K611" s="8"/>
    </row>
    <row r="612" spans="1:11" x14ac:dyDescent="0.25">
      <c r="A612" s="11"/>
      <c r="B612" s="11"/>
      <c r="C612" s="11"/>
      <c r="D612" s="11"/>
      <c r="E612" s="11"/>
      <c r="F612" s="11"/>
      <c r="G612" s="11"/>
      <c r="H612" s="8"/>
      <c r="I612" s="8"/>
      <c r="J612" s="8"/>
      <c r="K612" s="8"/>
    </row>
    <row r="613" spans="1:11" x14ac:dyDescent="0.25">
      <c r="A613" s="11"/>
      <c r="B613" s="11"/>
      <c r="C613" s="11"/>
      <c r="D613" s="11"/>
      <c r="E613" s="11"/>
      <c r="F613" s="11"/>
      <c r="G613" s="11"/>
      <c r="H613" s="8"/>
      <c r="I613" s="8"/>
      <c r="J613" s="8"/>
      <c r="K613" s="8"/>
    </row>
    <row r="614" spans="1:11" x14ac:dyDescent="0.25">
      <c r="A614" s="11"/>
      <c r="B614" s="11"/>
      <c r="C614" s="11"/>
      <c r="D614" s="11"/>
      <c r="E614" s="11"/>
      <c r="F614" s="11"/>
      <c r="G614" s="11"/>
      <c r="H614" s="8"/>
      <c r="I614" s="8"/>
      <c r="J614" s="8"/>
      <c r="K614" s="8"/>
    </row>
    <row r="615" spans="1:11" x14ac:dyDescent="0.25">
      <c r="A615" s="11"/>
      <c r="B615" s="11"/>
      <c r="C615" s="11"/>
      <c r="D615" s="11"/>
      <c r="E615" s="11"/>
      <c r="F615" s="11"/>
      <c r="G615" s="11"/>
      <c r="H615" s="8"/>
      <c r="I615" s="8"/>
      <c r="J615" s="8"/>
      <c r="K615" s="8"/>
    </row>
    <row r="616" spans="1:11" x14ac:dyDescent="0.25">
      <c r="A616" s="11"/>
      <c r="B616" s="11"/>
      <c r="C616" s="11"/>
      <c r="D616" s="11"/>
      <c r="E616" s="11"/>
      <c r="F616" s="11"/>
      <c r="G616" s="11"/>
      <c r="H616" s="8"/>
      <c r="I616" s="8"/>
      <c r="J616" s="8"/>
      <c r="K616" s="8"/>
    </row>
    <row r="617" spans="1:11" x14ac:dyDescent="0.25">
      <c r="A617" s="11"/>
      <c r="B617" s="11"/>
      <c r="C617" s="11"/>
      <c r="D617" s="11"/>
      <c r="E617" s="11"/>
      <c r="F617" s="11"/>
      <c r="G617" s="11"/>
      <c r="H617" s="8"/>
      <c r="I617" s="8"/>
      <c r="J617" s="8"/>
      <c r="K617" s="8"/>
    </row>
    <row r="618" spans="1:11" x14ac:dyDescent="0.25">
      <c r="A618" s="11"/>
      <c r="B618" s="11"/>
      <c r="C618" s="11"/>
      <c r="D618" s="11"/>
      <c r="E618" s="11"/>
      <c r="F618" s="11"/>
      <c r="G618" s="11"/>
      <c r="H618" s="8"/>
      <c r="I618" s="8"/>
      <c r="J618" s="8"/>
      <c r="K618" s="8"/>
    </row>
    <row r="619" spans="1:11" x14ac:dyDescent="0.25">
      <c r="A619" s="11"/>
      <c r="B619" s="11"/>
      <c r="C619" s="11"/>
      <c r="D619" s="11"/>
      <c r="E619" s="11"/>
      <c r="F619" s="11"/>
      <c r="G619" s="11"/>
      <c r="H619" s="8"/>
      <c r="I619" s="8"/>
      <c r="J619" s="8"/>
      <c r="K619" s="8"/>
    </row>
    <row r="620" spans="1:11" x14ac:dyDescent="0.25">
      <c r="A620" s="11"/>
      <c r="B620" s="11"/>
      <c r="C620" s="11"/>
      <c r="D620" s="11"/>
      <c r="E620" s="11"/>
      <c r="F620" s="11"/>
      <c r="G620" s="11"/>
      <c r="H620" s="8"/>
      <c r="I620" s="8"/>
      <c r="J620" s="8"/>
      <c r="K620" s="8"/>
    </row>
    <row r="621" spans="1:11" x14ac:dyDescent="0.25">
      <c r="A621" s="11"/>
      <c r="B621" s="11"/>
      <c r="C621" s="11"/>
      <c r="D621" s="11"/>
      <c r="E621" s="11"/>
      <c r="F621" s="11"/>
      <c r="G621" s="11"/>
      <c r="H621" s="8"/>
      <c r="I621" s="8"/>
      <c r="J621" s="8"/>
      <c r="K621" s="8"/>
    </row>
    <row r="622" spans="1:11" x14ac:dyDescent="0.25">
      <c r="A622" s="11"/>
      <c r="B622" s="11"/>
      <c r="C622" s="11"/>
      <c r="D622" s="11"/>
      <c r="E622" s="11"/>
      <c r="F622" s="11"/>
      <c r="G622" s="11"/>
      <c r="H622" s="8"/>
      <c r="I622" s="8"/>
      <c r="J622" s="8"/>
      <c r="K622" s="8"/>
    </row>
    <row r="623" spans="1:11" x14ac:dyDescent="0.25">
      <c r="A623" s="11"/>
      <c r="B623" s="11"/>
      <c r="C623" s="11"/>
      <c r="D623" s="11"/>
      <c r="E623" s="11"/>
      <c r="F623" s="11"/>
      <c r="G623" s="11"/>
      <c r="H623" s="8"/>
      <c r="I623" s="8"/>
      <c r="J623" s="8"/>
      <c r="K623" s="8"/>
    </row>
    <row r="624" spans="1:11" x14ac:dyDescent="0.25">
      <c r="A624" s="11"/>
      <c r="B624" s="11"/>
      <c r="C624" s="11"/>
      <c r="D624" s="11"/>
      <c r="E624" s="11"/>
      <c r="F624" s="11"/>
      <c r="G624" s="11"/>
      <c r="H624" s="8"/>
      <c r="I624" s="8"/>
      <c r="J624" s="8"/>
      <c r="K624" s="8"/>
    </row>
    <row r="625" spans="1:11" x14ac:dyDescent="0.25">
      <c r="A625" s="11"/>
      <c r="B625" s="11"/>
      <c r="C625" s="11"/>
      <c r="D625" s="11"/>
      <c r="E625" s="11"/>
      <c r="F625" s="11"/>
      <c r="G625" s="11"/>
      <c r="H625" s="8"/>
      <c r="I625" s="8"/>
      <c r="J625" s="8"/>
      <c r="K625" s="8"/>
    </row>
    <row r="626" spans="1:11" x14ac:dyDescent="0.25">
      <c r="A626" s="11"/>
      <c r="B626" s="11"/>
      <c r="C626" s="11"/>
      <c r="D626" s="11"/>
      <c r="E626" s="11"/>
      <c r="F626" s="11"/>
      <c r="G626" s="11"/>
      <c r="H626" s="8"/>
      <c r="I626" s="8"/>
      <c r="J626" s="8"/>
      <c r="K626" s="8"/>
    </row>
    <row r="627" spans="1:11" x14ac:dyDescent="0.25">
      <c r="A627" s="11"/>
      <c r="B627" s="11"/>
      <c r="C627" s="11"/>
      <c r="D627" s="11"/>
      <c r="E627" s="11"/>
      <c r="F627" s="11"/>
      <c r="G627" s="11"/>
      <c r="H627" s="8"/>
      <c r="I627" s="8"/>
      <c r="J627" s="8"/>
      <c r="K627" s="8"/>
    </row>
    <row r="628" spans="1:11" x14ac:dyDescent="0.25">
      <c r="A628" s="11"/>
      <c r="B628" s="11"/>
      <c r="C628" s="11"/>
      <c r="D628" s="11"/>
      <c r="E628" s="11"/>
      <c r="F628" s="11"/>
      <c r="G628" s="11"/>
      <c r="H628" s="8"/>
      <c r="I628" s="8"/>
      <c r="J628" s="8"/>
      <c r="K628" s="8"/>
    </row>
    <row r="629" spans="1:11" x14ac:dyDescent="0.25">
      <c r="A629" s="11"/>
      <c r="B629" s="11"/>
      <c r="C629" s="11"/>
      <c r="D629" s="11"/>
      <c r="E629" s="11"/>
      <c r="F629" s="11"/>
      <c r="G629" s="11"/>
      <c r="H629" s="8"/>
      <c r="I629" s="8"/>
      <c r="J629" s="8"/>
      <c r="K629" s="8"/>
    </row>
    <row r="630" spans="1:11" x14ac:dyDescent="0.25">
      <c r="A630" s="11"/>
      <c r="B630" s="11"/>
      <c r="C630" s="11"/>
      <c r="D630" s="11"/>
      <c r="E630" s="11"/>
      <c r="F630" s="11"/>
      <c r="G630" s="11"/>
      <c r="H630" s="8"/>
      <c r="I630" s="8"/>
      <c r="J630" s="8"/>
      <c r="K630" s="8"/>
    </row>
    <row r="631" spans="1:11" x14ac:dyDescent="0.25">
      <c r="A631" s="11"/>
      <c r="B631" s="11"/>
      <c r="C631" s="11"/>
      <c r="D631" s="11"/>
      <c r="E631" s="11"/>
      <c r="F631" s="11"/>
      <c r="G631" s="11"/>
      <c r="H631" s="8"/>
      <c r="I631" s="8"/>
      <c r="J631" s="8"/>
      <c r="K631" s="8"/>
    </row>
    <row r="632" spans="1:11" x14ac:dyDescent="0.25">
      <c r="A632" s="11"/>
      <c r="B632" s="11"/>
      <c r="C632" s="11"/>
      <c r="D632" s="11"/>
      <c r="E632" s="11"/>
      <c r="F632" s="11"/>
      <c r="G632" s="11"/>
      <c r="H632" s="8"/>
      <c r="I632" s="8"/>
      <c r="J632" s="8"/>
      <c r="K632" s="8"/>
    </row>
    <row r="633" spans="1:11" x14ac:dyDescent="0.25">
      <c r="A633" s="11"/>
      <c r="B633" s="11"/>
      <c r="C633" s="11"/>
      <c r="D633" s="11"/>
      <c r="E633" s="11"/>
      <c r="F633" s="11"/>
      <c r="G633" s="11"/>
      <c r="H633" s="8"/>
      <c r="I633" s="8"/>
      <c r="J633" s="8"/>
      <c r="K633" s="8"/>
    </row>
    <row r="634" spans="1:11" x14ac:dyDescent="0.25">
      <c r="A634" s="11"/>
      <c r="B634" s="11"/>
      <c r="C634" s="11"/>
      <c r="D634" s="11"/>
      <c r="E634" s="11"/>
      <c r="F634" s="11"/>
      <c r="G634" s="11"/>
      <c r="H634" s="8"/>
      <c r="I634" s="8"/>
      <c r="J634" s="8"/>
      <c r="K634" s="8"/>
    </row>
    <row r="635" spans="1:11" x14ac:dyDescent="0.25">
      <c r="A635" s="11"/>
      <c r="B635" s="11"/>
      <c r="C635" s="11"/>
      <c r="D635" s="11"/>
      <c r="E635" s="11"/>
      <c r="F635" s="11"/>
      <c r="G635" s="11"/>
      <c r="H635" s="8"/>
      <c r="I635" s="8"/>
      <c r="J635" s="8"/>
      <c r="K635" s="8"/>
    </row>
    <row r="636" spans="1:11" x14ac:dyDescent="0.25">
      <c r="A636" s="11"/>
      <c r="B636" s="11"/>
      <c r="C636" s="11"/>
      <c r="D636" s="11"/>
      <c r="E636" s="11"/>
      <c r="F636" s="11"/>
      <c r="G636" s="11"/>
      <c r="H636" s="8"/>
      <c r="I636" s="8"/>
      <c r="J636" s="8"/>
      <c r="K636" s="8"/>
    </row>
    <row r="637" spans="1:11" x14ac:dyDescent="0.25">
      <c r="A637" s="11"/>
      <c r="B637" s="11"/>
      <c r="C637" s="11"/>
      <c r="D637" s="11"/>
      <c r="E637" s="11"/>
      <c r="F637" s="11"/>
      <c r="G637" s="11"/>
      <c r="H637" s="8"/>
      <c r="I637" s="8"/>
      <c r="J637" s="8"/>
      <c r="K637" s="8"/>
    </row>
    <row r="638" spans="1:11" x14ac:dyDescent="0.25">
      <c r="A638" s="11"/>
      <c r="B638" s="11"/>
      <c r="C638" s="11"/>
      <c r="D638" s="11"/>
      <c r="E638" s="11"/>
      <c r="F638" s="11"/>
      <c r="G638" s="11"/>
      <c r="H638" s="8"/>
      <c r="I638" s="8"/>
      <c r="J638" s="8"/>
      <c r="K638" s="8"/>
    </row>
    <row r="639" spans="1:11" x14ac:dyDescent="0.25">
      <c r="A639" s="11"/>
      <c r="B639" s="11"/>
      <c r="C639" s="11"/>
      <c r="D639" s="11"/>
      <c r="E639" s="11"/>
      <c r="F639" s="11"/>
      <c r="G639" s="11"/>
      <c r="H639" s="8"/>
      <c r="I639" s="8"/>
      <c r="J639" s="8"/>
      <c r="K639" s="8"/>
    </row>
    <row r="640" spans="1:11" x14ac:dyDescent="0.25">
      <c r="A640" s="11"/>
      <c r="B640" s="11"/>
      <c r="C640" s="11"/>
      <c r="D640" s="11"/>
      <c r="E640" s="11"/>
      <c r="F640" s="11"/>
      <c r="G640" s="11"/>
      <c r="H640" s="8"/>
      <c r="I640" s="8"/>
      <c r="J640" s="8"/>
      <c r="K640" s="8"/>
    </row>
    <row r="641" spans="1:11" x14ac:dyDescent="0.25">
      <c r="A641" s="11"/>
      <c r="B641" s="11"/>
      <c r="C641" s="11"/>
      <c r="D641" s="11"/>
      <c r="E641" s="11"/>
      <c r="F641" s="11"/>
      <c r="G641" s="11"/>
      <c r="H641" s="8"/>
      <c r="I641" s="8"/>
      <c r="J641" s="8"/>
      <c r="K641" s="8"/>
    </row>
    <row r="642" spans="1:11" x14ac:dyDescent="0.25">
      <c r="A642" s="11"/>
      <c r="B642" s="11"/>
      <c r="C642" s="11"/>
      <c r="D642" s="11"/>
      <c r="E642" s="11"/>
      <c r="F642" s="11"/>
      <c r="G642" s="11"/>
      <c r="H642" s="8"/>
      <c r="I642" s="8"/>
      <c r="J642" s="8"/>
      <c r="K642" s="8"/>
    </row>
    <row r="643" spans="1:11" x14ac:dyDescent="0.25">
      <c r="A643" s="11"/>
      <c r="B643" s="11"/>
      <c r="C643" s="11"/>
      <c r="D643" s="11"/>
      <c r="E643" s="11"/>
      <c r="F643" s="11"/>
      <c r="G643" s="11"/>
      <c r="H643" s="8"/>
      <c r="I643" s="8"/>
      <c r="J643" s="8"/>
      <c r="K643" s="8"/>
    </row>
    <row r="644" spans="1:11" x14ac:dyDescent="0.25">
      <c r="A644" s="11"/>
      <c r="B644" s="11"/>
      <c r="C644" s="11"/>
      <c r="D644" s="11"/>
      <c r="E644" s="11"/>
      <c r="F644" s="11"/>
      <c r="G644" s="11"/>
      <c r="H644" s="8"/>
      <c r="I644" s="8"/>
      <c r="J644" s="8"/>
      <c r="K644" s="8"/>
    </row>
    <row r="645" spans="1:11" x14ac:dyDescent="0.25">
      <c r="A645" s="11"/>
      <c r="B645" s="11"/>
      <c r="C645" s="11"/>
      <c r="D645" s="11"/>
      <c r="E645" s="11"/>
      <c r="F645" s="11"/>
      <c r="G645" s="11"/>
      <c r="H645" s="8"/>
      <c r="I645" s="8"/>
      <c r="J645" s="8"/>
      <c r="K645" s="8"/>
    </row>
    <row r="646" spans="1:11" x14ac:dyDescent="0.25">
      <c r="A646" s="11"/>
      <c r="B646" s="11"/>
      <c r="C646" s="11"/>
      <c r="D646" s="11"/>
      <c r="E646" s="11"/>
      <c r="F646" s="11"/>
      <c r="G646" s="11"/>
      <c r="H646" s="8"/>
      <c r="I646" s="8"/>
      <c r="J646" s="8"/>
      <c r="K646" s="8"/>
    </row>
    <row r="647" spans="1:11" x14ac:dyDescent="0.25">
      <c r="A647" s="11"/>
      <c r="B647" s="11"/>
      <c r="C647" s="11"/>
      <c r="D647" s="11"/>
      <c r="E647" s="11"/>
      <c r="F647" s="11"/>
      <c r="G647" s="11"/>
      <c r="H647" s="8"/>
      <c r="I647" s="8"/>
      <c r="J647" s="8"/>
      <c r="K647" s="8"/>
    </row>
    <row r="648" spans="1:11" x14ac:dyDescent="0.25">
      <c r="A648" s="11"/>
      <c r="B648" s="11"/>
      <c r="C648" s="11"/>
      <c r="D648" s="11"/>
      <c r="E648" s="11"/>
      <c r="F648" s="11"/>
      <c r="G648" s="11"/>
      <c r="H648" s="8"/>
      <c r="I648" s="8"/>
      <c r="J648" s="8"/>
      <c r="K648" s="8"/>
    </row>
    <row r="649" spans="1:11" x14ac:dyDescent="0.25">
      <c r="A649" s="11"/>
      <c r="B649" s="11"/>
      <c r="C649" s="11"/>
      <c r="D649" s="11"/>
      <c r="E649" s="11"/>
      <c r="F649" s="11"/>
      <c r="G649" s="11"/>
      <c r="H649" s="8"/>
      <c r="I649" s="8"/>
      <c r="J649" s="8"/>
      <c r="K649" s="8"/>
    </row>
    <row r="650" spans="1:11" x14ac:dyDescent="0.25">
      <c r="A650" s="11"/>
      <c r="B650" s="11"/>
      <c r="C650" s="11"/>
      <c r="D650" s="11"/>
      <c r="E650" s="11"/>
      <c r="F650" s="11"/>
      <c r="G650" s="11"/>
      <c r="H650" s="8"/>
      <c r="I650" s="8"/>
      <c r="J650" s="8"/>
      <c r="K650" s="8"/>
    </row>
    <row r="651" spans="1:11" x14ac:dyDescent="0.25">
      <c r="A651" s="11"/>
      <c r="B651" s="11"/>
      <c r="C651" s="11"/>
      <c r="D651" s="11"/>
      <c r="E651" s="11"/>
      <c r="F651" s="11"/>
      <c r="G651" s="11"/>
      <c r="H651" s="8"/>
      <c r="I651" s="8"/>
      <c r="J651" s="8"/>
      <c r="K651" s="8"/>
    </row>
    <row r="652" spans="1:11" x14ac:dyDescent="0.25">
      <c r="A652" s="11"/>
      <c r="B652" s="11"/>
      <c r="C652" s="11"/>
      <c r="D652" s="11"/>
      <c r="E652" s="11"/>
      <c r="F652" s="11"/>
      <c r="G652" s="11"/>
      <c r="H652" s="8"/>
      <c r="I652" s="8"/>
      <c r="J652" s="8"/>
      <c r="K652" s="8"/>
    </row>
    <row r="653" spans="1:11" x14ac:dyDescent="0.25">
      <c r="A653" s="11"/>
      <c r="B653" s="11"/>
      <c r="C653" s="11"/>
      <c r="D653" s="11"/>
      <c r="E653" s="11"/>
      <c r="F653" s="11"/>
      <c r="G653" s="11"/>
      <c r="H653" s="8"/>
      <c r="I653" s="8"/>
      <c r="J653" s="8"/>
      <c r="K653" s="8"/>
    </row>
    <row r="654" spans="1:11" x14ac:dyDescent="0.25">
      <c r="A654" s="11"/>
      <c r="B654" s="11"/>
      <c r="C654" s="11"/>
      <c r="D654" s="11"/>
      <c r="E654" s="11"/>
      <c r="F654" s="11"/>
      <c r="G654" s="11"/>
      <c r="H654" s="8"/>
      <c r="I654" s="8"/>
      <c r="J654" s="8"/>
      <c r="K654" s="8"/>
    </row>
    <row r="655" spans="1:11" x14ac:dyDescent="0.25">
      <c r="A655" s="11"/>
      <c r="B655" s="11"/>
      <c r="C655" s="11"/>
      <c r="D655" s="11"/>
      <c r="E655" s="11"/>
      <c r="F655" s="11"/>
      <c r="G655" s="11"/>
      <c r="H655" s="8"/>
      <c r="I655" s="8"/>
      <c r="J655" s="8"/>
      <c r="K655" s="8"/>
    </row>
    <row r="656" spans="1:11" x14ac:dyDescent="0.25">
      <c r="A656" s="11"/>
      <c r="B656" s="11"/>
      <c r="C656" s="11"/>
      <c r="D656" s="11"/>
      <c r="E656" s="11"/>
      <c r="F656" s="11"/>
      <c r="G656" s="11"/>
      <c r="H656" s="8"/>
      <c r="I656" s="8"/>
      <c r="J656" s="8"/>
      <c r="K656" s="8"/>
    </row>
    <row r="657" spans="1:11" x14ac:dyDescent="0.25">
      <c r="A657" s="11"/>
      <c r="B657" s="11"/>
      <c r="C657" s="11"/>
      <c r="D657" s="11"/>
      <c r="E657" s="11"/>
      <c r="F657" s="11"/>
      <c r="G657" s="11"/>
      <c r="H657" s="8"/>
      <c r="I657" s="8"/>
      <c r="J657" s="8"/>
      <c r="K657" s="8"/>
    </row>
    <row r="658" spans="1:11" x14ac:dyDescent="0.25">
      <c r="A658" s="11"/>
      <c r="B658" s="11"/>
      <c r="C658" s="11"/>
      <c r="D658" s="11"/>
      <c r="E658" s="11"/>
      <c r="F658" s="11"/>
      <c r="G658" s="11"/>
      <c r="H658" s="8"/>
      <c r="I658" s="8"/>
      <c r="J658" s="8"/>
      <c r="K658" s="8"/>
    </row>
    <row r="659" spans="1:11" x14ac:dyDescent="0.25">
      <c r="A659" s="11"/>
      <c r="B659" s="11"/>
      <c r="C659" s="11"/>
      <c r="D659" s="11"/>
      <c r="E659" s="11"/>
      <c r="F659" s="11"/>
      <c r="G659" s="11"/>
      <c r="H659" s="8"/>
      <c r="I659" s="8"/>
      <c r="J659" s="8"/>
      <c r="K659" s="8"/>
    </row>
    <row r="660" spans="1:11" x14ac:dyDescent="0.25">
      <c r="A660" s="11"/>
      <c r="B660" s="11"/>
      <c r="C660" s="11"/>
      <c r="D660" s="11"/>
      <c r="E660" s="11"/>
      <c r="F660" s="11"/>
      <c r="G660" s="11"/>
      <c r="H660" s="8"/>
      <c r="I660" s="8"/>
      <c r="J660" s="8"/>
      <c r="K660" s="8"/>
    </row>
    <row r="661" spans="1:11" x14ac:dyDescent="0.25">
      <c r="A661" s="11"/>
      <c r="B661" s="11"/>
      <c r="C661" s="11"/>
      <c r="D661" s="11"/>
      <c r="E661" s="11"/>
      <c r="F661" s="11"/>
      <c r="G661" s="11"/>
      <c r="H661" s="8"/>
      <c r="I661" s="8"/>
      <c r="J661" s="8"/>
      <c r="K661" s="8"/>
    </row>
    <row r="662" spans="1:11" x14ac:dyDescent="0.25">
      <c r="A662" s="11"/>
      <c r="B662" s="11"/>
      <c r="C662" s="11"/>
      <c r="D662" s="11"/>
      <c r="E662" s="11"/>
      <c r="F662" s="11"/>
      <c r="G662" s="11"/>
      <c r="H662" s="8"/>
      <c r="I662" s="8"/>
      <c r="J662" s="8"/>
      <c r="K662" s="8"/>
    </row>
    <row r="663" spans="1:11" x14ac:dyDescent="0.25">
      <c r="A663" s="11"/>
      <c r="B663" s="11"/>
      <c r="C663" s="11"/>
      <c r="D663" s="11"/>
      <c r="E663" s="11"/>
      <c r="F663" s="11"/>
      <c r="G663" s="11"/>
      <c r="H663" s="8"/>
      <c r="I663" s="8"/>
      <c r="J663" s="8"/>
      <c r="K663" s="8"/>
    </row>
    <row r="664" spans="1:11" x14ac:dyDescent="0.25">
      <c r="A664" s="11"/>
      <c r="B664" s="11"/>
      <c r="C664" s="11"/>
      <c r="D664" s="11"/>
      <c r="E664" s="11"/>
      <c r="F664" s="11"/>
      <c r="G664" s="11"/>
      <c r="H664" s="8"/>
      <c r="I664" s="8"/>
      <c r="J664" s="8"/>
      <c r="K664" s="8"/>
    </row>
    <row r="665" spans="1:11" x14ac:dyDescent="0.25">
      <c r="A665" s="11"/>
      <c r="B665" s="11"/>
      <c r="C665" s="11"/>
      <c r="D665" s="11"/>
      <c r="E665" s="11"/>
      <c r="F665" s="11"/>
      <c r="G665" s="11"/>
      <c r="H665" s="8"/>
      <c r="I665" s="8"/>
      <c r="J665" s="8"/>
      <c r="K665" s="8"/>
    </row>
    <row r="666" spans="1:11" x14ac:dyDescent="0.25">
      <c r="A666" s="11"/>
      <c r="B666" s="11"/>
      <c r="C666" s="11"/>
      <c r="D666" s="11"/>
      <c r="E666" s="11"/>
      <c r="F666" s="11"/>
      <c r="G666" s="11"/>
      <c r="H666" s="8"/>
      <c r="I666" s="8"/>
      <c r="J666" s="8"/>
      <c r="K666" s="8"/>
    </row>
    <row r="667" spans="1:11" x14ac:dyDescent="0.25">
      <c r="A667" s="11"/>
      <c r="B667" s="11"/>
      <c r="C667" s="11"/>
      <c r="D667" s="11"/>
      <c r="E667" s="11"/>
      <c r="F667" s="11"/>
      <c r="G667" s="11"/>
      <c r="H667" s="8"/>
      <c r="I667" s="8"/>
      <c r="J667" s="8"/>
      <c r="K667" s="8"/>
    </row>
    <row r="668" spans="1:11" x14ac:dyDescent="0.25">
      <c r="A668" s="11"/>
      <c r="B668" s="11"/>
      <c r="C668" s="11"/>
      <c r="D668" s="11"/>
      <c r="E668" s="11"/>
      <c r="F668" s="11"/>
      <c r="G668" s="11"/>
      <c r="H668" s="8"/>
      <c r="I668" s="8"/>
      <c r="J668" s="8"/>
      <c r="K668" s="8"/>
    </row>
    <row r="669" spans="1:11" x14ac:dyDescent="0.25">
      <c r="A669" s="11"/>
      <c r="B669" s="11"/>
      <c r="C669" s="11"/>
      <c r="D669" s="11"/>
      <c r="E669" s="11"/>
      <c r="F669" s="11"/>
      <c r="G669" s="11"/>
      <c r="H669" s="8"/>
      <c r="I669" s="8"/>
      <c r="J669" s="8"/>
      <c r="K669" s="8"/>
    </row>
    <row r="670" spans="1:11" x14ac:dyDescent="0.25">
      <c r="A670" s="11"/>
      <c r="B670" s="11"/>
      <c r="C670" s="11"/>
      <c r="D670" s="11"/>
      <c r="E670" s="11"/>
      <c r="F670" s="11"/>
      <c r="G670" s="11"/>
      <c r="H670" s="8"/>
      <c r="I670" s="8"/>
      <c r="J670" s="8"/>
      <c r="K670" s="8"/>
    </row>
    <row r="671" spans="1:11" x14ac:dyDescent="0.25">
      <c r="A671" s="11"/>
      <c r="B671" s="11"/>
      <c r="C671" s="11"/>
      <c r="D671" s="11"/>
      <c r="E671" s="11"/>
      <c r="F671" s="11"/>
      <c r="G671" s="11"/>
      <c r="H671" s="8"/>
      <c r="I671" s="8"/>
      <c r="J671" s="8"/>
      <c r="K671" s="8"/>
    </row>
    <row r="672" spans="1:11" x14ac:dyDescent="0.25">
      <c r="A672" s="11"/>
      <c r="B672" s="11"/>
      <c r="C672" s="11"/>
      <c r="D672" s="11"/>
      <c r="E672" s="11"/>
      <c r="F672" s="11"/>
      <c r="G672" s="11"/>
      <c r="H672" s="8"/>
      <c r="I672" s="8"/>
      <c r="J672" s="8"/>
      <c r="K672" s="8"/>
    </row>
    <row r="673" spans="1:11" x14ac:dyDescent="0.25">
      <c r="A673" s="11"/>
      <c r="B673" s="11"/>
      <c r="C673" s="11"/>
      <c r="D673" s="11"/>
      <c r="E673" s="11"/>
      <c r="F673" s="11"/>
      <c r="G673" s="11"/>
      <c r="H673" s="8"/>
      <c r="I673" s="8"/>
      <c r="J673" s="8"/>
      <c r="K673" s="8"/>
    </row>
    <row r="674" spans="1:11" x14ac:dyDescent="0.25">
      <c r="A674" s="11"/>
      <c r="B674" s="11"/>
      <c r="C674" s="11"/>
      <c r="D674" s="11"/>
      <c r="E674" s="11"/>
      <c r="F674" s="11"/>
      <c r="G674" s="11"/>
      <c r="H674" s="8"/>
      <c r="I674" s="8"/>
      <c r="J674" s="8"/>
      <c r="K674" s="8"/>
    </row>
    <row r="675" spans="1:11" x14ac:dyDescent="0.25">
      <c r="A675" s="11"/>
      <c r="B675" s="11"/>
      <c r="C675" s="11"/>
      <c r="D675" s="11"/>
      <c r="E675" s="11"/>
      <c r="F675" s="11"/>
      <c r="G675" s="11"/>
      <c r="H675" s="8"/>
      <c r="I675" s="8"/>
      <c r="J675" s="8"/>
      <c r="K675" s="8"/>
    </row>
    <row r="676" spans="1:11" x14ac:dyDescent="0.25">
      <c r="A676" s="11"/>
      <c r="B676" s="11"/>
      <c r="C676" s="11"/>
      <c r="D676" s="11"/>
      <c r="E676" s="11"/>
      <c r="F676" s="11"/>
      <c r="G676" s="11"/>
      <c r="H676" s="8"/>
      <c r="I676" s="8"/>
      <c r="J676" s="8"/>
      <c r="K676" s="8"/>
    </row>
    <row r="677" spans="1:11" x14ac:dyDescent="0.25">
      <c r="A677" s="11"/>
      <c r="B677" s="11"/>
      <c r="C677" s="11"/>
      <c r="D677" s="11"/>
      <c r="E677" s="11"/>
      <c r="F677" s="11"/>
      <c r="G677" s="11"/>
      <c r="H677" s="8"/>
      <c r="I677" s="8"/>
      <c r="J677" s="8"/>
      <c r="K677" s="8"/>
    </row>
    <row r="678" spans="1:11" x14ac:dyDescent="0.25">
      <c r="A678" s="11"/>
      <c r="B678" s="11"/>
      <c r="C678" s="11"/>
      <c r="D678" s="11"/>
      <c r="E678" s="11"/>
      <c r="F678" s="11"/>
      <c r="G678" s="11"/>
      <c r="H678" s="8"/>
      <c r="I678" s="8"/>
      <c r="J678" s="8"/>
      <c r="K678" s="8"/>
    </row>
    <row r="679" spans="1:11" x14ac:dyDescent="0.25">
      <c r="A679" s="11"/>
      <c r="B679" s="11"/>
      <c r="C679" s="11"/>
      <c r="D679" s="11"/>
      <c r="E679" s="11"/>
      <c r="F679" s="11"/>
      <c r="G679" s="11"/>
      <c r="H679" s="8"/>
      <c r="I679" s="8"/>
      <c r="J679" s="8"/>
      <c r="K679" s="8"/>
    </row>
    <row r="680" spans="1:11" x14ac:dyDescent="0.25">
      <c r="A680" s="11"/>
      <c r="B680" s="11"/>
      <c r="C680" s="11"/>
      <c r="D680" s="11"/>
      <c r="E680" s="11"/>
      <c r="F680" s="11"/>
      <c r="G680" s="11"/>
      <c r="H680" s="8"/>
      <c r="I680" s="8"/>
      <c r="J680" s="8"/>
      <c r="K680" s="8"/>
    </row>
    <row r="681" spans="1:11" x14ac:dyDescent="0.25">
      <c r="A681" s="11"/>
      <c r="B681" s="11"/>
      <c r="C681" s="11"/>
      <c r="D681" s="11"/>
      <c r="E681" s="11"/>
      <c r="F681" s="11"/>
      <c r="G681" s="11"/>
      <c r="H681" s="8"/>
      <c r="I681" s="8"/>
      <c r="J681" s="8"/>
      <c r="K681" s="8"/>
    </row>
    <row r="682" spans="1:11" x14ac:dyDescent="0.25">
      <c r="A682" s="11"/>
      <c r="B682" s="11"/>
      <c r="C682" s="11"/>
      <c r="D682" s="11"/>
      <c r="E682" s="11"/>
      <c r="F682" s="11"/>
      <c r="G682" s="11"/>
      <c r="H682" s="8"/>
      <c r="I682" s="8"/>
      <c r="J682" s="8"/>
      <c r="K682" s="8"/>
    </row>
    <row r="683" spans="1:11" x14ac:dyDescent="0.25">
      <c r="A683" s="11"/>
      <c r="B683" s="11"/>
      <c r="C683" s="11"/>
      <c r="D683" s="11"/>
      <c r="E683" s="11"/>
      <c r="F683" s="11"/>
      <c r="G683" s="11"/>
      <c r="H683" s="8"/>
      <c r="I683" s="8"/>
      <c r="J683" s="8"/>
      <c r="K683" s="8"/>
    </row>
    <row r="684" spans="1:11" x14ac:dyDescent="0.25">
      <c r="A684" s="11"/>
      <c r="B684" s="11"/>
      <c r="C684" s="11"/>
      <c r="D684" s="11"/>
      <c r="E684" s="11"/>
      <c r="F684" s="11"/>
      <c r="G684" s="11"/>
      <c r="H684" s="8"/>
      <c r="I684" s="8"/>
      <c r="J684" s="8"/>
      <c r="K684" s="8"/>
    </row>
    <row r="685" spans="1:11" x14ac:dyDescent="0.25">
      <c r="A685" s="11"/>
      <c r="B685" s="11"/>
      <c r="C685" s="11"/>
      <c r="D685" s="11"/>
      <c r="E685" s="11"/>
      <c r="F685" s="11"/>
      <c r="G685" s="11"/>
      <c r="H685" s="8"/>
      <c r="I685" s="8"/>
      <c r="J685" s="8"/>
      <c r="K685" s="8"/>
    </row>
    <row r="686" spans="1:11" x14ac:dyDescent="0.25">
      <c r="A686" s="11"/>
      <c r="B686" s="11"/>
      <c r="C686" s="11"/>
      <c r="D686" s="11"/>
      <c r="E686" s="11"/>
      <c r="F686" s="11"/>
      <c r="G686" s="11"/>
      <c r="H686" s="8"/>
      <c r="I686" s="8"/>
      <c r="J686" s="8"/>
      <c r="K686" s="8"/>
    </row>
    <row r="687" spans="1:11" x14ac:dyDescent="0.25">
      <c r="A687" s="11"/>
      <c r="B687" s="11"/>
      <c r="C687" s="11"/>
      <c r="D687" s="11"/>
      <c r="E687" s="11"/>
      <c r="F687" s="11"/>
      <c r="G687" s="11"/>
      <c r="H687" s="8"/>
      <c r="I687" s="8"/>
      <c r="J687" s="8"/>
      <c r="K687" s="8"/>
    </row>
    <row r="688" spans="1:11" x14ac:dyDescent="0.25">
      <c r="A688" s="11"/>
      <c r="B688" s="11"/>
      <c r="C688" s="11"/>
      <c r="D688" s="11"/>
      <c r="E688" s="11"/>
      <c r="F688" s="11"/>
      <c r="G688" s="11"/>
      <c r="H688" s="8"/>
      <c r="I688" s="8"/>
      <c r="J688" s="8"/>
      <c r="K688" s="8"/>
    </row>
    <row r="689" spans="1:11" x14ac:dyDescent="0.25">
      <c r="A689" s="11"/>
      <c r="B689" s="11"/>
      <c r="C689" s="11"/>
      <c r="D689" s="11"/>
      <c r="E689" s="11"/>
      <c r="F689" s="11"/>
      <c r="G689" s="11"/>
      <c r="H689" s="8"/>
      <c r="I689" s="8"/>
      <c r="J689" s="8"/>
      <c r="K689" s="8"/>
    </row>
    <row r="690" spans="1:11" x14ac:dyDescent="0.25">
      <c r="A690" s="11"/>
      <c r="B690" s="11"/>
      <c r="C690" s="11"/>
      <c r="D690" s="11"/>
      <c r="E690" s="11"/>
      <c r="F690" s="11"/>
      <c r="G690" s="11"/>
      <c r="H690" s="8"/>
      <c r="I690" s="8"/>
      <c r="J690" s="8"/>
      <c r="K690" s="8"/>
    </row>
    <row r="691" spans="1:11" x14ac:dyDescent="0.25">
      <c r="A691" s="11"/>
      <c r="B691" s="11"/>
      <c r="C691" s="11"/>
      <c r="D691" s="11"/>
      <c r="E691" s="11"/>
      <c r="F691" s="11"/>
      <c r="G691" s="11"/>
      <c r="H691" s="8"/>
      <c r="I691" s="8"/>
      <c r="J691" s="8"/>
      <c r="K691" s="8"/>
    </row>
    <row r="692" spans="1:11" x14ac:dyDescent="0.25">
      <c r="A692" s="11"/>
      <c r="B692" s="11"/>
      <c r="C692" s="11"/>
      <c r="D692" s="11"/>
      <c r="E692" s="11"/>
      <c r="F692" s="11"/>
      <c r="G692" s="11"/>
      <c r="H692" s="8"/>
      <c r="I692" s="8"/>
      <c r="J692" s="8"/>
      <c r="K692" s="8"/>
    </row>
    <row r="693" spans="1:11" x14ac:dyDescent="0.25">
      <c r="A693" s="11"/>
      <c r="B693" s="11"/>
      <c r="C693" s="11"/>
      <c r="D693" s="11"/>
      <c r="E693" s="11"/>
      <c r="F693" s="11"/>
      <c r="G693" s="11"/>
      <c r="H693" s="8"/>
      <c r="I693" s="8"/>
      <c r="J693" s="8"/>
      <c r="K693" s="8"/>
    </row>
    <row r="694" spans="1:11" x14ac:dyDescent="0.25">
      <c r="A694" s="11"/>
      <c r="B694" s="11"/>
      <c r="C694" s="11"/>
      <c r="D694" s="11"/>
      <c r="E694" s="11"/>
      <c r="F694" s="11"/>
      <c r="G694" s="11"/>
      <c r="H694" s="8"/>
      <c r="I694" s="8"/>
      <c r="J694" s="8"/>
      <c r="K694" s="8"/>
    </row>
    <row r="695" spans="1:11" x14ac:dyDescent="0.25">
      <c r="A695" s="11"/>
      <c r="B695" s="11"/>
      <c r="C695" s="11"/>
      <c r="D695" s="11"/>
      <c r="E695" s="11"/>
      <c r="F695" s="11"/>
      <c r="G695" s="11"/>
      <c r="H695" s="8"/>
      <c r="I695" s="8"/>
      <c r="J695" s="8"/>
      <c r="K695" s="8"/>
    </row>
    <row r="696" spans="1:11" x14ac:dyDescent="0.25">
      <c r="A696" s="11"/>
      <c r="B696" s="11"/>
      <c r="C696" s="11"/>
      <c r="D696" s="11"/>
      <c r="E696" s="11"/>
      <c r="F696" s="11"/>
      <c r="G696" s="11"/>
      <c r="H696" s="8"/>
      <c r="I696" s="8"/>
      <c r="J696" s="8"/>
      <c r="K696" s="8"/>
    </row>
    <row r="697" spans="1:11" x14ac:dyDescent="0.25">
      <c r="A697" s="11"/>
      <c r="B697" s="11"/>
      <c r="C697" s="11"/>
      <c r="D697" s="11"/>
      <c r="E697" s="11"/>
      <c r="F697" s="11"/>
      <c r="G697" s="11"/>
      <c r="H697" s="8"/>
      <c r="I697" s="8"/>
      <c r="J697" s="8"/>
      <c r="K697" s="8"/>
    </row>
    <row r="698" spans="1:11" x14ac:dyDescent="0.25">
      <c r="A698" s="11"/>
      <c r="B698" s="11"/>
      <c r="C698" s="11"/>
      <c r="D698" s="11"/>
      <c r="E698" s="11"/>
      <c r="F698" s="11"/>
      <c r="G698" s="11"/>
      <c r="H698" s="8"/>
      <c r="I698" s="8"/>
      <c r="J698" s="8"/>
      <c r="K698" s="8"/>
    </row>
    <row r="699" spans="1:11" x14ac:dyDescent="0.25">
      <c r="A699" s="11"/>
      <c r="B699" s="11"/>
      <c r="C699" s="11"/>
      <c r="D699" s="11"/>
      <c r="E699" s="11"/>
      <c r="F699" s="11"/>
      <c r="G699" s="11"/>
      <c r="H699" s="8"/>
      <c r="I699" s="8"/>
      <c r="J699" s="8"/>
      <c r="K699" s="8"/>
    </row>
    <row r="700" spans="1:11" x14ac:dyDescent="0.25">
      <c r="A700" s="11"/>
      <c r="B700" s="11"/>
      <c r="C700" s="11"/>
      <c r="D700" s="11"/>
      <c r="E700" s="11"/>
      <c r="F700" s="11"/>
      <c r="G700" s="11"/>
      <c r="H700" s="8"/>
      <c r="I700" s="8"/>
      <c r="J700" s="8"/>
      <c r="K700" s="8"/>
    </row>
    <row r="701" spans="1:11" x14ac:dyDescent="0.25">
      <c r="A701" s="11"/>
      <c r="B701" s="11"/>
      <c r="C701" s="11"/>
      <c r="D701" s="11"/>
      <c r="E701" s="11"/>
      <c r="F701" s="11"/>
      <c r="G701" s="11"/>
      <c r="H701" s="8"/>
      <c r="I701" s="8"/>
      <c r="J701" s="8"/>
      <c r="K701" s="8"/>
    </row>
    <row r="702" spans="1:11" x14ac:dyDescent="0.25">
      <c r="A702" s="11"/>
      <c r="B702" s="11"/>
      <c r="C702" s="11"/>
      <c r="D702" s="11"/>
      <c r="E702" s="11"/>
      <c r="F702" s="11"/>
      <c r="G702" s="11"/>
      <c r="H702" s="8"/>
      <c r="I702" s="8"/>
      <c r="J702" s="8"/>
      <c r="K702" s="8"/>
    </row>
    <row r="703" spans="1:11" x14ac:dyDescent="0.25">
      <c r="A703" s="11"/>
      <c r="B703" s="11"/>
      <c r="C703" s="11"/>
      <c r="D703" s="11"/>
      <c r="E703" s="11"/>
      <c r="F703" s="11"/>
      <c r="G703" s="11"/>
      <c r="H703" s="8"/>
      <c r="I703" s="8"/>
      <c r="J703" s="8"/>
      <c r="K703" s="8"/>
    </row>
    <row r="704" spans="1:11" x14ac:dyDescent="0.25">
      <c r="A704" s="11"/>
      <c r="B704" s="11"/>
      <c r="C704" s="11"/>
      <c r="D704" s="11"/>
      <c r="E704" s="11"/>
      <c r="F704" s="11"/>
      <c r="G704" s="11"/>
      <c r="H704" s="8"/>
      <c r="I704" s="8"/>
      <c r="J704" s="8"/>
      <c r="K704" s="8"/>
    </row>
    <row r="705" spans="1:11" x14ac:dyDescent="0.25">
      <c r="A705" s="11"/>
      <c r="B705" s="11"/>
      <c r="C705" s="11"/>
      <c r="D705" s="11"/>
      <c r="E705" s="11"/>
      <c r="F705" s="11"/>
      <c r="G705" s="11"/>
      <c r="H705" s="8"/>
      <c r="I705" s="8"/>
      <c r="J705" s="8"/>
      <c r="K705" s="8"/>
    </row>
    <row r="706" spans="1:11" x14ac:dyDescent="0.25">
      <c r="A706" s="11"/>
      <c r="B706" s="11"/>
      <c r="C706" s="11"/>
      <c r="D706" s="11"/>
      <c r="E706" s="11"/>
      <c r="F706" s="11"/>
      <c r="G706" s="11"/>
      <c r="H706" s="8"/>
      <c r="I706" s="8"/>
      <c r="J706" s="8"/>
      <c r="K706" s="8"/>
    </row>
    <row r="707" spans="1:11" x14ac:dyDescent="0.25">
      <c r="A707" s="11"/>
      <c r="B707" s="11"/>
      <c r="C707" s="11"/>
      <c r="D707" s="11"/>
      <c r="E707" s="11"/>
      <c r="F707" s="11"/>
      <c r="G707" s="11"/>
      <c r="H707" s="8"/>
      <c r="I707" s="8"/>
      <c r="J707" s="8"/>
      <c r="K707" s="8"/>
    </row>
    <row r="708" spans="1:11" x14ac:dyDescent="0.25">
      <c r="A708" s="11"/>
      <c r="B708" s="11"/>
      <c r="C708" s="11"/>
      <c r="D708" s="11"/>
      <c r="E708" s="11"/>
      <c r="F708" s="11"/>
      <c r="G708" s="11"/>
      <c r="H708" s="8"/>
      <c r="I708" s="8"/>
      <c r="J708" s="8"/>
      <c r="K708" s="8"/>
    </row>
    <row r="709" spans="1:11" x14ac:dyDescent="0.25">
      <c r="A709" s="11"/>
      <c r="B709" s="11"/>
      <c r="C709" s="11"/>
      <c r="D709" s="11"/>
      <c r="E709" s="11"/>
      <c r="F709" s="11"/>
      <c r="G709" s="11"/>
      <c r="H709" s="8"/>
      <c r="I709" s="8"/>
      <c r="J709" s="8"/>
      <c r="K709" s="8"/>
    </row>
    <row r="710" spans="1:11" x14ac:dyDescent="0.25">
      <c r="A710" s="11"/>
      <c r="B710" s="11"/>
      <c r="C710" s="11"/>
      <c r="D710" s="11"/>
      <c r="E710" s="11"/>
      <c r="F710" s="11"/>
      <c r="G710" s="11"/>
      <c r="H710" s="8"/>
      <c r="I710" s="8"/>
      <c r="J710" s="8"/>
      <c r="K710" s="8"/>
    </row>
    <row r="711" spans="1:11" x14ac:dyDescent="0.25">
      <c r="A711" s="11"/>
      <c r="B711" s="11"/>
      <c r="C711" s="11"/>
      <c r="D711" s="11"/>
      <c r="E711" s="11"/>
      <c r="F711" s="11"/>
      <c r="G711" s="11"/>
      <c r="H711" s="8"/>
      <c r="I711" s="8"/>
      <c r="J711" s="8"/>
      <c r="K711" s="8"/>
    </row>
    <row r="712" spans="1:11" x14ac:dyDescent="0.25">
      <c r="A712" s="11"/>
      <c r="B712" s="11"/>
      <c r="C712" s="11"/>
      <c r="D712" s="11"/>
      <c r="E712" s="11"/>
      <c r="F712" s="11"/>
      <c r="G712" s="11"/>
      <c r="H712" s="8"/>
      <c r="I712" s="8"/>
      <c r="J712" s="8"/>
      <c r="K712" s="8"/>
    </row>
    <row r="713" spans="1:11" x14ac:dyDescent="0.25">
      <c r="A713" s="11"/>
      <c r="B713" s="11"/>
      <c r="C713" s="11"/>
      <c r="D713" s="11"/>
      <c r="E713" s="11"/>
      <c r="F713" s="11"/>
      <c r="G713" s="11"/>
      <c r="H713" s="8"/>
      <c r="I713" s="8"/>
      <c r="J713" s="8"/>
      <c r="K713" s="8"/>
    </row>
    <row r="714" spans="1:11" x14ac:dyDescent="0.25">
      <c r="A714" s="11"/>
      <c r="B714" s="11"/>
      <c r="C714" s="11"/>
      <c r="D714" s="11"/>
      <c r="E714" s="11"/>
      <c r="F714" s="11"/>
      <c r="G714" s="11"/>
      <c r="H714" s="8"/>
      <c r="I714" s="8"/>
      <c r="J714" s="8"/>
      <c r="K714" s="8"/>
    </row>
    <row r="715" spans="1:11" x14ac:dyDescent="0.25">
      <c r="A715" s="11"/>
      <c r="B715" s="11"/>
      <c r="C715" s="11"/>
      <c r="D715" s="11"/>
      <c r="E715" s="11"/>
      <c r="F715" s="11"/>
      <c r="G715" s="11"/>
      <c r="H715" s="8"/>
      <c r="I715" s="8"/>
      <c r="J715" s="8"/>
      <c r="K715" s="8"/>
    </row>
    <row r="716" spans="1:11" x14ac:dyDescent="0.25">
      <c r="A716" s="11"/>
      <c r="B716" s="11"/>
      <c r="C716" s="11"/>
      <c r="D716" s="11"/>
      <c r="E716" s="11"/>
      <c r="F716" s="11"/>
      <c r="G716" s="11"/>
      <c r="H716" s="8"/>
      <c r="I716" s="8"/>
      <c r="J716" s="8"/>
      <c r="K716" s="8"/>
    </row>
    <row r="717" spans="1:11" x14ac:dyDescent="0.25">
      <c r="A717" s="11"/>
      <c r="B717" s="11"/>
      <c r="C717" s="11"/>
      <c r="D717" s="11"/>
      <c r="E717" s="11"/>
      <c r="F717" s="11"/>
      <c r="G717" s="11"/>
      <c r="H717" s="8"/>
      <c r="I717" s="8"/>
      <c r="J717" s="8"/>
      <c r="K717" s="8"/>
    </row>
    <row r="718" spans="1:11" x14ac:dyDescent="0.25">
      <c r="A718" s="11"/>
      <c r="B718" s="11"/>
      <c r="C718" s="11"/>
      <c r="D718" s="11"/>
      <c r="E718" s="11"/>
      <c r="F718" s="11"/>
      <c r="G718" s="11"/>
      <c r="H718" s="8"/>
      <c r="I718" s="8"/>
      <c r="J718" s="8"/>
      <c r="K718" s="8"/>
    </row>
    <row r="719" spans="1:11" x14ac:dyDescent="0.25">
      <c r="A719" s="11"/>
      <c r="B719" s="11"/>
      <c r="C719" s="11"/>
      <c r="D719" s="11"/>
      <c r="E719" s="11"/>
      <c r="F719" s="11"/>
      <c r="G719" s="11"/>
      <c r="H719" s="8"/>
      <c r="I719" s="8"/>
      <c r="J719" s="8"/>
      <c r="K719" s="8"/>
    </row>
    <row r="720" spans="1:11" x14ac:dyDescent="0.25">
      <c r="A720" s="11"/>
      <c r="B720" s="11"/>
      <c r="C720" s="11"/>
      <c r="D720" s="11"/>
      <c r="E720" s="11"/>
      <c r="F720" s="11"/>
      <c r="G720" s="11"/>
      <c r="H720" s="8"/>
      <c r="I720" s="8"/>
      <c r="J720" s="8"/>
      <c r="K720" s="8"/>
    </row>
    <row r="721" spans="1:11" x14ac:dyDescent="0.25">
      <c r="A721" s="11"/>
      <c r="B721" s="11"/>
      <c r="C721" s="11"/>
      <c r="D721" s="11"/>
      <c r="E721" s="11"/>
      <c r="F721" s="11"/>
      <c r="G721" s="11"/>
      <c r="H721" s="8"/>
      <c r="I721" s="8"/>
      <c r="J721" s="8"/>
      <c r="K721" s="8"/>
    </row>
    <row r="722" spans="1:11" x14ac:dyDescent="0.25">
      <c r="A722" s="11"/>
      <c r="B722" s="11"/>
      <c r="C722" s="11"/>
      <c r="D722" s="11"/>
      <c r="E722" s="11"/>
      <c r="F722" s="11"/>
      <c r="G722" s="11"/>
      <c r="H722" s="8"/>
      <c r="I722" s="8"/>
      <c r="J722" s="8"/>
      <c r="K722" s="8"/>
    </row>
    <row r="723" spans="1:11" x14ac:dyDescent="0.25">
      <c r="A723" s="11"/>
      <c r="B723" s="11"/>
      <c r="C723" s="11"/>
      <c r="D723" s="11"/>
      <c r="E723" s="11"/>
      <c r="F723" s="11"/>
      <c r="G723" s="11"/>
      <c r="H723" s="8"/>
      <c r="I723" s="8"/>
      <c r="J723" s="8"/>
      <c r="K723" s="8"/>
    </row>
    <row r="724" spans="1:11" x14ac:dyDescent="0.25">
      <c r="A724" s="11"/>
      <c r="B724" s="11"/>
      <c r="C724" s="11"/>
      <c r="D724" s="11"/>
      <c r="E724" s="11"/>
      <c r="F724" s="11"/>
      <c r="G724" s="11"/>
      <c r="H724" s="8"/>
      <c r="I724" s="8"/>
      <c r="J724" s="8"/>
      <c r="K724" s="8"/>
    </row>
    <row r="725" spans="1:11" x14ac:dyDescent="0.25">
      <c r="A725" s="11"/>
      <c r="B725" s="11"/>
      <c r="C725" s="11"/>
      <c r="D725" s="11"/>
      <c r="E725" s="11"/>
      <c r="F725" s="11"/>
      <c r="G725" s="11"/>
      <c r="H725" s="8"/>
      <c r="I725" s="8"/>
      <c r="J725" s="8"/>
      <c r="K725" s="8"/>
    </row>
    <row r="726" spans="1:11" x14ac:dyDescent="0.25">
      <c r="A726" s="11"/>
      <c r="B726" s="11"/>
      <c r="C726" s="11"/>
      <c r="D726" s="11"/>
      <c r="E726" s="11"/>
      <c r="F726" s="11"/>
      <c r="G726" s="11"/>
      <c r="H726" s="8"/>
      <c r="I726" s="8"/>
      <c r="J726" s="8"/>
      <c r="K726" s="8"/>
    </row>
    <row r="727" spans="1:11" x14ac:dyDescent="0.25">
      <c r="A727" s="11"/>
      <c r="B727" s="11"/>
      <c r="C727" s="11"/>
      <c r="D727" s="11"/>
      <c r="E727" s="11"/>
      <c r="F727" s="11"/>
      <c r="G727" s="11"/>
      <c r="H727" s="8"/>
      <c r="I727" s="8"/>
      <c r="J727" s="8"/>
      <c r="K727" s="8"/>
    </row>
    <row r="728" spans="1:11" x14ac:dyDescent="0.25">
      <c r="A728" s="11"/>
      <c r="B728" s="11"/>
      <c r="C728" s="11"/>
      <c r="D728" s="11"/>
      <c r="E728" s="11"/>
      <c r="F728" s="11"/>
      <c r="G728" s="11"/>
      <c r="H728" s="8"/>
      <c r="I728" s="8"/>
      <c r="J728" s="8"/>
      <c r="K728" s="8"/>
    </row>
    <row r="729" spans="1:11" x14ac:dyDescent="0.25">
      <c r="A729" s="11"/>
      <c r="B729" s="11"/>
      <c r="C729" s="11"/>
      <c r="D729" s="11"/>
      <c r="E729" s="11"/>
      <c r="F729" s="11"/>
      <c r="G729" s="11"/>
      <c r="H729" s="8"/>
      <c r="I729" s="8"/>
      <c r="J729" s="8"/>
      <c r="K729" s="8"/>
    </row>
    <row r="730" spans="1:11" x14ac:dyDescent="0.25">
      <c r="A730" s="11"/>
      <c r="B730" s="11"/>
      <c r="C730" s="11"/>
      <c r="D730" s="11"/>
      <c r="E730" s="11"/>
      <c r="F730" s="11"/>
      <c r="G730" s="11"/>
      <c r="H730" s="8"/>
      <c r="I730" s="8"/>
      <c r="J730" s="8"/>
      <c r="K730" s="8"/>
    </row>
    <row r="731" spans="1:11" x14ac:dyDescent="0.25">
      <c r="A731" s="11"/>
      <c r="B731" s="11"/>
      <c r="C731" s="11"/>
      <c r="D731" s="11"/>
      <c r="E731" s="11"/>
      <c r="F731" s="11"/>
      <c r="G731" s="11"/>
      <c r="H731" s="8"/>
      <c r="I731" s="8"/>
      <c r="J731" s="8"/>
      <c r="K731" s="8"/>
    </row>
    <row r="732" spans="1:11" x14ac:dyDescent="0.25">
      <c r="A732" s="11"/>
      <c r="B732" s="11"/>
      <c r="C732" s="11"/>
      <c r="D732" s="11"/>
      <c r="E732" s="11"/>
      <c r="F732" s="11"/>
      <c r="G732" s="11"/>
      <c r="H732" s="8"/>
      <c r="I732" s="8"/>
      <c r="J732" s="8"/>
      <c r="K732" s="8"/>
    </row>
    <row r="733" spans="1:11" x14ac:dyDescent="0.25">
      <c r="A733" s="11"/>
      <c r="B733" s="11"/>
      <c r="C733" s="11"/>
      <c r="D733" s="11"/>
      <c r="E733" s="11"/>
      <c r="F733" s="11"/>
      <c r="G733" s="11"/>
      <c r="H733" s="8"/>
      <c r="I733" s="8"/>
      <c r="J733" s="8"/>
      <c r="K733" s="8"/>
    </row>
    <row r="734" spans="1:11" x14ac:dyDescent="0.25">
      <c r="A734" s="11"/>
      <c r="B734" s="11"/>
      <c r="C734" s="11"/>
      <c r="D734" s="11"/>
      <c r="E734" s="11"/>
      <c r="F734" s="11"/>
      <c r="G734" s="11"/>
      <c r="H734" s="8"/>
      <c r="I734" s="8"/>
      <c r="J734" s="8"/>
      <c r="K734" s="8"/>
    </row>
    <row r="735" spans="1:11" x14ac:dyDescent="0.25">
      <c r="A735" s="11"/>
      <c r="B735" s="11"/>
      <c r="C735" s="11"/>
      <c r="D735" s="11"/>
      <c r="E735" s="11"/>
      <c r="F735" s="11"/>
      <c r="G735" s="11"/>
      <c r="H735" s="8"/>
      <c r="I735" s="8"/>
      <c r="J735" s="8"/>
      <c r="K735" s="8"/>
    </row>
    <row r="736" spans="1:11" x14ac:dyDescent="0.25">
      <c r="A736" s="11"/>
      <c r="B736" s="11"/>
      <c r="C736" s="11"/>
      <c r="D736" s="11"/>
      <c r="E736" s="11"/>
      <c r="F736" s="11"/>
      <c r="G736" s="11"/>
      <c r="H736" s="8"/>
      <c r="I736" s="8"/>
      <c r="J736" s="8"/>
      <c r="K736" s="8"/>
    </row>
    <row r="737" spans="1:11" x14ac:dyDescent="0.25">
      <c r="A737" s="11"/>
      <c r="B737" s="11"/>
      <c r="C737" s="11"/>
      <c r="D737" s="11"/>
      <c r="E737" s="11"/>
      <c r="F737" s="11"/>
      <c r="G737" s="11"/>
      <c r="H737" s="8"/>
      <c r="I737" s="8"/>
      <c r="J737" s="8"/>
      <c r="K737" s="8"/>
    </row>
    <row r="738" spans="1:11" x14ac:dyDescent="0.25">
      <c r="A738" s="11"/>
      <c r="B738" s="11"/>
      <c r="C738" s="11"/>
      <c r="D738" s="11"/>
      <c r="E738" s="11"/>
      <c r="F738" s="11"/>
      <c r="G738" s="11"/>
      <c r="H738" s="8"/>
      <c r="I738" s="8"/>
      <c r="J738" s="8"/>
      <c r="K738" s="8"/>
    </row>
    <row r="739" spans="1:11" x14ac:dyDescent="0.25">
      <c r="A739" s="11"/>
      <c r="B739" s="11"/>
      <c r="C739" s="11"/>
      <c r="D739" s="11"/>
      <c r="E739" s="11"/>
      <c r="F739" s="11"/>
      <c r="G739" s="11"/>
      <c r="H739" s="8"/>
      <c r="I739" s="8"/>
      <c r="J739" s="8"/>
      <c r="K739" s="8"/>
    </row>
    <row r="740" spans="1:11" x14ac:dyDescent="0.25">
      <c r="A740" s="11"/>
      <c r="B740" s="11"/>
      <c r="C740" s="11"/>
      <c r="D740" s="11"/>
      <c r="E740" s="11"/>
      <c r="F740" s="11"/>
      <c r="G740" s="11"/>
      <c r="H740" s="8"/>
      <c r="I740" s="8"/>
      <c r="J740" s="8"/>
      <c r="K740" s="8"/>
    </row>
    <row r="741" spans="1:11" x14ac:dyDescent="0.25">
      <c r="A741" s="11"/>
      <c r="B741" s="11"/>
      <c r="C741" s="11"/>
      <c r="D741" s="11"/>
      <c r="E741" s="11"/>
      <c r="F741" s="11"/>
      <c r="G741" s="11"/>
      <c r="H741" s="8"/>
      <c r="I741" s="8"/>
      <c r="J741" s="8"/>
      <c r="K741" s="8"/>
    </row>
    <row r="742" spans="1:11" x14ac:dyDescent="0.25">
      <c r="A742" s="11"/>
      <c r="B742" s="11"/>
      <c r="C742" s="11"/>
      <c r="D742" s="11"/>
      <c r="E742" s="11"/>
      <c r="F742" s="11"/>
      <c r="G742" s="11"/>
      <c r="H742" s="8"/>
      <c r="I742" s="8"/>
      <c r="J742" s="8"/>
      <c r="K742" s="8"/>
    </row>
    <row r="743" spans="1:11" x14ac:dyDescent="0.25">
      <c r="A743" s="11"/>
      <c r="B743" s="11"/>
      <c r="C743" s="11"/>
      <c r="D743" s="11"/>
      <c r="E743" s="11"/>
      <c r="F743" s="11"/>
      <c r="G743" s="11"/>
      <c r="H743" s="8"/>
      <c r="I743" s="8"/>
      <c r="J743" s="8"/>
      <c r="K743" s="8"/>
    </row>
    <row r="744" spans="1:11" x14ac:dyDescent="0.25">
      <c r="A744" s="11"/>
      <c r="B744" s="11"/>
      <c r="C744" s="11"/>
      <c r="D744" s="11"/>
      <c r="E744" s="11"/>
      <c r="F744" s="11"/>
      <c r="G744" s="11"/>
      <c r="H744" s="8"/>
      <c r="I744" s="8"/>
      <c r="J744" s="8"/>
      <c r="K744" s="8"/>
    </row>
    <row r="745" spans="1:11" x14ac:dyDescent="0.25">
      <c r="A745" s="11"/>
      <c r="B745" s="11"/>
      <c r="C745" s="11"/>
      <c r="D745" s="11"/>
      <c r="E745" s="11"/>
      <c r="F745" s="11"/>
      <c r="G745" s="11"/>
      <c r="H745" s="8"/>
      <c r="I745" s="8"/>
      <c r="J745" s="8"/>
      <c r="K745" s="8"/>
    </row>
    <row r="746" spans="1:11" x14ac:dyDescent="0.25">
      <c r="A746" s="11"/>
      <c r="B746" s="11"/>
      <c r="C746" s="11"/>
      <c r="D746" s="11"/>
      <c r="E746" s="11"/>
      <c r="F746" s="11"/>
      <c r="G746" s="11"/>
      <c r="H746" s="8"/>
      <c r="I746" s="8"/>
      <c r="J746" s="8"/>
      <c r="K746" s="8"/>
    </row>
    <row r="747" spans="1:11" x14ac:dyDescent="0.25">
      <c r="A747" s="11"/>
      <c r="B747" s="11"/>
      <c r="C747" s="11"/>
      <c r="D747" s="11"/>
      <c r="E747" s="11"/>
      <c r="F747" s="11"/>
      <c r="G747" s="11"/>
      <c r="H747" s="8"/>
      <c r="I747" s="8"/>
      <c r="J747" s="8"/>
      <c r="K747" s="8"/>
    </row>
    <row r="748" spans="1:11" x14ac:dyDescent="0.25">
      <c r="A748" s="11"/>
      <c r="B748" s="11"/>
      <c r="C748" s="11"/>
      <c r="D748" s="11"/>
      <c r="E748" s="11"/>
      <c r="F748" s="11"/>
      <c r="G748" s="11"/>
      <c r="H748" s="8"/>
      <c r="I748" s="8"/>
      <c r="J748" s="8"/>
      <c r="K748" s="8"/>
    </row>
    <row r="749" spans="1:11" x14ac:dyDescent="0.25">
      <c r="A749" s="11"/>
      <c r="B749" s="11"/>
      <c r="C749" s="11"/>
      <c r="D749" s="11"/>
      <c r="E749" s="11"/>
      <c r="F749" s="11"/>
      <c r="G749" s="11"/>
      <c r="H749" s="8"/>
      <c r="I749" s="8"/>
      <c r="J749" s="8"/>
      <c r="K749" s="8"/>
    </row>
    <row r="750" spans="1:11" x14ac:dyDescent="0.25">
      <c r="A750" s="11"/>
      <c r="B750" s="11"/>
      <c r="C750" s="11"/>
      <c r="D750" s="11"/>
      <c r="E750" s="11"/>
      <c r="F750" s="11"/>
      <c r="G750" s="11"/>
      <c r="H750" s="8"/>
      <c r="I750" s="8"/>
      <c r="J750" s="8"/>
      <c r="K750" s="8"/>
    </row>
    <row r="751" spans="1:11" x14ac:dyDescent="0.25">
      <c r="A751" s="11"/>
      <c r="B751" s="11"/>
      <c r="C751" s="11"/>
      <c r="D751" s="11"/>
      <c r="E751" s="11"/>
      <c r="F751" s="11"/>
      <c r="G751" s="11"/>
      <c r="H751" s="8"/>
      <c r="I751" s="8"/>
      <c r="J751" s="8"/>
      <c r="K751" s="8"/>
    </row>
    <row r="752" spans="1:11" x14ac:dyDescent="0.25">
      <c r="A752" s="11"/>
      <c r="B752" s="11"/>
      <c r="C752" s="11"/>
      <c r="D752" s="11"/>
      <c r="E752" s="11"/>
      <c r="F752" s="11"/>
      <c r="G752" s="11"/>
      <c r="H752" s="8"/>
      <c r="I752" s="8"/>
      <c r="J752" s="8"/>
      <c r="K752" s="8"/>
    </row>
    <row r="753" spans="1:11" x14ac:dyDescent="0.25">
      <c r="A753" s="11"/>
      <c r="B753" s="11"/>
      <c r="C753" s="11"/>
      <c r="D753" s="11"/>
      <c r="E753" s="11"/>
      <c r="F753" s="11"/>
      <c r="G753" s="11"/>
      <c r="H753" s="8"/>
      <c r="I753" s="8"/>
      <c r="J753" s="8"/>
      <c r="K753" s="8"/>
    </row>
    <row r="754" spans="1:11" x14ac:dyDescent="0.25">
      <c r="A754" s="11"/>
      <c r="B754" s="11"/>
      <c r="C754" s="11"/>
      <c r="D754" s="11"/>
      <c r="E754" s="11"/>
      <c r="F754" s="11"/>
      <c r="G754" s="11"/>
      <c r="H754" s="8"/>
      <c r="I754" s="8"/>
      <c r="J754" s="8"/>
      <c r="K754" s="8"/>
    </row>
    <row r="755" spans="1:11" x14ac:dyDescent="0.25">
      <c r="A755" s="11"/>
      <c r="B755" s="11"/>
      <c r="C755" s="11"/>
      <c r="D755" s="11"/>
      <c r="E755" s="11"/>
      <c r="F755" s="11"/>
      <c r="G755" s="11"/>
      <c r="H755" s="8"/>
      <c r="I755" s="8"/>
      <c r="J755" s="8"/>
      <c r="K755" s="8"/>
    </row>
    <row r="756" spans="1:11" x14ac:dyDescent="0.25">
      <c r="A756" s="11"/>
      <c r="B756" s="11"/>
      <c r="C756" s="11"/>
      <c r="D756" s="11"/>
      <c r="E756" s="11"/>
      <c r="F756" s="11"/>
      <c r="G756" s="11"/>
      <c r="H756" s="8"/>
      <c r="I756" s="8"/>
      <c r="J756" s="8"/>
      <c r="K756" s="8"/>
    </row>
    <row r="757" spans="1:11" x14ac:dyDescent="0.25">
      <c r="A757" s="11"/>
      <c r="B757" s="11"/>
      <c r="C757" s="11"/>
      <c r="D757" s="11"/>
      <c r="E757" s="11"/>
      <c r="F757" s="11"/>
      <c r="G757" s="11"/>
      <c r="H757" s="8"/>
      <c r="I757" s="8"/>
      <c r="J757" s="8"/>
      <c r="K757" s="8"/>
    </row>
    <row r="758" spans="1:11" x14ac:dyDescent="0.25">
      <c r="A758" s="11"/>
      <c r="B758" s="11"/>
      <c r="C758" s="11"/>
      <c r="D758" s="11"/>
      <c r="E758" s="11"/>
      <c r="F758" s="11"/>
      <c r="G758" s="11"/>
      <c r="H758" s="8"/>
      <c r="I758" s="8"/>
      <c r="J758" s="8"/>
      <c r="K758" s="8"/>
    </row>
    <row r="759" spans="1:11" x14ac:dyDescent="0.25">
      <c r="A759" s="11"/>
      <c r="B759" s="11"/>
      <c r="C759" s="11"/>
      <c r="D759" s="11"/>
      <c r="E759" s="11"/>
      <c r="F759" s="11"/>
      <c r="G759" s="11"/>
      <c r="H759" s="8"/>
      <c r="I759" s="8"/>
      <c r="J759" s="8"/>
      <c r="K759" s="8"/>
    </row>
    <row r="760" spans="1:11" x14ac:dyDescent="0.25">
      <c r="A760" s="11"/>
      <c r="B760" s="11"/>
      <c r="C760" s="11"/>
      <c r="D760" s="11"/>
      <c r="E760" s="11"/>
      <c r="F760" s="11"/>
      <c r="G760" s="11"/>
      <c r="H760" s="8"/>
      <c r="I760" s="8"/>
      <c r="J760" s="8"/>
      <c r="K760" s="8"/>
    </row>
    <row r="761" spans="1:11" x14ac:dyDescent="0.25">
      <c r="A761" s="11"/>
      <c r="B761" s="11"/>
      <c r="C761" s="11"/>
      <c r="D761" s="11"/>
      <c r="E761" s="11"/>
      <c r="F761" s="11"/>
      <c r="G761" s="11"/>
      <c r="H761" s="8"/>
      <c r="I761" s="8"/>
      <c r="J761" s="8"/>
      <c r="K761" s="8"/>
    </row>
    <row r="762" spans="1:11" x14ac:dyDescent="0.25">
      <c r="A762" s="11"/>
      <c r="B762" s="11"/>
      <c r="C762" s="11"/>
      <c r="D762" s="11"/>
      <c r="E762" s="11"/>
      <c r="F762" s="11"/>
      <c r="G762" s="11"/>
      <c r="H762" s="8"/>
      <c r="I762" s="8"/>
      <c r="J762" s="8"/>
      <c r="K762" s="8"/>
    </row>
    <row r="763" spans="1:11" x14ac:dyDescent="0.25">
      <c r="A763" s="11"/>
      <c r="B763" s="11"/>
      <c r="C763" s="11"/>
      <c r="D763" s="11"/>
      <c r="E763" s="11"/>
      <c r="F763" s="11"/>
      <c r="G763" s="11"/>
      <c r="H763" s="8"/>
      <c r="I763" s="8"/>
      <c r="J763" s="8"/>
      <c r="K763" s="8"/>
    </row>
    <row r="764" spans="1:11" x14ac:dyDescent="0.25">
      <c r="A764" s="11"/>
      <c r="B764" s="11"/>
      <c r="C764" s="11"/>
      <c r="D764" s="11"/>
      <c r="E764" s="11"/>
      <c r="F764" s="11"/>
      <c r="G764" s="11"/>
      <c r="H764" s="8"/>
      <c r="I764" s="8"/>
      <c r="J764" s="8"/>
      <c r="K764" s="8"/>
    </row>
    <row r="765" spans="1:11" x14ac:dyDescent="0.25">
      <c r="A765" s="11"/>
      <c r="B765" s="11"/>
      <c r="C765" s="11"/>
      <c r="D765" s="11"/>
      <c r="E765" s="11"/>
      <c r="F765" s="11"/>
      <c r="G765" s="11"/>
      <c r="H765" s="8"/>
      <c r="I765" s="8"/>
      <c r="J765" s="8"/>
      <c r="K765" s="8"/>
    </row>
    <row r="766" spans="1:11" x14ac:dyDescent="0.25">
      <c r="A766" s="11"/>
      <c r="B766" s="11"/>
      <c r="C766" s="11"/>
      <c r="D766" s="11"/>
      <c r="E766" s="11"/>
      <c r="F766" s="11"/>
      <c r="G766" s="11"/>
      <c r="H766" s="8"/>
      <c r="I766" s="8"/>
      <c r="J766" s="8"/>
      <c r="K766" s="8"/>
    </row>
    <row r="767" spans="1:11" x14ac:dyDescent="0.25">
      <c r="A767" s="11"/>
      <c r="B767" s="11"/>
      <c r="C767" s="11"/>
      <c r="D767" s="11"/>
      <c r="E767" s="11"/>
      <c r="F767" s="11"/>
      <c r="G767" s="11"/>
      <c r="H767" s="8"/>
      <c r="I767" s="8"/>
      <c r="J767" s="8"/>
      <c r="K767" s="8"/>
    </row>
    <row r="768" spans="1:11" x14ac:dyDescent="0.25">
      <c r="A768" s="11"/>
      <c r="B768" s="11"/>
      <c r="C768" s="11"/>
      <c r="D768" s="11"/>
      <c r="E768" s="11"/>
      <c r="F768" s="11"/>
      <c r="G768" s="11"/>
      <c r="H768" s="8"/>
      <c r="I768" s="8"/>
      <c r="J768" s="8"/>
      <c r="K768" s="8"/>
    </row>
    <row r="769" spans="1:11" x14ac:dyDescent="0.25">
      <c r="A769" s="11"/>
      <c r="B769" s="11"/>
      <c r="C769" s="11"/>
      <c r="D769" s="11"/>
      <c r="E769" s="11"/>
      <c r="F769" s="11"/>
      <c r="G769" s="11"/>
      <c r="H769" s="8"/>
      <c r="I769" s="8"/>
      <c r="J769" s="8"/>
      <c r="K769" s="8"/>
    </row>
    <row r="770" spans="1:11" x14ac:dyDescent="0.25">
      <c r="A770" s="11"/>
      <c r="B770" s="11"/>
      <c r="C770" s="11"/>
      <c r="D770" s="11"/>
      <c r="E770" s="11"/>
      <c r="F770" s="11"/>
      <c r="G770" s="11"/>
      <c r="H770" s="8"/>
      <c r="I770" s="8"/>
      <c r="J770" s="8"/>
      <c r="K770" s="8"/>
    </row>
    <row r="771" spans="1:11" x14ac:dyDescent="0.25">
      <c r="A771" s="11"/>
      <c r="B771" s="11"/>
      <c r="C771" s="11"/>
      <c r="D771" s="11"/>
      <c r="E771" s="11"/>
      <c r="F771" s="11"/>
      <c r="G771" s="11"/>
      <c r="H771" s="8"/>
      <c r="I771" s="8"/>
      <c r="J771" s="8"/>
      <c r="K771" s="8"/>
    </row>
    <row r="772" spans="1:11" x14ac:dyDescent="0.25">
      <c r="A772" s="11"/>
      <c r="B772" s="11"/>
      <c r="C772" s="11"/>
      <c r="D772" s="11"/>
      <c r="E772" s="11"/>
      <c r="F772" s="11"/>
      <c r="G772" s="11"/>
      <c r="H772" s="8"/>
      <c r="I772" s="8"/>
      <c r="J772" s="8"/>
      <c r="K772" s="8"/>
    </row>
    <row r="773" spans="1:11" x14ac:dyDescent="0.25">
      <c r="A773" s="11"/>
      <c r="B773" s="11"/>
      <c r="C773" s="11"/>
      <c r="D773" s="11"/>
      <c r="E773" s="11"/>
      <c r="F773" s="11"/>
      <c r="G773" s="11"/>
      <c r="H773" s="8"/>
      <c r="I773" s="8"/>
      <c r="J773" s="8"/>
      <c r="K773" s="8"/>
    </row>
    <row r="774" spans="1:11" x14ac:dyDescent="0.25">
      <c r="A774" s="11"/>
      <c r="B774" s="11"/>
      <c r="C774" s="11"/>
      <c r="D774" s="11"/>
      <c r="E774" s="11"/>
      <c r="F774" s="11"/>
      <c r="G774" s="11"/>
      <c r="H774" s="8"/>
      <c r="I774" s="8"/>
      <c r="J774" s="8"/>
      <c r="K774" s="8"/>
    </row>
    <row r="775" spans="1:11" x14ac:dyDescent="0.25">
      <c r="A775" s="11"/>
      <c r="B775" s="11"/>
      <c r="C775" s="11"/>
      <c r="D775" s="11"/>
      <c r="E775" s="11"/>
      <c r="F775" s="11"/>
      <c r="G775" s="11"/>
      <c r="H775" s="8"/>
      <c r="I775" s="8"/>
      <c r="J775" s="8"/>
      <c r="K775" s="8"/>
    </row>
    <row r="776" spans="1:11" x14ac:dyDescent="0.25">
      <c r="A776" s="11"/>
      <c r="B776" s="11"/>
      <c r="C776" s="11"/>
      <c r="D776" s="11"/>
      <c r="E776" s="11"/>
      <c r="F776" s="11"/>
      <c r="G776" s="11"/>
      <c r="H776" s="8"/>
      <c r="I776" s="8"/>
      <c r="J776" s="8"/>
      <c r="K776" s="8"/>
    </row>
    <row r="777" spans="1:11" x14ac:dyDescent="0.25">
      <c r="A777" s="11"/>
      <c r="B777" s="11"/>
      <c r="C777" s="11"/>
      <c r="D777" s="11"/>
      <c r="E777" s="11"/>
      <c r="F777" s="11"/>
      <c r="G777" s="11"/>
      <c r="H777" s="8"/>
      <c r="I777" s="8"/>
      <c r="J777" s="8"/>
      <c r="K777" s="8"/>
    </row>
    <row r="778" spans="1:11" x14ac:dyDescent="0.25">
      <c r="A778" s="11"/>
      <c r="B778" s="11"/>
      <c r="C778" s="11"/>
      <c r="D778" s="11"/>
      <c r="E778" s="11"/>
      <c r="F778" s="11"/>
      <c r="G778" s="11"/>
      <c r="H778" s="8"/>
      <c r="I778" s="8"/>
      <c r="J778" s="8"/>
      <c r="K778" s="8"/>
    </row>
    <row r="779" spans="1:11" x14ac:dyDescent="0.25">
      <c r="A779" s="11"/>
      <c r="B779" s="11"/>
      <c r="C779" s="11"/>
      <c r="D779" s="11"/>
      <c r="E779" s="11"/>
      <c r="F779" s="11"/>
      <c r="G779" s="11"/>
      <c r="H779" s="8"/>
      <c r="I779" s="8"/>
      <c r="J779" s="8"/>
      <c r="K779" s="8"/>
    </row>
    <row r="780" spans="1:11" x14ac:dyDescent="0.25">
      <c r="A780" s="11"/>
      <c r="B780" s="11"/>
      <c r="C780" s="11"/>
      <c r="D780" s="11"/>
      <c r="E780" s="11"/>
      <c r="F780" s="11"/>
      <c r="G780" s="11"/>
      <c r="H780" s="8"/>
      <c r="I780" s="8"/>
      <c r="J780" s="8"/>
      <c r="K780" s="8"/>
    </row>
    <row r="781" spans="1:11" x14ac:dyDescent="0.25">
      <c r="A781" s="11"/>
      <c r="B781" s="11"/>
      <c r="C781" s="11"/>
      <c r="D781" s="11"/>
      <c r="E781" s="11"/>
      <c r="F781" s="11"/>
      <c r="G781" s="11"/>
      <c r="H781" s="8"/>
      <c r="I781" s="8"/>
      <c r="J781" s="8"/>
      <c r="K781" s="8"/>
    </row>
    <row r="782" spans="1:11" x14ac:dyDescent="0.25">
      <c r="A782" s="11"/>
      <c r="B782" s="11"/>
      <c r="C782" s="11"/>
      <c r="D782" s="11"/>
      <c r="E782" s="11"/>
      <c r="F782" s="11"/>
      <c r="G782" s="11"/>
      <c r="H782" s="8"/>
      <c r="I782" s="8"/>
      <c r="J782" s="8"/>
      <c r="K782" s="8"/>
    </row>
    <row r="783" spans="1:11" x14ac:dyDescent="0.25">
      <c r="A783" s="11"/>
      <c r="B783" s="11"/>
      <c r="C783" s="11"/>
      <c r="D783" s="11"/>
      <c r="E783" s="11"/>
      <c r="F783" s="11"/>
      <c r="G783" s="11"/>
      <c r="H783" s="8"/>
      <c r="I783" s="8"/>
      <c r="J783" s="8"/>
      <c r="K783" s="8"/>
    </row>
    <row r="784" spans="1:11" x14ac:dyDescent="0.25">
      <c r="A784" s="11"/>
      <c r="B784" s="11"/>
      <c r="C784" s="11"/>
      <c r="D784" s="11"/>
      <c r="E784" s="11"/>
      <c r="F784" s="11"/>
      <c r="G784" s="11"/>
      <c r="H784" s="8"/>
      <c r="I784" s="8"/>
      <c r="J784" s="8"/>
      <c r="K784" s="8"/>
    </row>
    <row r="785" spans="1:11" x14ac:dyDescent="0.25">
      <c r="A785" s="11"/>
      <c r="B785" s="11"/>
      <c r="C785" s="11"/>
      <c r="D785" s="11"/>
      <c r="E785" s="11"/>
      <c r="F785" s="11"/>
      <c r="G785" s="11"/>
      <c r="H785" s="8"/>
      <c r="I785" s="8"/>
      <c r="J785" s="8"/>
      <c r="K785" s="8"/>
    </row>
    <row r="786" spans="1:11" x14ac:dyDescent="0.25">
      <c r="A786" s="11"/>
      <c r="B786" s="11"/>
      <c r="C786" s="11"/>
      <c r="D786" s="11"/>
      <c r="E786" s="11"/>
      <c r="F786" s="11"/>
      <c r="G786" s="11"/>
      <c r="H786" s="8"/>
      <c r="I786" s="8"/>
      <c r="J786" s="8"/>
      <c r="K786" s="8"/>
    </row>
    <row r="787" spans="1:11" x14ac:dyDescent="0.25">
      <c r="A787" s="11"/>
      <c r="B787" s="11"/>
      <c r="C787" s="11"/>
      <c r="D787" s="11"/>
      <c r="E787" s="11"/>
      <c r="F787" s="11"/>
      <c r="G787" s="11"/>
      <c r="H787" s="8"/>
      <c r="I787" s="8"/>
      <c r="J787" s="8"/>
      <c r="K787" s="8"/>
    </row>
    <row r="788" spans="1:11" x14ac:dyDescent="0.25">
      <c r="A788" s="11"/>
      <c r="B788" s="11"/>
      <c r="C788" s="11"/>
      <c r="D788" s="11"/>
      <c r="E788" s="11"/>
      <c r="F788" s="11"/>
      <c r="G788" s="11"/>
      <c r="H788" s="8"/>
      <c r="I788" s="8"/>
      <c r="J788" s="8"/>
      <c r="K788" s="8"/>
    </row>
    <row r="789" spans="1:11" x14ac:dyDescent="0.25">
      <c r="A789" s="11"/>
      <c r="B789" s="11"/>
      <c r="C789" s="11"/>
      <c r="D789" s="11"/>
      <c r="E789" s="11"/>
      <c r="F789" s="11"/>
      <c r="G789" s="11"/>
      <c r="H789" s="8"/>
      <c r="I789" s="8"/>
      <c r="J789" s="8"/>
      <c r="K789" s="8"/>
    </row>
    <row r="790" spans="1:11" x14ac:dyDescent="0.25">
      <c r="A790" s="11"/>
      <c r="B790" s="11"/>
      <c r="C790" s="11"/>
      <c r="D790" s="11"/>
      <c r="E790" s="11"/>
      <c r="F790" s="11"/>
      <c r="G790" s="11"/>
      <c r="H790" s="8"/>
      <c r="I790" s="8"/>
      <c r="J790" s="8"/>
      <c r="K790" s="8"/>
    </row>
    <row r="791" spans="1:11" x14ac:dyDescent="0.25">
      <c r="A791" s="11"/>
      <c r="B791" s="11"/>
      <c r="C791" s="11"/>
      <c r="D791" s="11"/>
      <c r="E791" s="11"/>
      <c r="F791" s="11"/>
      <c r="G791" s="11"/>
      <c r="H791" s="8"/>
      <c r="I791" s="8"/>
      <c r="J791" s="8"/>
      <c r="K791" s="8"/>
    </row>
    <row r="792" spans="1:11" x14ac:dyDescent="0.25">
      <c r="A792" s="11"/>
      <c r="B792" s="11"/>
      <c r="C792" s="11"/>
      <c r="D792" s="11"/>
      <c r="E792" s="11"/>
      <c r="F792" s="11"/>
      <c r="G792" s="11"/>
      <c r="H792" s="8"/>
      <c r="I792" s="8"/>
      <c r="J792" s="8"/>
      <c r="K792" s="8"/>
    </row>
    <row r="793" spans="1:11" x14ac:dyDescent="0.25">
      <c r="A793" s="11"/>
      <c r="B793" s="11"/>
      <c r="C793" s="11"/>
      <c r="D793" s="11"/>
      <c r="E793" s="11"/>
      <c r="F793" s="11"/>
      <c r="G793" s="11"/>
      <c r="H793" s="8"/>
      <c r="I793" s="8"/>
      <c r="J793" s="8"/>
      <c r="K793" s="8"/>
    </row>
    <row r="794" spans="1:11" x14ac:dyDescent="0.25">
      <c r="A794" s="11"/>
      <c r="B794" s="11"/>
      <c r="C794" s="11"/>
      <c r="D794" s="11"/>
      <c r="E794" s="11"/>
      <c r="F794" s="11"/>
      <c r="G794" s="11"/>
      <c r="H794" s="8"/>
      <c r="I794" s="8"/>
      <c r="J794" s="8"/>
      <c r="K794" s="8"/>
    </row>
    <row r="795" spans="1:11" x14ac:dyDescent="0.25">
      <c r="A795" s="11"/>
      <c r="B795" s="11"/>
      <c r="C795" s="11"/>
      <c r="D795" s="11"/>
      <c r="E795" s="11"/>
      <c r="F795" s="11"/>
      <c r="G795" s="11"/>
      <c r="H795" s="8"/>
      <c r="I795" s="8"/>
      <c r="J795" s="8"/>
      <c r="K795" s="8"/>
    </row>
    <row r="796" spans="1:11" x14ac:dyDescent="0.25">
      <c r="A796" s="11"/>
      <c r="B796" s="11"/>
      <c r="C796" s="11"/>
      <c r="D796" s="11"/>
      <c r="E796" s="11"/>
      <c r="F796" s="11"/>
      <c r="G796" s="11"/>
      <c r="H796" s="8"/>
      <c r="I796" s="8"/>
      <c r="J796" s="8"/>
      <c r="K796" s="8"/>
    </row>
    <row r="797" spans="1:11" x14ac:dyDescent="0.25">
      <c r="A797" s="11"/>
      <c r="B797" s="11"/>
      <c r="C797" s="11"/>
      <c r="D797" s="11"/>
      <c r="E797" s="11"/>
      <c r="F797" s="11"/>
      <c r="G797" s="11"/>
      <c r="H797" s="8"/>
      <c r="I797" s="8"/>
      <c r="J797" s="8"/>
      <c r="K797" s="8"/>
    </row>
    <row r="798" spans="1:11" x14ac:dyDescent="0.25">
      <c r="A798" s="11"/>
      <c r="B798" s="11"/>
      <c r="C798" s="11"/>
      <c r="D798" s="11"/>
      <c r="E798" s="11"/>
      <c r="F798" s="11"/>
      <c r="G798" s="11"/>
      <c r="H798" s="8"/>
      <c r="I798" s="8"/>
      <c r="J798" s="8"/>
      <c r="K798" s="8"/>
    </row>
    <row r="799" spans="1:11" x14ac:dyDescent="0.25">
      <c r="A799" s="11"/>
      <c r="B799" s="11"/>
      <c r="C799" s="11"/>
      <c r="D799" s="11"/>
      <c r="E799" s="11"/>
      <c r="F799" s="11"/>
      <c r="G799" s="11"/>
      <c r="H799" s="8"/>
      <c r="I799" s="8"/>
      <c r="J799" s="8"/>
      <c r="K799" s="8"/>
    </row>
    <row r="800" spans="1:11" x14ac:dyDescent="0.25">
      <c r="A800" s="11"/>
      <c r="B800" s="11"/>
      <c r="C800" s="11"/>
      <c r="D800" s="11"/>
      <c r="E800" s="11"/>
      <c r="F800" s="11"/>
      <c r="G800" s="11"/>
      <c r="H800" s="8"/>
      <c r="I800" s="8"/>
      <c r="J800" s="8"/>
      <c r="K800" s="8"/>
    </row>
    <row r="801" spans="1:11" x14ac:dyDescent="0.25">
      <c r="A801" s="11"/>
      <c r="B801" s="11"/>
      <c r="C801" s="11"/>
      <c r="D801" s="11"/>
      <c r="E801" s="11"/>
      <c r="F801" s="11"/>
      <c r="G801" s="11"/>
      <c r="H801" s="8"/>
      <c r="I801" s="8"/>
      <c r="J801" s="8"/>
      <c r="K801" s="8"/>
    </row>
    <row r="802" spans="1:11" x14ac:dyDescent="0.25">
      <c r="A802" s="11"/>
      <c r="B802" s="11"/>
      <c r="C802" s="11"/>
      <c r="D802" s="11"/>
      <c r="E802" s="11"/>
      <c r="F802" s="11"/>
      <c r="G802" s="11"/>
      <c r="H802" s="8"/>
      <c r="I802" s="8"/>
      <c r="J802" s="8"/>
      <c r="K802" s="8"/>
    </row>
    <row r="803" spans="1:11" x14ac:dyDescent="0.25">
      <c r="A803" s="11"/>
      <c r="B803" s="11"/>
      <c r="C803" s="11"/>
      <c r="D803" s="11"/>
      <c r="E803" s="11"/>
      <c r="F803" s="11"/>
      <c r="G803" s="11"/>
      <c r="H803" s="8"/>
      <c r="I803" s="8"/>
      <c r="J803" s="8"/>
      <c r="K803" s="8"/>
    </row>
    <row r="804" spans="1:11" x14ac:dyDescent="0.25">
      <c r="A804" s="11"/>
      <c r="B804" s="11"/>
      <c r="C804" s="11"/>
      <c r="D804" s="11"/>
      <c r="E804" s="11"/>
      <c r="F804" s="11"/>
      <c r="G804" s="11"/>
      <c r="H804" s="8"/>
      <c r="I804" s="8"/>
      <c r="J804" s="8"/>
      <c r="K804" s="8"/>
    </row>
    <row r="805" spans="1:11" x14ac:dyDescent="0.25">
      <c r="A805" s="11"/>
      <c r="B805" s="11"/>
      <c r="C805" s="11"/>
      <c r="D805" s="11"/>
      <c r="E805" s="11"/>
      <c r="F805" s="11"/>
      <c r="G805" s="11"/>
      <c r="H805" s="8"/>
      <c r="I805" s="8"/>
      <c r="J805" s="8"/>
      <c r="K805" s="8"/>
    </row>
    <row r="806" spans="1:11" x14ac:dyDescent="0.25">
      <c r="A806" s="11"/>
      <c r="B806" s="11"/>
      <c r="C806" s="11"/>
      <c r="D806" s="11"/>
      <c r="E806" s="11"/>
      <c r="F806" s="11"/>
      <c r="G806" s="11"/>
      <c r="H806" s="8"/>
      <c r="I806" s="8"/>
      <c r="J806" s="8"/>
      <c r="K806" s="8"/>
    </row>
    <row r="807" spans="1:11" x14ac:dyDescent="0.25">
      <c r="A807" s="11"/>
      <c r="B807" s="11"/>
      <c r="C807" s="11"/>
      <c r="D807" s="11"/>
      <c r="E807" s="11"/>
      <c r="F807" s="11"/>
      <c r="G807" s="11"/>
      <c r="H807" s="8"/>
      <c r="I807" s="8"/>
      <c r="J807" s="8"/>
      <c r="K807" s="8"/>
    </row>
    <row r="808" spans="1:11" x14ac:dyDescent="0.25">
      <c r="A808" s="11"/>
      <c r="B808" s="11"/>
      <c r="C808" s="11"/>
      <c r="D808" s="11"/>
      <c r="E808" s="11"/>
      <c r="F808" s="11"/>
      <c r="G808" s="11"/>
      <c r="H808" s="8"/>
      <c r="I808" s="8"/>
      <c r="J808" s="8"/>
      <c r="K808" s="8"/>
    </row>
    <row r="809" spans="1:11" x14ac:dyDescent="0.25">
      <c r="A809" s="11"/>
      <c r="B809" s="11"/>
      <c r="C809" s="11"/>
      <c r="D809" s="11"/>
      <c r="E809" s="11"/>
      <c r="F809" s="11"/>
      <c r="G809" s="11"/>
      <c r="H809" s="8"/>
      <c r="I809" s="8"/>
      <c r="J809" s="8"/>
      <c r="K809" s="8"/>
    </row>
    <row r="810" spans="1:11" x14ac:dyDescent="0.25">
      <c r="A810" s="11"/>
      <c r="B810" s="11"/>
      <c r="C810" s="11"/>
      <c r="D810" s="11"/>
      <c r="E810" s="11"/>
      <c r="F810" s="11"/>
      <c r="G810" s="11"/>
      <c r="H810" s="8"/>
      <c r="I810" s="8"/>
      <c r="J810" s="8"/>
      <c r="K810" s="8"/>
    </row>
    <row r="811" spans="1:11" x14ac:dyDescent="0.25">
      <c r="A811" s="11"/>
      <c r="B811" s="11"/>
      <c r="C811" s="11"/>
      <c r="D811" s="11"/>
      <c r="E811" s="11"/>
      <c r="F811" s="11"/>
      <c r="G811" s="11"/>
      <c r="H811" s="8"/>
      <c r="I811" s="8"/>
      <c r="J811" s="8"/>
      <c r="K811" s="8"/>
    </row>
    <row r="812" spans="1:11" x14ac:dyDescent="0.25">
      <c r="A812" s="11"/>
      <c r="B812" s="11"/>
      <c r="C812" s="11"/>
      <c r="D812" s="11"/>
      <c r="E812" s="11"/>
      <c r="F812" s="11"/>
      <c r="G812" s="11"/>
      <c r="H812" s="8"/>
      <c r="I812" s="8"/>
      <c r="J812" s="8"/>
      <c r="K812" s="8"/>
    </row>
    <row r="813" spans="1:11" x14ac:dyDescent="0.25">
      <c r="A813" s="11"/>
      <c r="B813" s="11"/>
      <c r="C813" s="11"/>
      <c r="D813" s="11"/>
      <c r="E813" s="11"/>
      <c r="F813" s="11"/>
      <c r="G813" s="11"/>
      <c r="H813" s="8"/>
      <c r="I813" s="8"/>
      <c r="J813" s="8"/>
      <c r="K813" s="8"/>
    </row>
    <row r="814" spans="1:11" x14ac:dyDescent="0.25">
      <c r="A814" s="11"/>
      <c r="B814" s="11"/>
      <c r="C814" s="11"/>
      <c r="D814" s="11"/>
      <c r="E814" s="11"/>
      <c r="F814" s="11"/>
      <c r="G814" s="11"/>
      <c r="H814" s="8"/>
      <c r="I814" s="8"/>
      <c r="J814" s="8"/>
      <c r="K814" s="8"/>
    </row>
    <row r="815" spans="1:11" x14ac:dyDescent="0.25">
      <c r="A815" s="11"/>
      <c r="B815" s="11"/>
      <c r="C815" s="11"/>
      <c r="D815" s="11"/>
      <c r="E815" s="11"/>
      <c r="F815" s="11"/>
      <c r="G815" s="11"/>
      <c r="H815" s="8"/>
      <c r="I815" s="8"/>
      <c r="J815" s="8"/>
      <c r="K815" s="8"/>
    </row>
    <row r="816" spans="1:11" x14ac:dyDescent="0.25">
      <c r="A816" s="11"/>
      <c r="B816" s="11"/>
      <c r="C816" s="11"/>
      <c r="D816" s="11"/>
      <c r="E816" s="11"/>
      <c r="F816" s="11"/>
      <c r="G816" s="11"/>
      <c r="H816" s="8"/>
      <c r="I816" s="8"/>
      <c r="J816" s="8"/>
      <c r="K816" s="8"/>
    </row>
    <row r="817" spans="1:11" x14ac:dyDescent="0.25">
      <c r="A817" s="11"/>
      <c r="B817" s="11"/>
      <c r="C817" s="11"/>
      <c r="D817" s="11"/>
      <c r="E817" s="11"/>
      <c r="F817" s="11"/>
      <c r="G817" s="11"/>
      <c r="H817" s="8"/>
      <c r="I817" s="8"/>
      <c r="J817" s="8"/>
      <c r="K817" s="8"/>
    </row>
    <row r="818" spans="1:11" x14ac:dyDescent="0.25">
      <c r="A818" s="11"/>
      <c r="B818" s="11"/>
      <c r="C818" s="11"/>
      <c r="D818" s="11"/>
      <c r="E818" s="11"/>
      <c r="F818" s="11"/>
      <c r="G818" s="11"/>
      <c r="H818" s="8"/>
      <c r="I818" s="8"/>
      <c r="J818" s="8"/>
      <c r="K818" s="8"/>
    </row>
    <row r="819" spans="1:11" x14ac:dyDescent="0.25">
      <c r="A819" s="11"/>
      <c r="B819" s="11"/>
      <c r="C819" s="11"/>
      <c r="D819" s="11"/>
      <c r="E819" s="11"/>
      <c r="F819" s="11"/>
      <c r="G819" s="11"/>
      <c r="H819" s="8"/>
      <c r="I819" s="8"/>
      <c r="J819" s="8"/>
      <c r="K819" s="8"/>
    </row>
    <row r="820" spans="1:11" x14ac:dyDescent="0.25">
      <c r="A820" s="11"/>
      <c r="B820" s="11"/>
      <c r="C820" s="11"/>
      <c r="D820" s="11"/>
      <c r="E820" s="11"/>
      <c r="F820" s="11"/>
      <c r="G820" s="11"/>
      <c r="H820" s="8"/>
      <c r="I820" s="8"/>
      <c r="J820" s="8"/>
      <c r="K820" s="8"/>
    </row>
    <row r="821" spans="1:11" x14ac:dyDescent="0.25">
      <c r="A821" s="11"/>
      <c r="B821" s="11"/>
      <c r="C821" s="11"/>
      <c r="D821" s="11"/>
      <c r="E821" s="11"/>
      <c r="F821" s="11"/>
      <c r="G821" s="11"/>
      <c r="H821" s="8"/>
      <c r="I821" s="8"/>
      <c r="J821" s="8"/>
      <c r="K821" s="8"/>
    </row>
    <row r="822" spans="1:11" x14ac:dyDescent="0.25">
      <c r="A822" s="11"/>
      <c r="B822" s="11"/>
      <c r="C822" s="11"/>
      <c r="D822" s="11"/>
      <c r="E822" s="11"/>
      <c r="F822" s="11"/>
      <c r="G822" s="11"/>
      <c r="H822" s="8"/>
      <c r="I822" s="8"/>
      <c r="J822" s="8"/>
      <c r="K822" s="8"/>
    </row>
    <row r="823" spans="1:11" x14ac:dyDescent="0.25">
      <c r="A823" s="11"/>
      <c r="B823" s="11"/>
      <c r="C823" s="11"/>
      <c r="D823" s="11"/>
      <c r="E823" s="11"/>
      <c r="F823" s="11"/>
      <c r="G823" s="11"/>
      <c r="H823" s="8"/>
      <c r="I823" s="8"/>
      <c r="J823" s="8"/>
      <c r="K823" s="8"/>
    </row>
    <row r="824" spans="1:11" x14ac:dyDescent="0.25">
      <c r="A824" s="11"/>
      <c r="B824" s="11"/>
      <c r="C824" s="11"/>
      <c r="D824" s="11"/>
      <c r="E824" s="11"/>
      <c r="F824" s="11"/>
      <c r="G824" s="11"/>
      <c r="H824" s="8"/>
      <c r="I824" s="8"/>
      <c r="J824" s="8"/>
      <c r="K824" s="8"/>
    </row>
    <row r="825" spans="1:11" x14ac:dyDescent="0.25">
      <c r="A825" s="11"/>
      <c r="B825" s="11"/>
      <c r="C825" s="11"/>
      <c r="D825" s="11"/>
      <c r="E825" s="11"/>
      <c r="F825" s="11"/>
      <c r="G825" s="11"/>
      <c r="H825" s="8"/>
      <c r="I825" s="8"/>
      <c r="J825" s="8"/>
      <c r="K825" s="8"/>
    </row>
    <row r="826" spans="1:11" x14ac:dyDescent="0.25">
      <c r="A826" s="11"/>
      <c r="B826" s="11"/>
      <c r="C826" s="11"/>
      <c r="D826" s="11"/>
      <c r="E826" s="11"/>
      <c r="F826" s="11"/>
      <c r="G826" s="11"/>
      <c r="H826" s="8"/>
      <c r="I826" s="8"/>
      <c r="J826" s="8"/>
      <c r="K826" s="8"/>
    </row>
    <row r="827" spans="1:11" x14ac:dyDescent="0.25">
      <c r="A827" s="11"/>
      <c r="B827" s="11"/>
      <c r="C827" s="11"/>
      <c r="D827" s="11"/>
      <c r="E827" s="11"/>
      <c r="F827" s="11"/>
      <c r="G827" s="11"/>
      <c r="H827" s="8"/>
      <c r="I827" s="8"/>
      <c r="J827" s="8"/>
      <c r="K827" s="8"/>
    </row>
    <row r="828" spans="1:11" x14ac:dyDescent="0.25">
      <c r="A828" s="11"/>
      <c r="B828" s="11"/>
      <c r="C828" s="11"/>
      <c r="D828" s="11"/>
      <c r="E828" s="11"/>
      <c r="F828" s="11"/>
      <c r="G828" s="11"/>
      <c r="H828" s="8"/>
      <c r="I828" s="8"/>
      <c r="J828" s="8"/>
      <c r="K828" s="8"/>
    </row>
    <row r="829" spans="1:11" x14ac:dyDescent="0.25">
      <c r="A829" s="11"/>
      <c r="B829" s="11"/>
      <c r="C829" s="11"/>
      <c r="D829" s="11"/>
      <c r="E829" s="11"/>
      <c r="F829" s="11"/>
      <c r="G829" s="11"/>
      <c r="H829" s="8"/>
      <c r="I829" s="8"/>
      <c r="J829" s="8"/>
      <c r="K829" s="8"/>
    </row>
    <row r="830" spans="1:11" x14ac:dyDescent="0.25">
      <c r="A830" s="11"/>
      <c r="B830" s="11"/>
      <c r="C830" s="11"/>
      <c r="D830" s="11"/>
      <c r="E830" s="11"/>
      <c r="F830" s="11"/>
      <c r="G830" s="11"/>
      <c r="H830" s="8"/>
      <c r="I830" s="8"/>
      <c r="J830" s="8"/>
      <c r="K830" s="8"/>
    </row>
    <row r="831" spans="1:11" x14ac:dyDescent="0.25">
      <c r="A831" s="11"/>
      <c r="B831" s="11"/>
      <c r="C831" s="11"/>
      <c r="D831" s="11"/>
      <c r="E831" s="11"/>
      <c r="F831" s="11"/>
      <c r="G831" s="11"/>
      <c r="H831" s="8"/>
      <c r="I831" s="8"/>
      <c r="J831" s="8"/>
      <c r="K831" s="8"/>
    </row>
    <row r="832" spans="1:11" x14ac:dyDescent="0.25">
      <c r="A832" s="11"/>
      <c r="B832" s="11"/>
      <c r="C832" s="11"/>
      <c r="D832" s="11"/>
      <c r="E832" s="11"/>
      <c r="F832" s="11"/>
      <c r="G832" s="11"/>
      <c r="H832" s="8"/>
      <c r="I832" s="8"/>
      <c r="J832" s="8"/>
      <c r="K832" s="8"/>
    </row>
    <row r="833" spans="1:11" x14ac:dyDescent="0.25">
      <c r="A833" s="11"/>
      <c r="B833" s="11"/>
      <c r="C833" s="11"/>
      <c r="D833" s="11"/>
      <c r="E833" s="11"/>
      <c r="F833" s="11"/>
      <c r="G833" s="11"/>
      <c r="H833" s="8"/>
      <c r="I833" s="8"/>
      <c r="J833" s="8"/>
      <c r="K833" s="8"/>
    </row>
    <row r="834" spans="1:11" x14ac:dyDescent="0.25">
      <c r="A834" s="11"/>
      <c r="B834" s="11"/>
      <c r="C834" s="11"/>
      <c r="D834" s="11"/>
      <c r="E834" s="11"/>
      <c r="F834" s="11"/>
      <c r="G834" s="11"/>
      <c r="H834" s="8"/>
      <c r="I834" s="8"/>
      <c r="J834" s="8"/>
      <c r="K834" s="8"/>
    </row>
    <row r="835" spans="1:11" x14ac:dyDescent="0.25">
      <c r="A835" s="11"/>
      <c r="B835" s="11"/>
      <c r="C835" s="11"/>
      <c r="D835" s="11"/>
      <c r="E835" s="11"/>
      <c r="F835" s="11"/>
      <c r="G835" s="11"/>
      <c r="H835" s="8"/>
      <c r="I835" s="8"/>
      <c r="J835" s="8"/>
      <c r="K835" s="8"/>
    </row>
    <row r="836" spans="1:11" x14ac:dyDescent="0.25">
      <c r="A836" s="11"/>
      <c r="B836" s="11"/>
      <c r="C836" s="11"/>
      <c r="D836" s="11"/>
      <c r="E836" s="11"/>
      <c r="F836" s="11"/>
      <c r="G836" s="11"/>
      <c r="H836" s="8"/>
      <c r="I836" s="8"/>
      <c r="J836" s="8"/>
      <c r="K836" s="8"/>
    </row>
    <row r="837" spans="1:11" x14ac:dyDescent="0.25">
      <c r="A837" s="11"/>
      <c r="B837" s="11"/>
      <c r="C837" s="11"/>
      <c r="D837" s="11"/>
      <c r="E837" s="11"/>
      <c r="F837" s="11"/>
      <c r="G837" s="11"/>
      <c r="H837" s="8"/>
      <c r="I837" s="8"/>
      <c r="J837" s="8"/>
      <c r="K837" s="8"/>
    </row>
    <row r="838" spans="1:11" x14ac:dyDescent="0.25">
      <c r="A838" s="11"/>
      <c r="B838" s="11"/>
      <c r="C838" s="11"/>
      <c r="D838" s="11"/>
      <c r="E838" s="11"/>
      <c r="F838" s="11"/>
      <c r="G838" s="11"/>
      <c r="H838" s="8"/>
      <c r="I838" s="8"/>
      <c r="J838" s="8"/>
      <c r="K838" s="8"/>
    </row>
    <row r="839" spans="1:11" x14ac:dyDescent="0.25">
      <c r="A839" s="11"/>
      <c r="B839" s="11"/>
      <c r="C839" s="11"/>
      <c r="D839" s="11"/>
      <c r="E839" s="11"/>
      <c r="F839" s="11"/>
      <c r="G839" s="11"/>
      <c r="H839" s="8"/>
      <c r="I839" s="8"/>
      <c r="J839" s="8"/>
      <c r="K839" s="8"/>
    </row>
    <row r="840" spans="1:11" x14ac:dyDescent="0.25">
      <c r="A840" s="11"/>
      <c r="B840" s="11"/>
      <c r="C840" s="11"/>
      <c r="D840" s="11"/>
      <c r="E840" s="11"/>
      <c r="F840" s="11"/>
      <c r="G840" s="11"/>
      <c r="H840" s="8"/>
      <c r="I840" s="8"/>
      <c r="J840" s="8"/>
      <c r="K840" s="8"/>
    </row>
    <row r="841" spans="1:11" x14ac:dyDescent="0.25">
      <c r="A841" s="11"/>
      <c r="B841" s="11"/>
      <c r="C841" s="11"/>
      <c r="D841" s="11"/>
      <c r="E841" s="11"/>
      <c r="F841" s="11"/>
      <c r="G841" s="11"/>
      <c r="H841" s="8"/>
      <c r="I841" s="8"/>
      <c r="J841" s="8"/>
      <c r="K841" s="8"/>
    </row>
    <row r="842" spans="1:11" x14ac:dyDescent="0.25">
      <c r="A842" s="11"/>
      <c r="B842" s="11"/>
      <c r="C842" s="11"/>
      <c r="D842" s="11"/>
      <c r="E842" s="11"/>
      <c r="F842" s="11"/>
      <c r="G842" s="11"/>
      <c r="H842" s="8"/>
      <c r="I842" s="8"/>
      <c r="J842" s="8"/>
      <c r="K842" s="8"/>
    </row>
    <row r="843" spans="1:11" x14ac:dyDescent="0.25">
      <c r="A843" s="11"/>
      <c r="B843" s="11"/>
      <c r="C843" s="11"/>
      <c r="D843" s="11"/>
      <c r="E843" s="11"/>
      <c r="F843" s="11"/>
      <c r="G843" s="11"/>
      <c r="H843" s="8"/>
      <c r="I843" s="8"/>
      <c r="J843" s="8"/>
      <c r="K843" s="8"/>
    </row>
    <row r="844" spans="1:11" x14ac:dyDescent="0.25">
      <c r="A844" s="11"/>
      <c r="B844" s="11"/>
      <c r="C844" s="11"/>
      <c r="D844" s="11"/>
      <c r="E844" s="11"/>
      <c r="F844" s="11"/>
      <c r="G844" s="11"/>
      <c r="H844" s="8"/>
      <c r="I844" s="8"/>
      <c r="J844" s="8"/>
      <c r="K844" s="8"/>
    </row>
    <row r="845" spans="1:11" x14ac:dyDescent="0.25">
      <c r="A845" s="11"/>
      <c r="B845" s="11"/>
      <c r="C845" s="11"/>
      <c r="D845" s="11"/>
      <c r="E845" s="11"/>
      <c r="F845" s="11"/>
      <c r="G845" s="11"/>
      <c r="H845" s="8"/>
      <c r="I845" s="8"/>
      <c r="J845" s="8"/>
      <c r="K845" s="8"/>
    </row>
    <row r="846" spans="1:11" x14ac:dyDescent="0.25">
      <c r="A846" s="11"/>
      <c r="B846" s="11"/>
      <c r="C846" s="11"/>
      <c r="D846" s="11"/>
      <c r="E846" s="11"/>
      <c r="F846" s="11"/>
      <c r="G846" s="11"/>
      <c r="H846" s="8"/>
      <c r="I846" s="8"/>
      <c r="J846" s="8"/>
      <c r="K846" s="8"/>
    </row>
    <row r="847" spans="1:11" x14ac:dyDescent="0.25">
      <c r="A847" s="11"/>
      <c r="B847" s="11"/>
      <c r="C847" s="11"/>
      <c r="D847" s="11"/>
      <c r="E847" s="11"/>
      <c r="F847" s="11"/>
      <c r="G847" s="11"/>
      <c r="H847" s="8"/>
      <c r="I847" s="8"/>
      <c r="J847" s="8"/>
      <c r="K847" s="8"/>
    </row>
    <row r="848" spans="1:11" x14ac:dyDescent="0.25">
      <c r="A848" s="11"/>
      <c r="B848" s="11"/>
      <c r="C848" s="11"/>
      <c r="D848" s="11"/>
      <c r="E848" s="11"/>
      <c r="F848" s="11"/>
      <c r="G848" s="11"/>
      <c r="H848" s="8"/>
      <c r="I848" s="8"/>
      <c r="J848" s="8"/>
      <c r="K848" s="8"/>
    </row>
    <row r="849" spans="1:11" x14ac:dyDescent="0.25">
      <c r="A849" s="11"/>
      <c r="B849" s="11"/>
      <c r="C849" s="11"/>
      <c r="D849" s="11"/>
      <c r="E849" s="11"/>
      <c r="F849" s="11"/>
      <c r="G849" s="11"/>
      <c r="H849" s="8"/>
      <c r="I849" s="8"/>
      <c r="J849" s="8"/>
      <c r="K849" s="8"/>
    </row>
    <row r="850" spans="1:11" x14ac:dyDescent="0.25">
      <c r="A850" s="11"/>
      <c r="B850" s="11"/>
      <c r="C850" s="11"/>
      <c r="D850" s="11"/>
      <c r="E850" s="11"/>
      <c r="F850" s="11"/>
      <c r="G850" s="11"/>
      <c r="H850" s="8"/>
      <c r="I850" s="8"/>
      <c r="J850" s="8"/>
      <c r="K850" s="8"/>
    </row>
    <row r="851" spans="1:11" x14ac:dyDescent="0.25">
      <c r="A851" s="11"/>
      <c r="B851" s="11"/>
      <c r="C851" s="11"/>
      <c r="D851" s="11"/>
      <c r="E851" s="11"/>
      <c r="F851" s="11"/>
      <c r="G851" s="11"/>
      <c r="H851" s="8"/>
      <c r="I851" s="8"/>
      <c r="J851" s="8"/>
      <c r="K851" s="8"/>
    </row>
    <row r="852" spans="1:11" x14ac:dyDescent="0.25">
      <c r="A852" s="11"/>
      <c r="B852" s="11"/>
      <c r="C852" s="11"/>
      <c r="D852" s="11"/>
      <c r="E852" s="11"/>
      <c r="F852" s="11"/>
      <c r="G852" s="11"/>
      <c r="H852" s="8"/>
      <c r="I852" s="8"/>
      <c r="J852" s="8"/>
      <c r="K852" s="8"/>
    </row>
    <row r="853" spans="1:11" x14ac:dyDescent="0.25">
      <c r="A853" s="11"/>
      <c r="B853" s="11"/>
      <c r="C853" s="11"/>
      <c r="D853" s="11"/>
      <c r="E853" s="11"/>
      <c r="F853" s="11"/>
      <c r="G853" s="11"/>
      <c r="H853" s="8"/>
      <c r="I853" s="8"/>
      <c r="J853" s="8"/>
      <c r="K853" s="8"/>
    </row>
    <row r="854" spans="1:11" x14ac:dyDescent="0.25">
      <c r="A854" s="11"/>
      <c r="B854" s="11"/>
      <c r="C854" s="11"/>
      <c r="D854" s="11"/>
      <c r="E854" s="11"/>
      <c r="F854" s="11"/>
      <c r="G854" s="11"/>
      <c r="H854" s="8"/>
      <c r="I854" s="8"/>
      <c r="J854" s="8"/>
      <c r="K854" s="8"/>
    </row>
    <row r="855" spans="1:11" x14ac:dyDescent="0.25">
      <c r="A855" s="11"/>
      <c r="B855" s="11"/>
      <c r="C855" s="11"/>
      <c r="D855" s="11"/>
      <c r="E855" s="11"/>
      <c r="F855" s="11"/>
      <c r="G855" s="11"/>
      <c r="H855" s="8"/>
      <c r="I855" s="8"/>
      <c r="J855" s="8"/>
      <c r="K855" s="8"/>
    </row>
    <row r="856" spans="1:11" x14ac:dyDescent="0.25">
      <c r="A856" s="11"/>
      <c r="B856" s="11"/>
      <c r="C856" s="11"/>
      <c r="D856" s="11"/>
      <c r="E856" s="11"/>
      <c r="F856" s="11"/>
      <c r="G856" s="11"/>
      <c r="H856" s="8"/>
      <c r="I856" s="8"/>
      <c r="J856" s="8"/>
      <c r="K856" s="8"/>
    </row>
    <row r="857" spans="1:11" x14ac:dyDescent="0.25">
      <c r="A857" s="11"/>
      <c r="B857" s="11"/>
      <c r="C857" s="11"/>
      <c r="D857" s="11"/>
      <c r="E857" s="11"/>
      <c r="F857" s="11"/>
      <c r="G857" s="11"/>
      <c r="H857" s="8"/>
      <c r="I857" s="8"/>
      <c r="J857" s="8"/>
      <c r="K857" s="8"/>
    </row>
    <row r="858" spans="1:11" x14ac:dyDescent="0.25">
      <c r="A858" s="11"/>
      <c r="B858" s="11"/>
      <c r="C858" s="11"/>
      <c r="D858" s="11"/>
      <c r="E858" s="11"/>
      <c r="F858" s="11"/>
      <c r="G858" s="11"/>
      <c r="H858" s="8"/>
      <c r="I858" s="8"/>
      <c r="J858" s="8"/>
      <c r="K858" s="8"/>
    </row>
    <row r="859" spans="1:11" x14ac:dyDescent="0.25">
      <c r="A859" s="11"/>
      <c r="B859" s="11"/>
      <c r="C859" s="11"/>
      <c r="D859" s="11"/>
      <c r="E859" s="11"/>
      <c r="F859" s="11"/>
      <c r="G859" s="11"/>
      <c r="H859" s="8"/>
      <c r="I859" s="8"/>
      <c r="J859" s="8"/>
      <c r="K859" s="8"/>
    </row>
    <row r="860" spans="1:11" x14ac:dyDescent="0.25">
      <c r="A860" s="11"/>
      <c r="B860" s="11"/>
      <c r="C860" s="11"/>
      <c r="D860" s="11"/>
      <c r="E860" s="11"/>
      <c r="F860" s="11"/>
      <c r="G860" s="11"/>
      <c r="H860" s="8"/>
      <c r="I860" s="8"/>
      <c r="J860" s="8"/>
      <c r="K860" s="8"/>
    </row>
    <row r="861" spans="1:11" x14ac:dyDescent="0.25">
      <c r="A861" s="11"/>
      <c r="B861" s="11"/>
      <c r="C861" s="11"/>
      <c r="D861" s="11"/>
      <c r="E861" s="11"/>
      <c r="F861" s="11"/>
      <c r="G861" s="11"/>
      <c r="H861" s="8"/>
      <c r="I861" s="8"/>
      <c r="J861" s="8"/>
      <c r="K861" s="8"/>
    </row>
    <row r="862" spans="1:11" x14ac:dyDescent="0.25">
      <c r="A862" s="11"/>
      <c r="B862" s="11"/>
      <c r="C862" s="11"/>
      <c r="D862" s="11"/>
      <c r="E862" s="11"/>
      <c r="F862" s="11"/>
      <c r="G862" s="11"/>
      <c r="H862" s="8"/>
      <c r="I862" s="8"/>
      <c r="J862" s="8"/>
      <c r="K862" s="8"/>
    </row>
    <row r="863" spans="1:11" x14ac:dyDescent="0.25">
      <c r="A863" s="11"/>
      <c r="B863" s="11"/>
      <c r="C863" s="11"/>
      <c r="D863" s="11"/>
      <c r="E863" s="11"/>
      <c r="F863" s="11"/>
      <c r="G863" s="11"/>
      <c r="H863" s="8"/>
      <c r="I863" s="8"/>
      <c r="J863" s="8"/>
      <c r="K863" s="8"/>
    </row>
    <row r="864" spans="1:11" x14ac:dyDescent="0.25">
      <c r="A864" s="11"/>
      <c r="B864" s="11"/>
      <c r="C864" s="11"/>
      <c r="D864" s="11"/>
      <c r="E864" s="11"/>
      <c r="F864" s="11"/>
      <c r="G864" s="11"/>
      <c r="H864" s="8"/>
      <c r="I864" s="8"/>
      <c r="J864" s="8"/>
      <c r="K864" s="8"/>
    </row>
    <row r="865" spans="1:11" x14ac:dyDescent="0.25">
      <c r="A865" s="11"/>
      <c r="B865" s="11"/>
      <c r="C865" s="11"/>
      <c r="D865" s="11"/>
      <c r="E865" s="11"/>
      <c r="F865" s="11"/>
      <c r="G865" s="11"/>
      <c r="H865" s="8"/>
      <c r="I865" s="8"/>
      <c r="J865" s="8"/>
      <c r="K865" s="8"/>
    </row>
    <row r="866" spans="1:11" x14ac:dyDescent="0.25">
      <c r="A866" s="11"/>
      <c r="B866" s="11"/>
      <c r="C866" s="11"/>
      <c r="D866" s="11"/>
      <c r="E866" s="11"/>
      <c r="F866" s="11"/>
      <c r="G866" s="11"/>
      <c r="H866" s="8"/>
      <c r="I866" s="8"/>
      <c r="J866" s="8"/>
      <c r="K866" s="8"/>
    </row>
    <row r="867" spans="1:11" x14ac:dyDescent="0.25">
      <c r="A867" s="11"/>
      <c r="B867" s="11"/>
      <c r="C867" s="11"/>
      <c r="D867" s="11"/>
      <c r="E867" s="11"/>
      <c r="F867" s="11"/>
      <c r="G867" s="11"/>
      <c r="H867" s="8"/>
      <c r="I867" s="8"/>
      <c r="J867" s="8"/>
      <c r="K867" s="8"/>
    </row>
    <row r="868" spans="1:11" x14ac:dyDescent="0.25">
      <c r="A868" s="11"/>
      <c r="B868" s="11"/>
      <c r="C868" s="11"/>
      <c r="D868" s="11"/>
      <c r="E868" s="11"/>
      <c r="F868" s="11"/>
      <c r="G868" s="11"/>
      <c r="H868" s="8"/>
      <c r="I868" s="8"/>
      <c r="J868" s="8"/>
      <c r="K868" s="8"/>
    </row>
    <row r="869" spans="1:11" x14ac:dyDescent="0.25">
      <c r="A869" s="11"/>
      <c r="B869" s="11"/>
      <c r="C869" s="11"/>
      <c r="D869" s="11"/>
      <c r="E869" s="11"/>
      <c r="F869" s="11"/>
      <c r="G869" s="11"/>
      <c r="H869" s="8"/>
      <c r="I869" s="8"/>
      <c r="J869" s="8"/>
      <c r="K869" s="8"/>
    </row>
    <row r="870" spans="1:11" x14ac:dyDescent="0.25">
      <c r="A870" s="11"/>
      <c r="B870" s="11"/>
      <c r="C870" s="11"/>
      <c r="D870" s="11"/>
      <c r="E870" s="11"/>
      <c r="F870" s="11"/>
      <c r="G870" s="11"/>
      <c r="H870" s="8"/>
      <c r="I870" s="8"/>
      <c r="J870" s="8"/>
      <c r="K870" s="8"/>
    </row>
    <row r="871" spans="1:11" x14ac:dyDescent="0.25">
      <c r="A871" s="11"/>
      <c r="B871" s="11"/>
      <c r="C871" s="11"/>
      <c r="D871" s="11"/>
      <c r="E871" s="11"/>
      <c r="F871" s="11"/>
      <c r="G871" s="11"/>
      <c r="H871" s="8"/>
      <c r="I871" s="8"/>
      <c r="J871" s="8"/>
      <c r="K871" s="8"/>
    </row>
    <row r="872" spans="1:11" x14ac:dyDescent="0.25">
      <c r="A872" s="11"/>
      <c r="B872" s="11"/>
      <c r="C872" s="11"/>
      <c r="D872" s="11"/>
      <c r="E872" s="11"/>
      <c r="F872" s="11"/>
      <c r="G872" s="11"/>
      <c r="H872" s="8"/>
      <c r="I872" s="8"/>
      <c r="J872" s="8"/>
      <c r="K872" s="8"/>
    </row>
    <row r="873" spans="1:11" x14ac:dyDescent="0.25">
      <c r="A873" s="11"/>
      <c r="B873" s="11"/>
      <c r="C873" s="11"/>
      <c r="D873" s="11"/>
      <c r="E873" s="11"/>
      <c r="F873" s="11"/>
      <c r="G873" s="11"/>
      <c r="H873" s="8"/>
      <c r="I873" s="8"/>
      <c r="J873" s="8"/>
      <c r="K873" s="8"/>
    </row>
    <row r="874" spans="1:11" x14ac:dyDescent="0.25">
      <c r="A874" s="11"/>
      <c r="B874" s="11"/>
      <c r="C874" s="11"/>
      <c r="D874" s="11"/>
      <c r="E874" s="11"/>
      <c r="F874" s="11"/>
      <c r="G874" s="11"/>
      <c r="H874" s="8"/>
      <c r="I874" s="8"/>
      <c r="J874" s="8"/>
      <c r="K874" s="8"/>
    </row>
    <row r="875" spans="1:11" x14ac:dyDescent="0.25">
      <c r="A875" s="11"/>
      <c r="B875" s="11"/>
      <c r="C875" s="11"/>
      <c r="D875" s="11"/>
      <c r="E875" s="11"/>
      <c r="F875" s="11"/>
      <c r="G875" s="11"/>
      <c r="H875" s="8"/>
      <c r="I875" s="8"/>
      <c r="J875" s="8"/>
      <c r="K875" s="8"/>
    </row>
    <row r="876" spans="1:11" x14ac:dyDescent="0.25">
      <c r="A876" s="11"/>
      <c r="B876" s="11"/>
      <c r="C876" s="11"/>
      <c r="D876" s="11"/>
      <c r="E876" s="11"/>
      <c r="F876" s="11"/>
      <c r="G876" s="11"/>
      <c r="H876" s="8"/>
      <c r="I876" s="8"/>
      <c r="J876" s="8"/>
      <c r="K876" s="8"/>
    </row>
    <row r="877" spans="1:11" x14ac:dyDescent="0.25">
      <c r="A877" s="11"/>
      <c r="B877" s="11"/>
      <c r="C877" s="11"/>
      <c r="D877" s="11"/>
      <c r="E877" s="11"/>
      <c r="F877" s="11"/>
      <c r="G877" s="11"/>
      <c r="H877" s="8"/>
      <c r="I877" s="8"/>
      <c r="J877" s="8"/>
      <c r="K877" s="8"/>
    </row>
    <row r="878" spans="1:11" x14ac:dyDescent="0.25">
      <c r="A878" s="11"/>
      <c r="B878" s="11"/>
      <c r="C878" s="11"/>
      <c r="D878" s="11"/>
      <c r="E878" s="11"/>
      <c r="F878" s="11"/>
      <c r="G878" s="11"/>
      <c r="H878" s="8"/>
      <c r="I878" s="8"/>
      <c r="J878" s="8"/>
      <c r="K878" s="8"/>
    </row>
    <row r="879" spans="1:11" x14ac:dyDescent="0.25">
      <c r="A879" s="11"/>
      <c r="B879" s="11"/>
      <c r="C879" s="11"/>
      <c r="D879" s="11"/>
      <c r="E879" s="11"/>
      <c r="F879" s="11"/>
      <c r="G879" s="11"/>
      <c r="H879" s="8"/>
      <c r="I879" s="8"/>
      <c r="J879" s="8"/>
      <c r="K879" s="8"/>
    </row>
    <row r="880" spans="1:11" x14ac:dyDescent="0.25">
      <c r="A880" s="11"/>
      <c r="B880" s="11"/>
      <c r="C880" s="11"/>
      <c r="D880" s="11"/>
      <c r="E880" s="11"/>
      <c r="F880" s="11"/>
      <c r="G880" s="11"/>
      <c r="H880" s="8"/>
      <c r="I880" s="8"/>
      <c r="J880" s="8"/>
      <c r="K880" s="8"/>
    </row>
    <row r="881" spans="1:11" x14ac:dyDescent="0.25">
      <c r="A881" s="11"/>
      <c r="B881" s="11"/>
      <c r="C881" s="11"/>
      <c r="D881" s="11"/>
      <c r="E881" s="11"/>
      <c r="F881" s="11"/>
      <c r="G881" s="11"/>
      <c r="H881" s="8"/>
      <c r="I881" s="8"/>
      <c r="J881" s="8"/>
      <c r="K881" s="8"/>
    </row>
    <row r="882" spans="1:11" x14ac:dyDescent="0.25">
      <c r="A882" s="11"/>
      <c r="B882" s="11"/>
      <c r="C882" s="11"/>
      <c r="D882" s="11"/>
      <c r="E882" s="11"/>
      <c r="F882" s="11"/>
      <c r="G882" s="11"/>
      <c r="H882" s="8"/>
      <c r="I882" s="8"/>
      <c r="J882" s="8"/>
      <c r="K882" s="8"/>
    </row>
    <row r="883" spans="1:11" x14ac:dyDescent="0.25">
      <c r="A883" s="11"/>
      <c r="B883" s="11"/>
      <c r="C883" s="11"/>
      <c r="D883" s="11"/>
      <c r="E883" s="11"/>
      <c r="F883" s="11"/>
      <c r="G883" s="11"/>
      <c r="H883" s="8"/>
      <c r="I883" s="8"/>
      <c r="J883" s="8"/>
      <c r="K883" s="8"/>
    </row>
    <row r="884" spans="1:11" x14ac:dyDescent="0.25">
      <c r="A884" s="11"/>
      <c r="B884" s="11"/>
      <c r="C884" s="11"/>
      <c r="D884" s="11"/>
      <c r="E884" s="11"/>
      <c r="F884" s="11"/>
      <c r="G884" s="11"/>
      <c r="H884" s="8"/>
      <c r="I884" s="8"/>
      <c r="J884" s="8"/>
      <c r="K884" s="8"/>
    </row>
    <row r="885" spans="1:11" x14ac:dyDescent="0.25">
      <c r="A885" s="11"/>
      <c r="B885" s="11"/>
      <c r="C885" s="11"/>
      <c r="D885" s="11"/>
      <c r="E885" s="11"/>
      <c r="F885" s="11"/>
      <c r="G885" s="11"/>
      <c r="H885" s="8"/>
      <c r="I885" s="8"/>
      <c r="J885" s="8"/>
      <c r="K885" s="8"/>
    </row>
    <row r="886" spans="1:11" x14ac:dyDescent="0.25">
      <c r="A886" s="11"/>
      <c r="B886" s="11"/>
      <c r="C886" s="11"/>
      <c r="D886" s="11"/>
      <c r="E886" s="11"/>
      <c r="F886" s="11"/>
      <c r="G886" s="11"/>
      <c r="H886" s="8"/>
      <c r="I886" s="8"/>
      <c r="J886" s="8"/>
      <c r="K886" s="8"/>
    </row>
    <row r="887" spans="1:11" x14ac:dyDescent="0.25">
      <c r="A887" s="11"/>
      <c r="B887" s="11"/>
      <c r="C887" s="11"/>
      <c r="D887" s="11"/>
      <c r="E887" s="11"/>
      <c r="F887" s="11"/>
      <c r="G887" s="11"/>
      <c r="H887" s="8"/>
      <c r="I887" s="8"/>
      <c r="J887" s="8"/>
      <c r="K887" s="8"/>
    </row>
    <row r="888" spans="1:11" x14ac:dyDescent="0.25">
      <c r="A888" s="11"/>
      <c r="B888" s="11"/>
      <c r="C888" s="11"/>
      <c r="D888" s="11"/>
      <c r="E888" s="11"/>
      <c r="F888" s="11"/>
      <c r="G888" s="11"/>
      <c r="H888" s="8"/>
      <c r="I888" s="8"/>
      <c r="J888" s="8"/>
      <c r="K888" s="8"/>
    </row>
    <row r="889" spans="1:11" x14ac:dyDescent="0.25">
      <c r="A889" s="11"/>
      <c r="B889" s="11"/>
      <c r="C889" s="11"/>
      <c r="D889" s="11"/>
      <c r="E889" s="11"/>
      <c r="F889" s="11"/>
      <c r="G889" s="11"/>
      <c r="H889" s="8"/>
      <c r="I889" s="8"/>
      <c r="J889" s="8"/>
      <c r="K889" s="8"/>
    </row>
    <row r="890" spans="1:11" x14ac:dyDescent="0.25">
      <c r="A890" s="11"/>
      <c r="B890" s="11"/>
      <c r="C890" s="11"/>
      <c r="D890" s="11"/>
      <c r="E890" s="11"/>
      <c r="F890" s="11"/>
      <c r="G890" s="11"/>
      <c r="H890" s="8"/>
      <c r="I890" s="8"/>
      <c r="J890" s="8"/>
      <c r="K890" s="8"/>
    </row>
    <row r="891" spans="1:11" x14ac:dyDescent="0.25">
      <c r="A891" s="11"/>
      <c r="B891" s="11"/>
      <c r="C891" s="11"/>
      <c r="D891" s="11"/>
      <c r="E891" s="11"/>
      <c r="F891" s="11"/>
      <c r="G891" s="11"/>
      <c r="H891" s="8"/>
      <c r="I891" s="8"/>
      <c r="J891" s="8"/>
      <c r="K891" s="8"/>
    </row>
    <row r="892" spans="1:11" x14ac:dyDescent="0.25">
      <c r="A892" s="11"/>
      <c r="B892" s="11"/>
      <c r="C892" s="11"/>
      <c r="D892" s="11"/>
      <c r="E892" s="11"/>
      <c r="F892" s="11"/>
      <c r="G892" s="11"/>
      <c r="H892" s="8"/>
      <c r="I892" s="8"/>
      <c r="J892" s="8"/>
      <c r="K892" s="8"/>
    </row>
    <row r="893" spans="1:11" x14ac:dyDescent="0.25">
      <c r="A893" s="11"/>
      <c r="B893" s="11"/>
      <c r="C893" s="11"/>
      <c r="D893" s="11"/>
      <c r="E893" s="11"/>
      <c r="F893" s="11"/>
      <c r="G893" s="11"/>
      <c r="H893" s="8"/>
      <c r="I893" s="8"/>
      <c r="J893" s="8"/>
      <c r="K893" s="8"/>
    </row>
    <row r="894" spans="1:11" x14ac:dyDescent="0.25">
      <c r="A894" s="11"/>
      <c r="B894" s="11"/>
      <c r="C894" s="11"/>
      <c r="D894" s="11"/>
      <c r="E894" s="11"/>
      <c r="F894" s="11"/>
      <c r="G894" s="11"/>
      <c r="H894" s="8"/>
      <c r="I894" s="8"/>
      <c r="J894" s="8"/>
      <c r="K894" s="8"/>
    </row>
    <row r="895" spans="1:11" x14ac:dyDescent="0.25">
      <c r="A895" s="11"/>
      <c r="B895" s="11"/>
      <c r="C895" s="11"/>
      <c r="D895" s="11"/>
      <c r="E895" s="11"/>
      <c r="F895" s="11"/>
      <c r="G895" s="11"/>
      <c r="H895" s="8"/>
      <c r="I895" s="8"/>
      <c r="J895" s="8"/>
      <c r="K895" s="8"/>
    </row>
    <row r="896" spans="1:11" x14ac:dyDescent="0.25">
      <c r="A896" s="11"/>
      <c r="B896" s="11"/>
      <c r="C896" s="11"/>
      <c r="D896" s="11"/>
      <c r="E896" s="11"/>
      <c r="F896" s="11"/>
      <c r="G896" s="11"/>
      <c r="H896" s="8"/>
      <c r="I896" s="8"/>
      <c r="J896" s="8"/>
      <c r="K896" s="8"/>
    </row>
    <row r="897" spans="1:11" x14ac:dyDescent="0.25">
      <c r="A897" s="11"/>
      <c r="B897" s="11"/>
      <c r="C897" s="11"/>
      <c r="D897" s="11"/>
      <c r="E897" s="11"/>
      <c r="F897" s="11"/>
      <c r="G897" s="11"/>
      <c r="H897" s="8"/>
      <c r="I897" s="8"/>
      <c r="J897" s="8"/>
      <c r="K897" s="8"/>
    </row>
    <row r="898" spans="1:11" x14ac:dyDescent="0.25">
      <c r="A898" s="11"/>
      <c r="B898" s="11"/>
      <c r="C898" s="11"/>
      <c r="D898" s="11"/>
      <c r="E898" s="11"/>
      <c r="F898" s="11"/>
      <c r="G898" s="11"/>
      <c r="H898" s="8"/>
      <c r="I898" s="8"/>
      <c r="J898" s="8"/>
      <c r="K898" s="8"/>
    </row>
    <row r="899" spans="1:11" x14ac:dyDescent="0.25">
      <c r="A899" s="11"/>
      <c r="B899" s="11"/>
      <c r="C899" s="11"/>
      <c r="D899" s="11"/>
      <c r="E899" s="11"/>
      <c r="F899" s="11"/>
      <c r="G899" s="11"/>
      <c r="H899" s="8"/>
      <c r="I899" s="8"/>
      <c r="J899" s="8"/>
      <c r="K899" s="8"/>
    </row>
    <row r="900" spans="1:11" x14ac:dyDescent="0.25">
      <c r="A900" s="11"/>
      <c r="B900" s="11"/>
      <c r="C900" s="11"/>
      <c r="D900" s="11"/>
      <c r="E900" s="11"/>
      <c r="F900" s="11"/>
      <c r="G900" s="11"/>
      <c r="H900" s="8"/>
      <c r="I900" s="8"/>
      <c r="J900" s="8"/>
      <c r="K900" s="8"/>
    </row>
    <row r="901" spans="1:11" x14ac:dyDescent="0.25">
      <c r="A901" s="11"/>
      <c r="B901" s="11"/>
      <c r="C901" s="11"/>
      <c r="D901" s="11"/>
      <c r="E901" s="11"/>
      <c r="F901" s="11"/>
      <c r="G901" s="11"/>
      <c r="H901" s="8"/>
      <c r="I901" s="8"/>
      <c r="J901" s="8"/>
      <c r="K901" s="8"/>
    </row>
    <row r="902" spans="1:11" x14ac:dyDescent="0.25">
      <c r="A902" s="11"/>
      <c r="B902" s="11"/>
      <c r="C902" s="11"/>
      <c r="D902" s="11"/>
      <c r="E902" s="11"/>
      <c r="F902" s="11"/>
      <c r="G902" s="11"/>
      <c r="H902" s="8"/>
      <c r="I902" s="8"/>
      <c r="J902" s="8"/>
      <c r="K902" s="8"/>
    </row>
    <row r="903" spans="1:11" x14ac:dyDescent="0.25">
      <c r="A903" s="11"/>
      <c r="B903" s="11"/>
      <c r="C903" s="11"/>
      <c r="D903" s="11"/>
      <c r="E903" s="11"/>
      <c r="F903" s="11"/>
      <c r="G903" s="11"/>
      <c r="H903" s="8"/>
      <c r="I903" s="8"/>
      <c r="J903" s="8"/>
      <c r="K903" s="8"/>
    </row>
    <row r="904" spans="1:11" x14ac:dyDescent="0.25">
      <c r="A904" s="11"/>
      <c r="B904" s="11"/>
      <c r="C904" s="11"/>
      <c r="D904" s="11"/>
      <c r="E904" s="11"/>
      <c r="F904" s="11"/>
      <c r="G904" s="11"/>
      <c r="H904" s="8"/>
      <c r="I904" s="8"/>
      <c r="J904" s="8"/>
      <c r="K904" s="8"/>
    </row>
    <row r="905" spans="1:11" x14ac:dyDescent="0.25">
      <c r="A905" s="11"/>
      <c r="B905" s="11"/>
      <c r="C905" s="11"/>
      <c r="D905" s="11"/>
      <c r="E905" s="11"/>
      <c r="F905" s="11"/>
      <c r="G905" s="11"/>
      <c r="H905" s="8"/>
      <c r="I905" s="8"/>
      <c r="J905" s="8"/>
      <c r="K905" s="8"/>
    </row>
    <row r="906" spans="1:11" x14ac:dyDescent="0.25">
      <c r="A906" s="11"/>
      <c r="B906" s="11"/>
      <c r="C906" s="11"/>
      <c r="D906" s="11"/>
      <c r="E906" s="11"/>
      <c r="F906" s="11"/>
      <c r="G906" s="11"/>
      <c r="H906" s="8"/>
      <c r="I906" s="8"/>
      <c r="J906" s="8"/>
      <c r="K906" s="8"/>
    </row>
    <row r="907" spans="1:11" x14ac:dyDescent="0.25">
      <c r="A907" s="11"/>
      <c r="B907" s="11"/>
      <c r="C907" s="11"/>
      <c r="D907" s="11"/>
      <c r="E907" s="11"/>
      <c r="F907" s="11"/>
      <c r="G907" s="11"/>
      <c r="H907" s="8"/>
      <c r="I907" s="8"/>
      <c r="J907" s="8"/>
      <c r="K907" s="8"/>
    </row>
    <row r="908" spans="1:11" x14ac:dyDescent="0.25">
      <c r="A908" s="11"/>
      <c r="B908" s="11"/>
      <c r="C908" s="11"/>
      <c r="D908" s="11"/>
      <c r="E908" s="11"/>
      <c r="F908" s="11"/>
      <c r="G908" s="11"/>
      <c r="H908" s="8"/>
      <c r="I908" s="8"/>
      <c r="J908" s="8"/>
      <c r="K908" s="8"/>
    </row>
    <row r="909" spans="1:11" x14ac:dyDescent="0.25">
      <c r="A909" s="11"/>
      <c r="B909" s="11"/>
      <c r="C909" s="11"/>
      <c r="D909" s="11"/>
      <c r="E909" s="11"/>
      <c r="F909" s="11"/>
      <c r="G909" s="11"/>
      <c r="H909" s="8"/>
      <c r="I909" s="8"/>
      <c r="J909" s="8"/>
      <c r="K909" s="8"/>
    </row>
    <row r="910" spans="1:11" x14ac:dyDescent="0.25">
      <c r="A910" s="11"/>
      <c r="B910" s="11"/>
      <c r="C910" s="11"/>
      <c r="D910" s="11"/>
      <c r="E910" s="11"/>
      <c r="F910" s="11"/>
      <c r="G910" s="11"/>
      <c r="H910" s="8"/>
      <c r="I910" s="8"/>
      <c r="J910" s="8"/>
      <c r="K910" s="8"/>
    </row>
    <row r="911" spans="1:11" x14ac:dyDescent="0.25">
      <c r="A911" s="11"/>
      <c r="B911" s="11"/>
      <c r="C911" s="11"/>
      <c r="D911" s="11"/>
      <c r="E911" s="11"/>
      <c r="F911" s="11"/>
      <c r="G911" s="11"/>
      <c r="H911" s="8"/>
      <c r="I911" s="8"/>
      <c r="J911" s="8"/>
      <c r="K911" s="8"/>
    </row>
    <row r="912" spans="1:11" x14ac:dyDescent="0.25">
      <c r="A912" s="11"/>
      <c r="B912" s="11"/>
      <c r="C912" s="11"/>
      <c r="D912" s="11"/>
      <c r="E912" s="11"/>
      <c r="F912" s="11"/>
      <c r="G912" s="11"/>
      <c r="H912" s="8"/>
      <c r="I912" s="8"/>
      <c r="J912" s="8"/>
      <c r="K912" s="8"/>
    </row>
    <row r="913" spans="1:11" x14ac:dyDescent="0.25">
      <c r="A913" s="11"/>
      <c r="B913" s="11"/>
      <c r="C913" s="11"/>
      <c r="D913" s="11"/>
      <c r="E913" s="11"/>
      <c r="F913" s="11"/>
      <c r="G913" s="11"/>
      <c r="H913" s="8"/>
      <c r="I913" s="8"/>
      <c r="J913" s="8"/>
      <c r="K913" s="8"/>
    </row>
    <row r="914" spans="1:11" x14ac:dyDescent="0.25">
      <c r="A914" s="11"/>
      <c r="B914" s="11"/>
      <c r="C914" s="11"/>
      <c r="D914" s="11"/>
      <c r="E914" s="11"/>
      <c r="F914" s="11"/>
      <c r="G914" s="11"/>
      <c r="H914" s="8"/>
      <c r="I914" s="8"/>
      <c r="J914" s="8"/>
      <c r="K914" s="8"/>
    </row>
    <row r="915" spans="1:11" x14ac:dyDescent="0.25">
      <c r="A915" s="11"/>
      <c r="B915" s="11"/>
      <c r="C915" s="11"/>
      <c r="D915" s="11"/>
      <c r="E915" s="11"/>
      <c r="F915" s="11"/>
      <c r="G915" s="11"/>
      <c r="H915" s="8"/>
      <c r="I915" s="8"/>
      <c r="J915" s="8"/>
      <c r="K915" s="8"/>
    </row>
    <row r="916" spans="1:11" x14ac:dyDescent="0.25">
      <c r="A916" s="11"/>
      <c r="B916" s="11"/>
      <c r="C916" s="11"/>
      <c r="D916" s="11"/>
      <c r="E916" s="11"/>
      <c r="F916" s="11"/>
      <c r="G916" s="11"/>
      <c r="H916" s="8"/>
      <c r="I916" s="8"/>
      <c r="J916" s="8"/>
      <c r="K916" s="8"/>
    </row>
    <row r="917" spans="1:11" x14ac:dyDescent="0.25">
      <c r="A917" s="11"/>
      <c r="B917" s="11"/>
      <c r="C917" s="11"/>
      <c r="D917" s="11"/>
      <c r="E917" s="11"/>
      <c r="F917" s="11"/>
      <c r="G917" s="11"/>
      <c r="H917" s="8"/>
      <c r="I917" s="8"/>
      <c r="J917" s="8"/>
      <c r="K917" s="8"/>
    </row>
    <row r="918" spans="1:11" x14ac:dyDescent="0.25">
      <c r="A918" s="11"/>
      <c r="B918" s="11"/>
      <c r="C918" s="11"/>
      <c r="D918" s="11"/>
      <c r="E918" s="11"/>
      <c r="F918" s="11"/>
      <c r="G918" s="11"/>
      <c r="H918" s="8"/>
      <c r="I918" s="8"/>
      <c r="J918" s="8"/>
      <c r="K918" s="8"/>
    </row>
    <row r="919" spans="1:11" x14ac:dyDescent="0.25">
      <c r="A919" s="11"/>
      <c r="B919" s="11"/>
      <c r="C919" s="11"/>
      <c r="D919" s="11"/>
      <c r="E919" s="11"/>
      <c r="F919" s="11"/>
      <c r="G919" s="11"/>
      <c r="H919" s="8"/>
      <c r="I919" s="8"/>
      <c r="J919" s="8"/>
      <c r="K919" s="8"/>
    </row>
    <row r="920" spans="1:11" x14ac:dyDescent="0.25">
      <c r="A920" s="11"/>
      <c r="B920" s="11"/>
      <c r="C920" s="11"/>
      <c r="D920" s="11"/>
      <c r="E920" s="11"/>
      <c r="F920" s="11"/>
      <c r="G920" s="11"/>
      <c r="H920" s="8"/>
      <c r="I920" s="8"/>
      <c r="J920" s="8"/>
      <c r="K920" s="8"/>
    </row>
    <row r="921" spans="1:11" x14ac:dyDescent="0.25">
      <c r="A921" s="11"/>
      <c r="B921" s="11"/>
      <c r="C921" s="11"/>
      <c r="D921" s="11"/>
      <c r="E921" s="11"/>
      <c r="F921" s="11"/>
      <c r="G921" s="11"/>
      <c r="H921" s="8"/>
      <c r="I921" s="8"/>
      <c r="J921" s="8"/>
      <c r="K921" s="8"/>
    </row>
    <row r="922" spans="1:11" x14ac:dyDescent="0.25">
      <c r="A922" s="11"/>
      <c r="B922" s="11"/>
      <c r="C922" s="11"/>
      <c r="D922" s="11"/>
      <c r="E922" s="11"/>
      <c r="F922" s="11"/>
      <c r="G922" s="11"/>
      <c r="H922" s="8"/>
      <c r="I922" s="8"/>
      <c r="J922" s="8"/>
      <c r="K922" s="8"/>
    </row>
    <row r="923" spans="1:11" x14ac:dyDescent="0.25">
      <c r="A923" s="11"/>
      <c r="B923" s="11"/>
      <c r="C923" s="11"/>
      <c r="D923" s="11"/>
      <c r="E923" s="11"/>
      <c r="F923" s="11"/>
      <c r="G923" s="11"/>
      <c r="H923" s="8"/>
      <c r="I923" s="8"/>
      <c r="J923" s="8"/>
      <c r="K923" s="8"/>
    </row>
    <row r="924" spans="1:11" x14ac:dyDescent="0.25">
      <c r="A924" s="11"/>
      <c r="B924" s="11"/>
      <c r="C924" s="11"/>
      <c r="D924" s="11"/>
      <c r="E924" s="11"/>
      <c r="F924" s="11"/>
      <c r="G924" s="11"/>
      <c r="H924" s="8"/>
      <c r="I924" s="8"/>
      <c r="J924" s="8"/>
      <c r="K924" s="8"/>
    </row>
    <row r="925" spans="1:11" x14ac:dyDescent="0.25">
      <c r="A925" s="11"/>
      <c r="B925" s="11"/>
      <c r="C925" s="11"/>
      <c r="D925" s="11"/>
      <c r="E925" s="11"/>
      <c r="F925" s="11"/>
      <c r="G925" s="11"/>
      <c r="H925" s="8"/>
      <c r="I925" s="8"/>
      <c r="J925" s="8"/>
      <c r="K925" s="8"/>
    </row>
    <row r="926" spans="1:11" x14ac:dyDescent="0.25">
      <c r="A926" s="11"/>
      <c r="B926" s="11"/>
      <c r="C926" s="11"/>
      <c r="D926" s="11"/>
      <c r="E926" s="11"/>
      <c r="F926" s="11"/>
      <c r="G926" s="11"/>
      <c r="H926" s="8"/>
      <c r="I926" s="8"/>
      <c r="J926" s="8"/>
      <c r="K926" s="8"/>
    </row>
    <row r="927" spans="1:11" x14ac:dyDescent="0.25">
      <c r="A927" s="11"/>
      <c r="B927" s="11"/>
      <c r="C927" s="11"/>
      <c r="D927" s="11"/>
      <c r="E927" s="11"/>
      <c r="F927" s="11"/>
      <c r="G927" s="11"/>
      <c r="H927" s="8"/>
      <c r="I927" s="8"/>
      <c r="J927" s="8"/>
      <c r="K927" s="8"/>
    </row>
    <row r="928" spans="1:11" x14ac:dyDescent="0.25">
      <c r="A928" s="11"/>
      <c r="B928" s="11"/>
      <c r="C928" s="11"/>
      <c r="D928" s="11"/>
      <c r="E928" s="11"/>
      <c r="F928" s="11"/>
      <c r="G928" s="11"/>
      <c r="H928" s="8"/>
      <c r="I928" s="8"/>
      <c r="J928" s="8"/>
      <c r="K928" s="8"/>
    </row>
    <row r="929" spans="1:11" x14ac:dyDescent="0.25">
      <c r="A929" s="11"/>
      <c r="B929" s="11"/>
      <c r="C929" s="11"/>
      <c r="D929" s="11"/>
      <c r="E929" s="11"/>
      <c r="F929" s="11"/>
      <c r="G929" s="11"/>
      <c r="H929" s="8"/>
      <c r="I929" s="8"/>
      <c r="J929" s="8"/>
      <c r="K929" s="8"/>
    </row>
    <row r="930" spans="1:11" x14ac:dyDescent="0.25">
      <c r="A930" s="11"/>
      <c r="B930" s="11"/>
      <c r="C930" s="11"/>
      <c r="D930" s="11"/>
      <c r="E930" s="11"/>
      <c r="F930" s="11"/>
      <c r="G930" s="11"/>
      <c r="H930" s="8"/>
      <c r="I930" s="8"/>
      <c r="J930" s="8"/>
      <c r="K930" s="8"/>
    </row>
    <row r="931" spans="1:11" x14ac:dyDescent="0.25">
      <c r="A931" s="11"/>
      <c r="B931" s="11"/>
      <c r="C931" s="11"/>
      <c r="D931" s="11"/>
      <c r="E931" s="11"/>
      <c r="F931" s="11"/>
      <c r="G931" s="11"/>
      <c r="H931" s="8"/>
      <c r="I931" s="8"/>
      <c r="J931" s="8"/>
      <c r="K931" s="8"/>
    </row>
    <row r="932" spans="1:11" x14ac:dyDescent="0.25">
      <c r="A932" s="11"/>
      <c r="B932" s="11"/>
      <c r="C932" s="11"/>
      <c r="D932" s="11"/>
      <c r="E932" s="11"/>
      <c r="F932" s="11"/>
      <c r="G932" s="11"/>
      <c r="H932" s="8"/>
      <c r="I932" s="8"/>
      <c r="J932" s="8"/>
      <c r="K932" s="8"/>
    </row>
    <row r="933" spans="1:11" x14ac:dyDescent="0.25">
      <c r="A933" s="11"/>
      <c r="B933" s="11"/>
      <c r="C933" s="11"/>
      <c r="D933" s="11"/>
      <c r="E933" s="11"/>
      <c r="F933" s="11"/>
      <c r="G933" s="11"/>
      <c r="H933" s="8"/>
      <c r="I933" s="8"/>
      <c r="J933" s="8"/>
      <c r="K933" s="8"/>
    </row>
    <row r="934" spans="1:11" x14ac:dyDescent="0.25">
      <c r="A934" s="11"/>
      <c r="B934" s="11"/>
      <c r="C934" s="11"/>
      <c r="D934" s="11"/>
      <c r="E934" s="11"/>
      <c r="F934" s="11"/>
      <c r="G934" s="11"/>
      <c r="H934" s="8"/>
      <c r="I934" s="8"/>
      <c r="J934" s="8"/>
      <c r="K934" s="8"/>
    </row>
    <row r="935" spans="1:11" x14ac:dyDescent="0.25">
      <c r="A935" s="11"/>
      <c r="B935" s="11"/>
      <c r="C935" s="11"/>
      <c r="D935" s="11"/>
      <c r="E935" s="11"/>
      <c r="F935" s="11"/>
      <c r="G935" s="11"/>
      <c r="H935" s="8"/>
      <c r="I935" s="8"/>
      <c r="J935" s="8"/>
      <c r="K935" s="8"/>
    </row>
    <row r="936" spans="1:11" x14ac:dyDescent="0.25">
      <c r="A936" s="11"/>
      <c r="B936" s="11"/>
      <c r="C936" s="11"/>
      <c r="D936" s="11"/>
      <c r="E936" s="11"/>
      <c r="F936" s="11"/>
      <c r="G936" s="11"/>
      <c r="H936" s="8"/>
      <c r="I936" s="8"/>
      <c r="J936" s="8"/>
      <c r="K936" s="8"/>
    </row>
    <row r="937" spans="1:11" x14ac:dyDescent="0.25">
      <c r="A937" s="11"/>
      <c r="B937" s="11"/>
      <c r="C937" s="11"/>
      <c r="D937" s="11"/>
      <c r="E937" s="11"/>
      <c r="F937" s="11"/>
      <c r="G937" s="11"/>
      <c r="H937" s="8"/>
      <c r="I937" s="8"/>
      <c r="J937" s="8"/>
      <c r="K937" s="8"/>
    </row>
    <row r="938" spans="1:11" x14ac:dyDescent="0.25">
      <c r="A938" s="11"/>
      <c r="B938" s="11"/>
      <c r="C938" s="11"/>
      <c r="D938" s="11"/>
      <c r="E938" s="11"/>
      <c r="F938" s="11"/>
      <c r="G938" s="11"/>
      <c r="H938" s="8"/>
      <c r="I938" s="8"/>
      <c r="J938" s="8"/>
      <c r="K938" s="8"/>
    </row>
    <row r="939" spans="1:11" x14ac:dyDescent="0.25">
      <c r="A939" s="11"/>
      <c r="B939" s="11"/>
      <c r="C939" s="11"/>
      <c r="D939" s="11"/>
      <c r="E939" s="11"/>
      <c r="F939" s="11"/>
      <c r="G939" s="11"/>
      <c r="H939" s="8"/>
      <c r="I939" s="8"/>
      <c r="J939" s="8"/>
      <c r="K939" s="8"/>
    </row>
    <row r="940" spans="1:11" x14ac:dyDescent="0.25">
      <c r="A940" s="11"/>
      <c r="B940" s="11"/>
      <c r="C940" s="11"/>
      <c r="D940" s="11"/>
      <c r="E940" s="11"/>
      <c r="F940" s="11"/>
      <c r="G940" s="11"/>
      <c r="H940" s="8"/>
      <c r="I940" s="8"/>
      <c r="J940" s="8"/>
      <c r="K940" s="8"/>
    </row>
    <row r="941" spans="1:11" x14ac:dyDescent="0.25">
      <c r="A941" s="11"/>
      <c r="B941" s="11"/>
      <c r="C941" s="11"/>
      <c r="D941" s="11"/>
      <c r="E941" s="11"/>
      <c r="F941" s="11"/>
      <c r="G941" s="11"/>
      <c r="H941" s="8"/>
      <c r="I941" s="8"/>
      <c r="J941" s="8"/>
      <c r="K941" s="8"/>
    </row>
    <row r="942" spans="1:11" x14ac:dyDescent="0.25">
      <c r="A942" s="11"/>
      <c r="B942" s="11"/>
      <c r="C942" s="11"/>
      <c r="D942" s="11"/>
      <c r="E942" s="11"/>
      <c r="F942" s="11"/>
      <c r="G942" s="11"/>
      <c r="H942" s="8"/>
      <c r="I942" s="8"/>
      <c r="J942" s="8"/>
      <c r="K942" s="8"/>
    </row>
    <row r="943" spans="1:11" x14ac:dyDescent="0.25">
      <c r="A943" s="11"/>
      <c r="B943" s="11"/>
      <c r="C943" s="11"/>
      <c r="D943" s="11"/>
      <c r="E943" s="11"/>
      <c r="F943" s="11"/>
      <c r="G943" s="11"/>
      <c r="H943" s="8"/>
      <c r="I943" s="8"/>
      <c r="J943" s="8"/>
      <c r="K943" s="8"/>
    </row>
    <row r="944" spans="1:11" x14ac:dyDescent="0.25">
      <c r="A944" s="11"/>
      <c r="B944" s="11"/>
      <c r="C944" s="11"/>
      <c r="D944" s="11"/>
      <c r="E944" s="11"/>
      <c r="F944" s="11"/>
      <c r="G944" s="11"/>
      <c r="H944" s="8"/>
      <c r="I944" s="8"/>
      <c r="J944" s="8"/>
      <c r="K944" s="8"/>
    </row>
    <row r="945" spans="1:11" x14ac:dyDescent="0.25">
      <c r="A945" s="11"/>
      <c r="B945" s="11"/>
      <c r="C945" s="11"/>
      <c r="D945" s="11"/>
      <c r="E945" s="11"/>
      <c r="F945" s="11"/>
      <c r="G945" s="11"/>
      <c r="H945" s="8"/>
      <c r="I945" s="8"/>
      <c r="J945" s="8"/>
      <c r="K945" s="8"/>
    </row>
    <row r="946" spans="1:11" x14ac:dyDescent="0.25">
      <c r="A946" s="11"/>
      <c r="B946" s="11"/>
      <c r="C946" s="11"/>
      <c r="D946" s="11"/>
      <c r="E946" s="11"/>
      <c r="F946" s="11"/>
      <c r="G946" s="11"/>
      <c r="H946" s="8"/>
      <c r="I946" s="8"/>
      <c r="J946" s="8"/>
      <c r="K946" s="8"/>
    </row>
    <row r="947" spans="1:11" x14ac:dyDescent="0.25">
      <c r="A947" s="11"/>
      <c r="B947" s="11"/>
      <c r="C947" s="11"/>
      <c r="D947" s="11"/>
      <c r="E947" s="11"/>
      <c r="F947" s="11"/>
      <c r="G947" s="11"/>
      <c r="H947" s="8"/>
      <c r="I947" s="8"/>
      <c r="J947" s="8"/>
      <c r="K947" s="8"/>
    </row>
    <row r="948" spans="1:11" x14ac:dyDescent="0.25">
      <c r="A948" s="11"/>
      <c r="B948" s="11"/>
      <c r="C948" s="11"/>
      <c r="D948" s="11"/>
      <c r="E948" s="11"/>
      <c r="F948" s="11"/>
      <c r="G948" s="11"/>
      <c r="H948" s="8"/>
      <c r="I948" s="8"/>
      <c r="J948" s="8"/>
      <c r="K948" s="8"/>
    </row>
    <row r="949" spans="1:11" x14ac:dyDescent="0.25">
      <c r="A949" s="11"/>
      <c r="B949" s="11"/>
      <c r="C949" s="11"/>
      <c r="D949" s="11"/>
      <c r="E949" s="11"/>
      <c r="F949" s="11"/>
      <c r="G949" s="11"/>
      <c r="H949" s="8"/>
      <c r="I949" s="8"/>
      <c r="J949" s="8"/>
      <c r="K949" s="8"/>
    </row>
    <row r="950" spans="1:11" x14ac:dyDescent="0.25">
      <c r="A950" s="11"/>
      <c r="B950" s="11"/>
      <c r="C950" s="11"/>
      <c r="D950" s="11"/>
      <c r="E950" s="11"/>
      <c r="F950" s="11"/>
      <c r="G950" s="11"/>
      <c r="H950" s="8"/>
      <c r="I950" s="8"/>
      <c r="J950" s="8"/>
      <c r="K950" s="8"/>
    </row>
    <row r="951" spans="1:11" x14ac:dyDescent="0.25">
      <c r="A951" s="11"/>
      <c r="B951" s="11"/>
      <c r="C951" s="11"/>
      <c r="D951" s="11"/>
      <c r="E951" s="11"/>
      <c r="F951" s="11"/>
      <c r="G951" s="11"/>
      <c r="H951" s="8"/>
      <c r="I951" s="8"/>
      <c r="J951" s="8"/>
      <c r="K951" s="8"/>
    </row>
    <row r="952" spans="1:11" x14ac:dyDescent="0.25">
      <c r="A952" s="11"/>
      <c r="B952" s="11"/>
      <c r="C952" s="11"/>
      <c r="D952" s="11"/>
      <c r="E952" s="11"/>
      <c r="F952" s="11"/>
      <c r="G952" s="11"/>
      <c r="H952" s="8"/>
      <c r="I952" s="8"/>
      <c r="J952" s="8"/>
      <c r="K952" s="8"/>
    </row>
    <row r="953" spans="1:11" x14ac:dyDescent="0.25">
      <c r="A953" s="11"/>
      <c r="B953" s="11"/>
      <c r="C953" s="11"/>
      <c r="D953" s="11"/>
      <c r="E953" s="11"/>
      <c r="F953" s="11"/>
      <c r="G953" s="11"/>
      <c r="H953" s="8"/>
      <c r="I953" s="8"/>
      <c r="J953" s="8"/>
      <c r="K953" s="8"/>
    </row>
    <row r="954" spans="1:11" x14ac:dyDescent="0.25">
      <c r="A954" s="11"/>
      <c r="B954" s="11"/>
      <c r="C954" s="11"/>
      <c r="D954" s="11"/>
      <c r="E954" s="11"/>
      <c r="F954" s="11"/>
      <c r="G954" s="11"/>
      <c r="H954" s="8"/>
      <c r="I954" s="8"/>
      <c r="J954" s="8"/>
      <c r="K954" s="8"/>
    </row>
    <row r="955" spans="1:11" x14ac:dyDescent="0.25">
      <c r="A955" s="11"/>
      <c r="B955" s="11"/>
      <c r="C955" s="11"/>
      <c r="D955" s="11"/>
      <c r="E955" s="11"/>
      <c r="F955" s="11"/>
      <c r="G955" s="11"/>
      <c r="H955" s="8"/>
      <c r="I955" s="8"/>
      <c r="J955" s="8"/>
      <c r="K955" s="8"/>
    </row>
    <row r="956" spans="1:11" x14ac:dyDescent="0.25">
      <c r="A956" s="11"/>
      <c r="B956" s="11"/>
      <c r="C956" s="11"/>
      <c r="D956" s="11"/>
      <c r="E956" s="11"/>
      <c r="F956" s="11"/>
      <c r="G956" s="11"/>
      <c r="H956" s="8"/>
      <c r="I956" s="8"/>
      <c r="J956" s="8"/>
      <c r="K956" s="8"/>
    </row>
    <row r="957" spans="1:11" x14ac:dyDescent="0.25">
      <c r="A957" s="11"/>
      <c r="B957" s="11"/>
      <c r="C957" s="11"/>
      <c r="D957" s="11"/>
      <c r="E957" s="11"/>
      <c r="F957" s="11"/>
      <c r="G957" s="11"/>
      <c r="H957" s="8"/>
      <c r="I957" s="8"/>
      <c r="J957" s="8"/>
      <c r="K957" s="8"/>
    </row>
    <row r="958" spans="1:11" x14ac:dyDescent="0.25">
      <c r="A958" s="11"/>
      <c r="B958" s="11"/>
      <c r="C958" s="11"/>
      <c r="D958" s="11"/>
      <c r="E958" s="11"/>
      <c r="F958" s="11"/>
      <c r="G958" s="11"/>
      <c r="H958" s="8"/>
      <c r="I958" s="8"/>
      <c r="J958" s="8"/>
      <c r="K958" s="8"/>
    </row>
    <row r="959" spans="1:11" x14ac:dyDescent="0.25">
      <c r="A959" s="11"/>
      <c r="B959" s="11"/>
      <c r="C959" s="11"/>
      <c r="D959" s="11"/>
      <c r="E959" s="11"/>
      <c r="F959" s="11"/>
      <c r="G959" s="11"/>
      <c r="H959" s="8"/>
      <c r="I959" s="8"/>
      <c r="J959" s="8"/>
      <c r="K959" s="8"/>
    </row>
    <row r="960" spans="1:11" x14ac:dyDescent="0.25">
      <c r="A960" s="11"/>
      <c r="B960" s="11"/>
      <c r="C960" s="11"/>
      <c r="D960" s="11"/>
      <c r="E960" s="11"/>
      <c r="F960" s="11"/>
      <c r="G960" s="11"/>
      <c r="H960" s="8"/>
      <c r="I960" s="8"/>
      <c r="J960" s="8"/>
      <c r="K960" s="8"/>
    </row>
    <row r="961" spans="1:11" x14ac:dyDescent="0.25">
      <c r="A961" s="11"/>
      <c r="B961" s="11"/>
      <c r="C961" s="11"/>
      <c r="D961" s="11"/>
      <c r="E961" s="11"/>
      <c r="F961" s="11"/>
      <c r="G961" s="11"/>
      <c r="H961" s="8"/>
      <c r="I961" s="8"/>
      <c r="J961" s="8"/>
      <c r="K961" s="8"/>
    </row>
    <row r="962" spans="1:11" x14ac:dyDescent="0.25">
      <c r="A962" s="11"/>
      <c r="B962" s="11"/>
      <c r="C962" s="11"/>
      <c r="D962" s="11"/>
      <c r="E962" s="11"/>
      <c r="F962" s="11"/>
      <c r="G962" s="11"/>
      <c r="H962" s="8"/>
      <c r="I962" s="8"/>
      <c r="J962" s="8"/>
      <c r="K962" s="8"/>
    </row>
    <row r="963" spans="1:11" x14ac:dyDescent="0.25">
      <c r="A963" s="11"/>
      <c r="B963" s="11"/>
      <c r="C963" s="11"/>
      <c r="D963" s="11"/>
      <c r="E963" s="11"/>
      <c r="F963" s="11"/>
      <c r="G963" s="11"/>
      <c r="H963" s="8"/>
      <c r="I963" s="8"/>
      <c r="J963" s="8"/>
      <c r="K963" s="8"/>
    </row>
    <row r="964" spans="1:11" x14ac:dyDescent="0.25">
      <c r="A964" s="11"/>
      <c r="B964" s="11"/>
      <c r="C964" s="11"/>
      <c r="D964" s="11"/>
      <c r="E964" s="11"/>
      <c r="F964" s="11"/>
      <c r="G964" s="11"/>
      <c r="H964" s="8"/>
      <c r="I964" s="8"/>
      <c r="J964" s="8"/>
      <c r="K964" s="8"/>
    </row>
    <row r="965" spans="1:11" x14ac:dyDescent="0.25">
      <c r="A965" s="11"/>
      <c r="B965" s="11"/>
      <c r="C965" s="11"/>
      <c r="D965" s="11"/>
      <c r="E965" s="11"/>
      <c r="F965" s="11"/>
      <c r="G965" s="11"/>
      <c r="H965" s="8"/>
      <c r="I965" s="8"/>
      <c r="J965" s="8"/>
      <c r="K965" s="8"/>
    </row>
    <row r="966" spans="1:11" x14ac:dyDescent="0.25">
      <c r="A966" s="11"/>
      <c r="B966" s="11"/>
      <c r="C966" s="11"/>
      <c r="D966" s="11"/>
      <c r="E966" s="11"/>
      <c r="F966" s="11"/>
      <c r="G966" s="11"/>
      <c r="H966" s="8"/>
      <c r="I966" s="8"/>
      <c r="J966" s="8"/>
      <c r="K966" s="8"/>
    </row>
    <row r="967" spans="1:11" x14ac:dyDescent="0.25">
      <c r="A967" s="11"/>
      <c r="B967" s="11"/>
      <c r="C967" s="11"/>
      <c r="D967" s="11"/>
      <c r="E967" s="11"/>
      <c r="F967" s="11"/>
      <c r="G967" s="11"/>
      <c r="H967" s="8"/>
      <c r="I967" s="8"/>
      <c r="J967" s="8"/>
      <c r="K967" s="8"/>
    </row>
    <row r="968" spans="1:11" x14ac:dyDescent="0.25">
      <c r="A968" s="11"/>
      <c r="B968" s="11"/>
      <c r="C968" s="11"/>
      <c r="D968" s="11"/>
      <c r="E968" s="11"/>
      <c r="F968" s="11"/>
      <c r="G968" s="11"/>
      <c r="H968" s="8"/>
      <c r="I968" s="8"/>
      <c r="J968" s="8"/>
      <c r="K968" s="8"/>
    </row>
    <row r="969" spans="1:11" x14ac:dyDescent="0.25">
      <c r="A969" s="11"/>
      <c r="B969" s="11"/>
      <c r="C969" s="11"/>
      <c r="D969" s="11"/>
      <c r="E969" s="11"/>
      <c r="F969" s="11"/>
      <c r="G969" s="11"/>
      <c r="H969" s="8"/>
      <c r="I969" s="8"/>
      <c r="J969" s="8"/>
      <c r="K969" s="8"/>
    </row>
    <row r="970" spans="1:11" x14ac:dyDescent="0.25">
      <c r="A970" s="11"/>
      <c r="B970" s="11"/>
      <c r="C970" s="11"/>
      <c r="D970" s="11"/>
      <c r="E970" s="11"/>
      <c r="F970" s="11"/>
      <c r="G970" s="11"/>
      <c r="H970" s="8"/>
      <c r="I970" s="8"/>
      <c r="J970" s="8"/>
      <c r="K970" s="8"/>
    </row>
    <row r="971" spans="1:11" x14ac:dyDescent="0.25">
      <c r="A971" s="11"/>
      <c r="B971" s="11"/>
      <c r="C971" s="11"/>
      <c r="D971" s="11"/>
      <c r="E971" s="11"/>
      <c r="F971" s="11"/>
      <c r="G971" s="11"/>
      <c r="H971" s="8"/>
      <c r="I971" s="8"/>
      <c r="J971" s="8"/>
      <c r="K971" s="8"/>
    </row>
    <row r="972" spans="1:11" x14ac:dyDescent="0.25">
      <c r="A972" s="11"/>
      <c r="B972" s="11"/>
      <c r="C972" s="11"/>
      <c r="D972" s="11"/>
      <c r="E972" s="11"/>
      <c r="F972" s="11"/>
      <c r="G972" s="11"/>
      <c r="H972" s="8"/>
      <c r="I972" s="8"/>
      <c r="J972" s="8"/>
      <c r="K972" s="8"/>
    </row>
    <row r="973" spans="1:11" x14ac:dyDescent="0.25">
      <c r="A973" s="11"/>
      <c r="B973" s="11"/>
      <c r="C973" s="11"/>
      <c r="D973" s="11"/>
      <c r="E973" s="11"/>
      <c r="F973" s="11"/>
      <c r="G973" s="11"/>
      <c r="H973" s="8"/>
      <c r="I973" s="8"/>
      <c r="J973" s="8"/>
      <c r="K973" s="8"/>
    </row>
    <row r="974" spans="1:11" x14ac:dyDescent="0.25">
      <c r="A974" s="11"/>
      <c r="B974" s="11"/>
      <c r="C974" s="11"/>
      <c r="D974" s="11"/>
      <c r="E974" s="11"/>
      <c r="F974" s="11"/>
      <c r="G974" s="11"/>
      <c r="H974" s="8"/>
      <c r="I974" s="8"/>
      <c r="J974" s="8"/>
      <c r="K974" s="8"/>
    </row>
    <row r="975" spans="1:11" x14ac:dyDescent="0.25">
      <c r="A975" s="11"/>
      <c r="B975" s="11"/>
      <c r="C975" s="11"/>
      <c r="D975" s="11"/>
      <c r="E975" s="11"/>
      <c r="F975" s="11"/>
      <c r="G975" s="11"/>
      <c r="H975" s="8"/>
      <c r="I975" s="8"/>
      <c r="J975" s="8"/>
      <c r="K975" s="8"/>
    </row>
    <row r="976" spans="1:11" x14ac:dyDescent="0.25">
      <c r="A976" s="11"/>
      <c r="B976" s="11"/>
      <c r="C976" s="11"/>
      <c r="D976" s="11"/>
      <c r="E976" s="11"/>
      <c r="F976" s="11"/>
      <c r="G976" s="11"/>
      <c r="H976" s="8"/>
      <c r="I976" s="8"/>
      <c r="J976" s="8"/>
      <c r="K976" s="8"/>
    </row>
    <row r="977" spans="1:11" x14ac:dyDescent="0.25">
      <c r="A977" s="11"/>
      <c r="B977" s="11"/>
      <c r="C977" s="11"/>
      <c r="D977" s="11"/>
      <c r="E977" s="11"/>
      <c r="F977" s="11"/>
      <c r="G977" s="11"/>
      <c r="H977" s="8"/>
      <c r="I977" s="8"/>
      <c r="J977" s="8"/>
      <c r="K977" s="8"/>
    </row>
    <row r="978" spans="1:11" x14ac:dyDescent="0.25">
      <c r="A978" s="11"/>
      <c r="B978" s="11"/>
      <c r="C978" s="11"/>
      <c r="D978" s="11"/>
      <c r="E978" s="11"/>
      <c r="F978" s="11"/>
      <c r="G978" s="11"/>
      <c r="H978" s="8"/>
      <c r="I978" s="8"/>
      <c r="J978" s="8"/>
      <c r="K978" s="8"/>
    </row>
    <row r="979" spans="1:11" x14ac:dyDescent="0.25">
      <c r="A979" s="11"/>
      <c r="B979" s="11"/>
      <c r="C979" s="11"/>
      <c r="D979" s="11"/>
      <c r="E979" s="11"/>
      <c r="F979" s="11"/>
      <c r="G979" s="11"/>
      <c r="H979" s="8"/>
      <c r="I979" s="8"/>
      <c r="J979" s="8"/>
      <c r="K979" s="8"/>
    </row>
    <row r="980" spans="1:11" x14ac:dyDescent="0.25">
      <c r="A980" s="11"/>
      <c r="B980" s="11"/>
      <c r="C980" s="11"/>
      <c r="D980" s="11"/>
      <c r="E980" s="11"/>
      <c r="F980" s="11"/>
      <c r="G980" s="11"/>
      <c r="H980" s="8"/>
      <c r="I980" s="8"/>
      <c r="J980" s="8"/>
      <c r="K980" s="8"/>
    </row>
    <row r="981" spans="1:11" x14ac:dyDescent="0.25">
      <c r="A981" s="11"/>
      <c r="B981" s="11"/>
      <c r="C981" s="11"/>
      <c r="D981" s="11"/>
      <c r="E981" s="11"/>
      <c r="F981" s="11"/>
      <c r="G981" s="11"/>
      <c r="H981" s="8"/>
      <c r="I981" s="8"/>
      <c r="J981" s="8"/>
      <c r="K981" s="8"/>
    </row>
    <row r="982" spans="1:11" x14ac:dyDescent="0.25">
      <c r="A982" s="11"/>
      <c r="B982" s="11"/>
      <c r="C982" s="11"/>
      <c r="D982" s="11"/>
      <c r="E982" s="11"/>
      <c r="F982" s="11"/>
      <c r="G982" s="11"/>
      <c r="H982" s="8"/>
      <c r="I982" s="8"/>
      <c r="J982" s="8"/>
      <c r="K982" s="8"/>
    </row>
    <row r="983" spans="1:11" x14ac:dyDescent="0.25">
      <c r="A983" s="11"/>
      <c r="B983" s="11"/>
      <c r="C983" s="11"/>
      <c r="D983" s="11"/>
      <c r="E983" s="11"/>
      <c r="F983" s="11"/>
      <c r="G983" s="11"/>
      <c r="H983" s="8"/>
      <c r="I983" s="8"/>
      <c r="J983" s="8"/>
      <c r="K983" s="8"/>
    </row>
    <row r="984" spans="1:11" x14ac:dyDescent="0.25">
      <c r="A984" s="11"/>
      <c r="B984" s="11"/>
      <c r="C984" s="11"/>
      <c r="D984" s="11"/>
      <c r="E984" s="11"/>
      <c r="F984" s="11"/>
      <c r="G984" s="11"/>
      <c r="H984" s="8"/>
      <c r="I984" s="8"/>
      <c r="J984" s="8"/>
      <c r="K984" s="8"/>
    </row>
    <row r="985" spans="1:11" x14ac:dyDescent="0.25">
      <c r="A985" s="11"/>
      <c r="B985" s="11"/>
      <c r="C985" s="11"/>
      <c r="D985" s="11"/>
      <c r="E985" s="11"/>
      <c r="F985" s="11"/>
      <c r="G985" s="11"/>
      <c r="H985" s="8"/>
      <c r="I985" s="8"/>
      <c r="J985" s="8"/>
      <c r="K985" s="8"/>
    </row>
    <row r="986" spans="1:11" x14ac:dyDescent="0.25">
      <c r="A986" s="11"/>
      <c r="B986" s="11"/>
      <c r="C986" s="11"/>
      <c r="D986" s="11"/>
      <c r="E986" s="11"/>
      <c r="F986" s="11"/>
      <c r="G986" s="11"/>
      <c r="H986" s="8"/>
      <c r="I986" s="8"/>
      <c r="J986" s="8"/>
      <c r="K986" s="8"/>
    </row>
    <row r="987" spans="1:11" x14ac:dyDescent="0.25">
      <c r="A987" s="11"/>
      <c r="B987" s="11"/>
      <c r="C987" s="11"/>
      <c r="D987" s="11"/>
      <c r="E987" s="11"/>
      <c r="F987" s="11"/>
      <c r="G987" s="11"/>
      <c r="H987" s="8"/>
      <c r="I987" s="8"/>
      <c r="J987" s="8"/>
      <c r="K987" s="8"/>
    </row>
    <row r="988" spans="1:11" x14ac:dyDescent="0.25">
      <c r="A988" s="11"/>
      <c r="B988" s="11"/>
      <c r="C988" s="11"/>
      <c r="D988" s="11"/>
      <c r="E988" s="11"/>
      <c r="F988" s="11"/>
      <c r="G988" s="11"/>
      <c r="H988" s="8"/>
      <c r="I988" s="8"/>
      <c r="J988" s="8"/>
      <c r="K988" s="8"/>
    </row>
    <row r="989" spans="1:11" x14ac:dyDescent="0.25">
      <c r="A989" s="11"/>
      <c r="B989" s="11"/>
      <c r="C989" s="11"/>
      <c r="D989" s="11"/>
      <c r="E989" s="11"/>
      <c r="F989" s="11"/>
      <c r="G989" s="11"/>
      <c r="H989" s="8"/>
      <c r="I989" s="8"/>
      <c r="J989" s="8"/>
      <c r="K989" s="8"/>
    </row>
    <row r="990" spans="1:11" x14ac:dyDescent="0.25">
      <c r="A990" s="11"/>
      <c r="B990" s="11"/>
      <c r="C990" s="11"/>
      <c r="D990" s="11"/>
      <c r="E990" s="11"/>
      <c r="F990" s="11"/>
      <c r="G990" s="11"/>
      <c r="H990" s="8"/>
      <c r="I990" s="8"/>
      <c r="J990" s="8"/>
      <c r="K990" s="8"/>
    </row>
    <row r="991" spans="1:11" x14ac:dyDescent="0.25">
      <c r="A991" s="11"/>
      <c r="B991" s="11"/>
      <c r="C991" s="11"/>
      <c r="D991" s="11"/>
      <c r="E991" s="11"/>
      <c r="F991" s="11"/>
      <c r="G991" s="11"/>
      <c r="H991" s="8"/>
      <c r="I991" s="8"/>
      <c r="J991" s="8"/>
      <c r="K991" s="8"/>
    </row>
    <row r="992" spans="1:11" x14ac:dyDescent="0.25">
      <c r="A992" s="11"/>
      <c r="B992" s="11"/>
      <c r="C992" s="11"/>
      <c r="D992" s="11"/>
      <c r="E992" s="11"/>
      <c r="F992" s="11"/>
      <c r="G992" s="11"/>
      <c r="H992" s="8"/>
      <c r="I992" s="8"/>
      <c r="J992" s="8"/>
      <c r="K992" s="8"/>
    </row>
    <row r="993" spans="1:11" x14ac:dyDescent="0.25">
      <c r="A993" s="11"/>
      <c r="B993" s="11"/>
      <c r="C993" s="11"/>
      <c r="D993" s="11"/>
      <c r="E993" s="11"/>
      <c r="F993" s="11"/>
      <c r="G993" s="11"/>
      <c r="H993" s="8"/>
      <c r="I993" s="8"/>
      <c r="J993" s="8"/>
      <c r="K993" s="8"/>
    </row>
    <row r="994" spans="1:11" x14ac:dyDescent="0.25">
      <c r="A994" s="11"/>
      <c r="B994" s="11"/>
      <c r="C994" s="11"/>
      <c r="D994" s="11"/>
      <c r="E994" s="11"/>
      <c r="F994" s="11"/>
      <c r="G994" s="11"/>
      <c r="H994" s="8"/>
      <c r="I994" s="8"/>
      <c r="J994" s="8"/>
      <c r="K994" s="8"/>
    </row>
    <row r="995" spans="1:11" x14ac:dyDescent="0.25">
      <c r="A995" s="11"/>
      <c r="B995" s="11"/>
      <c r="C995" s="11"/>
      <c r="D995" s="11"/>
      <c r="E995" s="11"/>
      <c r="F995" s="11"/>
      <c r="G995" s="11"/>
      <c r="H995" s="8"/>
      <c r="I995" s="8"/>
      <c r="J995" s="8"/>
      <c r="K995" s="8"/>
    </row>
    <row r="996" spans="1:11" x14ac:dyDescent="0.25">
      <c r="A996" s="11"/>
      <c r="B996" s="11"/>
      <c r="C996" s="11"/>
      <c r="D996" s="11"/>
      <c r="E996" s="11"/>
      <c r="F996" s="11"/>
      <c r="G996" s="11"/>
      <c r="H996" s="8"/>
      <c r="I996" s="8"/>
      <c r="J996" s="8"/>
      <c r="K996" s="8"/>
    </row>
    <row r="997" spans="1:11" x14ac:dyDescent="0.25">
      <c r="A997" s="11"/>
      <c r="B997" s="11"/>
      <c r="C997" s="11"/>
      <c r="D997" s="11"/>
      <c r="E997" s="11"/>
      <c r="F997" s="11"/>
      <c r="G997" s="11"/>
      <c r="H997" s="8"/>
      <c r="I997" s="8"/>
      <c r="J997" s="8"/>
      <c r="K997" s="8"/>
    </row>
    <row r="998" spans="1:11" x14ac:dyDescent="0.25">
      <c r="A998" s="11"/>
      <c r="B998" s="11"/>
      <c r="C998" s="11"/>
      <c r="D998" s="11"/>
      <c r="E998" s="11"/>
      <c r="F998" s="11"/>
      <c r="G998" s="11"/>
      <c r="H998" s="8"/>
      <c r="I998" s="8"/>
      <c r="J998" s="8"/>
      <c r="K998" s="8"/>
    </row>
    <row r="999" spans="1:11" x14ac:dyDescent="0.25">
      <c r="A999" s="11"/>
      <c r="B999" s="11"/>
      <c r="C999" s="11"/>
      <c r="D999" s="11"/>
      <c r="E999" s="11"/>
      <c r="F999" s="11"/>
      <c r="G999" s="11"/>
      <c r="H999" s="8"/>
      <c r="I999" s="8"/>
      <c r="J999" s="8"/>
      <c r="K999" s="8"/>
    </row>
    <row r="1000" spans="1:11" x14ac:dyDescent="0.25">
      <c r="A1000" s="11"/>
      <c r="B1000" s="11"/>
      <c r="C1000" s="11"/>
      <c r="D1000" s="11"/>
      <c r="E1000" s="11"/>
      <c r="F1000" s="11"/>
      <c r="G1000" s="11"/>
      <c r="H1000" s="8"/>
      <c r="I1000" s="8"/>
      <c r="J1000" s="8"/>
      <c r="K1000" s="8"/>
    </row>
    <row r="1001" spans="1:11" x14ac:dyDescent="0.25">
      <c r="A1001" s="11"/>
      <c r="B1001" s="11"/>
      <c r="C1001" s="11"/>
      <c r="D1001" s="11"/>
      <c r="E1001" s="11"/>
      <c r="F1001" s="11"/>
      <c r="G1001" s="11"/>
      <c r="H1001" s="8"/>
      <c r="I1001" s="8"/>
      <c r="J1001" s="8"/>
      <c r="K1001" s="8"/>
    </row>
    <row r="1002" spans="1:11" x14ac:dyDescent="0.25">
      <c r="A1002" s="11"/>
      <c r="B1002" s="11"/>
      <c r="C1002" s="11"/>
      <c r="D1002" s="11"/>
      <c r="E1002" s="11"/>
      <c r="F1002" s="11"/>
      <c r="G1002" s="11"/>
      <c r="H1002" s="8"/>
      <c r="I1002" s="8"/>
      <c r="J1002" s="8"/>
      <c r="K1002" s="8"/>
    </row>
  </sheetData>
  <mergeCells count="2">
    <mergeCell ref="J37:K37"/>
    <mergeCell ref="J108:K10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Y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5" x14ac:dyDescent="0.25">
      <c r="A1" s="54" t="s">
        <v>0</v>
      </c>
      <c r="B1" s="54" t="s">
        <v>4354</v>
      </c>
      <c r="C1" s="54" t="s">
        <v>4355</v>
      </c>
      <c r="D1" s="54" t="s">
        <v>6</v>
      </c>
      <c r="E1" s="38" t="s">
        <v>4356</v>
      </c>
      <c r="F1" s="38" t="s">
        <v>4357</v>
      </c>
      <c r="G1" s="38" t="s">
        <v>4358</v>
      </c>
      <c r="H1" s="38" t="s">
        <v>4359</v>
      </c>
      <c r="I1" s="38" t="s">
        <v>4360</v>
      </c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</row>
    <row r="2" spans="1:25" x14ac:dyDescent="0.25">
      <c r="A2" s="11" t="s">
        <v>4128</v>
      </c>
      <c r="B2" s="11">
        <v>18966750000</v>
      </c>
      <c r="C2" s="11">
        <v>22754875000</v>
      </c>
      <c r="D2" s="11">
        <f t="shared" ref="D2:D183" si="0">((C2-B2)/B2)*100</f>
        <v>19.97245179063361</v>
      </c>
      <c r="E2" s="39">
        <v>1</v>
      </c>
      <c r="F2" s="39">
        <v>0</v>
      </c>
      <c r="G2" s="39">
        <v>0</v>
      </c>
      <c r="H2" s="8">
        <f t="shared" ref="H2:H183" si="1">(E2/(E2+F2+G2))*100</f>
        <v>100</v>
      </c>
      <c r="I2" s="8">
        <f t="shared" ref="I2:I183" si="2">(F2/(E2+F2+G2))*100</f>
        <v>0</v>
      </c>
    </row>
    <row r="3" spans="1:25" x14ac:dyDescent="0.25">
      <c r="A3" s="11" t="s">
        <v>166</v>
      </c>
      <c r="B3" s="11">
        <v>470577531503.84998</v>
      </c>
      <c r="C3" s="11">
        <v>521412717744.5</v>
      </c>
      <c r="D3" s="11">
        <f t="shared" si="0"/>
        <v>10.802722790056142</v>
      </c>
      <c r="E3" s="39">
        <v>4</v>
      </c>
      <c r="F3" s="39">
        <v>0</v>
      </c>
      <c r="G3" s="39">
        <v>0</v>
      </c>
      <c r="H3" s="8">
        <f t="shared" si="1"/>
        <v>100</v>
      </c>
      <c r="I3" s="8">
        <f t="shared" si="2"/>
        <v>0</v>
      </c>
    </row>
    <row r="4" spans="1:25" x14ac:dyDescent="0.25">
      <c r="A4" s="11" t="s">
        <v>342</v>
      </c>
      <c r="B4" s="11">
        <v>1104580101411.2998</v>
      </c>
      <c r="C4" s="11">
        <v>1181306705325.25</v>
      </c>
      <c r="D4" s="11">
        <f t="shared" si="0"/>
        <v>6.9462236207150712</v>
      </c>
      <c r="E4" s="39">
        <v>3</v>
      </c>
      <c r="F4" s="39">
        <v>0</v>
      </c>
      <c r="G4" s="39">
        <v>0</v>
      </c>
      <c r="H4" s="8">
        <f t="shared" si="1"/>
        <v>100</v>
      </c>
      <c r="I4" s="8">
        <f t="shared" si="2"/>
        <v>0</v>
      </c>
    </row>
    <row r="5" spans="1:25" x14ac:dyDescent="0.25">
      <c r="A5" s="11" t="s">
        <v>4057</v>
      </c>
      <c r="B5" s="11">
        <v>3838459347</v>
      </c>
      <c r="C5" s="11">
        <v>4074586065.5999999</v>
      </c>
      <c r="D5" s="11">
        <f t="shared" si="0"/>
        <v>6.1516013914423233</v>
      </c>
      <c r="E5" s="39">
        <v>2</v>
      </c>
      <c r="F5" s="39">
        <v>0</v>
      </c>
      <c r="G5" s="39">
        <v>0</v>
      </c>
      <c r="H5" s="8">
        <f t="shared" si="1"/>
        <v>100</v>
      </c>
      <c r="I5" s="8">
        <f t="shared" si="2"/>
        <v>0</v>
      </c>
    </row>
    <row r="6" spans="1:25" x14ac:dyDescent="0.25">
      <c r="A6" s="11" t="s">
        <v>4200</v>
      </c>
      <c r="B6" s="11">
        <v>69711077673</v>
      </c>
      <c r="C6" s="11">
        <v>72971450069.399994</v>
      </c>
      <c r="D6" s="11">
        <f t="shared" si="0"/>
        <v>4.6769789038317766</v>
      </c>
      <c r="E6" s="39">
        <v>2</v>
      </c>
      <c r="F6" s="39">
        <v>0</v>
      </c>
      <c r="G6" s="39">
        <v>0</v>
      </c>
      <c r="H6" s="8">
        <f t="shared" si="1"/>
        <v>100</v>
      </c>
      <c r="I6" s="8">
        <f t="shared" si="2"/>
        <v>0</v>
      </c>
    </row>
    <row r="7" spans="1:25" x14ac:dyDescent="0.25">
      <c r="A7" s="11" t="s">
        <v>758</v>
      </c>
      <c r="B7" s="11">
        <v>59745674134.400002</v>
      </c>
      <c r="C7" s="11">
        <v>62346662863.599998</v>
      </c>
      <c r="D7" s="11">
        <f t="shared" si="0"/>
        <v>4.3534343981942207</v>
      </c>
      <c r="E7" s="39">
        <v>2</v>
      </c>
      <c r="F7" s="39">
        <v>0</v>
      </c>
      <c r="G7" s="39">
        <v>0</v>
      </c>
      <c r="H7" s="8">
        <f t="shared" si="1"/>
        <v>100</v>
      </c>
      <c r="I7" s="8">
        <f t="shared" si="2"/>
        <v>0</v>
      </c>
    </row>
    <row r="8" spans="1:25" x14ac:dyDescent="0.25">
      <c r="A8" s="11" t="s">
        <v>1935</v>
      </c>
      <c r="B8" s="11">
        <v>325271845561.25</v>
      </c>
      <c r="C8" s="11">
        <v>368530179847.25</v>
      </c>
      <c r="D8" s="11">
        <f t="shared" si="0"/>
        <v>13.299132672045014</v>
      </c>
      <c r="E8" s="39">
        <v>6</v>
      </c>
      <c r="F8" s="39">
        <v>2</v>
      </c>
      <c r="G8" s="39">
        <v>0</v>
      </c>
      <c r="H8" s="8">
        <f t="shared" si="1"/>
        <v>75</v>
      </c>
      <c r="I8" s="8">
        <f t="shared" si="2"/>
        <v>25</v>
      </c>
    </row>
    <row r="9" spans="1:25" x14ac:dyDescent="0.25">
      <c r="A9" s="11" t="s">
        <v>295</v>
      </c>
      <c r="B9" s="11">
        <v>79477840404.600006</v>
      </c>
      <c r="C9" s="11">
        <v>82097220369.050003</v>
      </c>
      <c r="D9" s="11">
        <f t="shared" si="0"/>
        <v>3.2957362091313098</v>
      </c>
      <c r="E9" s="39">
        <v>5</v>
      </c>
      <c r="F9" s="39">
        <v>2</v>
      </c>
      <c r="G9" s="39">
        <v>0</v>
      </c>
      <c r="H9" s="8">
        <f t="shared" si="1"/>
        <v>71.428571428571431</v>
      </c>
      <c r="I9" s="8">
        <f t="shared" si="2"/>
        <v>28.571428571428569</v>
      </c>
    </row>
    <row r="10" spans="1:25" x14ac:dyDescent="0.25">
      <c r="A10" s="11" t="s">
        <v>52</v>
      </c>
      <c r="B10" s="11">
        <v>520131722956.75006</v>
      </c>
      <c r="C10" s="11">
        <v>637654689575.85999</v>
      </c>
      <c r="D10" s="11">
        <f t="shared" si="0"/>
        <v>22.594846926666339</v>
      </c>
      <c r="E10" s="39">
        <v>2</v>
      </c>
      <c r="F10" s="39">
        <v>1</v>
      </c>
      <c r="G10" s="39">
        <v>0</v>
      </c>
      <c r="H10" s="8">
        <f t="shared" si="1"/>
        <v>66.666666666666657</v>
      </c>
      <c r="I10" s="8">
        <f t="shared" si="2"/>
        <v>33.333333333333329</v>
      </c>
    </row>
    <row r="11" spans="1:25" x14ac:dyDescent="0.25">
      <c r="A11" s="11" t="s">
        <v>3536</v>
      </c>
      <c r="B11" s="11">
        <v>2088619347264.0002</v>
      </c>
      <c r="C11" s="11">
        <v>2205206623295.6001</v>
      </c>
      <c r="D11" s="11">
        <f t="shared" si="0"/>
        <v>5.5820260491373919</v>
      </c>
      <c r="E11" s="39">
        <v>4</v>
      </c>
      <c r="F11" s="39">
        <v>2</v>
      </c>
      <c r="G11" s="39">
        <v>0</v>
      </c>
      <c r="H11" s="8">
        <f t="shared" si="1"/>
        <v>66.666666666666657</v>
      </c>
      <c r="I11" s="8">
        <f t="shared" si="2"/>
        <v>33.333333333333329</v>
      </c>
    </row>
    <row r="12" spans="1:25" x14ac:dyDescent="0.25">
      <c r="A12" s="11" t="s">
        <v>3118</v>
      </c>
      <c r="B12" s="11">
        <v>9871141718455.5</v>
      </c>
      <c r="C12" s="11">
        <v>9771070590155.6504</v>
      </c>
      <c r="D12" s="11">
        <f t="shared" si="0"/>
        <v>-1.0137746083895487</v>
      </c>
      <c r="E12" s="39">
        <v>2</v>
      </c>
      <c r="F12" s="39">
        <v>1</v>
      </c>
      <c r="G12" s="39">
        <v>0</v>
      </c>
      <c r="H12" s="8">
        <f t="shared" si="1"/>
        <v>66.666666666666657</v>
      </c>
      <c r="I12" s="8">
        <f t="shared" si="2"/>
        <v>33.333333333333329</v>
      </c>
    </row>
    <row r="13" spans="1:25" x14ac:dyDescent="0.25">
      <c r="A13" s="11" t="s">
        <v>41</v>
      </c>
      <c r="B13" s="11">
        <v>418590594878</v>
      </c>
      <c r="C13" s="11">
        <v>399156952584.79999</v>
      </c>
      <c r="D13" s="11">
        <f t="shared" si="0"/>
        <v>-4.6426371091457588</v>
      </c>
      <c r="E13" s="39">
        <v>2</v>
      </c>
      <c r="F13" s="39">
        <v>1</v>
      </c>
      <c r="G13" s="39">
        <v>0</v>
      </c>
      <c r="H13" s="8">
        <f t="shared" si="1"/>
        <v>66.666666666666657</v>
      </c>
      <c r="I13" s="8">
        <f t="shared" si="2"/>
        <v>33.333333333333329</v>
      </c>
    </row>
    <row r="14" spans="1:25" x14ac:dyDescent="0.25">
      <c r="A14" s="11" t="s">
        <v>2892</v>
      </c>
      <c r="B14" s="11">
        <v>2431408070804.2998</v>
      </c>
      <c r="C14" s="11">
        <v>1560042144979.45</v>
      </c>
      <c r="D14" s="11">
        <f t="shared" si="0"/>
        <v>-35.83791368828539</v>
      </c>
      <c r="E14" s="39">
        <v>2</v>
      </c>
      <c r="F14" s="39">
        <v>1</v>
      </c>
      <c r="G14" s="39">
        <v>0</v>
      </c>
      <c r="H14" s="8">
        <f t="shared" si="1"/>
        <v>66.666666666666657</v>
      </c>
      <c r="I14" s="8">
        <f t="shared" si="2"/>
        <v>33.333333333333329</v>
      </c>
    </row>
    <row r="15" spans="1:25" x14ac:dyDescent="0.25">
      <c r="A15" s="11" t="s">
        <v>2594</v>
      </c>
      <c r="B15" s="11">
        <v>4146006897.0500002</v>
      </c>
      <c r="C15" s="11">
        <v>4441134758.9500008</v>
      </c>
      <c r="D15" s="11">
        <f t="shared" si="0"/>
        <v>7.1183639880095777</v>
      </c>
      <c r="E15" s="39">
        <v>5</v>
      </c>
      <c r="F15" s="39">
        <v>2</v>
      </c>
      <c r="G15" s="39">
        <v>1</v>
      </c>
      <c r="H15" s="8">
        <f t="shared" si="1"/>
        <v>62.5</v>
      </c>
      <c r="I15" s="8">
        <f t="shared" si="2"/>
        <v>25</v>
      </c>
    </row>
    <row r="16" spans="1:25" x14ac:dyDescent="0.25">
      <c r="A16" s="11" t="s">
        <v>3793</v>
      </c>
      <c r="B16" s="11">
        <v>762868926060.80005</v>
      </c>
      <c r="C16" s="11">
        <v>846639071687</v>
      </c>
      <c r="D16" s="11">
        <f t="shared" si="0"/>
        <v>10.980935618751829</v>
      </c>
      <c r="E16" s="39">
        <v>3</v>
      </c>
      <c r="F16" s="39">
        <v>1</v>
      </c>
      <c r="G16" s="39">
        <v>1</v>
      </c>
      <c r="H16" s="8">
        <f t="shared" si="1"/>
        <v>60</v>
      </c>
      <c r="I16" s="8">
        <f t="shared" si="2"/>
        <v>20</v>
      </c>
    </row>
    <row r="17" spans="1:9" x14ac:dyDescent="0.25">
      <c r="A17" s="11" t="s">
        <v>56</v>
      </c>
      <c r="B17" s="11">
        <v>13037750183.07</v>
      </c>
      <c r="C17" s="11">
        <v>15060011881.650002</v>
      </c>
      <c r="D17" s="11">
        <f t="shared" si="0"/>
        <v>15.510817972306167</v>
      </c>
      <c r="E17" s="39">
        <v>7</v>
      </c>
      <c r="F17" s="39">
        <v>5</v>
      </c>
      <c r="G17" s="39">
        <v>0</v>
      </c>
      <c r="H17" s="8">
        <f t="shared" si="1"/>
        <v>58.333333333333336</v>
      </c>
      <c r="I17" s="8">
        <f t="shared" si="2"/>
        <v>41.666666666666671</v>
      </c>
    </row>
    <row r="18" spans="1:9" x14ac:dyDescent="0.25">
      <c r="A18" s="11" t="s">
        <v>4111</v>
      </c>
      <c r="B18" s="11">
        <v>35508638270.629997</v>
      </c>
      <c r="C18" s="11">
        <v>33681466149.240002</v>
      </c>
      <c r="D18" s="11">
        <f t="shared" si="0"/>
        <v>-5.14571160815618</v>
      </c>
      <c r="E18" s="39">
        <v>4</v>
      </c>
      <c r="F18" s="39">
        <v>2</v>
      </c>
      <c r="G18" s="39">
        <v>1</v>
      </c>
      <c r="H18" s="8">
        <f t="shared" si="1"/>
        <v>57.142857142857139</v>
      </c>
      <c r="I18" s="8">
        <f t="shared" si="2"/>
        <v>28.571428571428569</v>
      </c>
    </row>
    <row r="19" spans="1:9" x14ac:dyDescent="0.25">
      <c r="A19" s="11" t="s">
        <v>4016</v>
      </c>
      <c r="B19" s="11">
        <v>1084258847875.7</v>
      </c>
      <c r="C19" s="11">
        <v>1302514904575.1001</v>
      </c>
      <c r="D19" s="11">
        <f t="shared" si="0"/>
        <v>20.129515855647519</v>
      </c>
      <c r="E19" s="39">
        <v>2</v>
      </c>
      <c r="F19" s="39">
        <v>2</v>
      </c>
      <c r="G19" s="39">
        <v>0</v>
      </c>
      <c r="H19" s="8">
        <f t="shared" si="1"/>
        <v>50</v>
      </c>
      <c r="I19" s="8">
        <f t="shared" si="2"/>
        <v>50</v>
      </c>
    </row>
    <row r="20" spans="1:9" x14ac:dyDescent="0.25">
      <c r="A20" s="56" t="s">
        <v>2577</v>
      </c>
      <c r="B20" s="11">
        <v>488698939000.75006</v>
      </c>
      <c r="C20" s="11">
        <v>526679012185.04999</v>
      </c>
      <c r="D20" s="11">
        <f t="shared" si="0"/>
        <v>7.7716708904583136</v>
      </c>
      <c r="E20" s="39">
        <v>2</v>
      </c>
      <c r="F20" s="39">
        <v>2</v>
      </c>
      <c r="G20" s="39">
        <v>0</v>
      </c>
      <c r="H20" s="8">
        <f t="shared" si="1"/>
        <v>50</v>
      </c>
      <c r="I20" s="8">
        <f t="shared" si="2"/>
        <v>50</v>
      </c>
    </row>
    <row r="21" spans="1:9" x14ac:dyDescent="0.25">
      <c r="A21" s="11" t="s">
        <v>3663</v>
      </c>
      <c r="B21" s="11">
        <v>76416511821.600006</v>
      </c>
      <c r="C21" s="11">
        <v>79967593215</v>
      </c>
      <c r="D21" s="11">
        <f t="shared" si="0"/>
        <v>4.6470079682389267</v>
      </c>
      <c r="E21" s="39">
        <v>1</v>
      </c>
      <c r="F21" s="39">
        <v>1</v>
      </c>
      <c r="G21" s="39">
        <v>0</v>
      </c>
      <c r="H21" s="8">
        <f t="shared" si="1"/>
        <v>50</v>
      </c>
      <c r="I21" s="8">
        <f t="shared" si="2"/>
        <v>50</v>
      </c>
    </row>
    <row r="22" spans="1:9" x14ac:dyDescent="0.25">
      <c r="A22" s="11" t="s">
        <v>3183</v>
      </c>
      <c r="B22" s="11">
        <v>3532686299610.5</v>
      </c>
      <c r="C22" s="11">
        <v>3630368164738</v>
      </c>
      <c r="D22" s="11">
        <f t="shared" si="0"/>
        <v>2.7650874389347853</v>
      </c>
      <c r="E22" s="39">
        <v>3</v>
      </c>
      <c r="F22" s="39">
        <v>3</v>
      </c>
      <c r="G22" s="39">
        <v>0</v>
      </c>
      <c r="H22" s="8">
        <f t="shared" si="1"/>
        <v>50</v>
      </c>
      <c r="I22" s="8">
        <f t="shared" si="2"/>
        <v>50</v>
      </c>
    </row>
    <row r="23" spans="1:9" x14ac:dyDescent="0.25">
      <c r="A23" s="11" t="s">
        <v>2778</v>
      </c>
      <c r="B23" s="11">
        <v>4145820067.5</v>
      </c>
      <c r="C23" s="11">
        <v>4226888310.4499998</v>
      </c>
      <c r="D23" s="11">
        <f t="shared" si="0"/>
        <v>1.9554211622812985</v>
      </c>
      <c r="E23" s="39">
        <v>1</v>
      </c>
      <c r="F23" s="39">
        <v>1</v>
      </c>
      <c r="G23" s="39">
        <v>0</v>
      </c>
      <c r="H23" s="8">
        <f t="shared" si="1"/>
        <v>50</v>
      </c>
      <c r="I23" s="8">
        <f t="shared" si="2"/>
        <v>50</v>
      </c>
    </row>
    <row r="24" spans="1:9" x14ac:dyDescent="0.25">
      <c r="A24" s="11" t="s">
        <v>2816</v>
      </c>
      <c r="B24" s="11">
        <v>285121799868.75</v>
      </c>
      <c r="C24" s="11">
        <v>290106624620.19995</v>
      </c>
      <c r="D24" s="11">
        <f t="shared" si="0"/>
        <v>1.74831414284864</v>
      </c>
      <c r="E24" s="39">
        <v>1</v>
      </c>
      <c r="F24" s="39">
        <v>1</v>
      </c>
      <c r="G24" s="39">
        <v>0</v>
      </c>
      <c r="H24" s="8">
        <f t="shared" si="1"/>
        <v>50</v>
      </c>
      <c r="I24" s="8">
        <f t="shared" si="2"/>
        <v>50</v>
      </c>
    </row>
    <row r="25" spans="1:9" x14ac:dyDescent="0.25">
      <c r="A25" s="11" t="s">
        <v>3874</v>
      </c>
      <c r="B25" s="11">
        <v>200253631333.29999</v>
      </c>
      <c r="C25" s="11">
        <v>201194945424.89999</v>
      </c>
      <c r="D25" s="11">
        <f t="shared" si="0"/>
        <v>0.47006093489175887</v>
      </c>
      <c r="E25" s="39">
        <v>1</v>
      </c>
      <c r="F25" s="39">
        <v>1</v>
      </c>
      <c r="G25" s="39">
        <v>0</v>
      </c>
      <c r="H25" s="8">
        <f t="shared" si="1"/>
        <v>50</v>
      </c>
      <c r="I25" s="8">
        <f t="shared" si="2"/>
        <v>50</v>
      </c>
    </row>
    <row r="26" spans="1:9" x14ac:dyDescent="0.25">
      <c r="A26" s="11" t="s">
        <v>4194</v>
      </c>
      <c r="B26" s="11">
        <v>251598210</v>
      </c>
      <c r="C26" s="11">
        <v>248129670</v>
      </c>
      <c r="D26" s="11">
        <f t="shared" si="0"/>
        <v>-1.3786028127942562</v>
      </c>
      <c r="E26" s="39">
        <v>1</v>
      </c>
      <c r="F26" s="39">
        <v>1</v>
      </c>
      <c r="G26" s="39">
        <v>0</v>
      </c>
      <c r="H26" s="8">
        <f t="shared" si="1"/>
        <v>50</v>
      </c>
      <c r="I26" s="8">
        <f t="shared" si="2"/>
        <v>50</v>
      </c>
    </row>
    <row r="27" spans="1:9" x14ac:dyDescent="0.25">
      <c r="A27" s="11" t="s">
        <v>3085</v>
      </c>
      <c r="B27" s="11">
        <v>7146125770868.5498</v>
      </c>
      <c r="C27" s="11">
        <v>6987597413001.251</v>
      </c>
      <c r="D27" s="11">
        <f t="shared" si="0"/>
        <v>-2.2183818610294495</v>
      </c>
      <c r="E27" s="39">
        <v>3</v>
      </c>
      <c r="F27" s="39">
        <v>3</v>
      </c>
      <c r="G27" s="39">
        <v>0</v>
      </c>
      <c r="H27" s="8">
        <f t="shared" si="1"/>
        <v>50</v>
      </c>
      <c r="I27" s="8">
        <f t="shared" si="2"/>
        <v>50</v>
      </c>
    </row>
    <row r="28" spans="1:9" x14ac:dyDescent="0.25">
      <c r="A28" s="11" t="s">
        <v>2825</v>
      </c>
      <c r="B28" s="11">
        <v>1504048824.6500001</v>
      </c>
      <c r="C28" s="11">
        <v>1458258561</v>
      </c>
      <c r="D28" s="11">
        <f t="shared" si="0"/>
        <v>-3.044466569139185</v>
      </c>
      <c r="E28" s="39">
        <v>1</v>
      </c>
      <c r="F28" s="39">
        <v>1</v>
      </c>
      <c r="G28" s="39">
        <v>0</v>
      </c>
      <c r="H28" s="8">
        <f t="shared" si="1"/>
        <v>50</v>
      </c>
      <c r="I28" s="8">
        <f t="shared" si="2"/>
        <v>50</v>
      </c>
    </row>
    <row r="29" spans="1:9" x14ac:dyDescent="0.25">
      <c r="A29" s="11" t="s">
        <v>4082</v>
      </c>
      <c r="B29" s="11">
        <v>1404673738793</v>
      </c>
      <c r="C29" s="11">
        <v>1283899219070</v>
      </c>
      <c r="D29" s="11">
        <f t="shared" si="0"/>
        <v>-8.59804781619812</v>
      </c>
      <c r="E29" s="39">
        <v>1</v>
      </c>
      <c r="F29" s="39">
        <v>1</v>
      </c>
      <c r="G29" s="39">
        <v>0</v>
      </c>
      <c r="H29" s="8">
        <f t="shared" si="1"/>
        <v>50</v>
      </c>
      <c r="I29" s="8">
        <f t="shared" si="2"/>
        <v>50</v>
      </c>
    </row>
    <row r="30" spans="1:9" x14ac:dyDescent="0.25">
      <c r="A30" s="11" t="s">
        <v>3131</v>
      </c>
      <c r="B30" s="11">
        <v>1216745184905.05</v>
      </c>
      <c r="C30" s="11">
        <v>996484211937.54993</v>
      </c>
      <c r="D30" s="11">
        <f t="shared" si="0"/>
        <v>-18.102473360902465</v>
      </c>
      <c r="E30" s="39">
        <v>1</v>
      </c>
      <c r="F30" s="39">
        <v>1</v>
      </c>
      <c r="G30" s="39">
        <v>0</v>
      </c>
      <c r="H30" s="8">
        <f t="shared" si="1"/>
        <v>50</v>
      </c>
      <c r="I30" s="8">
        <f t="shared" si="2"/>
        <v>50</v>
      </c>
    </row>
    <row r="31" spans="1:9" x14ac:dyDescent="0.25">
      <c r="A31" s="11" t="s">
        <v>3262</v>
      </c>
      <c r="B31" s="11">
        <v>2801749445388</v>
      </c>
      <c r="C31" s="11">
        <v>1478187657844.7998</v>
      </c>
      <c r="D31" s="11">
        <f t="shared" si="0"/>
        <v>-47.240547855624072</v>
      </c>
      <c r="E31" s="39">
        <v>3</v>
      </c>
      <c r="F31" s="39">
        <v>3</v>
      </c>
      <c r="G31" s="39">
        <v>0</v>
      </c>
      <c r="H31" s="8">
        <f t="shared" si="1"/>
        <v>50</v>
      </c>
      <c r="I31" s="8">
        <f t="shared" si="2"/>
        <v>50</v>
      </c>
    </row>
    <row r="32" spans="1:9" x14ac:dyDescent="0.25">
      <c r="A32" s="11" t="s">
        <v>3652</v>
      </c>
      <c r="B32" s="11">
        <v>96233647945.799988</v>
      </c>
      <c r="C32" s="11">
        <v>98760967852.860001</v>
      </c>
      <c r="D32" s="11">
        <f t="shared" si="0"/>
        <v>2.6262330910321841</v>
      </c>
      <c r="E32" s="39">
        <v>3</v>
      </c>
      <c r="F32" s="39">
        <v>4</v>
      </c>
      <c r="G32" s="39">
        <v>0</v>
      </c>
      <c r="H32" s="8">
        <f t="shared" si="1"/>
        <v>42.857142857142854</v>
      </c>
      <c r="I32" s="8">
        <f t="shared" si="2"/>
        <v>57.142857142857139</v>
      </c>
    </row>
    <row r="33" spans="1:9" x14ac:dyDescent="0.25">
      <c r="A33" s="11" t="s">
        <v>1807</v>
      </c>
      <c r="B33" s="11">
        <v>1125362527279.6499</v>
      </c>
      <c r="C33" s="11">
        <v>1118924695969.75</v>
      </c>
      <c r="D33" s="11">
        <f t="shared" si="0"/>
        <v>-0.57206732531445992</v>
      </c>
      <c r="E33" s="39">
        <v>7</v>
      </c>
      <c r="F33" s="39">
        <v>10</v>
      </c>
      <c r="G33" s="39">
        <v>0</v>
      </c>
      <c r="H33" s="8">
        <f t="shared" si="1"/>
        <v>41.17647058823529</v>
      </c>
      <c r="I33" s="8">
        <f t="shared" si="2"/>
        <v>58.82352941176471</v>
      </c>
    </row>
    <row r="34" spans="1:9" x14ac:dyDescent="0.25">
      <c r="A34" s="11" t="s">
        <v>985</v>
      </c>
      <c r="B34" s="11">
        <v>1904488846225.1501</v>
      </c>
      <c r="C34" s="11">
        <v>1931298314191</v>
      </c>
      <c r="D34" s="11">
        <f t="shared" si="0"/>
        <v>1.4076988699087618</v>
      </c>
      <c r="E34" s="39">
        <v>8</v>
      </c>
      <c r="F34" s="39">
        <v>12</v>
      </c>
      <c r="G34" s="39">
        <v>0</v>
      </c>
      <c r="H34" s="8">
        <f t="shared" si="1"/>
        <v>40</v>
      </c>
      <c r="I34" s="8">
        <f t="shared" si="2"/>
        <v>60</v>
      </c>
    </row>
    <row r="35" spans="1:9" x14ac:dyDescent="0.25">
      <c r="A35" s="11" t="s">
        <v>1315</v>
      </c>
      <c r="B35" s="11">
        <v>139261777982</v>
      </c>
      <c r="C35" s="11">
        <v>138418135915.79999</v>
      </c>
      <c r="D35" s="11">
        <f t="shared" si="0"/>
        <v>-0.60579584608567583</v>
      </c>
      <c r="E35" s="39">
        <v>2</v>
      </c>
      <c r="F35" s="39">
        <v>2</v>
      </c>
      <c r="G35" s="39">
        <v>1</v>
      </c>
      <c r="H35" s="8">
        <f t="shared" si="1"/>
        <v>40</v>
      </c>
      <c r="I35" s="8">
        <f t="shared" si="2"/>
        <v>40</v>
      </c>
    </row>
    <row r="36" spans="1:9" x14ac:dyDescent="0.25">
      <c r="A36" s="11" t="s">
        <v>1563</v>
      </c>
      <c r="B36" s="11">
        <v>36019043258.199997</v>
      </c>
      <c r="C36" s="11">
        <v>35718755195.800003</v>
      </c>
      <c r="D36" s="11">
        <f t="shared" si="0"/>
        <v>-0.83369250051257582</v>
      </c>
      <c r="E36" s="39">
        <v>2</v>
      </c>
      <c r="F36" s="39">
        <v>3</v>
      </c>
      <c r="G36" s="39">
        <v>0</v>
      </c>
      <c r="H36" s="8">
        <f t="shared" si="1"/>
        <v>40</v>
      </c>
      <c r="I36" s="8">
        <f t="shared" si="2"/>
        <v>60</v>
      </c>
    </row>
    <row r="37" spans="1:9" x14ac:dyDescent="0.25">
      <c r="A37" s="11" t="s">
        <v>3618</v>
      </c>
      <c r="B37" s="11">
        <v>122110174202.64999</v>
      </c>
      <c r="C37" s="11">
        <v>110003681023.25</v>
      </c>
      <c r="D37" s="11">
        <f t="shared" si="0"/>
        <v>-9.9144016937593253</v>
      </c>
      <c r="E37" s="39">
        <v>2</v>
      </c>
      <c r="F37" s="39">
        <v>3</v>
      </c>
      <c r="G37" s="39">
        <v>0</v>
      </c>
      <c r="H37" s="8">
        <f t="shared" si="1"/>
        <v>40</v>
      </c>
      <c r="I37" s="8">
        <f t="shared" si="2"/>
        <v>60</v>
      </c>
    </row>
    <row r="38" spans="1:9" x14ac:dyDescent="0.25">
      <c r="A38" s="11" t="s">
        <v>183</v>
      </c>
      <c r="B38" s="11">
        <v>833160171685.25</v>
      </c>
      <c r="C38" s="11">
        <v>746876883442.80005</v>
      </c>
      <c r="D38" s="11">
        <f t="shared" si="0"/>
        <v>-10.356146533975934</v>
      </c>
      <c r="E38" s="39">
        <v>2</v>
      </c>
      <c r="F38" s="39">
        <v>3</v>
      </c>
      <c r="G38" s="39">
        <v>0</v>
      </c>
      <c r="H38" s="8">
        <f t="shared" si="1"/>
        <v>40</v>
      </c>
      <c r="I38" s="8">
        <f t="shared" si="2"/>
        <v>60</v>
      </c>
    </row>
    <row r="39" spans="1:9" x14ac:dyDescent="0.25">
      <c r="A39" s="11" t="s">
        <v>1478</v>
      </c>
      <c r="B39" s="11">
        <v>358243884103.72998</v>
      </c>
      <c r="C39" s="11">
        <v>349633943022.02002</v>
      </c>
      <c r="D39" s="11">
        <f t="shared" si="0"/>
        <v>-2.4033741994648934</v>
      </c>
      <c r="E39" s="39">
        <v>18</v>
      </c>
      <c r="F39" s="39">
        <v>26</v>
      </c>
      <c r="G39" s="39">
        <v>2</v>
      </c>
      <c r="H39" s="8">
        <f t="shared" si="1"/>
        <v>39.130434782608695</v>
      </c>
      <c r="I39" s="8">
        <f t="shared" si="2"/>
        <v>56.521739130434781</v>
      </c>
    </row>
    <row r="40" spans="1:9" x14ac:dyDescent="0.25">
      <c r="A40" s="11" t="s">
        <v>935</v>
      </c>
      <c r="B40" s="11">
        <v>2906712106670.7002</v>
      </c>
      <c r="C40" s="11">
        <v>3025092874799.0498</v>
      </c>
      <c r="D40" s="11">
        <f t="shared" si="0"/>
        <v>4.072669180297356</v>
      </c>
      <c r="E40" s="39">
        <v>5</v>
      </c>
      <c r="F40" s="39">
        <v>8</v>
      </c>
      <c r="G40" s="39">
        <v>0</v>
      </c>
      <c r="H40" s="8">
        <f t="shared" si="1"/>
        <v>38.461538461538467</v>
      </c>
      <c r="I40" s="8">
        <f t="shared" si="2"/>
        <v>61.53846153846154</v>
      </c>
    </row>
    <row r="41" spans="1:9" x14ac:dyDescent="0.25">
      <c r="A41" s="11" t="s">
        <v>1453</v>
      </c>
      <c r="B41" s="11">
        <v>396443340486.60999</v>
      </c>
      <c r="C41" s="11">
        <v>354782025558.78003</v>
      </c>
      <c r="D41" s="11">
        <f t="shared" si="0"/>
        <v>-10.508769015187198</v>
      </c>
      <c r="E41" s="39">
        <v>3</v>
      </c>
      <c r="F41" s="39">
        <v>5</v>
      </c>
      <c r="G41" s="39">
        <v>0</v>
      </c>
      <c r="H41" s="8">
        <f t="shared" si="1"/>
        <v>37.5</v>
      </c>
      <c r="I41" s="8">
        <f t="shared" si="2"/>
        <v>62.5</v>
      </c>
    </row>
    <row r="42" spans="1:9" x14ac:dyDescent="0.25">
      <c r="A42" s="11" t="s">
        <v>1685</v>
      </c>
      <c r="B42" s="11">
        <v>223853481596.92001</v>
      </c>
      <c r="C42" s="11">
        <v>218527247765.76999</v>
      </c>
      <c r="D42" s="11">
        <f t="shared" si="0"/>
        <v>-2.3793392861946479</v>
      </c>
      <c r="E42" s="39">
        <v>20</v>
      </c>
      <c r="F42" s="39">
        <v>31</v>
      </c>
      <c r="G42" s="39">
        <v>3</v>
      </c>
      <c r="H42" s="8">
        <f t="shared" si="1"/>
        <v>37.037037037037038</v>
      </c>
      <c r="I42" s="8">
        <f t="shared" si="2"/>
        <v>57.407407407407405</v>
      </c>
    </row>
    <row r="43" spans="1:9" x14ac:dyDescent="0.25">
      <c r="A43" s="11" t="s">
        <v>807</v>
      </c>
      <c r="B43" s="11">
        <v>3198186821202.3501</v>
      </c>
      <c r="C43" s="11">
        <v>3401784630597.0498</v>
      </c>
      <c r="D43" s="11">
        <f t="shared" si="0"/>
        <v>6.3660386580593071</v>
      </c>
      <c r="E43" s="39">
        <v>11</v>
      </c>
      <c r="F43" s="39">
        <v>19</v>
      </c>
      <c r="G43" s="39">
        <v>0</v>
      </c>
      <c r="H43" s="8">
        <f t="shared" si="1"/>
        <v>36.666666666666664</v>
      </c>
      <c r="I43" s="8">
        <f t="shared" si="2"/>
        <v>63.333333333333329</v>
      </c>
    </row>
    <row r="44" spans="1:9" x14ac:dyDescent="0.25">
      <c r="A44" s="11" t="s">
        <v>3023</v>
      </c>
      <c r="B44" s="11">
        <v>54261291575.779999</v>
      </c>
      <c r="C44" s="11">
        <v>61431584760.270004</v>
      </c>
      <c r="D44" s="11">
        <f t="shared" si="0"/>
        <v>13.21437985764889</v>
      </c>
      <c r="E44" s="39">
        <v>4</v>
      </c>
      <c r="F44" s="39">
        <v>7</v>
      </c>
      <c r="G44" s="39">
        <v>0</v>
      </c>
      <c r="H44" s="8">
        <f t="shared" si="1"/>
        <v>36.363636363636367</v>
      </c>
      <c r="I44" s="8">
        <f t="shared" si="2"/>
        <v>63.636363636363633</v>
      </c>
    </row>
    <row r="45" spans="1:9" x14ac:dyDescent="0.25">
      <c r="A45" s="11" t="s">
        <v>1968</v>
      </c>
      <c r="B45" s="11">
        <v>28868678824016.246</v>
      </c>
      <c r="C45" s="11">
        <v>28188998722512.449</v>
      </c>
      <c r="D45" s="11">
        <f t="shared" si="0"/>
        <v>-2.3543858922229646</v>
      </c>
      <c r="E45" s="39">
        <v>26</v>
      </c>
      <c r="F45" s="39">
        <v>40</v>
      </c>
      <c r="G45" s="39">
        <v>6</v>
      </c>
      <c r="H45" s="8">
        <f t="shared" si="1"/>
        <v>36.111111111111107</v>
      </c>
      <c r="I45" s="8">
        <f t="shared" si="2"/>
        <v>55.555555555555557</v>
      </c>
    </row>
    <row r="46" spans="1:9" x14ac:dyDescent="0.25">
      <c r="A46" s="11" t="s">
        <v>2444</v>
      </c>
      <c r="B46" s="11">
        <v>1080497972570.6501</v>
      </c>
      <c r="C46" s="11">
        <v>1111707201773.1499</v>
      </c>
      <c r="D46" s="11">
        <f t="shared" si="0"/>
        <v>2.8884116393341119</v>
      </c>
      <c r="E46" s="39">
        <v>5</v>
      </c>
      <c r="F46" s="39">
        <v>9</v>
      </c>
      <c r="G46" s="39">
        <v>0</v>
      </c>
      <c r="H46" s="8">
        <f t="shared" si="1"/>
        <v>35.714285714285715</v>
      </c>
      <c r="I46" s="8">
        <f t="shared" si="2"/>
        <v>64.285714285714292</v>
      </c>
    </row>
    <row r="47" spans="1:9" x14ac:dyDescent="0.25">
      <c r="A47" s="11" t="s">
        <v>356</v>
      </c>
      <c r="B47" s="11">
        <v>2643035416381.5796</v>
      </c>
      <c r="C47" s="11">
        <v>2595117237149.4097</v>
      </c>
      <c r="D47" s="11">
        <f t="shared" si="0"/>
        <v>-1.812997999768456</v>
      </c>
      <c r="E47" s="39">
        <v>26</v>
      </c>
      <c r="F47" s="39">
        <v>41</v>
      </c>
      <c r="G47" s="39">
        <v>6</v>
      </c>
      <c r="H47" s="8">
        <f t="shared" si="1"/>
        <v>35.61643835616438</v>
      </c>
      <c r="I47" s="8">
        <f t="shared" si="2"/>
        <v>56.164383561643838</v>
      </c>
    </row>
    <row r="48" spans="1:9" x14ac:dyDescent="0.25">
      <c r="A48" s="11" t="s">
        <v>1672</v>
      </c>
      <c r="B48" s="11">
        <v>289135490486.45001</v>
      </c>
      <c r="C48" s="11">
        <v>321063568956.29999</v>
      </c>
      <c r="D48" s="11">
        <f t="shared" si="0"/>
        <v>11.042600967502551</v>
      </c>
      <c r="E48" s="39">
        <v>1</v>
      </c>
      <c r="F48" s="39">
        <v>2</v>
      </c>
      <c r="G48" s="39">
        <v>0</v>
      </c>
      <c r="H48" s="8">
        <f t="shared" si="1"/>
        <v>33.333333333333329</v>
      </c>
      <c r="I48" s="8">
        <f t="shared" si="2"/>
        <v>66.666666666666657</v>
      </c>
    </row>
    <row r="49" spans="1:9" x14ac:dyDescent="0.25">
      <c r="A49" s="56" t="s">
        <v>2567</v>
      </c>
      <c r="B49" s="11">
        <v>164358764985.25</v>
      </c>
      <c r="C49" s="11">
        <v>161332303848.5</v>
      </c>
      <c r="D49" s="11">
        <f t="shared" si="0"/>
        <v>-1.8413749561951278</v>
      </c>
      <c r="E49" s="39">
        <v>1</v>
      </c>
      <c r="F49" s="39">
        <v>2</v>
      </c>
      <c r="G49" s="39">
        <v>0</v>
      </c>
      <c r="H49" s="8">
        <f t="shared" si="1"/>
        <v>33.333333333333329</v>
      </c>
      <c r="I49" s="8">
        <f t="shared" si="2"/>
        <v>66.666666666666657</v>
      </c>
    </row>
    <row r="50" spans="1:9" x14ac:dyDescent="0.25">
      <c r="A50" s="11" t="s">
        <v>2321</v>
      </c>
      <c r="B50" s="11">
        <v>108230293033.99998</v>
      </c>
      <c r="C50" s="11">
        <v>105236896131.25</v>
      </c>
      <c r="D50" s="11">
        <f t="shared" si="0"/>
        <v>-2.7657662368239402</v>
      </c>
      <c r="E50" s="39">
        <v>2</v>
      </c>
      <c r="F50" s="39">
        <v>4</v>
      </c>
      <c r="G50" s="39">
        <v>0</v>
      </c>
      <c r="H50" s="8">
        <f t="shared" si="1"/>
        <v>33.333333333333329</v>
      </c>
      <c r="I50" s="8">
        <f t="shared" si="2"/>
        <v>66.666666666666657</v>
      </c>
    </row>
    <row r="51" spans="1:9" x14ac:dyDescent="0.25">
      <c r="A51" s="11" t="s">
        <v>2998</v>
      </c>
      <c r="B51" s="11">
        <v>12001348258.74</v>
      </c>
      <c r="C51" s="11">
        <v>11480122275.84</v>
      </c>
      <c r="D51" s="11">
        <f t="shared" si="0"/>
        <v>-4.343061893237004</v>
      </c>
      <c r="E51" s="39">
        <v>2</v>
      </c>
      <c r="F51" s="39">
        <v>3</v>
      </c>
      <c r="G51" s="39">
        <v>1</v>
      </c>
      <c r="H51" s="8">
        <f t="shared" si="1"/>
        <v>33.333333333333329</v>
      </c>
      <c r="I51" s="8">
        <f t="shared" si="2"/>
        <v>50</v>
      </c>
    </row>
    <row r="52" spans="1:9" x14ac:dyDescent="0.25">
      <c r="A52" s="11" t="s">
        <v>3475</v>
      </c>
      <c r="B52" s="11">
        <v>6516751019495.3086</v>
      </c>
      <c r="C52" s="11">
        <v>5185502411941.3096</v>
      </c>
      <c r="D52" s="11">
        <f t="shared" si="0"/>
        <v>-20.428102954547096</v>
      </c>
      <c r="E52" s="39">
        <v>11</v>
      </c>
      <c r="F52" s="39">
        <v>24</v>
      </c>
      <c r="G52" s="39">
        <v>0</v>
      </c>
      <c r="H52" s="8">
        <f t="shared" si="1"/>
        <v>31.428571428571427</v>
      </c>
      <c r="I52" s="8">
        <f t="shared" si="2"/>
        <v>68.571428571428569</v>
      </c>
    </row>
    <row r="53" spans="1:9" x14ac:dyDescent="0.25">
      <c r="A53" s="11" t="s">
        <v>1064</v>
      </c>
      <c r="B53" s="11">
        <v>988878522183.59021</v>
      </c>
      <c r="C53" s="11">
        <v>946539149587.56982</v>
      </c>
      <c r="D53" s="11">
        <f t="shared" si="0"/>
        <v>-4.2815544726898089</v>
      </c>
      <c r="E53" s="39">
        <v>16</v>
      </c>
      <c r="F53" s="39">
        <v>32</v>
      </c>
      <c r="G53" s="39">
        <v>3</v>
      </c>
      <c r="H53" s="8">
        <f t="shared" si="1"/>
        <v>31.372549019607842</v>
      </c>
      <c r="I53" s="8">
        <f t="shared" si="2"/>
        <v>62.745098039215684</v>
      </c>
    </row>
    <row r="54" spans="1:9" x14ac:dyDescent="0.25">
      <c r="A54" s="11" t="s">
        <v>893</v>
      </c>
      <c r="B54" s="11">
        <v>1224410757418.2498</v>
      </c>
      <c r="C54" s="11">
        <v>1170621400842.25</v>
      </c>
      <c r="D54" s="11">
        <f t="shared" si="0"/>
        <v>-4.3930810187765861</v>
      </c>
      <c r="E54" s="39">
        <v>5</v>
      </c>
      <c r="F54" s="39">
        <v>10</v>
      </c>
      <c r="G54" s="39">
        <v>1</v>
      </c>
      <c r="H54" s="8">
        <f t="shared" si="1"/>
        <v>31.25</v>
      </c>
      <c r="I54" s="8">
        <f t="shared" si="2"/>
        <v>62.5</v>
      </c>
    </row>
    <row r="55" spans="1:9" x14ac:dyDescent="0.25">
      <c r="A55" s="11" t="s">
        <v>959</v>
      </c>
      <c r="B55" s="11">
        <v>203158142185.94998</v>
      </c>
      <c r="C55" s="11">
        <v>196735987676.05002</v>
      </c>
      <c r="D55" s="11">
        <f t="shared" si="0"/>
        <v>-3.1611602866607171</v>
      </c>
      <c r="E55" s="39">
        <v>3</v>
      </c>
      <c r="F55" s="39">
        <v>6</v>
      </c>
      <c r="G55" s="39">
        <v>1</v>
      </c>
      <c r="H55" s="8">
        <f t="shared" si="1"/>
        <v>30</v>
      </c>
      <c r="I55" s="8">
        <f t="shared" si="2"/>
        <v>60</v>
      </c>
    </row>
    <row r="56" spans="1:9" x14ac:dyDescent="0.25">
      <c r="A56" s="11" t="s">
        <v>3190</v>
      </c>
      <c r="B56" s="11">
        <v>84213765000.849991</v>
      </c>
      <c r="C56" s="11">
        <v>81409221799.149994</v>
      </c>
      <c r="D56" s="11">
        <f t="shared" si="0"/>
        <v>-3.3302669719988054</v>
      </c>
      <c r="E56" s="39">
        <v>3</v>
      </c>
      <c r="F56" s="39">
        <v>7</v>
      </c>
      <c r="G56" s="39">
        <v>0</v>
      </c>
      <c r="H56" s="8">
        <f t="shared" si="1"/>
        <v>30</v>
      </c>
      <c r="I56" s="8">
        <f t="shared" si="2"/>
        <v>70</v>
      </c>
    </row>
    <row r="57" spans="1:9" x14ac:dyDescent="0.25">
      <c r="A57" s="11" t="s">
        <v>376</v>
      </c>
      <c r="B57" s="11">
        <v>4125994264995.229</v>
      </c>
      <c r="C57" s="11">
        <v>4220381664335.04</v>
      </c>
      <c r="D57" s="11">
        <f t="shared" si="0"/>
        <v>2.2876279819531007</v>
      </c>
      <c r="E57" s="39">
        <v>32</v>
      </c>
      <c r="F57" s="39">
        <v>74</v>
      </c>
      <c r="G57" s="39">
        <v>1</v>
      </c>
      <c r="H57" s="8">
        <f t="shared" si="1"/>
        <v>29.906542056074763</v>
      </c>
      <c r="I57" s="8">
        <f t="shared" si="2"/>
        <v>69.158878504672899</v>
      </c>
    </row>
    <row r="58" spans="1:9" x14ac:dyDescent="0.25">
      <c r="A58" s="11" t="s">
        <v>1136</v>
      </c>
      <c r="B58" s="11">
        <v>6201572832522.7012</v>
      </c>
      <c r="C58" s="11">
        <v>6293000008904.7705</v>
      </c>
      <c r="D58" s="11">
        <f t="shared" si="0"/>
        <v>1.4742578834614479</v>
      </c>
      <c r="E58" s="39">
        <v>13</v>
      </c>
      <c r="F58" s="39">
        <v>30</v>
      </c>
      <c r="G58" s="39">
        <v>1</v>
      </c>
      <c r="H58" s="8">
        <f t="shared" si="1"/>
        <v>29.545454545454547</v>
      </c>
      <c r="I58" s="8">
        <f t="shared" si="2"/>
        <v>68.181818181818173</v>
      </c>
    </row>
    <row r="59" spans="1:9" x14ac:dyDescent="0.25">
      <c r="A59" s="11" t="s">
        <v>3847</v>
      </c>
      <c r="B59" s="11">
        <v>729610034364.69995</v>
      </c>
      <c r="C59" s="11">
        <v>771119730166.70007</v>
      </c>
      <c r="D59" s="11">
        <f t="shared" si="0"/>
        <v>5.689298919544636</v>
      </c>
      <c r="E59" s="39">
        <v>2</v>
      </c>
      <c r="F59" s="39">
        <v>5</v>
      </c>
      <c r="G59" s="39">
        <v>0</v>
      </c>
      <c r="H59" s="8">
        <f t="shared" si="1"/>
        <v>28.571428571428569</v>
      </c>
      <c r="I59" s="8">
        <f t="shared" si="2"/>
        <v>71.428571428571431</v>
      </c>
    </row>
    <row r="60" spans="1:9" x14ac:dyDescent="0.25">
      <c r="A60" s="11" t="s">
        <v>108</v>
      </c>
      <c r="B60" s="55">
        <v>1935688166389.7998</v>
      </c>
      <c r="C60" s="55">
        <v>2024741489659.3501</v>
      </c>
      <c r="D60" s="11">
        <f t="shared" si="0"/>
        <v>4.6006027631837654</v>
      </c>
      <c r="E60" s="39">
        <v>4</v>
      </c>
      <c r="F60" s="39">
        <v>10</v>
      </c>
      <c r="G60" s="39">
        <v>0</v>
      </c>
      <c r="H60" s="8">
        <f t="shared" si="1"/>
        <v>28.571428571428569</v>
      </c>
      <c r="I60" s="8">
        <f t="shared" si="2"/>
        <v>71.428571428571431</v>
      </c>
    </row>
    <row r="61" spans="1:9" x14ac:dyDescent="0.25">
      <c r="A61" s="11" t="s">
        <v>67</v>
      </c>
      <c r="B61" s="11">
        <v>731229448848.3501</v>
      </c>
      <c r="C61" s="11">
        <v>729144228285.19995</v>
      </c>
      <c r="D61" s="11">
        <f t="shared" si="0"/>
        <v>-0.28516638196591571</v>
      </c>
      <c r="E61" s="39">
        <v>2</v>
      </c>
      <c r="F61" s="39">
        <v>5</v>
      </c>
      <c r="G61" s="39">
        <v>0</v>
      </c>
      <c r="H61" s="8">
        <f t="shared" si="1"/>
        <v>28.571428571428569</v>
      </c>
      <c r="I61" s="8">
        <f t="shared" si="2"/>
        <v>71.428571428571431</v>
      </c>
    </row>
    <row r="62" spans="1:9" x14ac:dyDescent="0.25">
      <c r="A62" s="11" t="s">
        <v>4036</v>
      </c>
      <c r="B62" s="11">
        <v>210081282570.47</v>
      </c>
      <c r="C62" s="11">
        <v>204222036781.87997</v>
      </c>
      <c r="D62" s="11">
        <f t="shared" si="0"/>
        <v>-2.7890375177163116</v>
      </c>
      <c r="E62" s="39">
        <v>8</v>
      </c>
      <c r="F62" s="39">
        <v>17</v>
      </c>
      <c r="G62" s="39">
        <v>3</v>
      </c>
      <c r="H62" s="8">
        <f t="shared" si="1"/>
        <v>28.571428571428569</v>
      </c>
      <c r="I62" s="8">
        <f t="shared" si="2"/>
        <v>60.714285714285708</v>
      </c>
    </row>
    <row r="63" spans="1:9" x14ac:dyDescent="0.25">
      <c r="A63" s="11" t="s">
        <v>9</v>
      </c>
      <c r="B63" s="11">
        <v>2974632229946.9995</v>
      </c>
      <c r="C63" s="11">
        <v>2844383629727.2002</v>
      </c>
      <c r="D63" s="11">
        <f t="shared" si="0"/>
        <v>-4.3786454980392655</v>
      </c>
      <c r="E63" s="39">
        <v>2</v>
      </c>
      <c r="F63" s="39">
        <v>5</v>
      </c>
      <c r="G63" s="39">
        <v>0</v>
      </c>
      <c r="H63" s="8">
        <f t="shared" si="1"/>
        <v>28.571428571428569</v>
      </c>
      <c r="I63" s="8">
        <f t="shared" si="2"/>
        <v>71.428571428571431</v>
      </c>
    </row>
    <row r="64" spans="1:9" x14ac:dyDescent="0.25">
      <c r="A64" s="11" t="s">
        <v>13</v>
      </c>
      <c r="B64" s="11">
        <v>7674189202437.5527</v>
      </c>
      <c r="C64" s="11">
        <v>7771795391575.6133</v>
      </c>
      <c r="D64" s="11">
        <f t="shared" si="0"/>
        <v>1.2718762407767832</v>
      </c>
      <c r="E64" s="39">
        <v>79</v>
      </c>
      <c r="F64" s="39">
        <v>163</v>
      </c>
      <c r="G64" s="39">
        <v>37</v>
      </c>
      <c r="H64" s="8">
        <f t="shared" si="1"/>
        <v>28.31541218637993</v>
      </c>
      <c r="I64" s="8">
        <f t="shared" si="2"/>
        <v>58.422939068100355</v>
      </c>
    </row>
    <row r="65" spans="1:9" x14ac:dyDescent="0.25">
      <c r="A65" s="11" t="s">
        <v>858</v>
      </c>
      <c r="B65" s="11">
        <v>3245443944245.5503</v>
      </c>
      <c r="C65" s="11">
        <v>3096856729724.1006</v>
      </c>
      <c r="D65" s="11">
        <f t="shared" si="0"/>
        <v>-4.5783324893011184</v>
      </c>
      <c r="E65" s="39">
        <v>44</v>
      </c>
      <c r="F65" s="39">
        <v>101</v>
      </c>
      <c r="G65" s="39">
        <v>14</v>
      </c>
      <c r="H65" s="8">
        <f t="shared" si="1"/>
        <v>27.672955974842768</v>
      </c>
      <c r="I65" s="8">
        <f t="shared" si="2"/>
        <v>63.522012578616348</v>
      </c>
    </row>
    <row r="66" spans="1:9" x14ac:dyDescent="0.25">
      <c r="A66" s="11" t="s">
        <v>2753</v>
      </c>
      <c r="B66" s="11">
        <v>1031824625944.0902</v>
      </c>
      <c r="C66" s="11">
        <v>1063110480487.9701</v>
      </c>
      <c r="D66" s="11">
        <f t="shared" si="0"/>
        <v>3.0320903143064855</v>
      </c>
      <c r="E66" s="39">
        <v>16</v>
      </c>
      <c r="F66" s="39">
        <v>42</v>
      </c>
      <c r="G66" s="39">
        <v>0</v>
      </c>
      <c r="H66" s="8">
        <f t="shared" si="1"/>
        <v>27.586206896551722</v>
      </c>
      <c r="I66" s="8">
        <f t="shared" si="2"/>
        <v>72.41379310344827</v>
      </c>
    </row>
    <row r="67" spans="1:9" x14ac:dyDescent="0.25">
      <c r="A67" s="11" t="s">
        <v>1645</v>
      </c>
      <c r="B67" s="11">
        <v>481662857498.31</v>
      </c>
      <c r="C67" s="11">
        <v>493763518388.84991</v>
      </c>
      <c r="D67" s="11">
        <f t="shared" si="0"/>
        <v>2.5122678035398183</v>
      </c>
      <c r="E67" s="39">
        <v>11</v>
      </c>
      <c r="F67" s="39">
        <v>26</v>
      </c>
      <c r="G67" s="39">
        <v>3</v>
      </c>
      <c r="H67" s="8">
        <f t="shared" si="1"/>
        <v>27.500000000000004</v>
      </c>
      <c r="I67" s="8">
        <f t="shared" si="2"/>
        <v>65</v>
      </c>
    </row>
    <row r="68" spans="1:9" x14ac:dyDescent="0.25">
      <c r="A68" s="11" t="s">
        <v>2905</v>
      </c>
      <c r="B68" s="11">
        <v>48452834891.599998</v>
      </c>
      <c r="C68" s="11">
        <v>49208415298.660004</v>
      </c>
      <c r="D68" s="11">
        <f t="shared" si="0"/>
        <v>1.5594142401583113</v>
      </c>
      <c r="E68" s="39">
        <v>3</v>
      </c>
      <c r="F68" s="39">
        <v>8</v>
      </c>
      <c r="G68" s="39">
        <v>0</v>
      </c>
      <c r="H68" s="8">
        <f t="shared" si="1"/>
        <v>27.27272727272727</v>
      </c>
      <c r="I68" s="8">
        <f t="shared" si="2"/>
        <v>72.727272727272734</v>
      </c>
    </row>
    <row r="69" spans="1:9" x14ac:dyDescent="0.25">
      <c r="A69" s="11" t="s">
        <v>2297</v>
      </c>
      <c r="B69" s="11">
        <v>1151501499711.9597</v>
      </c>
      <c r="C69" s="11">
        <v>1146710821834.0903</v>
      </c>
      <c r="D69" s="11">
        <f t="shared" si="0"/>
        <v>-0.41603748488974962</v>
      </c>
      <c r="E69" s="39">
        <v>30</v>
      </c>
      <c r="F69" s="39">
        <v>68</v>
      </c>
      <c r="G69" s="39">
        <v>13</v>
      </c>
      <c r="H69" s="8">
        <f t="shared" si="1"/>
        <v>27.027027027027028</v>
      </c>
      <c r="I69" s="8">
        <f t="shared" si="2"/>
        <v>61.261261261261254</v>
      </c>
    </row>
    <row r="70" spans="1:9" x14ac:dyDescent="0.25">
      <c r="A70" s="11" t="s">
        <v>3068</v>
      </c>
      <c r="B70" s="11">
        <v>2481581752</v>
      </c>
      <c r="C70" s="11">
        <v>2833138221.1199999</v>
      </c>
      <c r="D70" s="11">
        <f t="shared" si="0"/>
        <v>14.166628556027513</v>
      </c>
      <c r="E70" s="39">
        <v>1</v>
      </c>
      <c r="F70" s="39">
        <v>3</v>
      </c>
      <c r="G70" s="39">
        <v>0</v>
      </c>
      <c r="H70" s="8">
        <f t="shared" si="1"/>
        <v>25</v>
      </c>
      <c r="I70" s="8">
        <f t="shared" si="2"/>
        <v>75</v>
      </c>
    </row>
    <row r="71" spans="1:9" x14ac:dyDescent="0.25">
      <c r="A71" s="11" t="s">
        <v>3690</v>
      </c>
      <c r="B71" s="11">
        <v>82312014790.299988</v>
      </c>
      <c r="C71" s="11">
        <v>87281368617.600006</v>
      </c>
      <c r="D71" s="11">
        <f t="shared" si="0"/>
        <v>6.0372156360891669</v>
      </c>
      <c r="E71" s="39">
        <v>1</v>
      </c>
      <c r="F71" s="39">
        <v>3</v>
      </c>
      <c r="G71" s="39">
        <v>0</v>
      </c>
      <c r="H71" s="8">
        <f t="shared" si="1"/>
        <v>25</v>
      </c>
      <c r="I71" s="8">
        <f t="shared" si="2"/>
        <v>75</v>
      </c>
    </row>
    <row r="72" spans="1:9" x14ac:dyDescent="0.25">
      <c r="A72" s="11" t="s">
        <v>2834</v>
      </c>
      <c r="B72" s="11">
        <v>24507727630.950001</v>
      </c>
      <c r="C72" s="11">
        <v>25260296562.549999</v>
      </c>
      <c r="D72" s="11">
        <f t="shared" si="0"/>
        <v>3.070741371589278</v>
      </c>
      <c r="E72" s="39">
        <v>2</v>
      </c>
      <c r="F72" s="39">
        <v>6</v>
      </c>
      <c r="G72" s="39">
        <v>0</v>
      </c>
      <c r="H72" s="8">
        <f t="shared" si="1"/>
        <v>25</v>
      </c>
      <c r="I72" s="8">
        <f t="shared" si="2"/>
        <v>75</v>
      </c>
    </row>
    <row r="73" spans="1:9" x14ac:dyDescent="0.25">
      <c r="A73" s="11" t="s">
        <v>677</v>
      </c>
      <c r="B73" s="11">
        <v>249603694666.35001</v>
      </c>
      <c r="C73" s="11">
        <v>251782582857.40002</v>
      </c>
      <c r="D73" s="11">
        <f t="shared" si="0"/>
        <v>0.87293907807037052</v>
      </c>
      <c r="E73" s="39">
        <v>2</v>
      </c>
      <c r="F73" s="39">
        <v>6</v>
      </c>
      <c r="G73" s="39">
        <v>0</v>
      </c>
      <c r="H73" s="8">
        <f t="shared" si="1"/>
        <v>25</v>
      </c>
      <c r="I73" s="8">
        <f t="shared" si="2"/>
        <v>75</v>
      </c>
    </row>
    <row r="74" spans="1:9" x14ac:dyDescent="0.25">
      <c r="A74" s="11" t="s">
        <v>680</v>
      </c>
      <c r="B74" s="11">
        <v>24290318947288.598</v>
      </c>
      <c r="C74" s="11">
        <v>24107430574540.5</v>
      </c>
      <c r="D74" s="11">
        <f t="shared" si="0"/>
        <v>-0.7529270123829005</v>
      </c>
      <c r="E74" s="39">
        <v>5</v>
      </c>
      <c r="F74" s="39">
        <v>15</v>
      </c>
      <c r="G74" s="39">
        <v>0</v>
      </c>
      <c r="H74" s="8">
        <f t="shared" si="1"/>
        <v>25</v>
      </c>
      <c r="I74" s="8">
        <f t="shared" si="2"/>
        <v>75</v>
      </c>
    </row>
    <row r="75" spans="1:9" x14ac:dyDescent="0.25">
      <c r="A75" s="11" t="s">
        <v>642</v>
      </c>
      <c r="B75" s="11">
        <v>1305121510022.6001</v>
      </c>
      <c r="C75" s="11">
        <v>1288731473167.1001</v>
      </c>
      <c r="D75" s="11">
        <f t="shared" si="0"/>
        <v>-1.2558245902495455</v>
      </c>
      <c r="E75" s="39">
        <v>1</v>
      </c>
      <c r="F75" s="39">
        <v>3</v>
      </c>
      <c r="G75" s="39">
        <v>0</v>
      </c>
      <c r="H75" s="8">
        <f t="shared" si="1"/>
        <v>25</v>
      </c>
      <c r="I75" s="8">
        <f t="shared" si="2"/>
        <v>75</v>
      </c>
    </row>
    <row r="76" spans="1:9" x14ac:dyDescent="0.25">
      <c r="A76" s="11" t="s">
        <v>3501</v>
      </c>
      <c r="B76" s="11">
        <v>20921682565.5</v>
      </c>
      <c r="C76" s="11">
        <v>20610912458.550003</v>
      </c>
      <c r="D76" s="11">
        <f t="shared" si="0"/>
        <v>-1.4853972952560661</v>
      </c>
      <c r="E76" s="39">
        <v>1</v>
      </c>
      <c r="F76" s="39">
        <v>3</v>
      </c>
      <c r="G76" s="39">
        <v>0</v>
      </c>
      <c r="H76" s="8">
        <f t="shared" si="1"/>
        <v>25</v>
      </c>
      <c r="I76" s="8">
        <f t="shared" si="2"/>
        <v>75</v>
      </c>
    </row>
    <row r="77" spans="1:9" x14ac:dyDescent="0.25">
      <c r="A77" s="11" t="s">
        <v>3883</v>
      </c>
      <c r="B77" s="11">
        <v>379998308187.75</v>
      </c>
      <c r="C77" s="11">
        <v>373635627565.59998</v>
      </c>
      <c r="D77" s="11">
        <f t="shared" si="0"/>
        <v>-1.6743970920539846</v>
      </c>
      <c r="E77" s="39">
        <v>1</v>
      </c>
      <c r="F77" s="39">
        <v>3</v>
      </c>
      <c r="G77" s="39">
        <v>0</v>
      </c>
      <c r="H77" s="8">
        <f t="shared" si="1"/>
        <v>25</v>
      </c>
      <c r="I77" s="8">
        <f t="shared" si="2"/>
        <v>75</v>
      </c>
    </row>
    <row r="78" spans="1:9" x14ac:dyDescent="0.25">
      <c r="A78" s="11" t="s">
        <v>1616</v>
      </c>
      <c r="B78" s="11">
        <v>495012310601.09991</v>
      </c>
      <c r="C78" s="11">
        <v>478792525210</v>
      </c>
      <c r="D78" s="11">
        <f t="shared" si="0"/>
        <v>-3.2766428316507961</v>
      </c>
      <c r="E78" s="39">
        <v>1</v>
      </c>
      <c r="F78" s="39">
        <v>3</v>
      </c>
      <c r="G78" s="39">
        <v>0</v>
      </c>
      <c r="H78" s="8">
        <f t="shared" si="1"/>
        <v>25</v>
      </c>
      <c r="I78" s="8">
        <f t="shared" si="2"/>
        <v>75</v>
      </c>
    </row>
    <row r="79" spans="1:9" x14ac:dyDescent="0.25">
      <c r="A79" s="11" t="s">
        <v>2721</v>
      </c>
      <c r="B79" s="11">
        <v>5254298989607.168</v>
      </c>
      <c r="C79" s="11">
        <v>5062497811955.0605</v>
      </c>
      <c r="D79" s="11">
        <f t="shared" si="0"/>
        <v>-3.6503666432284096</v>
      </c>
      <c r="E79" s="39">
        <v>2</v>
      </c>
      <c r="F79" s="39">
        <v>6</v>
      </c>
      <c r="G79" s="39">
        <v>0</v>
      </c>
      <c r="H79" s="8">
        <f t="shared" si="1"/>
        <v>25</v>
      </c>
      <c r="I79" s="8">
        <f t="shared" si="2"/>
        <v>75</v>
      </c>
    </row>
    <row r="80" spans="1:9" x14ac:dyDescent="0.25">
      <c r="A80" s="11" t="s">
        <v>3814</v>
      </c>
      <c r="B80" s="11">
        <v>2387079312.5999999</v>
      </c>
      <c r="C80" s="11">
        <v>2296635186.6999998</v>
      </c>
      <c r="D80" s="11">
        <f t="shared" si="0"/>
        <v>-3.7889032602560913</v>
      </c>
      <c r="E80" s="39">
        <v>1</v>
      </c>
      <c r="F80" s="39">
        <v>3</v>
      </c>
      <c r="G80" s="39">
        <v>0</v>
      </c>
      <c r="H80" s="8">
        <f t="shared" si="1"/>
        <v>25</v>
      </c>
      <c r="I80" s="8">
        <f t="shared" si="2"/>
        <v>75</v>
      </c>
    </row>
    <row r="81" spans="1:9" x14ac:dyDescent="0.25">
      <c r="A81" s="11" t="s">
        <v>833</v>
      </c>
      <c r="B81" s="11">
        <v>254593747410.29996</v>
      </c>
      <c r="C81" s="11">
        <v>242221590464.70001</v>
      </c>
      <c r="D81" s="11">
        <f t="shared" si="0"/>
        <v>-4.8595682617692644</v>
      </c>
      <c r="E81" s="39">
        <v>1</v>
      </c>
      <c r="F81" s="39">
        <v>3</v>
      </c>
      <c r="G81" s="39">
        <v>0</v>
      </c>
      <c r="H81" s="8">
        <f t="shared" si="1"/>
        <v>25</v>
      </c>
      <c r="I81" s="8">
        <f t="shared" si="2"/>
        <v>75</v>
      </c>
    </row>
    <row r="82" spans="1:9" x14ac:dyDescent="0.25">
      <c r="A82" s="11" t="s">
        <v>3672</v>
      </c>
      <c r="B82" s="11">
        <v>8327612964.6000004</v>
      </c>
      <c r="C82" s="11">
        <v>7747560546</v>
      </c>
      <c r="D82" s="11">
        <f t="shared" si="0"/>
        <v>-6.9654103890965589</v>
      </c>
      <c r="E82" s="39">
        <v>1</v>
      </c>
      <c r="F82" s="39">
        <v>3</v>
      </c>
      <c r="G82" s="39">
        <v>0</v>
      </c>
      <c r="H82" s="8">
        <f t="shared" si="1"/>
        <v>25</v>
      </c>
      <c r="I82" s="8">
        <f t="shared" si="2"/>
        <v>75</v>
      </c>
    </row>
    <row r="83" spans="1:9" x14ac:dyDescent="0.25">
      <c r="A83" s="11" t="s">
        <v>1333</v>
      </c>
      <c r="B83" s="11">
        <v>76415949765.049988</v>
      </c>
      <c r="C83" s="11">
        <v>70903377709.600006</v>
      </c>
      <c r="D83" s="11">
        <f t="shared" si="0"/>
        <v>-7.2139024279604547</v>
      </c>
      <c r="E83" s="39">
        <v>1</v>
      </c>
      <c r="F83" s="39">
        <v>3</v>
      </c>
      <c r="G83" s="39">
        <v>0</v>
      </c>
      <c r="H83" s="8">
        <f t="shared" si="1"/>
        <v>25</v>
      </c>
      <c r="I83" s="8">
        <f t="shared" si="2"/>
        <v>75</v>
      </c>
    </row>
    <row r="84" spans="1:9" x14ac:dyDescent="0.25">
      <c r="A84" s="11" t="s">
        <v>4053</v>
      </c>
      <c r="B84" s="11">
        <v>14094213154.75</v>
      </c>
      <c r="C84" s="11">
        <v>12954387081.25</v>
      </c>
      <c r="D84" s="11">
        <f t="shared" si="0"/>
        <v>-8.0871919630068767</v>
      </c>
      <c r="E84" s="39">
        <v>1</v>
      </c>
      <c r="F84" s="39">
        <v>3</v>
      </c>
      <c r="G84" s="39">
        <v>0</v>
      </c>
      <c r="H84" s="8">
        <f t="shared" si="1"/>
        <v>25</v>
      </c>
      <c r="I84" s="8">
        <f t="shared" si="2"/>
        <v>75</v>
      </c>
    </row>
    <row r="85" spans="1:9" x14ac:dyDescent="0.25">
      <c r="A85" s="11" t="s">
        <v>876</v>
      </c>
      <c r="B85" s="11">
        <v>846218637.6500001</v>
      </c>
      <c r="C85" s="11">
        <v>757454877.5</v>
      </c>
      <c r="D85" s="11">
        <f t="shared" si="0"/>
        <v>-10.489459366730847</v>
      </c>
      <c r="E85" s="39">
        <v>1</v>
      </c>
      <c r="F85" s="39">
        <v>2</v>
      </c>
      <c r="G85" s="39">
        <v>1</v>
      </c>
      <c r="H85" s="8">
        <f t="shared" si="1"/>
        <v>25</v>
      </c>
      <c r="I85" s="8">
        <f t="shared" si="2"/>
        <v>50</v>
      </c>
    </row>
    <row r="86" spans="1:9" x14ac:dyDescent="0.25">
      <c r="A86" s="11" t="s">
        <v>4033</v>
      </c>
      <c r="B86" s="11">
        <v>3649254873296</v>
      </c>
      <c r="C86" s="11">
        <v>2468618343489.6001</v>
      </c>
      <c r="D86" s="11">
        <f t="shared" si="0"/>
        <v>-32.352810938087515</v>
      </c>
      <c r="E86" s="39">
        <v>1</v>
      </c>
      <c r="F86" s="39">
        <v>3</v>
      </c>
      <c r="G86" s="39">
        <v>0</v>
      </c>
      <c r="H86" s="8">
        <f t="shared" si="1"/>
        <v>25</v>
      </c>
      <c r="I86" s="8">
        <f t="shared" si="2"/>
        <v>75</v>
      </c>
    </row>
    <row r="87" spans="1:9" x14ac:dyDescent="0.25">
      <c r="A87" s="11" t="s">
        <v>2755</v>
      </c>
      <c r="B87" s="11">
        <v>3328831974838.6602</v>
      </c>
      <c r="C87" s="11">
        <v>3281841165161.3804</v>
      </c>
      <c r="D87" s="11">
        <f t="shared" si="0"/>
        <v>-1.4116305668914788</v>
      </c>
      <c r="E87" s="39">
        <v>10</v>
      </c>
      <c r="F87" s="39">
        <v>29</v>
      </c>
      <c r="G87" s="39">
        <v>3</v>
      </c>
      <c r="H87" s="8">
        <f t="shared" si="1"/>
        <v>23.809523809523807</v>
      </c>
      <c r="I87" s="8">
        <f t="shared" si="2"/>
        <v>69.047619047619051</v>
      </c>
    </row>
    <row r="88" spans="1:9" x14ac:dyDescent="0.25">
      <c r="A88" s="11" t="s">
        <v>15</v>
      </c>
      <c r="B88" s="11">
        <v>10611371297350.779</v>
      </c>
      <c r="C88" s="11">
        <v>10189199922639.982</v>
      </c>
      <c r="D88" s="11">
        <f t="shared" si="0"/>
        <v>-3.978480847392416</v>
      </c>
      <c r="E88" s="39">
        <v>38</v>
      </c>
      <c r="F88" s="39">
        <v>118</v>
      </c>
      <c r="G88" s="39">
        <v>5</v>
      </c>
      <c r="H88" s="8">
        <f t="shared" si="1"/>
        <v>23.602484472049689</v>
      </c>
      <c r="I88" s="8">
        <f t="shared" si="2"/>
        <v>73.291925465838517</v>
      </c>
    </row>
    <row r="89" spans="1:9" x14ac:dyDescent="0.25">
      <c r="A89" s="11" t="s">
        <v>1695</v>
      </c>
      <c r="B89" s="11">
        <v>128233684456.28</v>
      </c>
      <c r="C89" s="11">
        <v>119943064217.71999</v>
      </c>
      <c r="D89" s="11">
        <f t="shared" si="0"/>
        <v>-6.4652437257128161</v>
      </c>
      <c r="E89" s="39">
        <v>4</v>
      </c>
      <c r="F89" s="39">
        <v>13</v>
      </c>
      <c r="G89" s="39">
        <v>0</v>
      </c>
      <c r="H89" s="8">
        <f t="shared" si="1"/>
        <v>23.52941176470588</v>
      </c>
      <c r="I89" s="8">
        <f t="shared" si="2"/>
        <v>76.470588235294116</v>
      </c>
    </row>
    <row r="90" spans="1:9" x14ac:dyDescent="0.25">
      <c r="A90" s="11" t="s">
        <v>3831</v>
      </c>
      <c r="B90" s="11">
        <v>3401602274.04</v>
      </c>
      <c r="C90" s="11">
        <v>3171980766.5299997</v>
      </c>
      <c r="D90" s="11">
        <f t="shared" si="0"/>
        <v>-6.7503925800615248</v>
      </c>
      <c r="E90" s="39">
        <v>4</v>
      </c>
      <c r="F90" s="39">
        <v>12</v>
      </c>
      <c r="G90" s="39">
        <v>1</v>
      </c>
      <c r="H90" s="8">
        <f t="shared" si="1"/>
        <v>23.52941176470588</v>
      </c>
      <c r="I90" s="8">
        <f t="shared" si="2"/>
        <v>70.588235294117652</v>
      </c>
    </row>
    <row r="91" spans="1:9" x14ac:dyDescent="0.25">
      <c r="A91" s="11" t="s">
        <v>1633</v>
      </c>
      <c r="B91" s="11">
        <v>1153100618099.0898</v>
      </c>
      <c r="C91" s="11">
        <v>1142731912531.0903</v>
      </c>
      <c r="D91" s="11">
        <f t="shared" si="0"/>
        <v>-0.89920215159476169</v>
      </c>
      <c r="E91" s="39">
        <v>17</v>
      </c>
      <c r="F91" s="39">
        <v>53</v>
      </c>
      <c r="G91" s="39">
        <v>3</v>
      </c>
      <c r="H91" s="8">
        <f t="shared" si="1"/>
        <v>23.287671232876711</v>
      </c>
      <c r="I91" s="8">
        <f t="shared" si="2"/>
        <v>72.602739726027394</v>
      </c>
    </row>
    <row r="92" spans="1:9" x14ac:dyDescent="0.25">
      <c r="A92" s="11" t="s">
        <v>3683</v>
      </c>
      <c r="B92" s="11">
        <v>3833419775688.3696</v>
      </c>
      <c r="C92" s="11">
        <v>3731418836646.6396</v>
      </c>
      <c r="D92" s="11">
        <f t="shared" si="0"/>
        <v>-2.6608340596723092</v>
      </c>
      <c r="E92" s="39">
        <v>9</v>
      </c>
      <c r="F92" s="39">
        <v>29</v>
      </c>
      <c r="G92" s="39">
        <v>1</v>
      </c>
      <c r="H92" s="8">
        <f t="shared" si="1"/>
        <v>23.076923076923077</v>
      </c>
      <c r="I92" s="8">
        <f t="shared" si="2"/>
        <v>74.358974358974365</v>
      </c>
    </row>
    <row r="93" spans="1:9" x14ac:dyDescent="0.25">
      <c r="A93" s="11" t="s">
        <v>1046</v>
      </c>
      <c r="B93" s="11">
        <v>796200620955.76001</v>
      </c>
      <c r="C93" s="11">
        <v>752128085557.24011</v>
      </c>
      <c r="D93" s="11">
        <f t="shared" si="0"/>
        <v>-5.5353555672457508</v>
      </c>
      <c r="E93" s="39">
        <v>5</v>
      </c>
      <c r="F93" s="39">
        <v>17</v>
      </c>
      <c r="G93" s="39">
        <v>0</v>
      </c>
      <c r="H93" s="8">
        <f t="shared" si="1"/>
        <v>22.727272727272727</v>
      </c>
      <c r="I93" s="8">
        <f t="shared" si="2"/>
        <v>77.272727272727266</v>
      </c>
    </row>
    <row r="94" spans="1:9" x14ac:dyDescent="0.25">
      <c r="A94" s="11" t="s">
        <v>3361</v>
      </c>
      <c r="B94" s="11">
        <v>128800239873.89999</v>
      </c>
      <c r="C94" s="11">
        <v>128822539157.45</v>
      </c>
      <c r="D94" s="11">
        <f t="shared" si="0"/>
        <v>1.7313076102835556E-2</v>
      </c>
      <c r="E94" s="39">
        <v>2</v>
      </c>
      <c r="F94" s="39">
        <v>6</v>
      </c>
      <c r="G94" s="39">
        <v>1</v>
      </c>
      <c r="H94" s="8">
        <f t="shared" si="1"/>
        <v>22.222222222222221</v>
      </c>
      <c r="I94" s="8">
        <f t="shared" si="2"/>
        <v>66.666666666666657</v>
      </c>
    </row>
    <row r="95" spans="1:9" x14ac:dyDescent="0.25">
      <c r="A95" s="11" t="s">
        <v>1760</v>
      </c>
      <c r="B95" s="11">
        <v>199776958611</v>
      </c>
      <c r="C95" s="11">
        <v>199345952017.04999</v>
      </c>
      <c r="D95" s="11">
        <f t="shared" si="0"/>
        <v>-0.21574389606624053</v>
      </c>
      <c r="E95" s="39">
        <v>2</v>
      </c>
      <c r="F95" s="39">
        <v>7</v>
      </c>
      <c r="G95" s="39">
        <v>0</v>
      </c>
      <c r="H95" s="8">
        <f t="shared" si="1"/>
        <v>22.222222222222221</v>
      </c>
      <c r="I95" s="8">
        <f t="shared" si="2"/>
        <v>77.777777777777786</v>
      </c>
    </row>
    <row r="96" spans="1:9" x14ac:dyDescent="0.25">
      <c r="A96" s="11" t="s">
        <v>3744</v>
      </c>
      <c r="B96" s="11">
        <v>1047387379498.4399</v>
      </c>
      <c r="C96" s="11">
        <v>1035091139891.3802</v>
      </c>
      <c r="D96" s="11">
        <f t="shared" si="0"/>
        <v>-1.1739915763495228</v>
      </c>
      <c r="E96" s="39">
        <v>12</v>
      </c>
      <c r="F96" s="39">
        <v>41</v>
      </c>
      <c r="G96" s="39">
        <v>1</v>
      </c>
      <c r="H96" s="8">
        <f t="shared" si="1"/>
        <v>22.222222222222221</v>
      </c>
      <c r="I96" s="8">
        <f t="shared" si="2"/>
        <v>75.925925925925924</v>
      </c>
    </row>
    <row r="97" spans="1:9" x14ac:dyDescent="0.25">
      <c r="A97" s="11" t="s">
        <v>11</v>
      </c>
      <c r="B97" s="11">
        <v>1210345649963.5901</v>
      </c>
      <c r="C97" s="11">
        <v>1154848909430.6299</v>
      </c>
      <c r="D97" s="11">
        <f t="shared" si="0"/>
        <v>-4.585197669329391</v>
      </c>
      <c r="E97" s="39">
        <v>2</v>
      </c>
      <c r="F97" s="39">
        <v>6</v>
      </c>
      <c r="G97" s="39">
        <v>1</v>
      </c>
      <c r="H97" s="8">
        <f t="shared" si="1"/>
        <v>22.222222222222221</v>
      </c>
      <c r="I97" s="8">
        <f t="shared" si="2"/>
        <v>66.666666666666657</v>
      </c>
    </row>
    <row r="98" spans="1:9" x14ac:dyDescent="0.25">
      <c r="A98" s="11" t="s">
        <v>4066</v>
      </c>
      <c r="B98" s="11">
        <v>57245240449.150002</v>
      </c>
      <c r="C98" s="11">
        <v>49768482109.580002</v>
      </c>
      <c r="D98" s="11">
        <f t="shared" si="0"/>
        <v>-13.060925730954839</v>
      </c>
      <c r="E98" s="39">
        <v>2</v>
      </c>
      <c r="F98" s="39">
        <v>7</v>
      </c>
      <c r="G98" s="39">
        <v>0</v>
      </c>
      <c r="H98" s="8">
        <f t="shared" si="1"/>
        <v>22.222222222222221</v>
      </c>
      <c r="I98" s="8">
        <f t="shared" si="2"/>
        <v>77.777777777777786</v>
      </c>
    </row>
    <row r="99" spans="1:9" x14ac:dyDescent="0.25">
      <c r="A99" s="11" t="s">
        <v>2261</v>
      </c>
      <c r="B99" s="11">
        <v>45279779716.339996</v>
      </c>
      <c r="C99" s="11">
        <v>43889995102.68</v>
      </c>
      <c r="D99" s="11">
        <f t="shared" si="0"/>
        <v>-3.0693272413568478</v>
      </c>
      <c r="E99" s="39">
        <v>3</v>
      </c>
      <c r="F99" s="39">
        <v>11</v>
      </c>
      <c r="G99" s="39">
        <v>0</v>
      </c>
      <c r="H99" s="8">
        <f t="shared" si="1"/>
        <v>21.428571428571427</v>
      </c>
      <c r="I99" s="8">
        <f t="shared" si="2"/>
        <v>78.571428571428569</v>
      </c>
    </row>
    <row r="100" spans="1:9" x14ac:dyDescent="0.25">
      <c r="A100" s="11" t="s">
        <v>206</v>
      </c>
      <c r="B100" s="11">
        <v>995072852996.40002</v>
      </c>
      <c r="C100" s="11">
        <v>950565633164.4502</v>
      </c>
      <c r="D100" s="11">
        <f t="shared" si="0"/>
        <v>-4.4727599288763678</v>
      </c>
      <c r="E100" s="39">
        <v>7</v>
      </c>
      <c r="F100" s="39">
        <v>26</v>
      </c>
      <c r="G100" s="39">
        <v>0</v>
      </c>
      <c r="H100" s="8">
        <f t="shared" si="1"/>
        <v>21.212121212121211</v>
      </c>
      <c r="I100" s="8">
        <f t="shared" si="2"/>
        <v>78.787878787878782</v>
      </c>
    </row>
    <row r="101" spans="1:9" x14ac:dyDescent="0.25">
      <c r="A101" s="11" t="s">
        <v>1999</v>
      </c>
      <c r="B101" s="11">
        <v>771273776199.54993</v>
      </c>
      <c r="C101" s="11">
        <v>754791395295.80994</v>
      </c>
      <c r="D101" s="11">
        <f t="shared" si="0"/>
        <v>-2.137033750188797</v>
      </c>
      <c r="E101" s="39">
        <v>12</v>
      </c>
      <c r="F101" s="39">
        <v>40</v>
      </c>
      <c r="G101" s="39">
        <v>5</v>
      </c>
      <c r="H101" s="8">
        <f t="shared" si="1"/>
        <v>21.052631578947366</v>
      </c>
      <c r="I101" s="8">
        <f t="shared" si="2"/>
        <v>70.175438596491219</v>
      </c>
    </row>
    <row r="102" spans="1:9" x14ac:dyDescent="0.25">
      <c r="A102" s="11" t="s">
        <v>1376</v>
      </c>
      <c r="B102" s="11">
        <v>5631774314220.1699</v>
      </c>
      <c r="C102" s="11">
        <v>5496447299117.6689</v>
      </c>
      <c r="D102" s="11">
        <f t="shared" si="0"/>
        <v>-2.4029197114806555</v>
      </c>
      <c r="E102" s="39">
        <v>4</v>
      </c>
      <c r="F102" s="39">
        <v>14</v>
      </c>
      <c r="G102" s="39">
        <v>1</v>
      </c>
      <c r="H102" s="8">
        <f t="shared" si="1"/>
        <v>21.052631578947366</v>
      </c>
      <c r="I102" s="8">
        <f t="shared" si="2"/>
        <v>73.68421052631578</v>
      </c>
    </row>
    <row r="103" spans="1:9" x14ac:dyDescent="0.25">
      <c r="A103" s="11" t="s">
        <v>3906</v>
      </c>
      <c r="B103" s="11">
        <v>213042508028.10001</v>
      </c>
      <c r="C103" s="11">
        <v>220877594885.12</v>
      </c>
      <c r="D103" s="11">
        <f t="shared" si="0"/>
        <v>3.677710579705789</v>
      </c>
      <c r="E103" s="39">
        <v>9</v>
      </c>
      <c r="F103" s="39">
        <v>31</v>
      </c>
      <c r="G103" s="39">
        <v>3</v>
      </c>
      <c r="H103" s="8">
        <f t="shared" si="1"/>
        <v>20.930232558139537</v>
      </c>
      <c r="I103" s="8">
        <f t="shared" si="2"/>
        <v>72.093023255813947</v>
      </c>
    </row>
    <row r="104" spans="1:9" x14ac:dyDescent="0.25">
      <c r="A104" s="11" t="s">
        <v>2346</v>
      </c>
      <c r="B104" s="11">
        <v>24377482659.579998</v>
      </c>
      <c r="C104" s="11">
        <v>20344731345.079998</v>
      </c>
      <c r="D104" s="11">
        <f t="shared" si="0"/>
        <v>-16.542935834743329</v>
      </c>
      <c r="E104" s="39">
        <v>5</v>
      </c>
      <c r="F104" s="39">
        <v>15</v>
      </c>
      <c r="G104" s="39">
        <v>4</v>
      </c>
      <c r="H104" s="8">
        <f t="shared" si="1"/>
        <v>20.833333333333336</v>
      </c>
      <c r="I104" s="8">
        <f t="shared" si="2"/>
        <v>62.5</v>
      </c>
    </row>
    <row r="105" spans="1:9" x14ac:dyDescent="0.25">
      <c r="A105" s="11" t="s">
        <v>1868</v>
      </c>
      <c r="B105" s="11">
        <v>4564836804325.5098</v>
      </c>
      <c r="C105" s="11">
        <v>4521078139917.8008</v>
      </c>
      <c r="D105" s="11">
        <f t="shared" si="0"/>
        <v>-0.95860304066608726</v>
      </c>
      <c r="E105" s="39">
        <v>19</v>
      </c>
      <c r="F105" s="39">
        <v>72</v>
      </c>
      <c r="G105" s="39">
        <v>3</v>
      </c>
      <c r="H105" s="8">
        <f t="shared" si="1"/>
        <v>20.212765957446805</v>
      </c>
      <c r="I105" s="8">
        <f t="shared" si="2"/>
        <v>76.59574468085107</v>
      </c>
    </row>
    <row r="106" spans="1:9" x14ac:dyDescent="0.25">
      <c r="A106" s="11" t="s">
        <v>2757</v>
      </c>
      <c r="B106" s="11">
        <v>519216071248.43005</v>
      </c>
      <c r="C106" s="11">
        <v>582292782368.84998</v>
      </c>
      <c r="D106" s="11">
        <f t="shared" si="0"/>
        <v>12.148451215840643</v>
      </c>
      <c r="E106" s="39">
        <v>1</v>
      </c>
      <c r="F106" s="39">
        <v>4</v>
      </c>
      <c r="G106" s="39">
        <v>0</v>
      </c>
      <c r="H106" s="8">
        <f t="shared" si="1"/>
        <v>20</v>
      </c>
      <c r="I106" s="8">
        <f t="shared" si="2"/>
        <v>80</v>
      </c>
    </row>
    <row r="107" spans="1:9" x14ac:dyDescent="0.25">
      <c r="A107" s="11" t="s">
        <v>2265</v>
      </c>
      <c r="B107" s="11">
        <v>15248843322.070002</v>
      </c>
      <c r="C107" s="11">
        <v>16059794442.6</v>
      </c>
      <c r="D107" s="11">
        <f t="shared" si="0"/>
        <v>5.3181156327856725</v>
      </c>
      <c r="E107" s="39">
        <v>1</v>
      </c>
      <c r="F107" s="39">
        <v>4</v>
      </c>
      <c r="G107" s="39">
        <v>0</v>
      </c>
      <c r="H107" s="8">
        <f t="shared" si="1"/>
        <v>20</v>
      </c>
      <c r="I107" s="8">
        <f t="shared" si="2"/>
        <v>80</v>
      </c>
    </row>
    <row r="108" spans="1:9" x14ac:dyDescent="0.25">
      <c r="A108" s="11" t="s">
        <v>3772</v>
      </c>
      <c r="B108" s="11">
        <v>534100704397.45001</v>
      </c>
      <c r="C108" s="11">
        <v>537807503371.25</v>
      </c>
      <c r="D108" s="11">
        <f t="shared" si="0"/>
        <v>0.69402622825256199</v>
      </c>
      <c r="E108" s="39">
        <v>1</v>
      </c>
      <c r="F108" s="39">
        <v>4</v>
      </c>
      <c r="G108" s="39">
        <v>0</v>
      </c>
      <c r="H108" s="8">
        <f t="shared" si="1"/>
        <v>20</v>
      </c>
      <c r="I108" s="8">
        <f t="shared" si="2"/>
        <v>80</v>
      </c>
    </row>
    <row r="109" spans="1:9" x14ac:dyDescent="0.25">
      <c r="A109" s="11" t="s">
        <v>3707</v>
      </c>
      <c r="B109" s="11">
        <v>173399689874.44998</v>
      </c>
      <c r="C109" s="11">
        <v>171876219977.44998</v>
      </c>
      <c r="D109" s="11">
        <f t="shared" si="0"/>
        <v>-0.87858859384527621</v>
      </c>
      <c r="E109" s="39">
        <v>2</v>
      </c>
      <c r="F109" s="39">
        <v>7</v>
      </c>
      <c r="G109" s="39">
        <v>1</v>
      </c>
      <c r="H109" s="8">
        <f t="shared" si="1"/>
        <v>20</v>
      </c>
      <c r="I109" s="8">
        <f t="shared" si="2"/>
        <v>70</v>
      </c>
    </row>
    <row r="110" spans="1:9" x14ac:dyDescent="0.25">
      <c r="A110" s="11" t="s">
        <v>1598</v>
      </c>
      <c r="B110" s="11">
        <v>1359879745868.6399</v>
      </c>
      <c r="C110" s="11">
        <v>1328221949188.99</v>
      </c>
      <c r="D110" s="11">
        <f t="shared" si="0"/>
        <v>-2.3279850130739388</v>
      </c>
      <c r="E110" s="39">
        <v>1</v>
      </c>
      <c r="F110" s="39">
        <v>3</v>
      </c>
      <c r="G110" s="39">
        <v>1</v>
      </c>
      <c r="H110" s="8">
        <f t="shared" si="1"/>
        <v>20</v>
      </c>
      <c r="I110" s="8">
        <f t="shared" si="2"/>
        <v>60</v>
      </c>
    </row>
    <row r="111" spans="1:9" x14ac:dyDescent="0.25">
      <c r="A111" s="11" t="s">
        <v>3454</v>
      </c>
      <c r="B111" s="11">
        <v>30016698326.150002</v>
      </c>
      <c r="C111" s="11">
        <v>28822698391.990002</v>
      </c>
      <c r="D111" s="11">
        <f t="shared" si="0"/>
        <v>-3.9777857017665688</v>
      </c>
      <c r="E111" s="39">
        <v>1</v>
      </c>
      <c r="F111" s="39">
        <v>4</v>
      </c>
      <c r="G111" s="39">
        <v>0</v>
      </c>
      <c r="H111" s="8">
        <f t="shared" si="1"/>
        <v>20</v>
      </c>
      <c r="I111" s="8">
        <f t="shared" si="2"/>
        <v>80</v>
      </c>
    </row>
    <row r="112" spans="1:9" x14ac:dyDescent="0.25">
      <c r="A112" s="11" t="s">
        <v>1907</v>
      </c>
      <c r="B112" s="11">
        <v>513132438316.28003</v>
      </c>
      <c r="C112" s="11">
        <v>472669462955.14996</v>
      </c>
      <c r="D112" s="11">
        <f t="shared" si="0"/>
        <v>-7.8854838126974647</v>
      </c>
      <c r="E112" s="39">
        <v>3</v>
      </c>
      <c r="F112" s="39">
        <v>11</v>
      </c>
      <c r="G112" s="39">
        <v>1</v>
      </c>
      <c r="H112" s="8">
        <f t="shared" si="1"/>
        <v>20</v>
      </c>
      <c r="I112" s="8">
        <f t="shared" si="2"/>
        <v>73.333333333333329</v>
      </c>
    </row>
    <row r="113" spans="1:11" x14ac:dyDescent="0.25">
      <c r="A113" s="11" t="s">
        <v>1171</v>
      </c>
      <c r="B113" s="11">
        <v>674608861982.53992</v>
      </c>
      <c r="C113" s="11">
        <v>660823307703.36987</v>
      </c>
      <c r="D113" s="11">
        <f t="shared" si="0"/>
        <v>-2.0434884651021439</v>
      </c>
      <c r="E113" s="39">
        <v>25</v>
      </c>
      <c r="F113" s="39">
        <v>74</v>
      </c>
      <c r="G113" s="39">
        <v>27</v>
      </c>
      <c r="H113" s="8">
        <f t="shared" si="1"/>
        <v>19.841269841269842</v>
      </c>
      <c r="I113" s="8">
        <f t="shared" si="2"/>
        <v>58.730158730158735</v>
      </c>
    </row>
    <row r="114" spans="1:11" x14ac:dyDescent="0.25">
      <c r="A114" s="11" t="s">
        <v>1793</v>
      </c>
      <c r="B114" s="11">
        <v>954806917285.99036</v>
      </c>
      <c r="C114" s="11">
        <v>889913233044.72034</v>
      </c>
      <c r="D114" s="11">
        <f t="shared" si="0"/>
        <v>-6.7965243094099428</v>
      </c>
      <c r="E114" s="39">
        <v>46</v>
      </c>
      <c r="F114" s="39">
        <v>173</v>
      </c>
      <c r="G114" s="39">
        <v>13</v>
      </c>
      <c r="H114" s="8">
        <f t="shared" si="1"/>
        <v>19.827586206896552</v>
      </c>
      <c r="I114" s="8">
        <f t="shared" si="2"/>
        <v>74.568965517241381</v>
      </c>
    </row>
    <row r="115" spans="1:11" x14ac:dyDescent="0.25">
      <c r="A115" s="11" t="s">
        <v>2929</v>
      </c>
      <c r="B115" s="11">
        <v>372624566638.77002</v>
      </c>
      <c r="C115" s="11">
        <v>334177112465.71002</v>
      </c>
      <c r="D115" s="11">
        <f t="shared" si="0"/>
        <v>-10.318013790629042</v>
      </c>
      <c r="E115" s="39">
        <v>12</v>
      </c>
      <c r="F115" s="39">
        <v>47</v>
      </c>
      <c r="G115" s="39">
        <v>2</v>
      </c>
      <c r="H115" s="8">
        <f t="shared" si="1"/>
        <v>19.672131147540984</v>
      </c>
      <c r="I115" s="8">
        <f t="shared" si="2"/>
        <v>77.049180327868854</v>
      </c>
      <c r="J115" s="69" t="s">
        <v>4467</v>
      </c>
      <c r="K115" s="67"/>
    </row>
    <row r="116" spans="1:11" x14ac:dyDescent="0.25">
      <c r="A116" s="11" t="s">
        <v>3209</v>
      </c>
      <c r="B116" s="11">
        <v>301706180707.66998</v>
      </c>
      <c r="C116" s="11">
        <v>275759387095.22998</v>
      </c>
      <c r="D116" s="11">
        <f t="shared" si="0"/>
        <v>-8.6000205735196538</v>
      </c>
      <c r="E116" s="39">
        <v>9</v>
      </c>
      <c r="F116" s="39">
        <v>33</v>
      </c>
      <c r="G116" s="39">
        <v>4</v>
      </c>
      <c r="H116" s="8">
        <f t="shared" si="1"/>
        <v>19.565217391304348</v>
      </c>
      <c r="I116" s="8">
        <f t="shared" si="2"/>
        <v>71.739130434782609</v>
      </c>
    </row>
    <row r="117" spans="1:11" x14ac:dyDescent="0.25">
      <c r="A117" s="11" t="s">
        <v>2951</v>
      </c>
      <c r="B117" s="11">
        <v>311972942774.20984</v>
      </c>
      <c r="C117" s="11">
        <v>284349508992.82001</v>
      </c>
      <c r="D117" s="11">
        <f t="shared" si="0"/>
        <v>-8.8544325465373017</v>
      </c>
      <c r="E117" s="39">
        <v>41</v>
      </c>
      <c r="F117" s="39">
        <v>134</v>
      </c>
      <c r="G117" s="39">
        <v>43</v>
      </c>
      <c r="H117" s="8">
        <f t="shared" si="1"/>
        <v>18.807339449541285</v>
      </c>
      <c r="I117" s="8">
        <f t="shared" si="2"/>
        <v>61.467889908256879</v>
      </c>
    </row>
    <row r="118" spans="1:11" x14ac:dyDescent="0.25">
      <c r="A118" s="11" t="s">
        <v>1001</v>
      </c>
      <c r="B118" s="11">
        <v>706512618148.59998</v>
      </c>
      <c r="C118" s="11">
        <v>741572230214.80005</v>
      </c>
      <c r="D118" s="11">
        <f t="shared" si="0"/>
        <v>4.9623476163911944</v>
      </c>
      <c r="E118" s="39">
        <v>2</v>
      </c>
      <c r="F118" s="39">
        <v>9</v>
      </c>
      <c r="G118" s="39">
        <v>0</v>
      </c>
      <c r="H118" s="8">
        <f t="shared" si="1"/>
        <v>18.181818181818183</v>
      </c>
      <c r="I118" s="8">
        <f t="shared" si="2"/>
        <v>81.818181818181827</v>
      </c>
    </row>
    <row r="119" spans="1:11" x14ac:dyDescent="0.25">
      <c r="A119" s="11" t="s">
        <v>2286</v>
      </c>
      <c r="B119" s="11">
        <v>492011143805.58997</v>
      </c>
      <c r="C119" s="11">
        <v>445288631702.97003</v>
      </c>
      <c r="D119" s="11">
        <f t="shared" si="0"/>
        <v>-9.4962304595851919</v>
      </c>
      <c r="E119" s="39">
        <v>6</v>
      </c>
      <c r="F119" s="39">
        <v>27</v>
      </c>
      <c r="G119" s="39">
        <v>0</v>
      </c>
      <c r="H119" s="8">
        <f t="shared" si="1"/>
        <v>18.181818181818183</v>
      </c>
      <c r="I119" s="8">
        <f t="shared" si="2"/>
        <v>81.818181818181827</v>
      </c>
    </row>
    <row r="120" spans="1:11" x14ac:dyDescent="0.25">
      <c r="A120" s="11" t="s">
        <v>3561</v>
      </c>
      <c r="B120" s="11">
        <v>353667445768.09009</v>
      </c>
      <c r="C120" s="11">
        <v>327033182505.41003</v>
      </c>
      <c r="D120" s="11">
        <f t="shared" si="0"/>
        <v>-7.5308778292658873</v>
      </c>
      <c r="E120" s="39">
        <v>9</v>
      </c>
      <c r="F120" s="39">
        <v>38</v>
      </c>
      <c r="G120" s="39">
        <v>3</v>
      </c>
      <c r="H120" s="8">
        <f t="shared" si="1"/>
        <v>18</v>
      </c>
      <c r="I120" s="8">
        <f t="shared" si="2"/>
        <v>76</v>
      </c>
    </row>
    <row r="121" spans="1:11" x14ac:dyDescent="0.25">
      <c r="A121" s="11" t="s">
        <v>1337</v>
      </c>
      <c r="B121" s="11">
        <v>963861852911.93005</v>
      </c>
      <c r="C121" s="11">
        <v>928022574353.70007</v>
      </c>
      <c r="D121" s="11">
        <f t="shared" si="0"/>
        <v>-3.7183003404435686</v>
      </c>
      <c r="E121" s="39">
        <v>11</v>
      </c>
      <c r="F121" s="39">
        <v>45</v>
      </c>
      <c r="G121" s="39">
        <v>7</v>
      </c>
      <c r="H121" s="8">
        <f t="shared" si="1"/>
        <v>17.460317460317459</v>
      </c>
      <c r="I121" s="8">
        <f t="shared" si="2"/>
        <v>71.428571428571431</v>
      </c>
    </row>
    <row r="122" spans="1:11" x14ac:dyDescent="0.25">
      <c r="A122" s="11" t="s">
        <v>110</v>
      </c>
      <c r="B122" s="11">
        <v>398667442715.27997</v>
      </c>
      <c r="C122" s="11">
        <v>388299568822.85004</v>
      </c>
      <c r="D122" s="11">
        <f t="shared" si="0"/>
        <v>-2.6006322015701824</v>
      </c>
      <c r="E122" s="39">
        <v>4</v>
      </c>
      <c r="F122" s="39">
        <v>18</v>
      </c>
      <c r="G122" s="39">
        <v>1</v>
      </c>
      <c r="H122" s="8">
        <f t="shared" si="1"/>
        <v>17.391304347826086</v>
      </c>
      <c r="I122" s="8">
        <f t="shared" si="2"/>
        <v>78.260869565217391</v>
      </c>
    </row>
    <row r="123" spans="1:11" x14ac:dyDescent="0.25">
      <c r="A123" s="11" t="s">
        <v>2681</v>
      </c>
      <c r="B123" s="11">
        <v>350618956659.30005</v>
      </c>
      <c r="C123" s="11">
        <v>331370634889.17999</v>
      </c>
      <c r="D123" s="11">
        <f t="shared" si="0"/>
        <v>-5.4898120607961998</v>
      </c>
      <c r="E123" s="39">
        <v>18</v>
      </c>
      <c r="F123" s="39">
        <v>54</v>
      </c>
      <c r="G123" s="39">
        <v>35</v>
      </c>
      <c r="H123" s="8">
        <f t="shared" si="1"/>
        <v>16.822429906542055</v>
      </c>
      <c r="I123" s="8">
        <f t="shared" si="2"/>
        <v>50.467289719626166</v>
      </c>
      <c r="J123" s="69" t="s">
        <v>4468</v>
      </c>
      <c r="K123" s="67"/>
    </row>
    <row r="124" spans="1:11" x14ac:dyDescent="0.25">
      <c r="A124" s="11" t="s">
        <v>2671</v>
      </c>
      <c r="B124" s="11">
        <v>216408535915.03998</v>
      </c>
      <c r="C124" s="11">
        <v>210062501326.80002</v>
      </c>
      <c r="D124" s="11">
        <f t="shared" si="0"/>
        <v>-2.9324326609424292</v>
      </c>
      <c r="E124" s="39">
        <v>2</v>
      </c>
      <c r="F124" s="39">
        <v>9</v>
      </c>
      <c r="G124" s="39">
        <v>1</v>
      </c>
      <c r="H124" s="8">
        <f t="shared" si="1"/>
        <v>16.666666666666664</v>
      </c>
      <c r="I124" s="8">
        <f t="shared" si="2"/>
        <v>75</v>
      </c>
    </row>
    <row r="125" spans="1:11" x14ac:dyDescent="0.25">
      <c r="A125" s="11" t="s">
        <v>3312</v>
      </c>
      <c r="B125" s="11">
        <v>168614299813.84998</v>
      </c>
      <c r="C125" s="11">
        <v>162623255867.69</v>
      </c>
      <c r="D125" s="11">
        <f t="shared" si="0"/>
        <v>-3.5531054915117397</v>
      </c>
      <c r="E125" s="39">
        <v>2</v>
      </c>
      <c r="F125" s="39">
        <v>8</v>
      </c>
      <c r="G125" s="39">
        <v>2</v>
      </c>
      <c r="H125" s="8">
        <f t="shared" si="1"/>
        <v>16.666666666666664</v>
      </c>
      <c r="I125" s="8">
        <f t="shared" si="2"/>
        <v>66.666666666666657</v>
      </c>
    </row>
    <row r="126" spans="1:11" x14ac:dyDescent="0.25">
      <c r="A126" s="11" t="s">
        <v>850</v>
      </c>
      <c r="B126" s="11">
        <v>470506456894.84998</v>
      </c>
      <c r="C126" s="11">
        <v>453393151491.75</v>
      </c>
      <c r="D126" s="11">
        <f t="shared" si="0"/>
        <v>-3.6372094691411436</v>
      </c>
      <c r="E126" s="39">
        <v>1</v>
      </c>
      <c r="F126" s="39">
        <v>5</v>
      </c>
      <c r="G126" s="39">
        <v>0</v>
      </c>
      <c r="H126" s="8">
        <f t="shared" si="1"/>
        <v>16.666666666666664</v>
      </c>
      <c r="I126" s="8">
        <f t="shared" si="2"/>
        <v>83.333333333333343</v>
      </c>
    </row>
    <row r="127" spans="1:11" x14ac:dyDescent="0.25">
      <c r="A127" s="11" t="s">
        <v>1351</v>
      </c>
      <c r="B127" s="11">
        <v>38252392715.5</v>
      </c>
      <c r="C127" s="11">
        <v>36784703008.849998</v>
      </c>
      <c r="D127" s="11">
        <f t="shared" si="0"/>
        <v>-3.8368572590108556</v>
      </c>
      <c r="E127" s="39">
        <v>1</v>
      </c>
      <c r="F127" s="39">
        <v>5</v>
      </c>
      <c r="G127" s="39">
        <v>0</v>
      </c>
      <c r="H127" s="8">
        <f t="shared" si="1"/>
        <v>16.666666666666664</v>
      </c>
      <c r="I127" s="8">
        <f t="shared" si="2"/>
        <v>83.333333333333343</v>
      </c>
    </row>
    <row r="128" spans="1:11" x14ac:dyDescent="0.25">
      <c r="A128" s="11" t="s">
        <v>350</v>
      </c>
      <c r="B128" s="11">
        <v>759613367237.23999</v>
      </c>
      <c r="C128" s="11">
        <v>719591343538.30005</v>
      </c>
      <c r="D128" s="11">
        <f t="shared" si="0"/>
        <v>-5.2687360998533341</v>
      </c>
      <c r="E128" s="39">
        <v>1</v>
      </c>
      <c r="F128" s="39">
        <v>5</v>
      </c>
      <c r="G128" s="39">
        <v>0</v>
      </c>
      <c r="H128" s="8">
        <f t="shared" si="1"/>
        <v>16.666666666666664</v>
      </c>
      <c r="I128" s="8">
        <f t="shared" si="2"/>
        <v>83.333333333333343</v>
      </c>
    </row>
    <row r="129" spans="1:9" x14ac:dyDescent="0.25">
      <c r="A129" s="11" t="s">
        <v>2867</v>
      </c>
      <c r="B129" s="11">
        <v>5114655570.0500002</v>
      </c>
      <c r="C129" s="11">
        <v>4748131933.5500002</v>
      </c>
      <c r="D129" s="11">
        <f t="shared" si="0"/>
        <v>-7.1661450410514522</v>
      </c>
      <c r="E129" s="39">
        <v>1</v>
      </c>
      <c r="F129" s="39">
        <v>5</v>
      </c>
      <c r="G129" s="39">
        <v>0</v>
      </c>
      <c r="H129" s="8">
        <f t="shared" si="1"/>
        <v>16.666666666666664</v>
      </c>
      <c r="I129" s="8">
        <f t="shared" si="2"/>
        <v>83.333333333333343</v>
      </c>
    </row>
    <row r="130" spans="1:9" x14ac:dyDescent="0.25">
      <c r="A130" s="11" t="s">
        <v>3872</v>
      </c>
      <c r="B130" s="11">
        <v>578964252097.69995</v>
      </c>
      <c r="C130" s="11">
        <v>529849454688.08008</v>
      </c>
      <c r="D130" s="11">
        <f t="shared" si="0"/>
        <v>-8.4832176134653263</v>
      </c>
      <c r="E130" s="39">
        <v>4</v>
      </c>
      <c r="F130" s="39">
        <v>18</v>
      </c>
      <c r="G130" s="39">
        <v>2</v>
      </c>
      <c r="H130" s="8">
        <f t="shared" si="1"/>
        <v>16.666666666666664</v>
      </c>
      <c r="I130" s="8">
        <f t="shared" si="2"/>
        <v>75</v>
      </c>
    </row>
    <row r="131" spans="1:9" x14ac:dyDescent="0.25">
      <c r="A131" s="11" t="s">
        <v>3976</v>
      </c>
      <c r="B131" s="11">
        <v>1150776406602.1702</v>
      </c>
      <c r="C131" s="11">
        <v>1051556479584.53</v>
      </c>
      <c r="D131" s="11">
        <f t="shared" si="0"/>
        <v>-8.6219987174225263</v>
      </c>
      <c r="E131" s="39">
        <v>3</v>
      </c>
      <c r="F131" s="39">
        <v>15</v>
      </c>
      <c r="G131" s="39">
        <v>0</v>
      </c>
      <c r="H131" s="8">
        <f t="shared" si="1"/>
        <v>16.666666666666664</v>
      </c>
      <c r="I131" s="8">
        <f t="shared" si="2"/>
        <v>83.333333333333343</v>
      </c>
    </row>
    <row r="132" spans="1:9" x14ac:dyDescent="0.25">
      <c r="A132" s="11" t="s">
        <v>1538</v>
      </c>
      <c r="B132" s="11">
        <v>923268617.70000005</v>
      </c>
      <c r="C132" s="11">
        <v>821145121.84000003</v>
      </c>
      <c r="D132" s="11">
        <f t="shared" si="0"/>
        <v>-11.061081672461141</v>
      </c>
      <c r="E132" s="39">
        <v>1</v>
      </c>
      <c r="F132" s="39">
        <v>5</v>
      </c>
      <c r="G132" s="39">
        <v>0</v>
      </c>
      <c r="H132" s="8">
        <f t="shared" si="1"/>
        <v>16.666666666666664</v>
      </c>
      <c r="I132" s="8">
        <f t="shared" si="2"/>
        <v>83.333333333333343</v>
      </c>
    </row>
    <row r="133" spans="1:9" x14ac:dyDescent="0.25">
      <c r="A133" s="11" t="s">
        <v>2627</v>
      </c>
      <c r="B133" s="11">
        <v>430412873362.86993</v>
      </c>
      <c r="C133" s="11">
        <v>422345446633.11005</v>
      </c>
      <c r="D133" s="11">
        <f t="shared" si="0"/>
        <v>-1.8743460591055436</v>
      </c>
      <c r="E133" s="39">
        <v>2</v>
      </c>
      <c r="F133" s="39">
        <v>10</v>
      </c>
      <c r="G133" s="39">
        <v>1</v>
      </c>
      <c r="H133" s="8">
        <f t="shared" si="1"/>
        <v>15.384615384615385</v>
      </c>
      <c r="I133" s="8">
        <f t="shared" si="2"/>
        <v>76.923076923076934</v>
      </c>
    </row>
    <row r="134" spans="1:9" x14ac:dyDescent="0.25">
      <c r="A134" s="11" t="s">
        <v>3232</v>
      </c>
      <c r="B134" s="11">
        <v>1006489672115.4399</v>
      </c>
      <c r="C134" s="11">
        <v>874259656566.5</v>
      </c>
      <c r="D134" s="11">
        <f t="shared" si="0"/>
        <v>-13.13774191751207</v>
      </c>
      <c r="E134" s="39">
        <v>5</v>
      </c>
      <c r="F134" s="39">
        <v>25</v>
      </c>
      <c r="G134" s="39">
        <v>3</v>
      </c>
      <c r="H134" s="8">
        <f t="shared" si="1"/>
        <v>15.151515151515152</v>
      </c>
      <c r="I134" s="8">
        <f t="shared" si="2"/>
        <v>75.757575757575751</v>
      </c>
    </row>
    <row r="135" spans="1:9" x14ac:dyDescent="0.25">
      <c r="A135" s="11" t="s">
        <v>3369</v>
      </c>
      <c r="B135" s="11">
        <v>80724139344.679993</v>
      </c>
      <c r="C135" s="11">
        <v>76091106378.730011</v>
      </c>
      <c r="D135" s="11">
        <f t="shared" si="0"/>
        <v>-5.7393401819592338</v>
      </c>
      <c r="E135" s="39">
        <v>3</v>
      </c>
      <c r="F135" s="39">
        <v>16</v>
      </c>
      <c r="G135" s="39">
        <v>1</v>
      </c>
      <c r="H135" s="8">
        <f t="shared" si="1"/>
        <v>15</v>
      </c>
      <c r="I135" s="8">
        <f t="shared" si="2"/>
        <v>80</v>
      </c>
    </row>
    <row r="136" spans="1:9" x14ac:dyDescent="0.25">
      <c r="A136" s="11" t="s">
        <v>1970</v>
      </c>
      <c r="B136" s="11">
        <v>671126955261.80005</v>
      </c>
      <c r="C136" s="11">
        <v>658860658832.69995</v>
      </c>
      <c r="D136" s="11">
        <f t="shared" si="0"/>
        <v>-1.8277162514378724</v>
      </c>
      <c r="E136" s="39">
        <v>1</v>
      </c>
      <c r="F136" s="39">
        <v>6</v>
      </c>
      <c r="G136" s="39">
        <v>0</v>
      </c>
      <c r="H136" s="8">
        <f t="shared" si="1"/>
        <v>14.285714285714285</v>
      </c>
      <c r="I136" s="8">
        <f t="shared" si="2"/>
        <v>85.714285714285708</v>
      </c>
    </row>
    <row r="137" spans="1:9" x14ac:dyDescent="0.25">
      <c r="A137" s="11" t="s">
        <v>3402</v>
      </c>
      <c r="B137" s="11">
        <v>5971657228740.3994</v>
      </c>
      <c r="C137" s="11">
        <v>5757574218403.6494</v>
      </c>
      <c r="D137" s="11">
        <f t="shared" si="0"/>
        <v>-3.584984906809638</v>
      </c>
      <c r="E137" s="39">
        <v>1</v>
      </c>
      <c r="F137" s="39">
        <v>6</v>
      </c>
      <c r="G137" s="39">
        <v>0</v>
      </c>
      <c r="H137" s="8">
        <f t="shared" si="1"/>
        <v>14.285714285714285</v>
      </c>
      <c r="I137" s="8">
        <f t="shared" si="2"/>
        <v>85.714285714285708</v>
      </c>
    </row>
    <row r="138" spans="1:9" x14ac:dyDescent="0.25">
      <c r="A138" s="11" t="s">
        <v>4094</v>
      </c>
      <c r="B138" s="11">
        <v>31379295489.719997</v>
      </c>
      <c r="C138" s="11">
        <v>28355121999.579998</v>
      </c>
      <c r="D138" s="11">
        <f t="shared" si="0"/>
        <v>-9.6374805200159219</v>
      </c>
      <c r="E138" s="39">
        <v>3</v>
      </c>
      <c r="F138" s="39">
        <v>16</v>
      </c>
      <c r="G138" s="39">
        <v>2</v>
      </c>
      <c r="H138" s="8">
        <f t="shared" si="1"/>
        <v>14.285714285714285</v>
      </c>
      <c r="I138" s="8">
        <f t="shared" si="2"/>
        <v>76.19047619047619</v>
      </c>
    </row>
    <row r="139" spans="1:9" x14ac:dyDescent="0.25">
      <c r="A139" s="11" t="s">
        <v>204</v>
      </c>
      <c r="B139" s="11">
        <v>1190757403866.8701</v>
      </c>
      <c r="C139" s="11">
        <v>1032394920957.86</v>
      </c>
      <c r="D139" s="11">
        <f t="shared" si="0"/>
        <v>-13.299307012053269</v>
      </c>
      <c r="E139" s="39">
        <v>2</v>
      </c>
      <c r="F139" s="39">
        <v>12</v>
      </c>
      <c r="G139" s="39">
        <v>0</v>
      </c>
      <c r="H139" s="8">
        <f t="shared" si="1"/>
        <v>14.285714285714285</v>
      </c>
      <c r="I139" s="8">
        <f t="shared" si="2"/>
        <v>85.714285714285708</v>
      </c>
    </row>
    <row r="140" spans="1:9" x14ac:dyDescent="0.25">
      <c r="A140" s="11" t="s">
        <v>3110</v>
      </c>
      <c r="B140" s="11">
        <v>1141641229636.1201</v>
      </c>
      <c r="C140" s="11">
        <v>1135408870187.3701</v>
      </c>
      <c r="D140" s="11">
        <f t="shared" si="0"/>
        <v>-0.54591226095929146</v>
      </c>
      <c r="E140" s="39">
        <v>5</v>
      </c>
      <c r="F140" s="39">
        <v>29</v>
      </c>
      <c r="G140" s="39">
        <v>3</v>
      </c>
      <c r="H140" s="8">
        <f t="shared" si="1"/>
        <v>13.513513513513514</v>
      </c>
      <c r="I140" s="8">
        <f t="shared" si="2"/>
        <v>78.378378378378372</v>
      </c>
    </row>
    <row r="141" spans="1:9" x14ac:dyDescent="0.25">
      <c r="A141" s="11" t="s">
        <v>2575</v>
      </c>
      <c r="B141" s="11">
        <v>817656611283.5</v>
      </c>
      <c r="C141" s="11">
        <v>792789280314.75</v>
      </c>
      <c r="D141" s="11">
        <f t="shared" si="0"/>
        <v>-3.0412927169652564</v>
      </c>
      <c r="E141" s="39">
        <v>3</v>
      </c>
      <c r="F141" s="39">
        <v>20</v>
      </c>
      <c r="G141" s="39">
        <v>0</v>
      </c>
      <c r="H141" s="8">
        <f t="shared" si="1"/>
        <v>13.043478260869565</v>
      </c>
      <c r="I141" s="8">
        <f t="shared" si="2"/>
        <v>86.956521739130437</v>
      </c>
    </row>
    <row r="142" spans="1:9" x14ac:dyDescent="0.25">
      <c r="A142" s="11" t="s">
        <v>1271</v>
      </c>
      <c r="B142" s="11">
        <v>955952711362.95007</v>
      </c>
      <c r="C142" s="11">
        <v>907612012910.69995</v>
      </c>
      <c r="D142" s="11">
        <f t="shared" si="0"/>
        <v>-5.0568085510556626</v>
      </c>
      <c r="E142" s="39">
        <v>2</v>
      </c>
      <c r="F142" s="39">
        <v>14</v>
      </c>
      <c r="G142" s="39">
        <v>0</v>
      </c>
      <c r="H142" s="8">
        <f t="shared" si="1"/>
        <v>12.5</v>
      </c>
      <c r="I142" s="8">
        <f t="shared" si="2"/>
        <v>87.5</v>
      </c>
    </row>
    <row r="143" spans="1:9" x14ac:dyDescent="0.25">
      <c r="A143" s="11" t="s">
        <v>3918</v>
      </c>
      <c r="B143" s="11">
        <v>55997709937.129997</v>
      </c>
      <c r="C143" s="11">
        <v>52455714673.629997</v>
      </c>
      <c r="D143" s="11">
        <f t="shared" si="0"/>
        <v>-6.3252502066186</v>
      </c>
      <c r="E143" s="39">
        <v>1</v>
      </c>
      <c r="F143" s="39">
        <v>7</v>
      </c>
      <c r="G143" s="39">
        <v>0</v>
      </c>
      <c r="H143" s="8">
        <f t="shared" si="1"/>
        <v>12.5</v>
      </c>
      <c r="I143" s="8">
        <f t="shared" si="2"/>
        <v>87.5</v>
      </c>
    </row>
    <row r="144" spans="1:9" x14ac:dyDescent="0.25">
      <c r="A144" s="11" t="s">
        <v>262</v>
      </c>
      <c r="B144" s="11">
        <v>10890369711.979998</v>
      </c>
      <c r="C144" s="11">
        <v>10173248629.809999</v>
      </c>
      <c r="D144" s="11">
        <f t="shared" si="0"/>
        <v>-6.5849103486461624</v>
      </c>
      <c r="E144" s="39">
        <v>1</v>
      </c>
      <c r="F144" s="39">
        <v>7</v>
      </c>
      <c r="G144" s="39">
        <v>0</v>
      </c>
      <c r="H144" s="8">
        <f t="shared" si="1"/>
        <v>12.5</v>
      </c>
      <c r="I144" s="8">
        <f t="shared" si="2"/>
        <v>87.5</v>
      </c>
    </row>
    <row r="145" spans="1:9" x14ac:dyDescent="0.25">
      <c r="A145" s="11" t="s">
        <v>2228</v>
      </c>
      <c r="B145" s="11">
        <v>4660956493780.8496</v>
      </c>
      <c r="C145" s="11">
        <v>4186733977370.6499</v>
      </c>
      <c r="D145" s="11">
        <f t="shared" si="0"/>
        <v>-10.174360499673371</v>
      </c>
      <c r="E145" s="39">
        <v>2</v>
      </c>
      <c r="F145" s="39">
        <v>14</v>
      </c>
      <c r="G145" s="39">
        <v>0</v>
      </c>
      <c r="H145" s="8">
        <f t="shared" si="1"/>
        <v>12.5</v>
      </c>
      <c r="I145" s="8">
        <f t="shared" si="2"/>
        <v>87.5</v>
      </c>
    </row>
    <row r="146" spans="1:9" x14ac:dyDescent="0.25">
      <c r="A146" s="11" t="s">
        <v>3431</v>
      </c>
      <c r="B146" s="11">
        <v>3821482930005.3999</v>
      </c>
      <c r="C146" s="11">
        <v>3731515772413.6504</v>
      </c>
      <c r="D146" s="11">
        <f t="shared" si="0"/>
        <v>-2.3542472710095916</v>
      </c>
      <c r="E146" s="39">
        <v>2</v>
      </c>
      <c r="F146" s="39">
        <v>15</v>
      </c>
      <c r="G146" s="39">
        <v>0</v>
      </c>
      <c r="H146" s="8">
        <f t="shared" si="1"/>
        <v>11.76470588235294</v>
      </c>
      <c r="I146" s="8">
        <f t="shared" si="2"/>
        <v>88.235294117647058</v>
      </c>
    </row>
    <row r="147" spans="1:9" x14ac:dyDescent="0.25">
      <c r="A147" s="11" t="s">
        <v>1501</v>
      </c>
      <c r="B147" s="11">
        <v>668877441659.70007</v>
      </c>
      <c r="C147" s="11">
        <v>644232331924.25</v>
      </c>
      <c r="D147" s="11">
        <f t="shared" si="0"/>
        <v>-3.6845479007780004</v>
      </c>
      <c r="E147" s="39">
        <v>1</v>
      </c>
      <c r="F147" s="39">
        <v>7</v>
      </c>
      <c r="G147" s="39">
        <v>1</v>
      </c>
      <c r="H147" s="8">
        <f t="shared" si="1"/>
        <v>11.111111111111111</v>
      </c>
      <c r="I147" s="8">
        <f t="shared" si="2"/>
        <v>77.777777777777786</v>
      </c>
    </row>
    <row r="148" spans="1:9" x14ac:dyDescent="0.25">
      <c r="A148" s="11" t="s">
        <v>1606</v>
      </c>
      <c r="B148" s="11">
        <v>187143263297.79999</v>
      </c>
      <c r="C148" s="11">
        <v>166286276426.06</v>
      </c>
      <c r="D148" s="11">
        <f t="shared" si="0"/>
        <v>-11.144930629188821</v>
      </c>
      <c r="E148" s="39">
        <v>1</v>
      </c>
      <c r="F148" s="39">
        <v>7</v>
      </c>
      <c r="G148" s="39">
        <v>1</v>
      </c>
      <c r="H148" s="8">
        <f t="shared" si="1"/>
        <v>11.111111111111111</v>
      </c>
      <c r="I148" s="8">
        <f t="shared" si="2"/>
        <v>77.777777777777786</v>
      </c>
    </row>
    <row r="149" spans="1:9" x14ac:dyDescent="0.25">
      <c r="A149" s="11" t="s">
        <v>3974</v>
      </c>
      <c r="B149" s="11">
        <v>213661355155.5</v>
      </c>
      <c r="C149" s="11">
        <v>208496617376.39999</v>
      </c>
      <c r="D149" s="11">
        <f t="shared" si="0"/>
        <v>-2.4172540585737536</v>
      </c>
      <c r="E149" s="39">
        <v>1</v>
      </c>
      <c r="F149" s="39">
        <v>9</v>
      </c>
      <c r="G149" s="39">
        <v>0</v>
      </c>
      <c r="H149" s="8">
        <f t="shared" si="1"/>
        <v>10</v>
      </c>
      <c r="I149" s="8">
        <f t="shared" si="2"/>
        <v>90</v>
      </c>
    </row>
    <row r="150" spans="1:9" x14ac:dyDescent="0.25">
      <c r="A150" s="11" t="s">
        <v>3951</v>
      </c>
      <c r="B150" s="11">
        <v>823714067033.42993</v>
      </c>
      <c r="C150" s="11">
        <v>758546583706.87024</v>
      </c>
      <c r="D150" s="11">
        <f t="shared" si="0"/>
        <v>-7.9114204715791159</v>
      </c>
      <c r="E150" s="39">
        <v>2</v>
      </c>
      <c r="F150" s="39">
        <v>18</v>
      </c>
      <c r="G150" s="39">
        <v>0</v>
      </c>
      <c r="H150" s="8">
        <f t="shared" si="1"/>
        <v>10</v>
      </c>
      <c r="I150" s="8">
        <f t="shared" si="2"/>
        <v>90</v>
      </c>
    </row>
    <row r="151" spans="1:9" x14ac:dyDescent="0.25">
      <c r="A151" s="11" t="s">
        <v>711</v>
      </c>
      <c r="B151" s="11">
        <v>336352219493.70001</v>
      </c>
      <c r="C151" s="11">
        <v>316566959220.70001</v>
      </c>
      <c r="D151" s="11">
        <f t="shared" si="0"/>
        <v>-5.8823040629201451</v>
      </c>
      <c r="E151" s="39">
        <v>2</v>
      </c>
      <c r="F151" s="39">
        <v>19</v>
      </c>
      <c r="G151" s="39">
        <v>2</v>
      </c>
      <c r="H151" s="8">
        <f t="shared" si="1"/>
        <v>8.695652173913043</v>
      </c>
      <c r="I151" s="8">
        <f t="shared" si="2"/>
        <v>82.608695652173907</v>
      </c>
    </row>
    <row r="152" spans="1:9" x14ac:dyDescent="0.25">
      <c r="A152" s="11" t="s">
        <v>2522</v>
      </c>
      <c r="B152" s="11">
        <v>267799137060.84998</v>
      </c>
      <c r="C152" s="11">
        <v>264124464914.44998</v>
      </c>
      <c r="D152" s="11">
        <f t="shared" si="0"/>
        <v>-1.3721747525889247</v>
      </c>
      <c r="E152" s="39">
        <v>1</v>
      </c>
      <c r="F152" s="39">
        <v>11</v>
      </c>
      <c r="G152" s="39">
        <v>0</v>
      </c>
      <c r="H152" s="8">
        <f t="shared" si="1"/>
        <v>8.3333333333333321</v>
      </c>
      <c r="I152" s="8">
        <f t="shared" si="2"/>
        <v>91.666666666666657</v>
      </c>
    </row>
    <row r="153" spans="1:9" x14ac:dyDescent="0.25">
      <c r="A153" s="11" t="s">
        <v>4145</v>
      </c>
      <c r="B153" s="11">
        <v>9215870171101.6016</v>
      </c>
      <c r="C153" s="11">
        <v>8893052121379</v>
      </c>
      <c r="D153" s="11">
        <f t="shared" si="0"/>
        <v>-3.5028493645111118</v>
      </c>
      <c r="E153" s="39">
        <v>1</v>
      </c>
      <c r="F153" s="39">
        <v>11</v>
      </c>
      <c r="G153" s="39">
        <v>0</v>
      </c>
      <c r="H153" s="8">
        <f t="shared" si="1"/>
        <v>8.3333333333333321</v>
      </c>
      <c r="I153" s="8">
        <f t="shared" si="2"/>
        <v>91.666666666666657</v>
      </c>
    </row>
    <row r="154" spans="1:9" x14ac:dyDescent="0.25">
      <c r="A154" s="11" t="s">
        <v>3140</v>
      </c>
      <c r="B154" s="11">
        <v>2398476179086.0503</v>
      </c>
      <c r="C154" s="11">
        <v>2297268119255.9102</v>
      </c>
      <c r="D154" s="11">
        <f t="shared" si="0"/>
        <v>-4.219681675917494</v>
      </c>
      <c r="E154" s="39">
        <v>1</v>
      </c>
      <c r="F154" s="39">
        <v>11</v>
      </c>
      <c r="G154" s="39">
        <v>0</v>
      </c>
      <c r="H154" s="8">
        <f t="shared" si="1"/>
        <v>8.3333333333333321</v>
      </c>
      <c r="I154" s="8">
        <f t="shared" si="2"/>
        <v>91.666666666666657</v>
      </c>
    </row>
    <row r="155" spans="1:9" x14ac:dyDescent="0.25">
      <c r="A155" s="11" t="s">
        <v>3503</v>
      </c>
      <c r="B155" s="11">
        <v>1796404010100.8501</v>
      </c>
      <c r="C155" s="11">
        <v>1736918663765.4001</v>
      </c>
      <c r="D155" s="11">
        <f t="shared" si="0"/>
        <v>-3.3113567995269864</v>
      </c>
      <c r="E155" s="39">
        <v>2</v>
      </c>
      <c r="F155" s="39">
        <v>24</v>
      </c>
      <c r="G155" s="39">
        <v>1</v>
      </c>
      <c r="H155" s="8">
        <f t="shared" si="1"/>
        <v>7.4074074074074066</v>
      </c>
      <c r="I155" s="8">
        <f t="shared" si="2"/>
        <v>88.888888888888886</v>
      </c>
    </row>
    <row r="156" spans="1:9" x14ac:dyDescent="0.25">
      <c r="A156" s="11" t="s">
        <v>3900</v>
      </c>
      <c r="B156" s="11">
        <v>216698150599.89001</v>
      </c>
      <c r="C156" s="11">
        <v>216278145164.41998</v>
      </c>
      <c r="D156" s="11">
        <f t="shared" si="0"/>
        <v>-0.19382049837865339</v>
      </c>
      <c r="E156" s="39">
        <v>0</v>
      </c>
      <c r="F156" s="39">
        <v>4</v>
      </c>
      <c r="G156" s="39">
        <v>0</v>
      </c>
      <c r="H156" s="8">
        <f t="shared" si="1"/>
        <v>0</v>
      </c>
      <c r="I156" s="8">
        <f t="shared" si="2"/>
        <v>100</v>
      </c>
    </row>
    <row r="157" spans="1:9" x14ac:dyDescent="0.25">
      <c r="A157" s="11" t="s">
        <v>4068</v>
      </c>
      <c r="B157" s="11">
        <v>21816209693.600002</v>
      </c>
      <c r="C157" s="11">
        <v>21628400462.099998</v>
      </c>
      <c r="D157" s="11">
        <f t="shared" si="0"/>
        <v>-0.86087012426865095</v>
      </c>
      <c r="E157" s="39">
        <v>0</v>
      </c>
      <c r="F157" s="39">
        <v>2</v>
      </c>
      <c r="G157" s="39">
        <v>0</v>
      </c>
      <c r="H157" s="8">
        <f t="shared" si="1"/>
        <v>0</v>
      </c>
      <c r="I157" s="8">
        <f t="shared" si="2"/>
        <v>100</v>
      </c>
    </row>
    <row r="158" spans="1:9" x14ac:dyDescent="0.25">
      <c r="A158" s="11" t="s">
        <v>788</v>
      </c>
      <c r="B158" s="11">
        <v>17995408035260.75</v>
      </c>
      <c r="C158" s="11">
        <v>17755903032656.449</v>
      </c>
      <c r="D158" s="11">
        <f t="shared" si="0"/>
        <v>-1.3309228784087996</v>
      </c>
      <c r="E158" s="39">
        <v>0</v>
      </c>
      <c r="F158" s="39">
        <v>10</v>
      </c>
      <c r="G158" s="39">
        <v>0</v>
      </c>
      <c r="H158" s="8">
        <f t="shared" si="1"/>
        <v>0</v>
      </c>
      <c r="I158" s="8">
        <f t="shared" si="2"/>
        <v>100</v>
      </c>
    </row>
    <row r="159" spans="1:9" x14ac:dyDescent="0.25">
      <c r="A159" s="11" t="s">
        <v>96</v>
      </c>
      <c r="B159" s="11">
        <v>19842256694</v>
      </c>
      <c r="C159" s="11">
        <v>19454774337.400002</v>
      </c>
      <c r="D159" s="11">
        <f t="shared" si="0"/>
        <v>-1.9528139494192076</v>
      </c>
      <c r="E159" s="39">
        <v>0</v>
      </c>
      <c r="F159" s="39">
        <v>3</v>
      </c>
      <c r="G159" s="39">
        <v>0</v>
      </c>
      <c r="H159" s="8">
        <f t="shared" si="1"/>
        <v>0</v>
      </c>
      <c r="I159" s="8">
        <f t="shared" si="2"/>
        <v>100</v>
      </c>
    </row>
    <row r="160" spans="1:9" x14ac:dyDescent="0.25">
      <c r="A160" s="11" t="s">
        <v>324</v>
      </c>
      <c r="B160" s="11">
        <v>283565102784.34998</v>
      </c>
      <c r="C160" s="11">
        <v>276476243158.79999</v>
      </c>
      <c r="D160" s="11">
        <f t="shared" si="0"/>
        <v>-2.4999055088033999</v>
      </c>
      <c r="E160" s="39">
        <v>0</v>
      </c>
      <c r="F160" s="39">
        <v>6</v>
      </c>
      <c r="G160" s="39">
        <v>0</v>
      </c>
      <c r="H160" s="8">
        <f t="shared" si="1"/>
        <v>0</v>
      </c>
      <c r="I160" s="8">
        <f t="shared" si="2"/>
        <v>100</v>
      </c>
    </row>
    <row r="161" spans="1:9" x14ac:dyDescent="0.25">
      <c r="A161" s="11" t="s">
        <v>4051</v>
      </c>
      <c r="B161" s="11">
        <v>26083583587.200001</v>
      </c>
      <c r="C161" s="11">
        <v>25211270758.900002</v>
      </c>
      <c r="D161" s="11">
        <f t="shared" si="0"/>
        <v>-3.3442982456140324</v>
      </c>
      <c r="E161" s="39">
        <v>0</v>
      </c>
      <c r="F161" s="39">
        <v>1</v>
      </c>
      <c r="G161" s="39">
        <v>0</v>
      </c>
      <c r="H161" s="8">
        <f t="shared" si="1"/>
        <v>0</v>
      </c>
      <c r="I161" s="8">
        <f t="shared" si="2"/>
        <v>100</v>
      </c>
    </row>
    <row r="162" spans="1:9" x14ac:dyDescent="0.25">
      <c r="A162" s="11" t="s">
        <v>4133</v>
      </c>
      <c r="B162" s="11">
        <v>3389978894.4000001</v>
      </c>
      <c r="C162" s="11">
        <v>3273221901.5999999</v>
      </c>
      <c r="D162" s="11">
        <f t="shared" si="0"/>
        <v>-3.4441805225653259</v>
      </c>
      <c r="E162" s="39">
        <v>0</v>
      </c>
      <c r="F162" s="39">
        <v>1</v>
      </c>
      <c r="G162" s="39">
        <v>0</v>
      </c>
      <c r="H162" s="8">
        <f t="shared" si="1"/>
        <v>0</v>
      </c>
      <c r="I162" s="8">
        <f t="shared" si="2"/>
        <v>100</v>
      </c>
    </row>
    <row r="163" spans="1:9" x14ac:dyDescent="0.25">
      <c r="A163" s="11" t="s">
        <v>3287</v>
      </c>
      <c r="B163" s="11">
        <v>193205201242</v>
      </c>
      <c r="C163" s="11">
        <v>186120195002.89999</v>
      </c>
      <c r="D163" s="11">
        <f t="shared" si="0"/>
        <v>-3.6670887706721991</v>
      </c>
      <c r="E163" s="39">
        <v>0</v>
      </c>
      <c r="F163" s="39">
        <v>6</v>
      </c>
      <c r="G163" s="39">
        <v>0</v>
      </c>
      <c r="H163" s="8">
        <f t="shared" si="1"/>
        <v>0</v>
      </c>
      <c r="I163" s="8">
        <f t="shared" si="2"/>
        <v>100</v>
      </c>
    </row>
    <row r="164" spans="1:9" x14ac:dyDescent="0.25">
      <c r="A164" s="11" t="s">
        <v>4177</v>
      </c>
      <c r="B164" s="11">
        <v>41510178187.5</v>
      </c>
      <c r="C164" s="11">
        <v>39814550302.75</v>
      </c>
      <c r="D164" s="11">
        <f t="shared" si="0"/>
        <v>-4.084848484848485</v>
      </c>
      <c r="E164" s="39">
        <v>0</v>
      </c>
      <c r="F164" s="39">
        <v>1</v>
      </c>
      <c r="G164" s="39">
        <v>0</v>
      </c>
      <c r="H164" s="8">
        <f t="shared" si="1"/>
        <v>0</v>
      </c>
      <c r="I164" s="8">
        <f t="shared" si="2"/>
        <v>100</v>
      </c>
    </row>
    <row r="165" spans="1:9" x14ac:dyDescent="0.25">
      <c r="A165" s="11" t="s">
        <v>1584</v>
      </c>
      <c r="B165" s="11">
        <v>216342580494.06</v>
      </c>
      <c r="C165" s="11">
        <v>207241387850.41998</v>
      </c>
      <c r="D165" s="11">
        <f t="shared" si="0"/>
        <v>-4.2068429723153375</v>
      </c>
      <c r="E165" s="39">
        <v>0</v>
      </c>
      <c r="F165" s="39">
        <v>4</v>
      </c>
      <c r="G165" s="39">
        <v>1</v>
      </c>
      <c r="H165" s="8">
        <f t="shared" si="1"/>
        <v>0</v>
      </c>
      <c r="I165" s="8">
        <f t="shared" si="2"/>
        <v>80</v>
      </c>
    </row>
    <row r="166" spans="1:9" x14ac:dyDescent="0.25">
      <c r="A166" s="11" t="s">
        <v>2787</v>
      </c>
      <c r="B166" s="11">
        <v>585529021535.69995</v>
      </c>
      <c r="C166" s="11">
        <v>560221620935.55005</v>
      </c>
      <c r="D166" s="11">
        <f t="shared" si="0"/>
        <v>-4.3221428262897641</v>
      </c>
      <c r="E166" s="39">
        <v>0</v>
      </c>
      <c r="F166" s="39">
        <v>7</v>
      </c>
      <c r="G166" s="39">
        <v>0</v>
      </c>
      <c r="H166" s="8">
        <f t="shared" si="1"/>
        <v>0</v>
      </c>
      <c r="I166" s="8">
        <f t="shared" si="2"/>
        <v>100</v>
      </c>
    </row>
    <row r="167" spans="1:9" x14ac:dyDescent="0.25">
      <c r="A167" s="11" t="s">
        <v>659</v>
      </c>
      <c r="B167" s="11">
        <v>80180828991.800003</v>
      </c>
      <c r="C167" s="11">
        <v>75909971552.149994</v>
      </c>
      <c r="D167" s="11">
        <f t="shared" si="0"/>
        <v>-5.3265319071305495</v>
      </c>
      <c r="E167" s="39">
        <v>0</v>
      </c>
      <c r="F167" s="39">
        <v>2</v>
      </c>
      <c r="G167" s="39">
        <v>0</v>
      </c>
      <c r="H167" s="8">
        <f t="shared" si="1"/>
        <v>0</v>
      </c>
      <c r="I167" s="8">
        <f t="shared" si="2"/>
        <v>100</v>
      </c>
    </row>
    <row r="168" spans="1:9" x14ac:dyDescent="0.25">
      <c r="A168" s="11" t="s">
        <v>815</v>
      </c>
      <c r="B168" s="11">
        <v>31648640617.100002</v>
      </c>
      <c r="C168" s="11">
        <v>29850798074.5</v>
      </c>
      <c r="D168" s="11">
        <f t="shared" si="0"/>
        <v>-5.6806311662833764</v>
      </c>
      <c r="E168" s="39">
        <v>0</v>
      </c>
      <c r="F168" s="39">
        <v>4</v>
      </c>
      <c r="G168" s="39">
        <v>0</v>
      </c>
      <c r="H168" s="8">
        <f t="shared" si="1"/>
        <v>0</v>
      </c>
      <c r="I168" s="8">
        <f t="shared" si="2"/>
        <v>100</v>
      </c>
    </row>
    <row r="169" spans="1:9" x14ac:dyDescent="0.25">
      <c r="A169" s="11" t="s">
        <v>3611</v>
      </c>
      <c r="B169" s="11">
        <v>174751880856.10001</v>
      </c>
      <c r="C169" s="11">
        <v>163541996976.33997</v>
      </c>
      <c r="D169" s="11">
        <f t="shared" si="0"/>
        <v>-6.4147429056805718</v>
      </c>
      <c r="E169" s="39">
        <v>0</v>
      </c>
      <c r="F169" s="39">
        <v>12</v>
      </c>
      <c r="G169" s="39">
        <v>0</v>
      </c>
      <c r="H169" s="8">
        <f t="shared" si="1"/>
        <v>0</v>
      </c>
      <c r="I169" s="8">
        <f t="shared" si="2"/>
        <v>100</v>
      </c>
    </row>
    <row r="170" spans="1:9" x14ac:dyDescent="0.25">
      <c r="A170" s="11" t="s">
        <v>668</v>
      </c>
      <c r="B170" s="11">
        <v>67900670416.649994</v>
      </c>
      <c r="C170" s="11">
        <v>63334313071.849998</v>
      </c>
      <c r="D170" s="11">
        <f t="shared" si="0"/>
        <v>-6.7250548732141455</v>
      </c>
      <c r="E170" s="39">
        <v>0</v>
      </c>
      <c r="F170" s="39">
        <v>2</v>
      </c>
      <c r="G170" s="39">
        <v>0</v>
      </c>
      <c r="H170" s="8">
        <f t="shared" si="1"/>
        <v>0</v>
      </c>
      <c r="I170" s="8">
        <f t="shared" si="2"/>
        <v>100</v>
      </c>
    </row>
    <row r="171" spans="1:9" x14ac:dyDescent="0.25">
      <c r="A171" s="11" t="s">
        <v>767</v>
      </c>
      <c r="B171" s="11">
        <v>645467486574.75</v>
      </c>
      <c r="C171" s="11">
        <v>601449150726.26001</v>
      </c>
      <c r="D171" s="11">
        <f t="shared" si="0"/>
        <v>-6.8196054431925806</v>
      </c>
      <c r="E171" s="39">
        <v>0</v>
      </c>
      <c r="F171" s="39">
        <v>4</v>
      </c>
      <c r="G171" s="39">
        <v>1</v>
      </c>
      <c r="H171" s="8">
        <f t="shared" si="1"/>
        <v>0</v>
      </c>
      <c r="I171" s="8">
        <f t="shared" si="2"/>
        <v>80</v>
      </c>
    </row>
    <row r="172" spans="1:9" x14ac:dyDescent="0.25">
      <c r="A172" s="11" t="s">
        <v>2422</v>
      </c>
      <c r="B172" s="11">
        <v>439066026264.12</v>
      </c>
      <c r="C172" s="11">
        <v>408592180271.02991</v>
      </c>
      <c r="D172" s="11">
        <f t="shared" si="0"/>
        <v>-6.9406066901561081</v>
      </c>
      <c r="E172" s="39">
        <v>0</v>
      </c>
      <c r="F172" s="39">
        <v>36</v>
      </c>
      <c r="G172" s="39">
        <v>1</v>
      </c>
      <c r="H172" s="8">
        <f t="shared" si="1"/>
        <v>0</v>
      </c>
      <c r="I172" s="8">
        <f t="shared" si="2"/>
        <v>97.297297297297305</v>
      </c>
    </row>
    <row r="173" spans="1:9" x14ac:dyDescent="0.25">
      <c r="A173" s="11" t="s">
        <v>2247</v>
      </c>
      <c r="B173" s="11">
        <v>141735552653.53</v>
      </c>
      <c r="C173" s="11">
        <v>129662847327.26999</v>
      </c>
      <c r="D173" s="11">
        <f t="shared" si="0"/>
        <v>-8.5177678431688353</v>
      </c>
      <c r="E173" s="39">
        <v>0</v>
      </c>
      <c r="F173" s="39">
        <v>4</v>
      </c>
      <c r="G173" s="39">
        <v>0</v>
      </c>
      <c r="H173" s="8">
        <f t="shared" si="1"/>
        <v>0</v>
      </c>
      <c r="I173" s="8">
        <f t="shared" si="2"/>
        <v>100</v>
      </c>
    </row>
    <row r="174" spans="1:9" x14ac:dyDescent="0.25">
      <c r="A174" s="11" t="s">
        <v>3867</v>
      </c>
      <c r="B174" s="11">
        <v>3964422159.5</v>
      </c>
      <c r="C174" s="11">
        <v>3623197499.8999996</v>
      </c>
      <c r="D174" s="11">
        <f t="shared" si="0"/>
        <v>-8.6071726438699017</v>
      </c>
      <c r="E174" s="39">
        <v>0</v>
      </c>
      <c r="F174" s="39">
        <v>1</v>
      </c>
      <c r="G174" s="39">
        <v>0</v>
      </c>
      <c r="H174" s="8">
        <f t="shared" si="1"/>
        <v>0</v>
      </c>
      <c r="I174" s="8">
        <f t="shared" si="2"/>
        <v>100</v>
      </c>
    </row>
    <row r="175" spans="1:9" x14ac:dyDescent="0.25">
      <c r="A175" s="11" t="s">
        <v>4168</v>
      </c>
      <c r="B175" s="11">
        <v>72827303543.800003</v>
      </c>
      <c r="C175" s="11">
        <v>65835433666.600006</v>
      </c>
      <c r="D175" s="11">
        <f t="shared" si="0"/>
        <v>-9.6006161658792255</v>
      </c>
      <c r="E175" s="39">
        <v>0</v>
      </c>
      <c r="F175" s="39">
        <v>2</v>
      </c>
      <c r="G175" s="39">
        <v>0</v>
      </c>
      <c r="H175" s="8">
        <f t="shared" si="1"/>
        <v>0</v>
      </c>
      <c r="I175" s="8">
        <f t="shared" si="2"/>
        <v>100</v>
      </c>
    </row>
    <row r="176" spans="1:9" x14ac:dyDescent="0.25">
      <c r="A176" s="11" t="s">
        <v>3519</v>
      </c>
      <c r="B176" s="11">
        <v>6329904507.5</v>
      </c>
      <c r="C176" s="11">
        <v>5703096122.8000002</v>
      </c>
      <c r="D176" s="11">
        <f t="shared" si="0"/>
        <v>-9.902335555889108</v>
      </c>
      <c r="E176" s="39">
        <v>0</v>
      </c>
      <c r="F176" s="39">
        <v>4</v>
      </c>
      <c r="G176" s="39">
        <v>0</v>
      </c>
      <c r="H176" s="8">
        <f t="shared" si="1"/>
        <v>0</v>
      </c>
      <c r="I176" s="8">
        <f t="shared" si="2"/>
        <v>100</v>
      </c>
    </row>
    <row r="177" spans="1:9" x14ac:dyDescent="0.25">
      <c r="A177" s="11" t="s">
        <v>2749</v>
      </c>
      <c r="B177" s="11">
        <v>14457950048.6</v>
      </c>
      <c r="C177" s="11">
        <v>12675280211.5</v>
      </c>
      <c r="D177" s="11">
        <f t="shared" si="0"/>
        <v>-12.330031789483328</v>
      </c>
      <c r="E177" s="39">
        <v>0</v>
      </c>
      <c r="F177" s="39">
        <v>2</v>
      </c>
      <c r="G177" s="39">
        <v>0</v>
      </c>
      <c r="H177" s="8">
        <f t="shared" si="1"/>
        <v>0</v>
      </c>
      <c r="I177" s="8">
        <f t="shared" si="2"/>
        <v>100</v>
      </c>
    </row>
    <row r="178" spans="1:9" x14ac:dyDescent="0.25">
      <c r="A178" s="11" t="s">
        <v>4210</v>
      </c>
      <c r="B178" s="11">
        <v>24531276312.799999</v>
      </c>
      <c r="C178" s="11">
        <v>21409437808.5</v>
      </c>
      <c r="D178" s="11">
        <f t="shared" si="0"/>
        <v>-12.725952227243381</v>
      </c>
      <c r="E178" s="39">
        <v>0</v>
      </c>
      <c r="F178" s="39">
        <v>1</v>
      </c>
      <c r="G178" s="39">
        <v>0</v>
      </c>
      <c r="H178" s="8">
        <f t="shared" si="1"/>
        <v>0</v>
      </c>
      <c r="I178" s="8">
        <f t="shared" si="2"/>
        <v>100</v>
      </c>
    </row>
    <row r="179" spans="1:9" x14ac:dyDescent="0.25">
      <c r="A179" s="11" t="s">
        <v>4077</v>
      </c>
      <c r="B179" s="11">
        <v>3955445325</v>
      </c>
      <c r="C179" s="11">
        <v>3446328600</v>
      </c>
      <c r="D179" s="11">
        <f t="shared" si="0"/>
        <v>-12.871287128712872</v>
      </c>
      <c r="E179" s="39">
        <v>0</v>
      </c>
      <c r="F179" s="39">
        <v>1</v>
      </c>
      <c r="G179" s="39">
        <v>0</v>
      </c>
      <c r="H179" s="8">
        <f t="shared" si="1"/>
        <v>0</v>
      </c>
      <c r="I179" s="8">
        <f t="shared" si="2"/>
        <v>100</v>
      </c>
    </row>
    <row r="180" spans="1:9" x14ac:dyDescent="0.25">
      <c r="A180" s="11" t="s">
        <v>831</v>
      </c>
      <c r="B180" s="11">
        <v>178285769677.75</v>
      </c>
      <c r="C180" s="11">
        <v>151631289685.25</v>
      </c>
      <c r="D180" s="11">
        <f t="shared" si="0"/>
        <v>-14.950424837987766</v>
      </c>
      <c r="E180" s="39">
        <v>0</v>
      </c>
      <c r="F180" s="39">
        <v>6</v>
      </c>
      <c r="G180" s="39">
        <v>0</v>
      </c>
      <c r="H180" s="8">
        <f t="shared" si="1"/>
        <v>0</v>
      </c>
      <c r="I180" s="8">
        <f t="shared" si="2"/>
        <v>100</v>
      </c>
    </row>
    <row r="181" spans="1:9" x14ac:dyDescent="0.25">
      <c r="A181" s="11" t="s">
        <v>2501</v>
      </c>
      <c r="B181" s="11">
        <v>116584110757.27</v>
      </c>
      <c r="C181" s="11">
        <v>96190912563.849976</v>
      </c>
      <c r="D181" s="11">
        <f t="shared" si="0"/>
        <v>-17.492262076672692</v>
      </c>
      <c r="E181" s="39">
        <v>0</v>
      </c>
      <c r="F181" s="39">
        <v>4</v>
      </c>
      <c r="G181" s="39">
        <v>1</v>
      </c>
      <c r="H181" s="8">
        <f t="shared" si="1"/>
        <v>0</v>
      </c>
      <c r="I181" s="8">
        <f t="shared" si="2"/>
        <v>80</v>
      </c>
    </row>
    <row r="182" spans="1:9" x14ac:dyDescent="0.25">
      <c r="A182" s="11" t="s">
        <v>4191</v>
      </c>
      <c r="B182" s="11">
        <v>9163335399.75</v>
      </c>
      <c r="C182" s="11">
        <v>7518248365.75</v>
      </c>
      <c r="D182" s="11">
        <f t="shared" si="0"/>
        <v>-17.952928297755886</v>
      </c>
      <c r="E182" s="39">
        <v>0</v>
      </c>
      <c r="F182" s="39">
        <v>1</v>
      </c>
      <c r="G182" s="39">
        <v>0</v>
      </c>
      <c r="H182" s="8">
        <f t="shared" si="1"/>
        <v>0</v>
      </c>
      <c r="I182" s="8">
        <f t="shared" si="2"/>
        <v>100</v>
      </c>
    </row>
    <row r="183" spans="1:9" x14ac:dyDescent="0.25">
      <c r="A183" s="11" t="s">
        <v>3639</v>
      </c>
      <c r="B183" s="11">
        <v>3014785122.9000001</v>
      </c>
      <c r="C183" s="11">
        <v>2443054960.3000002</v>
      </c>
      <c r="D183" s="11">
        <f t="shared" si="0"/>
        <v>-18.96420936461428</v>
      </c>
      <c r="E183" s="39">
        <v>0</v>
      </c>
      <c r="F183" s="39">
        <v>3</v>
      </c>
      <c r="G183" s="39">
        <v>0</v>
      </c>
      <c r="H183" s="8">
        <f t="shared" si="1"/>
        <v>0</v>
      </c>
      <c r="I183" s="8">
        <f t="shared" si="2"/>
        <v>100</v>
      </c>
    </row>
    <row r="184" spans="1:9" x14ac:dyDescent="0.25">
      <c r="A184" s="8"/>
      <c r="B184" s="8"/>
      <c r="C184" s="8"/>
      <c r="D184" s="8"/>
      <c r="E184" s="8"/>
      <c r="F184" s="8"/>
      <c r="G184" s="8"/>
    </row>
    <row r="185" spans="1:9" x14ac:dyDescent="0.25">
      <c r="A185" s="8"/>
      <c r="B185" s="8"/>
      <c r="C185" s="8"/>
      <c r="D185" s="8"/>
      <c r="E185" s="8"/>
      <c r="F185" s="8"/>
      <c r="G185" s="8"/>
    </row>
    <row r="186" spans="1:9" x14ac:dyDescent="0.25">
      <c r="A186" s="8"/>
      <c r="B186" s="8"/>
      <c r="C186" s="8"/>
      <c r="D186" s="8"/>
      <c r="E186" s="8"/>
      <c r="F186" s="8"/>
      <c r="G186" s="8"/>
    </row>
    <row r="187" spans="1:9" x14ac:dyDescent="0.25">
      <c r="A187" s="8"/>
      <c r="B187" s="8"/>
      <c r="C187" s="8"/>
      <c r="D187" s="8"/>
      <c r="E187" s="8"/>
      <c r="F187" s="8"/>
      <c r="G187" s="8"/>
    </row>
    <row r="188" spans="1:9" x14ac:dyDescent="0.25">
      <c r="A188" s="8"/>
      <c r="B188" s="8"/>
      <c r="C188" s="8"/>
      <c r="D188" s="8"/>
      <c r="E188" s="8"/>
      <c r="F188" s="8"/>
      <c r="G188" s="8"/>
    </row>
    <row r="189" spans="1:9" x14ac:dyDescent="0.25">
      <c r="A189" s="8"/>
      <c r="B189" s="8"/>
      <c r="C189" s="8"/>
      <c r="D189" s="8"/>
      <c r="E189" s="8"/>
      <c r="F189" s="8"/>
      <c r="G189" s="8"/>
    </row>
    <row r="190" spans="1:9" x14ac:dyDescent="0.25">
      <c r="A190" s="8"/>
      <c r="B190" s="8"/>
      <c r="C190" s="8"/>
      <c r="D190" s="8"/>
      <c r="E190" s="8"/>
      <c r="F190" s="8"/>
      <c r="G190" s="8"/>
    </row>
    <row r="191" spans="1:9" x14ac:dyDescent="0.25">
      <c r="A191" s="8"/>
      <c r="B191" s="8"/>
      <c r="C191" s="8"/>
      <c r="D191" s="8"/>
      <c r="E191" s="8"/>
      <c r="F191" s="8"/>
      <c r="G191" s="8"/>
    </row>
    <row r="192" spans="1:9" x14ac:dyDescent="0.25">
      <c r="A192" s="8"/>
      <c r="B192" s="8"/>
      <c r="C192" s="8"/>
      <c r="D192" s="8"/>
      <c r="E192" s="8"/>
      <c r="F192" s="8"/>
      <c r="G192" s="8"/>
    </row>
    <row r="193" spans="1:7" x14ac:dyDescent="0.25">
      <c r="A193" s="8"/>
      <c r="B193" s="8"/>
      <c r="C193" s="8"/>
      <c r="D193" s="8"/>
      <c r="E193" s="8"/>
      <c r="F193" s="8"/>
      <c r="G193" s="8"/>
    </row>
    <row r="194" spans="1:7" x14ac:dyDescent="0.25">
      <c r="A194" s="8"/>
      <c r="B194" s="8"/>
      <c r="C194" s="8"/>
      <c r="D194" s="8"/>
      <c r="E194" s="8"/>
      <c r="F194" s="8"/>
      <c r="G194" s="8"/>
    </row>
    <row r="195" spans="1:7" x14ac:dyDescent="0.25">
      <c r="A195" s="8"/>
      <c r="B195" s="8"/>
      <c r="C195" s="8"/>
      <c r="D195" s="8"/>
      <c r="E195" s="8"/>
      <c r="F195" s="8"/>
      <c r="G195" s="8"/>
    </row>
    <row r="196" spans="1:7" x14ac:dyDescent="0.25">
      <c r="A196" s="8"/>
      <c r="B196" s="8"/>
      <c r="C196" s="8"/>
      <c r="D196" s="8"/>
      <c r="E196" s="8"/>
      <c r="F196" s="8"/>
      <c r="G196" s="8"/>
    </row>
    <row r="197" spans="1:7" x14ac:dyDescent="0.25">
      <c r="A197" s="8"/>
      <c r="B197" s="8"/>
      <c r="C197" s="8"/>
      <c r="D197" s="8"/>
      <c r="E197" s="8"/>
      <c r="F197" s="8"/>
      <c r="G197" s="8"/>
    </row>
    <row r="198" spans="1:7" x14ac:dyDescent="0.25">
      <c r="A198" s="8"/>
      <c r="B198" s="8"/>
      <c r="C198" s="8"/>
      <c r="D198" s="8"/>
      <c r="E198" s="8"/>
      <c r="F198" s="8"/>
      <c r="G198" s="8"/>
    </row>
    <row r="199" spans="1:7" x14ac:dyDescent="0.25">
      <c r="A199" s="8"/>
      <c r="B199" s="8"/>
      <c r="C199" s="8"/>
      <c r="D199" s="8"/>
      <c r="E199" s="8"/>
      <c r="F199" s="8"/>
      <c r="G199" s="8"/>
    </row>
    <row r="200" spans="1:7" x14ac:dyDescent="0.25">
      <c r="A200" s="8"/>
      <c r="B200" s="8"/>
      <c r="C200" s="8"/>
      <c r="D200" s="8"/>
      <c r="E200" s="8"/>
      <c r="F200" s="8"/>
      <c r="G200" s="8"/>
    </row>
    <row r="201" spans="1:7" x14ac:dyDescent="0.25">
      <c r="A201" s="8"/>
      <c r="B201" s="8"/>
      <c r="C201" s="8"/>
      <c r="D201" s="8"/>
      <c r="E201" s="8"/>
      <c r="F201" s="8"/>
      <c r="G201" s="8"/>
    </row>
    <row r="202" spans="1:7" x14ac:dyDescent="0.25">
      <c r="A202" s="8"/>
      <c r="B202" s="8"/>
      <c r="C202" s="8"/>
      <c r="D202" s="8"/>
      <c r="E202" s="8"/>
      <c r="F202" s="8"/>
      <c r="G202" s="8"/>
    </row>
    <row r="203" spans="1:7" x14ac:dyDescent="0.25">
      <c r="A203" s="8"/>
      <c r="B203" s="8"/>
      <c r="C203" s="8"/>
      <c r="D203" s="8"/>
      <c r="E203" s="8"/>
      <c r="F203" s="8"/>
      <c r="G203" s="8"/>
    </row>
    <row r="204" spans="1:7" x14ac:dyDescent="0.25">
      <c r="A204" s="8"/>
      <c r="B204" s="8"/>
      <c r="C204" s="8"/>
      <c r="D204" s="8"/>
      <c r="E204" s="8"/>
      <c r="F204" s="8"/>
      <c r="G204" s="8"/>
    </row>
    <row r="205" spans="1:7" x14ac:dyDescent="0.25">
      <c r="A205" s="8"/>
      <c r="B205" s="8"/>
      <c r="C205" s="8"/>
      <c r="D205" s="8"/>
      <c r="E205" s="8"/>
      <c r="F205" s="8"/>
      <c r="G205" s="8"/>
    </row>
    <row r="206" spans="1:7" x14ac:dyDescent="0.25">
      <c r="A206" s="8"/>
      <c r="B206" s="8"/>
      <c r="C206" s="8"/>
      <c r="D206" s="8"/>
      <c r="E206" s="8"/>
      <c r="F206" s="8"/>
      <c r="G206" s="8"/>
    </row>
    <row r="207" spans="1:7" x14ac:dyDescent="0.25">
      <c r="A207" s="8"/>
      <c r="B207" s="8"/>
      <c r="C207" s="8"/>
      <c r="D207" s="8"/>
      <c r="E207" s="8"/>
      <c r="F207" s="8"/>
      <c r="G207" s="8"/>
    </row>
    <row r="208" spans="1:7" x14ac:dyDescent="0.25">
      <c r="A208" s="8"/>
      <c r="B208" s="8"/>
      <c r="C208" s="8"/>
      <c r="D208" s="8"/>
      <c r="E208" s="8"/>
      <c r="F208" s="8"/>
      <c r="G208" s="8"/>
    </row>
    <row r="209" spans="1:7" x14ac:dyDescent="0.25">
      <c r="A209" s="8"/>
      <c r="B209" s="8"/>
      <c r="C209" s="8"/>
      <c r="D209" s="8"/>
      <c r="E209" s="8"/>
      <c r="F209" s="8"/>
      <c r="G209" s="8"/>
    </row>
    <row r="210" spans="1:7" x14ac:dyDescent="0.25">
      <c r="A210" s="8"/>
      <c r="B210" s="8"/>
      <c r="C210" s="8"/>
      <c r="D210" s="8"/>
      <c r="E210" s="8"/>
      <c r="F210" s="8"/>
      <c r="G210" s="8"/>
    </row>
    <row r="211" spans="1:7" x14ac:dyDescent="0.25">
      <c r="A211" s="8"/>
      <c r="B211" s="8"/>
      <c r="C211" s="8"/>
      <c r="D211" s="8"/>
      <c r="E211" s="8"/>
      <c r="F211" s="8"/>
      <c r="G211" s="8"/>
    </row>
    <row r="212" spans="1:7" x14ac:dyDescent="0.25">
      <c r="A212" s="8"/>
      <c r="B212" s="8"/>
      <c r="C212" s="8"/>
      <c r="D212" s="8"/>
      <c r="E212" s="8"/>
      <c r="F212" s="8"/>
      <c r="G212" s="8"/>
    </row>
    <row r="213" spans="1:7" x14ac:dyDescent="0.25">
      <c r="A213" s="8"/>
      <c r="B213" s="8"/>
      <c r="C213" s="8"/>
      <c r="D213" s="8"/>
      <c r="E213" s="8"/>
      <c r="F213" s="8"/>
      <c r="G213" s="8"/>
    </row>
    <row r="214" spans="1:7" x14ac:dyDescent="0.25">
      <c r="A214" s="8"/>
      <c r="B214" s="8"/>
      <c r="C214" s="8"/>
      <c r="D214" s="8"/>
      <c r="E214" s="8"/>
      <c r="F214" s="8"/>
      <c r="G214" s="8"/>
    </row>
    <row r="215" spans="1:7" x14ac:dyDescent="0.25">
      <c r="A215" s="8"/>
      <c r="B215" s="8"/>
      <c r="C215" s="8"/>
      <c r="D215" s="8"/>
      <c r="E215" s="8"/>
      <c r="F215" s="8"/>
      <c r="G215" s="8"/>
    </row>
    <row r="216" spans="1:7" x14ac:dyDescent="0.25">
      <c r="A216" s="8"/>
      <c r="B216" s="8"/>
      <c r="C216" s="8"/>
      <c r="D216" s="8"/>
      <c r="E216" s="8"/>
      <c r="F216" s="8"/>
      <c r="G216" s="8"/>
    </row>
    <row r="217" spans="1:7" x14ac:dyDescent="0.25">
      <c r="A217" s="8"/>
      <c r="B217" s="8"/>
      <c r="C217" s="8"/>
      <c r="D217" s="8"/>
      <c r="E217" s="8"/>
      <c r="F217" s="8"/>
      <c r="G217" s="8"/>
    </row>
    <row r="218" spans="1:7" x14ac:dyDescent="0.25">
      <c r="A218" s="8"/>
      <c r="B218" s="8"/>
      <c r="C218" s="8"/>
      <c r="D218" s="8"/>
      <c r="E218" s="8"/>
      <c r="F218" s="8"/>
      <c r="G218" s="8"/>
    </row>
    <row r="219" spans="1:7" x14ac:dyDescent="0.25">
      <c r="A219" s="8"/>
      <c r="B219" s="8"/>
      <c r="C219" s="8"/>
      <c r="D219" s="8"/>
      <c r="E219" s="8"/>
      <c r="F219" s="8"/>
      <c r="G219" s="8"/>
    </row>
    <row r="220" spans="1:7" x14ac:dyDescent="0.25">
      <c r="A220" s="8"/>
      <c r="B220" s="8"/>
      <c r="C220" s="8"/>
      <c r="D220" s="8"/>
      <c r="E220" s="8"/>
      <c r="F220" s="8"/>
      <c r="G220" s="8"/>
    </row>
    <row r="221" spans="1:7" x14ac:dyDescent="0.25">
      <c r="A221" s="8"/>
      <c r="B221" s="8"/>
      <c r="C221" s="8"/>
      <c r="D221" s="8"/>
      <c r="E221" s="8"/>
      <c r="F221" s="8"/>
      <c r="G221" s="8"/>
    </row>
    <row r="222" spans="1:7" x14ac:dyDescent="0.25">
      <c r="A222" s="8"/>
      <c r="B222" s="8"/>
      <c r="C222" s="8"/>
      <c r="D222" s="8"/>
      <c r="E222" s="8"/>
      <c r="F222" s="8"/>
      <c r="G222" s="8"/>
    </row>
    <row r="223" spans="1:7" x14ac:dyDescent="0.25">
      <c r="A223" s="8"/>
      <c r="B223" s="8"/>
      <c r="C223" s="8"/>
      <c r="D223" s="8"/>
      <c r="E223" s="8"/>
      <c r="F223" s="8"/>
      <c r="G223" s="8"/>
    </row>
    <row r="224" spans="1:7" x14ac:dyDescent="0.25">
      <c r="A224" s="8"/>
      <c r="B224" s="8"/>
      <c r="C224" s="8"/>
      <c r="D224" s="8"/>
      <c r="E224" s="8"/>
      <c r="F224" s="8"/>
      <c r="G224" s="8"/>
    </row>
    <row r="225" spans="1:7" x14ac:dyDescent="0.25">
      <c r="A225" s="8"/>
      <c r="B225" s="8"/>
      <c r="C225" s="8"/>
      <c r="D225" s="8"/>
      <c r="E225" s="8"/>
      <c r="F225" s="8"/>
      <c r="G225" s="8"/>
    </row>
    <row r="226" spans="1:7" x14ac:dyDescent="0.25">
      <c r="A226" s="8"/>
      <c r="B226" s="8"/>
      <c r="C226" s="8"/>
      <c r="D226" s="8"/>
      <c r="E226" s="8"/>
      <c r="F226" s="8"/>
      <c r="G226" s="8"/>
    </row>
    <row r="227" spans="1:7" x14ac:dyDescent="0.25">
      <c r="A227" s="8"/>
      <c r="B227" s="8"/>
      <c r="C227" s="8"/>
      <c r="D227" s="8"/>
      <c r="E227" s="8"/>
      <c r="F227" s="8"/>
      <c r="G227" s="8"/>
    </row>
    <row r="228" spans="1:7" x14ac:dyDescent="0.25">
      <c r="A228" s="8"/>
      <c r="B228" s="8"/>
      <c r="C228" s="8"/>
      <c r="D228" s="8"/>
      <c r="E228" s="8"/>
      <c r="F228" s="8"/>
      <c r="G228" s="8"/>
    </row>
    <row r="229" spans="1:7" x14ac:dyDescent="0.25">
      <c r="A229" s="8"/>
      <c r="B229" s="8"/>
      <c r="C229" s="8"/>
      <c r="D229" s="8"/>
      <c r="E229" s="8"/>
      <c r="F229" s="8"/>
      <c r="G229" s="8"/>
    </row>
    <row r="230" spans="1:7" x14ac:dyDescent="0.25">
      <c r="A230" s="8"/>
      <c r="B230" s="8"/>
      <c r="C230" s="8"/>
      <c r="D230" s="8"/>
      <c r="E230" s="8"/>
      <c r="F230" s="8"/>
      <c r="G230" s="8"/>
    </row>
    <row r="231" spans="1:7" x14ac:dyDescent="0.25">
      <c r="A231" s="8"/>
      <c r="B231" s="8"/>
      <c r="C231" s="8"/>
      <c r="D231" s="8"/>
      <c r="E231" s="8"/>
      <c r="F231" s="8"/>
      <c r="G231" s="8"/>
    </row>
    <row r="232" spans="1:7" x14ac:dyDescent="0.25">
      <c r="A232" s="8"/>
      <c r="B232" s="8"/>
      <c r="C232" s="8"/>
      <c r="D232" s="8"/>
      <c r="E232" s="8"/>
      <c r="F232" s="8"/>
      <c r="G232" s="8"/>
    </row>
    <row r="233" spans="1:7" x14ac:dyDescent="0.25">
      <c r="A233" s="8"/>
      <c r="B233" s="8"/>
      <c r="C233" s="8"/>
      <c r="D233" s="8"/>
      <c r="E233" s="8"/>
      <c r="F233" s="8"/>
      <c r="G233" s="8"/>
    </row>
    <row r="234" spans="1:7" x14ac:dyDescent="0.25">
      <c r="A234" s="8"/>
      <c r="B234" s="8"/>
      <c r="C234" s="8"/>
      <c r="D234" s="8"/>
      <c r="E234" s="8"/>
      <c r="F234" s="8"/>
      <c r="G234" s="8"/>
    </row>
    <row r="235" spans="1:7" x14ac:dyDescent="0.25">
      <c r="A235" s="8"/>
      <c r="B235" s="8"/>
      <c r="C235" s="8"/>
      <c r="D235" s="8"/>
      <c r="E235" s="8"/>
      <c r="F235" s="8"/>
      <c r="G235" s="8"/>
    </row>
    <row r="236" spans="1:7" x14ac:dyDescent="0.25">
      <c r="A236" s="8"/>
      <c r="B236" s="8"/>
      <c r="C236" s="8"/>
      <c r="D236" s="8"/>
      <c r="E236" s="8"/>
      <c r="F236" s="8"/>
      <c r="G236" s="8"/>
    </row>
    <row r="237" spans="1:7" x14ac:dyDescent="0.25">
      <c r="A237" s="8"/>
      <c r="B237" s="8"/>
      <c r="C237" s="8"/>
      <c r="D237" s="8"/>
      <c r="E237" s="8"/>
      <c r="F237" s="8"/>
      <c r="G237" s="8"/>
    </row>
    <row r="238" spans="1:7" x14ac:dyDescent="0.25">
      <c r="A238" s="8"/>
      <c r="B238" s="8"/>
      <c r="C238" s="8"/>
      <c r="D238" s="8"/>
      <c r="E238" s="8"/>
      <c r="F238" s="8"/>
      <c r="G238" s="8"/>
    </row>
    <row r="239" spans="1:7" x14ac:dyDescent="0.25">
      <c r="A239" s="8"/>
      <c r="B239" s="8"/>
      <c r="C239" s="8"/>
      <c r="D239" s="8"/>
      <c r="E239" s="8"/>
      <c r="F239" s="8"/>
      <c r="G239" s="8"/>
    </row>
    <row r="240" spans="1:7" x14ac:dyDescent="0.25">
      <c r="A240" s="8"/>
      <c r="B240" s="8"/>
      <c r="C240" s="8"/>
      <c r="D240" s="8"/>
      <c r="E240" s="8"/>
      <c r="F240" s="8"/>
      <c r="G240" s="8"/>
    </row>
    <row r="241" spans="1:7" x14ac:dyDescent="0.25">
      <c r="A241" s="8"/>
      <c r="B241" s="8"/>
      <c r="C241" s="8"/>
      <c r="D241" s="8"/>
      <c r="E241" s="8"/>
      <c r="F241" s="8"/>
      <c r="G241" s="8"/>
    </row>
    <row r="242" spans="1:7" x14ac:dyDescent="0.25">
      <c r="A242" s="8"/>
      <c r="B242" s="8"/>
      <c r="C242" s="8"/>
      <c r="D242" s="8"/>
      <c r="E242" s="8"/>
      <c r="F242" s="8"/>
      <c r="G242" s="8"/>
    </row>
    <row r="243" spans="1:7" x14ac:dyDescent="0.25">
      <c r="A243" s="8"/>
      <c r="B243" s="8"/>
      <c r="C243" s="8"/>
      <c r="D243" s="8"/>
      <c r="E243" s="8"/>
      <c r="F243" s="8"/>
      <c r="G243" s="8"/>
    </row>
    <row r="244" spans="1:7" x14ac:dyDescent="0.25">
      <c r="A244" s="8"/>
      <c r="B244" s="8"/>
      <c r="C244" s="8"/>
      <c r="D244" s="8"/>
      <c r="E244" s="8"/>
      <c r="F244" s="8"/>
      <c r="G244" s="8"/>
    </row>
    <row r="245" spans="1:7" x14ac:dyDescent="0.25">
      <c r="A245" s="8"/>
      <c r="B245" s="8"/>
      <c r="C245" s="8"/>
      <c r="D245" s="8"/>
      <c r="E245" s="8"/>
      <c r="F245" s="8"/>
      <c r="G245" s="8"/>
    </row>
    <row r="246" spans="1:7" x14ac:dyDescent="0.25">
      <c r="A246" s="8"/>
      <c r="B246" s="8"/>
      <c r="C246" s="8"/>
      <c r="D246" s="8"/>
      <c r="E246" s="8"/>
      <c r="F246" s="8"/>
      <c r="G246" s="8"/>
    </row>
    <row r="247" spans="1:7" x14ac:dyDescent="0.25">
      <c r="A247" s="8"/>
      <c r="B247" s="8"/>
      <c r="C247" s="8"/>
      <c r="D247" s="8"/>
      <c r="E247" s="8"/>
      <c r="F247" s="8"/>
      <c r="G247" s="8"/>
    </row>
    <row r="248" spans="1:7" x14ac:dyDescent="0.25">
      <c r="A248" s="8"/>
      <c r="B248" s="8"/>
      <c r="C248" s="8"/>
      <c r="D248" s="8"/>
      <c r="E248" s="8"/>
      <c r="F248" s="8"/>
      <c r="G248" s="8"/>
    </row>
    <row r="249" spans="1:7" x14ac:dyDescent="0.25">
      <c r="A249" s="8"/>
      <c r="B249" s="8"/>
      <c r="C249" s="8"/>
      <c r="D249" s="8"/>
      <c r="E249" s="8"/>
      <c r="F249" s="8"/>
      <c r="G249" s="8"/>
    </row>
    <row r="250" spans="1:7" x14ac:dyDescent="0.25">
      <c r="A250" s="8"/>
      <c r="B250" s="8"/>
      <c r="C250" s="8"/>
      <c r="D250" s="8"/>
      <c r="E250" s="8"/>
      <c r="F250" s="8"/>
      <c r="G250" s="8"/>
    </row>
    <row r="251" spans="1:7" x14ac:dyDescent="0.25">
      <c r="A251" s="8"/>
      <c r="B251" s="8"/>
      <c r="C251" s="8"/>
      <c r="D251" s="8"/>
      <c r="E251" s="8"/>
      <c r="F251" s="8"/>
      <c r="G251" s="8"/>
    </row>
    <row r="252" spans="1:7" x14ac:dyDescent="0.25">
      <c r="A252" s="8"/>
      <c r="B252" s="8"/>
      <c r="C252" s="8"/>
      <c r="D252" s="8"/>
      <c r="E252" s="8"/>
      <c r="F252" s="8"/>
      <c r="G252" s="8"/>
    </row>
    <row r="253" spans="1:7" x14ac:dyDescent="0.25">
      <c r="A253" s="8"/>
      <c r="B253" s="8"/>
      <c r="C253" s="8"/>
      <c r="D253" s="8"/>
      <c r="E253" s="8"/>
      <c r="F253" s="8"/>
      <c r="G253" s="8"/>
    </row>
    <row r="254" spans="1:7" x14ac:dyDescent="0.25">
      <c r="A254" s="8"/>
      <c r="B254" s="8"/>
      <c r="C254" s="8"/>
      <c r="D254" s="8"/>
      <c r="E254" s="8"/>
      <c r="F254" s="8"/>
      <c r="G254" s="8"/>
    </row>
    <row r="255" spans="1:7" x14ac:dyDescent="0.25">
      <c r="A255" s="8"/>
      <c r="B255" s="8"/>
      <c r="C255" s="8"/>
      <c r="D255" s="8"/>
      <c r="E255" s="8"/>
      <c r="F255" s="8"/>
      <c r="G255" s="8"/>
    </row>
    <row r="256" spans="1:7" x14ac:dyDescent="0.25">
      <c r="A256" s="8"/>
      <c r="B256" s="8"/>
      <c r="C256" s="8"/>
      <c r="D256" s="8"/>
      <c r="E256" s="8"/>
      <c r="F256" s="8"/>
      <c r="G256" s="8"/>
    </row>
    <row r="257" spans="1:7" x14ac:dyDescent="0.25">
      <c r="A257" s="8"/>
      <c r="B257" s="8"/>
      <c r="C257" s="8"/>
      <c r="D257" s="8"/>
      <c r="E257" s="8"/>
      <c r="F257" s="8"/>
      <c r="G257" s="8"/>
    </row>
    <row r="258" spans="1:7" x14ac:dyDescent="0.25">
      <c r="A258" s="8"/>
      <c r="B258" s="8"/>
      <c r="C258" s="8"/>
      <c r="D258" s="8"/>
      <c r="E258" s="8"/>
      <c r="F258" s="8"/>
      <c r="G258" s="8"/>
    </row>
    <row r="259" spans="1:7" x14ac:dyDescent="0.25">
      <c r="A259" s="8"/>
      <c r="B259" s="8"/>
      <c r="C259" s="8"/>
      <c r="D259" s="8"/>
      <c r="E259" s="8"/>
      <c r="F259" s="8"/>
      <c r="G259" s="8"/>
    </row>
    <row r="260" spans="1:7" x14ac:dyDescent="0.25">
      <c r="A260" s="8"/>
      <c r="B260" s="8"/>
      <c r="C260" s="8"/>
      <c r="D260" s="8"/>
      <c r="E260" s="8"/>
      <c r="F260" s="8"/>
      <c r="G260" s="8"/>
    </row>
    <row r="261" spans="1:7" x14ac:dyDescent="0.25">
      <c r="A261" s="8"/>
      <c r="B261" s="8"/>
      <c r="C261" s="8"/>
      <c r="D261" s="8"/>
      <c r="E261" s="8"/>
      <c r="F261" s="8"/>
      <c r="G261" s="8"/>
    </row>
    <row r="262" spans="1:7" x14ac:dyDescent="0.25">
      <c r="A262" s="8"/>
      <c r="B262" s="8"/>
      <c r="C262" s="8"/>
      <c r="D262" s="8"/>
      <c r="E262" s="8"/>
      <c r="F262" s="8"/>
      <c r="G262" s="8"/>
    </row>
    <row r="263" spans="1:7" x14ac:dyDescent="0.25">
      <c r="A263" s="8"/>
      <c r="B263" s="8"/>
      <c r="C263" s="8"/>
      <c r="D263" s="8"/>
      <c r="E263" s="8"/>
      <c r="F263" s="8"/>
      <c r="G263" s="8"/>
    </row>
    <row r="264" spans="1:7" x14ac:dyDescent="0.25">
      <c r="A264" s="8"/>
      <c r="B264" s="8"/>
      <c r="C264" s="8"/>
      <c r="D264" s="8"/>
      <c r="E264" s="8"/>
      <c r="F264" s="8"/>
      <c r="G264" s="8"/>
    </row>
    <row r="265" spans="1:7" x14ac:dyDescent="0.25">
      <c r="A265" s="8"/>
      <c r="B265" s="8"/>
      <c r="C265" s="8"/>
      <c r="D265" s="8"/>
      <c r="E265" s="8"/>
      <c r="F265" s="8"/>
      <c r="G265" s="8"/>
    </row>
    <row r="266" spans="1:7" x14ac:dyDescent="0.25">
      <c r="A266" s="8"/>
      <c r="B266" s="8"/>
      <c r="C266" s="8"/>
      <c r="D266" s="8"/>
      <c r="E266" s="8"/>
      <c r="F266" s="8"/>
      <c r="G266" s="8"/>
    </row>
    <row r="267" spans="1:7" x14ac:dyDescent="0.25">
      <c r="A267" s="8"/>
      <c r="B267" s="8"/>
      <c r="C267" s="8"/>
      <c r="D267" s="8"/>
      <c r="E267" s="8"/>
      <c r="F267" s="8"/>
      <c r="G267" s="8"/>
    </row>
    <row r="268" spans="1:7" x14ac:dyDescent="0.25">
      <c r="A268" s="8"/>
      <c r="B268" s="8"/>
      <c r="C268" s="8"/>
      <c r="D268" s="8"/>
      <c r="E268" s="8"/>
      <c r="F268" s="8"/>
      <c r="G268" s="8"/>
    </row>
    <row r="269" spans="1:7" x14ac:dyDescent="0.25">
      <c r="A269" s="8"/>
      <c r="B269" s="8"/>
      <c r="C269" s="8"/>
      <c r="D269" s="8"/>
      <c r="E269" s="8"/>
      <c r="F269" s="8"/>
      <c r="G269" s="8"/>
    </row>
    <row r="270" spans="1:7" x14ac:dyDescent="0.25">
      <c r="A270" s="8"/>
      <c r="B270" s="8"/>
      <c r="C270" s="8"/>
      <c r="D270" s="8"/>
      <c r="E270" s="8"/>
      <c r="F270" s="8"/>
      <c r="G270" s="8"/>
    </row>
    <row r="271" spans="1:7" x14ac:dyDescent="0.25">
      <c r="A271" s="8"/>
      <c r="B271" s="8"/>
      <c r="C271" s="8"/>
      <c r="D271" s="8"/>
      <c r="E271" s="8"/>
      <c r="F271" s="8"/>
      <c r="G271" s="8"/>
    </row>
    <row r="272" spans="1:7" x14ac:dyDescent="0.25">
      <c r="A272" s="8"/>
      <c r="B272" s="8"/>
      <c r="C272" s="8"/>
      <c r="D272" s="8"/>
      <c r="E272" s="8"/>
      <c r="F272" s="8"/>
      <c r="G272" s="8"/>
    </row>
    <row r="273" spans="1:7" x14ac:dyDescent="0.25">
      <c r="A273" s="8"/>
      <c r="B273" s="8"/>
      <c r="C273" s="8"/>
      <c r="D273" s="8"/>
      <c r="E273" s="8"/>
      <c r="F273" s="8"/>
      <c r="G273" s="8"/>
    </row>
    <row r="274" spans="1:7" x14ac:dyDescent="0.25">
      <c r="A274" s="8"/>
      <c r="B274" s="8"/>
      <c r="C274" s="8"/>
      <c r="D274" s="8"/>
      <c r="E274" s="8"/>
      <c r="F274" s="8"/>
      <c r="G274" s="8"/>
    </row>
    <row r="275" spans="1:7" x14ac:dyDescent="0.25">
      <c r="A275" s="8"/>
      <c r="B275" s="8"/>
      <c r="C275" s="8"/>
      <c r="D275" s="8"/>
      <c r="E275" s="8"/>
      <c r="F275" s="8"/>
      <c r="G275" s="8"/>
    </row>
    <row r="276" spans="1:7" x14ac:dyDescent="0.25">
      <c r="A276" s="8"/>
      <c r="B276" s="8"/>
      <c r="C276" s="8"/>
      <c r="D276" s="8"/>
      <c r="E276" s="8"/>
      <c r="F276" s="8"/>
      <c r="G276" s="8"/>
    </row>
    <row r="277" spans="1:7" x14ac:dyDescent="0.25">
      <c r="A277" s="8"/>
      <c r="B277" s="8"/>
      <c r="C277" s="8"/>
      <c r="D277" s="8"/>
      <c r="E277" s="8"/>
      <c r="F277" s="8"/>
      <c r="G277" s="8"/>
    </row>
    <row r="278" spans="1:7" x14ac:dyDescent="0.25">
      <c r="A278" s="8"/>
      <c r="B278" s="8"/>
      <c r="C278" s="8"/>
      <c r="D278" s="8"/>
      <c r="E278" s="8"/>
      <c r="F278" s="8"/>
      <c r="G278" s="8"/>
    </row>
    <row r="279" spans="1:7" x14ac:dyDescent="0.25">
      <c r="A279" s="8"/>
      <c r="B279" s="8"/>
      <c r="C279" s="8"/>
      <c r="D279" s="8"/>
      <c r="E279" s="8"/>
      <c r="F279" s="8"/>
      <c r="G279" s="8"/>
    </row>
    <row r="280" spans="1:7" x14ac:dyDescent="0.25">
      <c r="A280" s="8"/>
      <c r="B280" s="8"/>
      <c r="C280" s="8"/>
      <c r="D280" s="8"/>
      <c r="E280" s="8"/>
      <c r="F280" s="8"/>
      <c r="G280" s="8"/>
    </row>
    <row r="281" spans="1:7" x14ac:dyDescent="0.25">
      <c r="A281" s="8"/>
      <c r="B281" s="8"/>
      <c r="C281" s="8"/>
      <c r="D281" s="8"/>
      <c r="E281" s="8"/>
      <c r="F281" s="8"/>
      <c r="G281" s="8"/>
    </row>
    <row r="282" spans="1:7" x14ac:dyDescent="0.25">
      <c r="A282" s="8"/>
      <c r="B282" s="8"/>
      <c r="C282" s="8"/>
      <c r="D282" s="8"/>
      <c r="E282" s="8"/>
      <c r="F282" s="8"/>
      <c r="G282" s="8"/>
    </row>
    <row r="283" spans="1:7" x14ac:dyDescent="0.25">
      <c r="A283" s="8"/>
      <c r="B283" s="8"/>
      <c r="C283" s="8"/>
      <c r="D283" s="8"/>
      <c r="E283" s="8"/>
      <c r="F283" s="8"/>
      <c r="G283" s="8"/>
    </row>
    <row r="284" spans="1:7" x14ac:dyDescent="0.25">
      <c r="A284" s="8"/>
      <c r="B284" s="8"/>
      <c r="C284" s="8"/>
      <c r="D284" s="8"/>
      <c r="E284" s="8"/>
      <c r="F284" s="8"/>
      <c r="G284" s="8"/>
    </row>
    <row r="285" spans="1:7" x14ac:dyDescent="0.25">
      <c r="A285" s="8"/>
      <c r="B285" s="8"/>
      <c r="C285" s="8"/>
      <c r="D285" s="8"/>
      <c r="E285" s="8"/>
      <c r="F285" s="8"/>
      <c r="G285" s="8"/>
    </row>
    <row r="286" spans="1:7" x14ac:dyDescent="0.25">
      <c r="A286" s="8"/>
      <c r="B286" s="8"/>
      <c r="C286" s="8"/>
      <c r="D286" s="8"/>
      <c r="E286" s="8"/>
      <c r="F286" s="8"/>
      <c r="G286" s="8"/>
    </row>
    <row r="287" spans="1:7" x14ac:dyDescent="0.25">
      <c r="A287" s="8"/>
      <c r="B287" s="8"/>
      <c r="C287" s="8"/>
      <c r="D287" s="8"/>
      <c r="E287" s="8"/>
      <c r="F287" s="8"/>
      <c r="G287" s="8"/>
    </row>
    <row r="288" spans="1:7" x14ac:dyDescent="0.25">
      <c r="A288" s="8"/>
      <c r="B288" s="8"/>
      <c r="C288" s="8"/>
      <c r="D288" s="8"/>
      <c r="E288" s="8"/>
      <c r="F288" s="8"/>
      <c r="G288" s="8"/>
    </row>
    <row r="289" spans="1:7" x14ac:dyDescent="0.25">
      <c r="A289" s="8"/>
      <c r="B289" s="8"/>
      <c r="C289" s="8"/>
      <c r="D289" s="8"/>
      <c r="E289" s="8"/>
      <c r="F289" s="8"/>
      <c r="G289" s="8"/>
    </row>
    <row r="290" spans="1:7" x14ac:dyDescent="0.25">
      <c r="A290" s="8"/>
      <c r="B290" s="8"/>
      <c r="C290" s="8"/>
      <c r="D290" s="8"/>
      <c r="E290" s="8"/>
      <c r="F290" s="8"/>
      <c r="G290" s="8"/>
    </row>
    <row r="291" spans="1:7" x14ac:dyDescent="0.25">
      <c r="A291" s="8"/>
      <c r="B291" s="8"/>
      <c r="C291" s="8"/>
      <c r="D291" s="8"/>
      <c r="E291" s="8"/>
      <c r="F291" s="8"/>
      <c r="G291" s="8"/>
    </row>
    <row r="292" spans="1:7" x14ac:dyDescent="0.25">
      <c r="A292" s="8"/>
      <c r="B292" s="8"/>
      <c r="C292" s="8"/>
      <c r="D292" s="8"/>
      <c r="E292" s="8"/>
      <c r="F292" s="8"/>
      <c r="G292" s="8"/>
    </row>
    <row r="293" spans="1:7" x14ac:dyDescent="0.25">
      <c r="A293" s="8"/>
      <c r="B293" s="8"/>
      <c r="C293" s="8"/>
      <c r="D293" s="8"/>
      <c r="E293" s="8"/>
      <c r="F293" s="8"/>
      <c r="G293" s="8"/>
    </row>
    <row r="294" spans="1:7" x14ac:dyDescent="0.25">
      <c r="A294" s="8"/>
      <c r="B294" s="8"/>
      <c r="C294" s="8"/>
      <c r="D294" s="8"/>
      <c r="E294" s="8"/>
      <c r="F294" s="8"/>
      <c r="G294" s="8"/>
    </row>
    <row r="295" spans="1:7" x14ac:dyDescent="0.25">
      <c r="A295" s="8"/>
      <c r="B295" s="8"/>
      <c r="C295" s="8"/>
      <c r="D295" s="8"/>
      <c r="E295" s="8"/>
      <c r="F295" s="8"/>
      <c r="G295" s="8"/>
    </row>
    <row r="296" spans="1:7" x14ac:dyDescent="0.25">
      <c r="A296" s="8"/>
      <c r="B296" s="8"/>
      <c r="C296" s="8"/>
      <c r="D296" s="8"/>
      <c r="E296" s="8"/>
      <c r="F296" s="8"/>
      <c r="G296" s="8"/>
    </row>
    <row r="297" spans="1:7" x14ac:dyDescent="0.25">
      <c r="A297" s="8"/>
      <c r="B297" s="8"/>
      <c r="C297" s="8"/>
      <c r="D297" s="8"/>
      <c r="E297" s="8"/>
      <c r="F297" s="8"/>
      <c r="G297" s="8"/>
    </row>
    <row r="298" spans="1:7" x14ac:dyDescent="0.25">
      <c r="A298" s="8"/>
      <c r="B298" s="8"/>
      <c r="C298" s="8"/>
      <c r="D298" s="8"/>
      <c r="E298" s="8"/>
      <c r="F298" s="8"/>
      <c r="G298" s="8"/>
    </row>
    <row r="299" spans="1:7" x14ac:dyDescent="0.25">
      <c r="A299" s="8"/>
      <c r="B299" s="8"/>
      <c r="C299" s="8"/>
      <c r="D299" s="8"/>
      <c r="E299" s="8"/>
      <c r="F299" s="8"/>
      <c r="G299" s="8"/>
    </row>
    <row r="300" spans="1:7" x14ac:dyDescent="0.25">
      <c r="A300" s="8"/>
      <c r="B300" s="8"/>
      <c r="C300" s="8"/>
      <c r="D300" s="8"/>
      <c r="E300" s="8"/>
      <c r="F300" s="8"/>
      <c r="G300" s="8"/>
    </row>
    <row r="301" spans="1:7" x14ac:dyDescent="0.25">
      <c r="A301" s="8"/>
      <c r="B301" s="8"/>
      <c r="C301" s="8"/>
      <c r="D301" s="8"/>
      <c r="E301" s="8"/>
      <c r="F301" s="8"/>
      <c r="G301" s="8"/>
    </row>
    <row r="302" spans="1:7" x14ac:dyDescent="0.25">
      <c r="A302" s="8"/>
      <c r="B302" s="8"/>
      <c r="C302" s="8"/>
      <c r="D302" s="8"/>
      <c r="E302" s="8"/>
      <c r="F302" s="8"/>
      <c r="G302" s="8"/>
    </row>
    <row r="303" spans="1:7" x14ac:dyDescent="0.25">
      <c r="A303" s="8"/>
      <c r="B303" s="8"/>
      <c r="C303" s="8"/>
      <c r="D303" s="8"/>
      <c r="E303" s="8"/>
      <c r="F303" s="8"/>
      <c r="G303" s="8"/>
    </row>
    <row r="304" spans="1:7" x14ac:dyDescent="0.25">
      <c r="A304" s="8"/>
      <c r="B304" s="8"/>
      <c r="C304" s="8"/>
      <c r="D304" s="8"/>
      <c r="E304" s="8"/>
      <c r="F304" s="8"/>
      <c r="G304" s="8"/>
    </row>
    <row r="305" spans="1:7" x14ac:dyDescent="0.25">
      <c r="A305" s="8"/>
      <c r="B305" s="8"/>
      <c r="C305" s="8"/>
      <c r="D305" s="8"/>
      <c r="E305" s="8"/>
      <c r="F305" s="8"/>
      <c r="G305" s="8"/>
    </row>
    <row r="306" spans="1:7" x14ac:dyDescent="0.25">
      <c r="A306" s="8"/>
      <c r="B306" s="8"/>
      <c r="C306" s="8"/>
      <c r="D306" s="8"/>
      <c r="E306" s="8"/>
      <c r="F306" s="8"/>
      <c r="G306" s="8"/>
    </row>
    <row r="307" spans="1:7" x14ac:dyDescent="0.25">
      <c r="A307" s="8"/>
      <c r="B307" s="8"/>
      <c r="C307" s="8"/>
      <c r="D307" s="8"/>
      <c r="E307" s="8"/>
      <c r="F307" s="8"/>
      <c r="G307" s="8"/>
    </row>
    <row r="308" spans="1:7" x14ac:dyDescent="0.25">
      <c r="A308" s="8"/>
      <c r="B308" s="8"/>
      <c r="C308" s="8"/>
      <c r="D308" s="8"/>
      <c r="E308" s="8"/>
      <c r="F308" s="8"/>
      <c r="G308" s="8"/>
    </row>
    <row r="309" spans="1:7" x14ac:dyDescent="0.25">
      <c r="A309" s="8"/>
      <c r="B309" s="8"/>
      <c r="C309" s="8"/>
      <c r="D309" s="8"/>
      <c r="E309" s="8"/>
      <c r="F309" s="8"/>
      <c r="G309" s="8"/>
    </row>
    <row r="310" spans="1:7" x14ac:dyDescent="0.25">
      <c r="A310" s="8"/>
      <c r="B310" s="8"/>
      <c r="C310" s="8"/>
      <c r="D310" s="8"/>
      <c r="E310" s="8"/>
      <c r="F310" s="8"/>
      <c r="G310" s="8"/>
    </row>
    <row r="311" spans="1:7" x14ac:dyDescent="0.25">
      <c r="A311" s="8"/>
      <c r="B311" s="8"/>
      <c r="C311" s="8"/>
      <c r="D311" s="8"/>
      <c r="E311" s="8"/>
      <c r="F311" s="8"/>
      <c r="G311" s="8"/>
    </row>
    <row r="312" spans="1:7" x14ac:dyDescent="0.25">
      <c r="A312" s="8"/>
      <c r="B312" s="8"/>
      <c r="C312" s="8"/>
      <c r="D312" s="8"/>
      <c r="E312" s="8"/>
      <c r="F312" s="8"/>
      <c r="G312" s="8"/>
    </row>
    <row r="313" spans="1:7" x14ac:dyDescent="0.25">
      <c r="A313" s="8"/>
      <c r="B313" s="8"/>
      <c r="C313" s="8"/>
      <c r="D313" s="8"/>
      <c r="E313" s="8"/>
      <c r="F313" s="8"/>
      <c r="G313" s="8"/>
    </row>
    <row r="314" spans="1:7" x14ac:dyDescent="0.25">
      <c r="A314" s="8"/>
      <c r="B314" s="8"/>
      <c r="C314" s="8"/>
      <c r="D314" s="8"/>
      <c r="E314" s="8"/>
      <c r="F314" s="8"/>
      <c r="G314" s="8"/>
    </row>
    <row r="315" spans="1:7" x14ac:dyDescent="0.25">
      <c r="A315" s="8"/>
      <c r="B315" s="8"/>
      <c r="C315" s="8"/>
      <c r="D315" s="8"/>
      <c r="E315" s="8"/>
      <c r="F315" s="8"/>
      <c r="G315" s="8"/>
    </row>
    <row r="316" spans="1:7" x14ac:dyDescent="0.25">
      <c r="A316" s="8"/>
      <c r="B316" s="8"/>
      <c r="C316" s="8"/>
      <c r="D316" s="8"/>
      <c r="E316" s="8"/>
      <c r="F316" s="8"/>
      <c r="G316" s="8"/>
    </row>
    <row r="317" spans="1:7" x14ac:dyDescent="0.25">
      <c r="A317" s="8"/>
      <c r="B317" s="8"/>
      <c r="C317" s="8"/>
      <c r="D317" s="8"/>
      <c r="E317" s="8"/>
      <c r="F317" s="8"/>
      <c r="G317" s="8"/>
    </row>
    <row r="318" spans="1:7" x14ac:dyDescent="0.25">
      <c r="A318" s="8"/>
      <c r="B318" s="8"/>
      <c r="C318" s="8"/>
      <c r="D318" s="8"/>
      <c r="E318" s="8"/>
      <c r="F318" s="8"/>
      <c r="G318" s="8"/>
    </row>
    <row r="319" spans="1:7" x14ac:dyDescent="0.25">
      <c r="A319" s="8"/>
      <c r="B319" s="8"/>
      <c r="C319" s="8"/>
      <c r="D319" s="8"/>
      <c r="E319" s="8"/>
      <c r="F319" s="8"/>
      <c r="G319" s="8"/>
    </row>
    <row r="320" spans="1:7" x14ac:dyDescent="0.25">
      <c r="A320" s="8"/>
      <c r="B320" s="8"/>
      <c r="C320" s="8"/>
      <c r="D320" s="8"/>
      <c r="E320" s="8"/>
      <c r="F320" s="8"/>
      <c r="G320" s="8"/>
    </row>
    <row r="321" spans="1:7" x14ac:dyDescent="0.25">
      <c r="A321" s="8"/>
      <c r="B321" s="8"/>
      <c r="C321" s="8"/>
      <c r="D321" s="8"/>
      <c r="E321" s="8"/>
      <c r="F321" s="8"/>
      <c r="G321" s="8"/>
    </row>
    <row r="322" spans="1:7" x14ac:dyDescent="0.25">
      <c r="A322" s="8"/>
      <c r="B322" s="8"/>
      <c r="C322" s="8"/>
      <c r="D322" s="8"/>
      <c r="E322" s="8"/>
      <c r="F322" s="8"/>
      <c r="G322" s="8"/>
    </row>
    <row r="323" spans="1:7" x14ac:dyDescent="0.25">
      <c r="A323" s="8"/>
      <c r="B323" s="8"/>
      <c r="C323" s="8"/>
      <c r="D323" s="8"/>
      <c r="E323" s="8"/>
      <c r="F323" s="8"/>
      <c r="G323" s="8"/>
    </row>
    <row r="324" spans="1:7" x14ac:dyDescent="0.25">
      <c r="A324" s="8"/>
      <c r="B324" s="8"/>
      <c r="C324" s="8"/>
      <c r="D324" s="8"/>
      <c r="E324" s="8"/>
      <c r="F324" s="8"/>
      <c r="G324" s="8"/>
    </row>
    <row r="325" spans="1:7" x14ac:dyDescent="0.25">
      <c r="A325" s="8"/>
      <c r="B325" s="8"/>
      <c r="C325" s="8"/>
      <c r="D325" s="8"/>
      <c r="E325" s="8"/>
      <c r="F325" s="8"/>
      <c r="G325" s="8"/>
    </row>
    <row r="326" spans="1:7" x14ac:dyDescent="0.25">
      <c r="A326" s="8"/>
      <c r="B326" s="8"/>
      <c r="C326" s="8"/>
      <c r="D326" s="8"/>
      <c r="E326" s="8"/>
      <c r="F326" s="8"/>
      <c r="G326" s="8"/>
    </row>
    <row r="327" spans="1:7" x14ac:dyDescent="0.25">
      <c r="A327" s="8"/>
      <c r="B327" s="8"/>
      <c r="C327" s="8"/>
      <c r="D327" s="8"/>
      <c r="E327" s="8"/>
      <c r="F327" s="8"/>
      <c r="G327" s="8"/>
    </row>
    <row r="328" spans="1:7" x14ac:dyDescent="0.25">
      <c r="A328" s="8"/>
      <c r="B328" s="8"/>
      <c r="C328" s="8"/>
      <c r="D328" s="8"/>
      <c r="E328" s="8"/>
      <c r="F328" s="8"/>
      <c r="G328" s="8"/>
    </row>
    <row r="329" spans="1:7" x14ac:dyDescent="0.25">
      <c r="A329" s="8"/>
      <c r="B329" s="8"/>
      <c r="C329" s="8"/>
      <c r="D329" s="8"/>
      <c r="E329" s="8"/>
      <c r="F329" s="8"/>
      <c r="G329" s="8"/>
    </row>
    <row r="330" spans="1:7" x14ac:dyDescent="0.25">
      <c r="A330" s="8"/>
      <c r="B330" s="8"/>
      <c r="C330" s="8"/>
      <c r="D330" s="8"/>
      <c r="E330" s="8"/>
      <c r="F330" s="8"/>
      <c r="G330" s="8"/>
    </row>
    <row r="331" spans="1:7" x14ac:dyDescent="0.25">
      <c r="A331" s="8"/>
      <c r="B331" s="8"/>
      <c r="C331" s="8"/>
      <c r="D331" s="8"/>
      <c r="E331" s="8"/>
      <c r="F331" s="8"/>
      <c r="G331" s="8"/>
    </row>
    <row r="332" spans="1:7" x14ac:dyDescent="0.25">
      <c r="A332" s="8"/>
      <c r="B332" s="8"/>
      <c r="C332" s="8"/>
      <c r="D332" s="8"/>
      <c r="E332" s="8"/>
      <c r="F332" s="8"/>
      <c r="G332" s="8"/>
    </row>
    <row r="333" spans="1:7" x14ac:dyDescent="0.25">
      <c r="A333" s="8"/>
      <c r="B333" s="8"/>
      <c r="C333" s="8"/>
      <c r="D333" s="8"/>
      <c r="E333" s="8"/>
      <c r="F333" s="8"/>
      <c r="G333" s="8"/>
    </row>
    <row r="334" spans="1:7" x14ac:dyDescent="0.25">
      <c r="A334" s="8"/>
      <c r="B334" s="8"/>
      <c r="C334" s="8"/>
      <c r="D334" s="8"/>
      <c r="E334" s="8"/>
      <c r="F334" s="8"/>
      <c r="G334" s="8"/>
    </row>
    <row r="335" spans="1:7" x14ac:dyDescent="0.25">
      <c r="A335" s="8"/>
      <c r="B335" s="8"/>
      <c r="C335" s="8"/>
      <c r="D335" s="8"/>
      <c r="E335" s="8"/>
      <c r="F335" s="8"/>
      <c r="G335" s="8"/>
    </row>
    <row r="336" spans="1:7" x14ac:dyDescent="0.25">
      <c r="A336" s="8"/>
      <c r="B336" s="8"/>
      <c r="C336" s="8"/>
      <c r="D336" s="8"/>
      <c r="E336" s="8"/>
      <c r="F336" s="8"/>
      <c r="G336" s="8"/>
    </row>
    <row r="337" spans="1:7" x14ac:dyDescent="0.25">
      <c r="A337" s="8"/>
      <c r="B337" s="8"/>
      <c r="C337" s="8"/>
      <c r="D337" s="8"/>
      <c r="E337" s="8"/>
      <c r="F337" s="8"/>
      <c r="G337" s="8"/>
    </row>
    <row r="338" spans="1:7" x14ac:dyDescent="0.25">
      <c r="A338" s="8"/>
      <c r="B338" s="8"/>
      <c r="C338" s="8"/>
      <c r="D338" s="8"/>
      <c r="E338" s="8"/>
      <c r="F338" s="8"/>
      <c r="G338" s="8"/>
    </row>
    <row r="339" spans="1:7" x14ac:dyDescent="0.25">
      <c r="A339" s="8"/>
      <c r="B339" s="8"/>
      <c r="C339" s="8"/>
      <c r="D339" s="8"/>
      <c r="E339" s="8"/>
      <c r="F339" s="8"/>
      <c r="G339" s="8"/>
    </row>
    <row r="340" spans="1:7" x14ac:dyDescent="0.25">
      <c r="A340" s="8"/>
      <c r="B340" s="8"/>
      <c r="C340" s="8"/>
      <c r="D340" s="8"/>
      <c r="E340" s="8"/>
      <c r="F340" s="8"/>
      <c r="G340" s="8"/>
    </row>
    <row r="341" spans="1:7" x14ac:dyDescent="0.25">
      <c r="A341" s="8"/>
      <c r="B341" s="8"/>
      <c r="C341" s="8"/>
      <c r="D341" s="8"/>
      <c r="E341" s="8"/>
      <c r="F341" s="8"/>
      <c r="G341" s="8"/>
    </row>
    <row r="342" spans="1:7" x14ac:dyDescent="0.25">
      <c r="A342" s="8"/>
      <c r="B342" s="8"/>
      <c r="C342" s="8"/>
      <c r="D342" s="8"/>
      <c r="E342" s="8"/>
      <c r="F342" s="8"/>
      <c r="G342" s="8"/>
    </row>
    <row r="343" spans="1:7" x14ac:dyDescent="0.25">
      <c r="A343" s="8"/>
      <c r="B343" s="8"/>
      <c r="C343" s="8"/>
      <c r="D343" s="8"/>
      <c r="E343" s="8"/>
      <c r="F343" s="8"/>
      <c r="G343" s="8"/>
    </row>
    <row r="344" spans="1:7" x14ac:dyDescent="0.25">
      <c r="A344" s="8"/>
      <c r="B344" s="8"/>
      <c r="C344" s="8"/>
      <c r="D344" s="8"/>
      <c r="E344" s="8"/>
      <c r="F344" s="8"/>
      <c r="G344" s="8"/>
    </row>
    <row r="345" spans="1:7" x14ac:dyDescent="0.25">
      <c r="A345" s="8"/>
      <c r="B345" s="8"/>
      <c r="C345" s="8"/>
      <c r="D345" s="8"/>
      <c r="E345" s="8"/>
      <c r="F345" s="8"/>
      <c r="G345" s="8"/>
    </row>
    <row r="346" spans="1:7" x14ac:dyDescent="0.25">
      <c r="A346" s="8"/>
      <c r="B346" s="8"/>
      <c r="C346" s="8"/>
      <c r="D346" s="8"/>
      <c r="E346" s="8"/>
      <c r="F346" s="8"/>
      <c r="G346" s="8"/>
    </row>
    <row r="347" spans="1:7" x14ac:dyDescent="0.25">
      <c r="A347" s="8"/>
      <c r="B347" s="8"/>
      <c r="C347" s="8"/>
      <c r="D347" s="8"/>
      <c r="E347" s="8"/>
      <c r="F347" s="8"/>
      <c r="G347" s="8"/>
    </row>
    <row r="348" spans="1:7" x14ac:dyDescent="0.25">
      <c r="A348" s="8"/>
      <c r="B348" s="8"/>
      <c r="C348" s="8"/>
      <c r="D348" s="8"/>
      <c r="E348" s="8"/>
      <c r="F348" s="8"/>
      <c r="G348" s="8"/>
    </row>
    <row r="349" spans="1:7" x14ac:dyDescent="0.25">
      <c r="A349" s="8"/>
      <c r="B349" s="8"/>
      <c r="C349" s="8"/>
      <c r="D349" s="8"/>
      <c r="E349" s="8"/>
      <c r="F349" s="8"/>
      <c r="G349" s="8"/>
    </row>
    <row r="350" spans="1:7" x14ac:dyDescent="0.25">
      <c r="A350" s="8"/>
      <c r="B350" s="8"/>
      <c r="C350" s="8"/>
      <c r="D350" s="8"/>
      <c r="E350" s="8"/>
      <c r="F350" s="8"/>
      <c r="G350" s="8"/>
    </row>
    <row r="351" spans="1:7" x14ac:dyDescent="0.25">
      <c r="A351" s="8"/>
      <c r="B351" s="8"/>
      <c r="C351" s="8"/>
      <c r="D351" s="8"/>
      <c r="E351" s="8"/>
      <c r="F351" s="8"/>
      <c r="G351" s="8"/>
    </row>
    <row r="352" spans="1:7" x14ac:dyDescent="0.25">
      <c r="A352" s="8"/>
      <c r="B352" s="8"/>
      <c r="C352" s="8"/>
      <c r="D352" s="8"/>
      <c r="E352" s="8"/>
      <c r="F352" s="8"/>
      <c r="G352" s="8"/>
    </row>
    <row r="353" spans="1:7" x14ac:dyDescent="0.25">
      <c r="A353" s="8"/>
      <c r="B353" s="8"/>
      <c r="C353" s="8"/>
      <c r="D353" s="8"/>
      <c r="E353" s="8"/>
      <c r="F353" s="8"/>
      <c r="G353" s="8"/>
    </row>
    <row r="354" spans="1:7" x14ac:dyDescent="0.25">
      <c r="A354" s="8"/>
      <c r="B354" s="8"/>
      <c r="C354" s="8"/>
      <c r="D354" s="8"/>
      <c r="E354" s="8"/>
      <c r="F354" s="8"/>
      <c r="G354" s="8"/>
    </row>
    <row r="355" spans="1:7" x14ac:dyDescent="0.25">
      <c r="A355" s="8"/>
      <c r="B355" s="8"/>
      <c r="C355" s="8"/>
      <c r="D355" s="8"/>
      <c r="E355" s="8"/>
      <c r="F355" s="8"/>
      <c r="G355" s="8"/>
    </row>
    <row r="356" spans="1:7" x14ac:dyDescent="0.25">
      <c r="A356" s="8"/>
      <c r="B356" s="8"/>
      <c r="C356" s="8"/>
      <c r="D356" s="8"/>
      <c r="E356" s="8"/>
      <c r="F356" s="8"/>
      <c r="G356" s="8"/>
    </row>
    <row r="357" spans="1:7" x14ac:dyDescent="0.25">
      <c r="A357" s="8"/>
      <c r="B357" s="8"/>
      <c r="C357" s="8"/>
      <c r="D357" s="8"/>
      <c r="E357" s="8"/>
      <c r="F357" s="8"/>
      <c r="G357" s="8"/>
    </row>
    <row r="358" spans="1:7" x14ac:dyDescent="0.25">
      <c r="A358" s="8"/>
      <c r="B358" s="8"/>
      <c r="C358" s="8"/>
      <c r="D358" s="8"/>
      <c r="E358" s="8"/>
      <c r="F358" s="8"/>
      <c r="G358" s="8"/>
    </row>
    <row r="359" spans="1:7" x14ac:dyDescent="0.25">
      <c r="A359" s="8"/>
      <c r="B359" s="8"/>
      <c r="C359" s="8"/>
      <c r="D359" s="8"/>
      <c r="E359" s="8"/>
      <c r="F359" s="8"/>
      <c r="G359" s="8"/>
    </row>
    <row r="360" spans="1:7" x14ac:dyDescent="0.25">
      <c r="A360" s="8"/>
      <c r="B360" s="8"/>
      <c r="C360" s="8"/>
      <c r="D360" s="8"/>
      <c r="E360" s="8"/>
      <c r="F360" s="8"/>
      <c r="G360" s="8"/>
    </row>
    <row r="361" spans="1:7" x14ac:dyDescent="0.25">
      <c r="A361" s="8"/>
      <c r="B361" s="8"/>
      <c r="C361" s="8"/>
      <c r="D361" s="8"/>
      <c r="E361" s="8"/>
      <c r="F361" s="8"/>
      <c r="G361" s="8"/>
    </row>
    <row r="362" spans="1:7" x14ac:dyDescent="0.25">
      <c r="A362" s="8"/>
      <c r="B362" s="8"/>
      <c r="C362" s="8"/>
      <c r="D362" s="8"/>
      <c r="E362" s="8"/>
      <c r="F362" s="8"/>
      <c r="G362" s="8"/>
    </row>
    <row r="363" spans="1:7" x14ac:dyDescent="0.25">
      <c r="A363" s="8"/>
      <c r="B363" s="8"/>
      <c r="C363" s="8"/>
      <c r="D363" s="8"/>
      <c r="E363" s="8"/>
      <c r="F363" s="8"/>
      <c r="G363" s="8"/>
    </row>
    <row r="364" spans="1:7" x14ac:dyDescent="0.25">
      <c r="A364" s="8"/>
      <c r="B364" s="8"/>
      <c r="C364" s="8"/>
      <c r="D364" s="8"/>
      <c r="E364" s="8"/>
      <c r="F364" s="8"/>
      <c r="G364" s="8"/>
    </row>
    <row r="365" spans="1:7" x14ac:dyDescent="0.25">
      <c r="A365" s="8"/>
      <c r="B365" s="8"/>
      <c r="C365" s="8"/>
      <c r="D365" s="8"/>
      <c r="E365" s="8"/>
      <c r="F365" s="8"/>
      <c r="G365" s="8"/>
    </row>
    <row r="366" spans="1:7" x14ac:dyDescent="0.25">
      <c r="A366" s="8"/>
      <c r="B366" s="8"/>
      <c r="C366" s="8"/>
      <c r="D366" s="8"/>
      <c r="E366" s="8"/>
      <c r="F366" s="8"/>
      <c r="G366" s="8"/>
    </row>
    <row r="367" spans="1:7" x14ac:dyDescent="0.25">
      <c r="A367" s="8"/>
      <c r="B367" s="8"/>
      <c r="C367" s="8"/>
      <c r="D367" s="8"/>
      <c r="E367" s="8"/>
      <c r="F367" s="8"/>
      <c r="G367" s="8"/>
    </row>
    <row r="368" spans="1:7" x14ac:dyDescent="0.25">
      <c r="A368" s="8"/>
      <c r="B368" s="8"/>
      <c r="C368" s="8"/>
      <c r="D368" s="8"/>
      <c r="E368" s="8"/>
      <c r="F368" s="8"/>
      <c r="G368" s="8"/>
    </row>
    <row r="369" spans="1:7" x14ac:dyDescent="0.25">
      <c r="A369" s="8"/>
      <c r="B369" s="8"/>
      <c r="C369" s="8"/>
      <c r="D369" s="8"/>
      <c r="E369" s="8"/>
      <c r="F369" s="8"/>
      <c r="G369" s="8"/>
    </row>
    <row r="370" spans="1:7" x14ac:dyDescent="0.25">
      <c r="A370" s="8"/>
      <c r="B370" s="8"/>
      <c r="C370" s="8"/>
      <c r="D370" s="8"/>
      <c r="E370" s="8"/>
      <c r="F370" s="8"/>
      <c r="G370" s="8"/>
    </row>
    <row r="371" spans="1:7" x14ac:dyDescent="0.25">
      <c r="A371" s="8"/>
      <c r="B371" s="8"/>
      <c r="C371" s="8"/>
      <c r="D371" s="8"/>
      <c r="E371" s="8"/>
      <c r="F371" s="8"/>
      <c r="G371" s="8"/>
    </row>
    <row r="372" spans="1:7" x14ac:dyDescent="0.25">
      <c r="A372" s="8"/>
      <c r="B372" s="8"/>
      <c r="C372" s="8"/>
      <c r="D372" s="8"/>
      <c r="E372" s="8"/>
      <c r="F372" s="8"/>
      <c r="G372" s="8"/>
    </row>
    <row r="373" spans="1:7" x14ac:dyDescent="0.25">
      <c r="A373" s="8"/>
      <c r="B373" s="8"/>
      <c r="C373" s="8"/>
      <c r="D373" s="8"/>
      <c r="E373" s="8"/>
      <c r="F373" s="8"/>
      <c r="G373" s="8"/>
    </row>
    <row r="374" spans="1:7" x14ac:dyDescent="0.25">
      <c r="A374" s="8"/>
      <c r="B374" s="8"/>
      <c r="C374" s="8"/>
      <c r="D374" s="8"/>
      <c r="E374" s="8"/>
      <c r="F374" s="8"/>
      <c r="G374" s="8"/>
    </row>
    <row r="375" spans="1:7" x14ac:dyDescent="0.25">
      <c r="A375" s="8"/>
      <c r="B375" s="8"/>
      <c r="C375" s="8"/>
      <c r="D375" s="8"/>
      <c r="E375" s="8"/>
      <c r="F375" s="8"/>
      <c r="G375" s="8"/>
    </row>
    <row r="376" spans="1:7" x14ac:dyDescent="0.25">
      <c r="A376" s="8"/>
      <c r="B376" s="8"/>
      <c r="C376" s="8"/>
      <c r="D376" s="8"/>
      <c r="E376" s="8"/>
      <c r="F376" s="8"/>
      <c r="G376" s="8"/>
    </row>
    <row r="377" spans="1:7" x14ac:dyDescent="0.25">
      <c r="A377" s="8"/>
      <c r="B377" s="8"/>
      <c r="C377" s="8"/>
      <c r="D377" s="8"/>
      <c r="E377" s="8"/>
      <c r="F377" s="8"/>
      <c r="G377" s="8"/>
    </row>
    <row r="378" spans="1:7" x14ac:dyDescent="0.25">
      <c r="A378" s="8"/>
      <c r="B378" s="8"/>
      <c r="C378" s="8"/>
      <c r="D378" s="8"/>
      <c r="E378" s="8"/>
      <c r="F378" s="8"/>
      <c r="G378" s="8"/>
    </row>
    <row r="379" spans="1:7" x14ac:dyDescent="0.25">
      <c r="A379" s="8"/>
      <c r="B379" s="8"/>
      <c r="C379" s="8"/>
      <c r="D379" s="8"/>
      <c r="E379" s="8"/>
      <c r="F379" s="8"/>
      <c r="G379" s="8"/>
    </row>
    <row r="380" spans="1:7" x14ac:dyDescent="0.25">
      <c r="A380" s="8"/>
      <c r="B380" s="8"/>
      <c r="C380" s="8"/>
      <c r="D380" s="8"/>
      <c r="E380" s="8"/>
      <c r="F380" s="8"/>
      <c r="G380" s="8"/>
    </row>
    <row r="381" spans="1:7" x14ac:dyDescent="0.25">
      <c r="A381" s="8"/>
      <c r="B381" s="8"/>
      <c r="C381" s="8"/>
      <c r="D381" s="8"/>
      <c r="E381" s="8"/>
      <c r="F381" s="8"/>
      <c r="G381" s="8"/>
    </row>
    <row r="382" spans="1:7" x14ac:dyDescent="0.25">
      <c r="A382" s="8"/>
      <c r="B382" s="8"/>
      <c r="C382" s="8"/>
      <c r="D382" s="8"/>
      <c r="E382" s="8"/>
      <c r="F382" s="8"/>
      <c r="G382" s="8"/>
    </row>
    <row r="383" spans="1:7" x14ac:dyDescent="0.25">
      <c r="A383" s="8"/>
      <c r="B383" s="8"/>
      <c r="C383" s="8"/>
      <c r="D383" s="8"/>
      <c r="E383" s="8"/>
      <c r="F383" s="8"/>
      <c r="G383" s="8"/>
    </row>
    <row r="384" spans="1:7" x14ac:dyDescent="0.25">
      <c r="A384" s="8"/>
      <c r="B384" s="8"/>
      <c r="C384" s="8"/>
      <c r="D384" s="8"/>
      <c r="E384" s="8"/>
      <c r="F384" s="8"/>
      <c r="G384" s="8"/>
    </row>
    <row r="385" spans="1:7" x14ac:dyDescent="0.25">
      <c r="A385" s="8"/>
      <c r="B385" s="8"/>
      <c r="C385" s="8"/>
      <c r="D385" s="8"/>
      <c r="E385" s="8"/>
      <c r="F385" s="8"/>
      <c r="G385" s="8"/>
    </row>
    <row r="386" spans="1:7" x14ac:dyDescent="0.25">
      <c r="A386" s="8"/>
      <c r="B386" s="8"/>
      <c r="C386" s="8"/>
      <c r="D386" s="8"/>
      <c r="E386" s="8"/>
      <c r="F386" s="8"/>
      <c r="G386" s="8"/>
    </row>
    <row r="387" spans="1:7" x14ac:dyDescent="0.25">
      <c r="A387" s="8"/>
      <c r="B387" s="8"/>
      <c r="C387" s="8"/>
      <c r="D387" s="8"/>
      <c r="E387" s="8"/>
      <c r="F387" s="8"/>
      <c r="G387" s="8"/>
    </row>
    <row r="388" spans="1:7" x14ac:dyDescent="0.25">
      <c r="A388" s="8"/>
      <c r="B388" s="8"/>
      <c r="C388" s="8"/>
      <c r="D388" s="8"/>
      <c r="E388" s="8"/>
      <c r="F388" s="8"/>
      <c r="G388" s="8"/>
    </row>
    <row r="389" spans="1:7" x14ac:dyDescent="0.25">
      <c r="A389" s="8"/>
      <c r="B389" s="8"/>
      <c r="C389" s="8"/>
      <c r="D389" s="8"/>
      <c r="E389" s="8"/>
      <c r="F389" s="8"/>
      <c r="G389" s="8"/>
    </row>
    <row r="390" spans="1:7" x14ac:dyDescent="0.25">
      <c r="A390" s="8"/>
      <c r="B390" s="8"/>
      <c r="C390" s="8"/>
      <c r="D390" s="8"/>
      <c r="E390" s="8"/>
      <c r="F390" s="8"/>
      <c r="G390" s="8"/>
    </row>
    <row r="391" spans="1:7" x14ac:dyDescent="0.25">
      <c r="A391" s="8"/>
      <c r="B391" s="8"/>
      <c r="C391" s="8"/>
      <c r="D391" s="8"/>
      <c r="E391" s="8"/>
      <c r="F391" s="8"/>
      <c r="G391" s="8"/>
    </row>
    <row r="392" spans="1:7" x14ac:dyDescent="0.25">
      <c r="A392" s="8"/>
      <c r="B392" s="8"/>
      <c r="C392" s="8"/>
      <c r="D392" s="8"/>
      <c r="E392" s="8"/>
      <c r="F392" s="8"/>
      <c r="G392" s="8"/>
    </row>
    <row r="393" spans="1:7" x14ac:dyDescent="0.25">
      <c r="A393" s="8"/>
      <c r="B393" s="8"/>
      <c r="C393" s="8"/>
      <c r="D393" s="8"/>
      <c r="E393" s="8"/>
      <c r="F393" s="8"/>
      <c r="G393" s="8"/>
    </row>
    <row r="394" spans="1:7" x14ac:dyDescent="0.25">
      <c r="A394" s="8"/>
      <c r="B394" s="8"/>
      <c r="C394" s="8"/>
      <c r="D394" s="8"/>
      <c r="E394" s="8"/>
      <c r="F394" s="8"/>
      <c r="G394" s="8"/>
    </row>
    <row r="395" spans="1:7" x14ac:dyDescent="0.25">
      <c r="A395" s="8"/>
      <c r="B395" s="8"/>
      <c r="C395" s="8"/>
      <c r="D395" s="8"/>
      <c r="E395" s="8"/>
      <c r="F395" s="8"/>
      <c r="G395" s="8"/>
    </row>
    <row r="396" spans="1:7" x14ac:dyDescent="0.25">
      <c r="A396" s="8"/>
      <c r="B396" s="8"/>
      <c r="C396" s="8"/>
      <c r="D396" s="8"/>
      <c r="E396" s="8"/>
      <c r="F396" s="8"/>
      <c r="G396" s="8"/>
    </row>
    <row r="397" spans="1:7" x14ac:dyDescent="0.25">
      <c r="A397" s="8"/>
      <c r="B397" s="8"/>
      <c r="C397" s="8"/>
      <c r="D397" s="8"/>
      <c r="E397" s="8"/>
      <c r="F397" s="8"/>
      <c r="G397" s="8"/>
    </row>
    <row r="398" spans="1:7" x14ac:dyDescent="0.25">
      <c r="A398" s="8"/>
      <c r="B398" s="8"/>
      <c r="C398" s="8"/>
      <c r="D398" s="8"/>
      <c r="E398" s="8"/>
      <c r="F398" s="8"/>
      <c r="G398" s="8"/>
    </row>
    <row r="399" spans="1:7" x14ac:dyDescent="0.25">
      <c r="A399" s="8"/>
      <c r="B399" s="8"/>
      <c r="C399" s="8"/>
      <c r="D399" s="8"/>
      <c r="E399" s="8"/>
      <c r="F399" s="8"/>
      <c r="G399" s="8"/>
    </row>
    <row r="400" spans="1:7" x14ac:dyDescent="0.25">
      <c r="A400" s="8"/>
      <c r="B400" s="8"/>
      <c r="C400" s="8"/>
      <c r="D400" s="8"/>
      <c r="E400" s="8"/>
      <c r="F400" s="8"/>
      <c r="G400" s="8"/>
    </row>
    <row r="401" spans="1:7" x14ac:dyDescent="0.25">
      <c r="A401" s="8"/>
      <c r="B401" s="8"/>
      <c r="C401" s="8"/>
      <c r="D401" s="8"/>
      <c r="E401" s="8"/>
      <c r="F401" s="8"/>
      <c r="G401" s="8"/>
    </row>
    <row r="402" spans="1:7" x14ac:dyDescent="0.25">
      <c r="A402" s="8"/>
      <c r="B402" s="8"/>
      <c r="C402" s="8"/>
      <c r="D402" s="8"/>
      <c r="E402" s="8"/>
      <c r="F402" s="8"/>
      <c r="G402" s="8"/>
    </row>
    <row r="403" spans="1:7" x14ac:dyDescent="0.25">
      <c r="A403" s="8"/>
      <c r="B403" s="8"/>
      <c r="C403" s="8"/>
      <c r="D403" s="8"/>
      <c r="E403" s="8"/>
      <c r="F403" s="8"/>
      <c r="G403" s="8"/>
    </row>
    <row r="404" spans="1:7" x14ac:dyDescent="0.25">
      <c r="A404" s="8"/>
      <c r="B404" s="8"/>
      <c r="C404" s="8"/>
      <c r="D404" s="8"/>
      <c r="E404" s="8"/>
      <c r="F404" s="8"/>
      <c r="G404" s="8"/>
    </row>
    <row r="405" spans="1:7" x14ac:dyDescent="0.25">
      <c r="A405" s="8"/>
      <c r="B405" s="8"/>
      <c r="C405" s="8"/>
      <c r="D405" s="8"/>
      <c r="E405" s="8"/>
      <c r="F405" s="8"/>
      <c r="G405" s="8"/>
    </row>
    <row r="406" spans="1:7" x14ac:dyDescent="0.25">
      <c r="A406" s="8"/>
      <c r="B406" s="8"/>
      <c r="C406" s="8"/>
      <c r="D406" s="8"/>
      <c r="E406" s="8"/>
      <c r="F406" s="8"/>
      <c r="G406" s="8"/>
    </row>
    <row r="407" spans="1:7" x14ac:dyDescent="0.25">
      <c r="A407" s="8"/>
      <c r="B407" s="8"/>
      <c r="C407" s="8"/>
      <c r="D407" s="8"/>
      <c r="E407" s="8"/>
      <c r="F407" s="8"/>
      <c r="G407" s="8"/>
    </row>
    <row r="408" spans="1:7" x14ac:dyDescent="0.25">
      <c r="A408" s="8"/>
      <c r="B408" s="8"/>
      <c r="C408" s="8"/>
      <c r="D408" s="8"/>
      <c r="E408" s="8"/>
      <c r="F408" s="8"/>
      <c r="G408" s="8"/>
    </row>
    <row r="409" spans="1:7" x14ac:dyDescent="0.25">
      <c r="A409" s="8"/>
      <c r="B409" s="8"/>
      <c r="C409" s="8"/>
      <c r="D409" s="8"/>
      <c r="E409" s="8"/>
      <c r="F409" s="8"/>
      <c r="G409" s="8"/>
    </row>
    <row r="410" spans="1:7" x14ac:dyDescent="0.25">
      <c r="A410" s="8"/>
      <c r="B410" s="8"/>
      <c r="C410" s="8"/>
      <c r="D410" s="8"/>
      <c r="E410" s="8"/>
      <c r="F410" s="8"/>
      <c r="G410" s="8"/>
    </row>
    <row r="411" spans="1:7" x14ac:dyDescent="0.25">
      <c r="A411" s="8"/>
      <c r="B411" s="8"/>
      <c r="C411" s="8"/>
      <c r="D411" s="8"/>
      <c r="E411" s="8"/>
      <c r="F411" s="8"/>
      <c r="G411" s="8"/>
    </row>
    <row r="412" spans="1:7" x14ac:dyDescent="0.25">
      <c r="A412" s="8"/>
      <c r="B412" s="8"/>
      <c r="C412" s="8"/>
      <c r="D412" s="8"/>
      <c r="E412" s="8"/>
      <c r="F412" s="8"/>
      <c r="G412" s="8"/>
    </row>
    <row r="413" spans="1:7" x14ac:dyDescent="0.25">
      <c r="A413" s="8"/>
      <c r="B413" s="8"/>
      <c r="C413" s="8"/>
      <c r="D413" s="8"/>
      <c r="E413" s="8"/>
      <c r="F413" s="8"/>
      <c r="G413" s="8"/>
    </row>
    <row r="414" spans="1:7" x14ac:dyDescent="0.25">
      <c r="A414" s="8"/>
      <c r="B414" s="8"/>
      <c r="C414" s="8"/>
      <c r="D414" s="8"/>
      <c r="E414" s="8"/>
      <c r="F414" s="8"/>
      <c r="G414" s="8"/>
    </row>
    <row r="415" spans="1:7" x14ac:dyDescent="0.25">
      <c r="A415" s="8"/>
      <c r="B415" s="8"/>
      <c r="C415" s="8"/>
      <c r="D415" s="8"/>
      <c r="E415" s="8"/>
      <c r="F415" s="8"/>
      <c r="G415" s="8"/>
    </row>
    <row r="416" spans="1:7" x14ac:dyDescent="0.25">
      <c r="A416" s="8"/>
      <c r="B416" s="8"/>
      <c r="C416" s="8"/>
      <c r="D416" s="8"/>
      <c r="E416" s="8"/>
      <c r="F416" s="8"/>
      <c r="G416" s="8"/>
    </row>
    <row r="417" spans="1:7" x14ac:dyDescent="0.25">
      <c r="A417" s="8"/>
      <c r="B417" s="8"/>
      <c r="C417" s="8"/>
      <c r="D417" s="8"/>
      <c r="E417" s="8"/>
      <c r="F417" s="8"/>
      <c r="G417" s="8"/>
    </row>
    <row r="418" spans="1:7" x14ac:dyDescent="0.25">
      <c r="A418" s="8"/>
      <c r="B418" s="8"/>
      <c r="C418" s="8"/>
      <c r="D418" s="8"/>
      <c r="E418" s="8"/>
      <c r="F418" s="8"/>
      <c r="G418" s="8"/>
    </row>
    <row r="419" spans="1:7" x14ac:dyDescent="0.25">
      <c r="A419" s="8"/>
      <c r="B419" s="8"/>
      <c r="C419" s="8"/>
      <c r="D419" s="8"/>
      <c r="E419" s="8"/>
      <c r="F419" s="8"/>
      <c r="G419" s="8"/>
    </row>
    <row r="420" spans="1:7" x14ac:dyDescent="0.25">
      <c r="A420" s="8"/>
      <c r="B420" s="8"/>
      <c r="C420" s="8"/>
      <c r="D420" s="8"/>
      <c r="E420" s="8"/>
      <c r="F420" s="8"/>
      <c r="G420" s="8"/>
    </row>
    <row r="421" spans="1:7" x14ac:dyDescent="0.25">
      <c r="A421" s="8"/>
      <c r="B421" s="8"/>
      <c r="C421" s="8"/>
      <c r="D421" s="8"/>
      <c r="E421" s="8"/>
      <c r="F421" s="8"/>
      <c r="G421" s="8"/>
    </row>
    <row r="422" spans="1:7" x14ac:dyDescent="0.25">
      <c r="A422" s="8"/>
      <c r="B422" s="8"/>
      <c r="C422" s="8"/>
      <c r="D422" s="8"/>
      <c r="E422" s="8"/>
      <c r="F422" s="8"/>
      <c r="G422" s="8"/>
    </row>
    <row r="423" spans="1:7" x14ac:dyDescent="0.25">
      <c r="A423" s="8"/>
      <c r="B423" s="8"/>
      <c r="C423" s="8"/>
      <c r="D423" s="8"/>
      <c r="E423" s="8"/>
      <c r="F423" s="8"/>
      <c r="G423" s="8"/>
    </row>
    <row r="424" spans="1:7" x14ac:dyDescent="0.25">
      <c r="A424" s="8"/>
      <c r="B424" s="8"/>
      <c r="C424" s="8"/>
      <c r="D424" s="8"/>
      <c r="E424" s="8"/>
      <c r="F424" s="8"/>
      <c r="G424" s="8"/>
    </row>
    <row r="425" spans="1:7" x14ac:dyDescent="0.25">
      <c r="A425" s="8"/>
      <c r="B425" s="8"/>
      <c r="C425" s="8"/>
      <c r="D425" s="8"/>
      <c r="E425" s="8"/>
      <c r="F425" s="8"/>
      <c r="G425" s="8"/>
    </row>
    <row r="426" spans="1:7" x14ac:dyDescent="0.25">
      <c r="A426" s="8"/>
      <c r="B426" s="8"/>
      <c r="C426" s="8"/>
      <c r="D426" s="8"/>
      <c r="E426" s="8"/>
      <c r="F426" s="8"/>
      <c r="G426" s="8"/>
    </row>
    <row r="427" spans="1:7" x14ac:dyDescent="0.25">
      <c r="A427" s="8"/>
      <c r="B427" s="8"/>
      <c r="C427" s="8"/>
      <c r="D427" s="8"/>
      <c r="E427" s="8"/>
      <c r="F427" s="8"/>
      <c r="G427" s="8"/>
    </row>
    <row r="428" spans="1:7" x14ac:dyDescent="0.25">
      <c r="A428" s="8"/>
      <c r="B428" s="8"/>
      <c r="C428" s="8"/>
      <c r="D428" s="8"/>
      <c r="E428" s="8"/>
      <c r="F428" s="8"/>
      <c r="G428" s="8"/>
    </row>
    <row r="429" spans="1:7" x14ac:dyDescent="0.25">
      <c r="A429" s="8"/>
      <c r="B429" s="8"/>
      <c r="C429" s="8"/>
      <c r="D429" s="8"/>
      <c r="E429" s="8"/>
      <c r="F429" s="8"/>
      <c r="G429" s="8"/>
    </row>
    <row r="430" spans="1:7" x14ac:dyDescent="0.25">
      <c r="A430" s="8"/>
      <c r="B430" s="8"/>
      <c r="C430" s="8"/>
      <c r="D430" s="8"/>
      <c r="E430" s="8"/>
      <c r="F430" s="8"/>
      <c r="G430" s="8"/>
    </row>
    <row r="431" spans="1:7" x14ac:dyDescent="0.25">
      <c r="A431" s="8"/>
      <c r="B431" s="8"/>
      <c r="C431" s="8"/>
      <c r="D431" s="8"/>
      <c r="E431" s="8"/>
      <c r="F431" s="8"/>
      <c r="G431" s="8"/>
    </row>
    <row r="432" spans="1:7" x14ac:dyDescent="0.25">
      <c r="A432" s="8"/>
      <c r="B432" s="8"/>
      <c r="C432" s="8"/>
      <c r="D432" s="8"/>
      <c r="E432" s="8"/>
      <c r="F432" s="8"/>
      <c r="G432" s="8"/>
    </row>
    <row r="433" spans="1:7" x14ac:dyDescent="0.25">
      <c r="A433" s="8"/>
      <c r="B433" s="8"/>
      <c r="C433" s="8"/>
      <c r="D433" s="8"/>
      <c r="E433" s="8"/>
      <c r="F433" s="8"/>
      <c r="G433" s="8"/>
    </row>
    <row r="434" spans="1:7" x14ac:dyDescent="0.25">
      <c r="A434" s="8"/>
      <c r="B434" s="8"/>
      <c r="C434" s="8"/>
      <c r="D434" s="8"/>
      <c r="E434" s="8"/>
      <c r="F434" s="8"/>
      <c r="G434" s="8"/>
    </row>
    <row r="435" spans="1:7" x14ac:dyDescent="0.25">
      <c r="A435" s="8"/>
      <c r="B435" s="8"/>
      <c r="C435" s="8"/>
      <c r="D435" s="8"/>
      <c r="E435" s="8"/>
      <c r="F435" s="8"/>
      <c r="G435" s="8"/>
    </row>
    <row r="436" spans="1:7" x14ac:dyDescent="0.25">
      <c r="A436" s="8"/>
      <c r="B436" s="8"/>
      <c r="C436" s="8"/>
      <c r="D436" s="8"/>
      <c r="E436" s="8"/>
      <c r="F436" s="8"/>
      <c r="G436" s="8"/>
    </row>
    <row r="437" spans="1:7" x14ac:dyDescent="0.25">
      <c r="A437" s="8"/>
      <c r="B437" s="8"/>
      <c r="C437" s="8"/>
      <c r="D437" s="8"/>
      <c r="E437" s="8"/>
      <c r="F437" s="8"/>
      <c r="G437" s="8"/>
    </row>
    <row r="438" spans="1:7" x14ac:dyDescent="0.25">
      <c r="A438" s="8"/>
      <c r="B438" s="8"/>
      <c r="C438" s="8"/>
      <c r="D438" s="8"/>
      <c r="E438" s="8"/>
      <c r="F438" s="8"/>
      <c r="G438" s="8"/>
    </row>
    <row r="439" spans="1:7" x14ac:dyDescent="0.25">
      <c r="A439" s="8"/>
      <c r="B439" s="8"/>
      <c r="C439" s="8"/>
      <c r="D439" s="8"/>
      <c r="E439" s="8"/>
      <c r="F439" s="8"/>
      <c r="G439" s="8"/>
    </row>
    <row r="440" spans="1:7" x14ac:dyDescent="0.25">
      <c r="A440" s="8"/>
      <c r="B440" s="8"/>
      <c r="C440" s="8"/>
      <c r="D440" s="8"/>
      <c r="E440" s="8"/>
      <c r="F440" s="8"/>
      <c r="G440" s="8"/>
    </row>
    <row r="441" spans="1:7" x14ac:dyDescent="0.25">
      <c r="A441" s="8"/>
      <c r="B441" s="8"/>
      <c r="C441" s="8"/>
      <c r="D441" s="8"/>
      <c r="E441" s="8"/>
      <c r="F441" s="8"/>
      <c r="G441" s="8"/>
    </row>
    <row r="442" spans="1:7" x14ac:dyDescent="0.25">
      <c r="A442" s="8"/>
      <c r="B442" s="8"/>
      <c r="C442" s="8"/>
      <c r="D442" s="8"/>
      <c r="E442" s="8"/>
      <c r="F442" s="8"/>
      <c r="G442" s="8"/>
    </row>
    <row r="443" spans="1:7" x14ac:dyDescent="0.25">
      <c r="A443" s="8"/>
      <c r="B443" s="8"/>
      <c r="C443" s="8"/>
      <c r="D443" s="8"/>
      <c r="E443" s="8"/>
      <c r="F443" s="8"/>
      <c r="G443" s="8"/>
    </row>
    <row r="444" spans="1:7" x14ac:dyDescent="0.25">
      <c r="A444" s="8"/>
      <c r="B444" s="8"/>
      <c r="C444" s="8"/>
      <c r="D444" s="8"/>
      <c r="E444" s="8"/>
      <c r="F444" s="8"/>
      <c r="G444" s="8"/>
    </row>
    <row r="445" spans="1:7" x14ac:dyDescent="0.25">
      <c r="A445" s="8"/>
      <c r="B445" s="8"/>
      <c r="C445" s="8"/>
      <c r="D445" s="8"/>
      <c r="E445" s="8"/>
      <c r="F445" s="8"/>
      <c r="G445" s="8"/>
    </row>
    <row r="446" spans="1:7" x14ac:dyDescent="0.25">
      <c r="A446" s="8"/>
      <c r="B446" s="8"/>
      <c r="C446" s="8"/>
      <c r="D446" s="8"/>
      <c r="E446" s="8"/>
      <c r="F446" s="8"/>
      <c r="G446" s="8"/>
    </row>
    <row r="447" spans="1:7" x14ac:dyDescent="0.25">
      <c r="A447" s="8"/>
      <c r="B447" s="8"/>
      <c r="C447" s="8"/>
      <c r="D447" s="8"/>
      <c r="E447" s="8"/>
      <c r="F447" s="8"/>
      <c r="G447" s="8"/>
    </row>
    <row r="448" spans="1:7" x14ac:dyDescent="0.25">
      <c r="A448" s="8"/>
      <c r="B448" s="8"/>
      <c r="C448" s="8"/>
      <c r="D448" s="8"/>
      <c r="E448" s="8"/>
      <c r="F448" s="8"/>
      <c r="G448" s="8"/>
    </row>
    <row r="449" spans="1:7" x14ac:dyDescent="0.25">
      <c r="A449" s="8"/>
      <c r="B449" s="8"/>
      <c r="C449" s="8"/>
      <c r="D449" s="8"/>
      <c r="E449" s="8"/>
      <c r="F449" s="8"/>
      <c r="G449" s="8"/>
    </row>
    <row r="450" spans="1:7" x14ac:dyDescent="0.25">
      <c r="A450" s="8"/>
      <c r="B450" s="8"/>
      <c r="C450" s="8"/>
      <c r="D450" s="8"/>
      <c r="E450" s="8"/>
      <c r="F450" s="8"/>
      <c r="G450" s="8"/>
    </row>
    <row r="451" spans="1:7" x14ac:dyDescent="0.25">
      <c r="A451" s="8"/>
      <c r="B451" s="8"/>
      <c r="C451" s="8"/>
      <c r="D451" s="8"/>
      <c r="E451" s="8"/>
      <c r="F451" s="8"/>
      <c r="G451" s="8"/>
    </row>
    <row r="452" spans="1:7" x14ac:dyDescent="0.25">
      <c r="A452" s="8"/>
      <c r="B452" s="8"/>
      <c r="C452" s="8"/>
      <c r="D452" s="8"/>
      <c r="E452" s="8"/>
      <c r="F452" s="8"/>
      <c r="G452" s="8"/>
    </row>
    <row r="453" spans="1:7" x14ac:dyDescent="0.25">
      <c r="A453" s="8"/>
      <c r="B453" s="8"/>
      <c r="C453" s="8"/>
      <c r="D453" s="8"/>
      <c r="E453" s="8"/>
      <c r="F453" s="8"/>
      <c r="G453" s="8"/>
    </row>
    <row r="454" spans="1:7" x14ac:dyDescent="0.25">
      <c r="A454" s="8"/>
      <c r="B454" s="8"/>
      <c r="C454" s="8"/>
      <c r="D454" s="8"/>
      <c r="E454" s="8"/>
      <c r="F454" s="8"/>
      <c r="G454" s="8"/>
    </row>
    <row r="455" spans="1:7" x14ac:dyDescent="0.25">
      <c r="A455" s="8"/>
      <c r="B455" s="8"/>
      <c r="C455" s="8"/>
      <c r="D455" s="8"/>
      <c r="E455" s="8"/>
      <c r="F455" s="8"/>
      <c r="G455" s="8"/>
    </row>
    <row r="456" spans="1:7" x14ac:dyDescent="0.25">
      <c r="A456" s="8"/>
      <c r="B456" s="8"/>
      <c r="C456" s="8"/>
      <c r="D456" s="8"/>
      <c r="E456" s="8"/>
      <c r="F456" s="8"/>
      <c r="G456" s="8"/>
    </row>
    <row r="457" spans="1:7" x14ac:dyDescent="0.25">
      <c r="A457" s="8"/>
      <c r="B457" s="8"/>
      <c r="C457" s="8"/>
      <c r="D457" s="8"/>
      <c r="E457" s="8"/>
      <c r="F457" s="8"/>
      <c r="G457" s="8"/>
    </row>
    <row r="458" spans="1:7" x14ac:dyDescent="0.25">
      <c r="A458" s="8"/>
      <c r="B458" s="8"/>
      <c r="C458" s="8"/>
      <c r="D458" s="8"/>
      <c r="E458" s="8"/>
      <c r="F458" s="8"/>
      <c r="G458" s="8"/>
    </row>
    <row r="459" spans="1:7" x14ac:dyDescent="0.25">
      <c r="A459" s="8"/>
      <c r="B459" s="8"/>
      <c r="C459" s="8"/>
      <c r="D459" s="8"/>
      <c r="E459" s="8"/>
      <c r="F459" s="8"/>
      <c r="G459" s="8"/>
    </row>
    <row r="460" spans="1:7" x14ac:dyDescent="0.25">
      <c r="A460" s="8"/>
      <c r="B460" s="8"/>
      <c r="C460" s="8"/>
      <c r="D460" s="8"/>
      <c r="E460" s="8"/>
      <c r="F460" s="8"/>
      <c r="G460" s="8"/>
    </row>
    <row r="461" spans="1:7" x14ac:dyDescent="0.25">
      <c r="A461" s="8"/>
      <c r="B461" s="8"/>
      <c r="C461" s="8"/>
      <c r="D461" s="8"/>
      <c r="E461" s="8"/>
      <c r="F461" s="8"/>
      <c r="G461" s="8"/>
    </row>
    <row r="462" spans="1:7" x14ac:dyDescent="0.25">
      <c r="A462" s="8"/>
      <c r="B462" s="8"/>
      <c r="C462" s="8"/>
      <c r="D462" s="8"/>
      <c r="E462" s="8"/>
      <c r="F462" s="8"/>
      <c r="G462" s="8"/>
    </row>
    <row r="463" spans="1:7" x14ac:dyDescent="0.25">
      <c r="A463" s="8"/>
      <c r="B463" s="8"/>
      <c r="C463" s="8"/>
      <c r="D463" s="8"/>
      <c r="E463" s="8"/>
      <c r="F463" s="8"/>
      <c r="G463" s="8"/>
    </row>
    <row r="464" spans="1:7" x14ac:dyDescent="0.25">
      <c r="A464" s="8"/>
      <c r="B464" s="8"/>
      <c r="C464" s="8"/>
      <c r="D464" s="8"/>
      <c r="E464" s="8"/>
      <c r="F464" s="8"/>
      <c r="G464" s="8"/>
    </row>
    <row r="465" spans="1:7" x14ac:dyDescent="0.25">
      <c r="A465" s="8"/>
      <c r="B465" s="8"/>
      <c r="C465" s="8"/>
      <c r="D465" s="8"/>
      <c r="E465" s="8"/>
      <c r="F465" s="8"/>
      <c r="G465" s="8"/>
    </row>
    <row r="466" spans="1:7" x14ac:dyDescent="0.25">
      <c r="A466" s="8"/>
      <c r="B466" s="8"/>
      <c r="C466" s="8"/>
      <c r="D466" s="8"/>
      <c r="E466" s="8"/>
      <c r="F466" s="8"/>
      <c r="G466" s="8"/>
    </row>
    <row r="467" spans="1:7" x14ac:dyDescent="0.25">
      <c r="A467" s="8"/>
      <c r="B467" s="8"/>
      <c r="C467" s="8"/>
      <c r="D467" s="8"/>
      <c r="E467" s="8"/>
      <c r="F467" s="8"/>
      <c r="G467" s="8"/>
    </row>
    <row r="468" spans="1:7" x14ac:dyDescent="0.25">
      <c r="A468" s="8"/>
      <c r="B468" s="8"/>
      <c r="C468" s="8"/>
      <c r="D468" s="8"/>
      <c r="E468" s="8"/>
      <c r="F468" s="8"/>
      <c r="G468" s="8"/>
    </row>
    <row r="469" spans="1:7" x14ac:dyDescent="0.25">
      <c r="A469" s="8"/>
      <c r="B469" s="8"/>
      <c r="C469" s="8"/>
      <c r="D469" s="8"/>
      <c r="E469" s="8"/>
      <c r="F469" s="8"/>
      <c r="G469" s="8"/>
    </row>
    <row r="470" spans="1:7" x14ac:dyDescent="0.25">
      <c r="A470" s="8"/>
      <c r="B470" s="8"/>
      <c r="C470" s="8"/>
      <c r="D470" s="8"/>
      <c r="E470" s="8"/>
      <c r="F470" s="8"/>
      <c r="G470" s="8"/>
    </row>
    <row r="471" spans="1:7" x14ac:dyDescent="0.25">
      <c r="A471" s="8"/>
      <c r="B471" s="8"/>
      <c r="C471" s="8"/>
      <c r="D471" s="8"/>
      <c r="E471" s="8"/>
      <c r="F471" s="8"/>
      <c r="G471" s="8"/>
    </row>
    <row r="472" spans="1:7" x14ac:dyDescent="0.25">
      <c r="A472" s="8"/>
      <c r="B472" s="8"/>
      <c r="C472" s="8"/>
      <c r="D472" s="8"/>
      <c r="E472" s="8"/>
      <c r="F472" s="8"/>
      <c r="G472" s="8"/>
    </row>
    <row r="473" spans="1:7" x14ac:dyDescent="0.25">
      <c r="A473" s="8"/>
      <c r="B473" s="8"/>
      <c r="C473" s="8"/>
      <c r="D473" s="8"/>
      <c r="E473" s="8"/>
      <c r="F473" s="8"/>
      <c r="G473" s="8"/>
    </row>
    <row r="474" spans="1:7" x14ac:dyDescent="0.25">
      <c r="A474" s="8"/>
      <c r="B474" s="8"/>
      <c r="C474" s="8"/>
      <c r="D474" s="8"/>
      <c r="E474" s="8"/>
      <c r="F474" s="8"/>
      <c r="G474" s="8"/>
    </row>
    <row r="475" spans="1:7" x14ac:dyDescent="0.25">
      <c r="A475" s="8"/>
      <c r="B475" s="8"/>
      <c r="C475" s="8"/>
      <c r="D475" s="8"/>
      <c r="E475" s="8"/>
      <c r="F475" s="8"/>
      <c r="G475" s="8"/>
    </row>
    <row r="476" spans="1:7" x14ac:dyDescent="0.25">
      <c r="A476" s="8"/>
      <c r="B476" s="8"/>
      <c r="C476" s="8"/>
      <c r="D476" s="8"/>
      <c r="E476" s="8"/>
      <c r="F476" s="8"/>
      <c r="G476" s="8"/>
    </row>
    <row r="477" spans="1:7" x14ac:dyDescent="0.25">
      <c r="A477" s="8"/>
      <c r="B477" s="8"/>
      <c r="C477" s="8"/>
      <c r="D477" s="8"/>
      <c r="E477" s="8"/>
      <c r="F477" s="8"/>
      <c r="G477" s="8"/>
    </row>
    <row r="478" spans="1:7" x14ac:dyDescent="0.25">
      <c r="A478" s="8"/>
      <c r="B478" s="8"/>
      <c r="C478" s="8"/>
      <c r="D478" s="8"/>
      <c r="E478" s="8"/>
      <c r="F478" s="8"/>
      <c r="G478" s="8"/>
    </row>
    <row r="479" spans="1:7" x14ac:dyDescent="0.25">
      <c r="A479" s="8"/>
      <c r="B479" s="8"/>
      <c r="C479" s="8"/>
      <c r="D479" s="8"/>
      <c r="E479" s="8"/>
      <c r="F479" s="8"/>
      <c r="G479" s="8"/>
    </row>
    <row r="480" spans="1:7" x14ac:dyDescent="0.25">
      <c r="A480" s="8"/>
      <c r="B480" s="8"/>
      <c r="C480" s="8"/>
      <c r="D480" s="8"/>
      <c r="E480" s="8"/>
      <c r="F480" s="8"/>
      <c r="G480" s="8"/>
    </row>
    <row r="481" spans="1:7" x14ac:dyDescent="0.25">
      <c r="A481" s="8"/>
      <c r="B481" s="8"/>
      <c r="C481" s="8"/>
      <c r="D481" s="8"/>
      <c r="E481" s="8"/>
      <c r="F481" s="8"/>
      <c r="G481" s="8"/>
    </row>
    <row r="482" spans="1:7" x14ac:dyDescent="0.25">
      <c r="A482" s="8"/>
      <c r="B482" s="8"/>
      <c r="C482" s="8"/>
      <c r="D482" s="8"/>
      <c r="E482" s="8"/>
      <c r="F482" s="8"/>
      <c r="G482" s="8"/>
    </row>
    <row r="483" spans="1:7" x14ac:dyDescent="0.25">
      <c r="A483" s="8"/>
      <c r="B483" s="8"/>
      <c r="C483" s="8"/>
      <c r="D483" s="8"/>
      <c r="E483" s="8"/>
      <c r="F483" s="8"/>
      <c r="G483" s="8"/>
    </row>
    <row r="484" spans="1:7" x14ac:dyDescent="0.25">
      <c r="A484" s="8"/>
      <c r="B484" s="8"/>
      <c r="C484" s="8"/>
      <c r="D484" s="8"/>
      <c r="E484" s="8"/>
      <c r="F484" s="8"/>
      <c r="G484" s="8"/>
    </row>
    <row r="485" spans="1:7" x14ac:dyDescent="0.25">
      <c r="A485" s="8"/>
      <c r="B485" s="8"/>
      <c r="C485" s="8"/>
      <c r="D485" s="8"/>
      <c r="E485" s="8"/>
      <c r="F485" s="8"/>
      <c r="G485" s="8"/>
    </row>
    <row r="486" spans="1:7" x14ac:dyDescent="0.25">
      <c r="A486" s="8"/>
      <c r="B486" s="8"/>
      <c r="C486" s="8"/>
      <c r="D486" s="8"/>
      <c r="E486" s="8"/>
      <c r="F486" s="8"/>
      <c r="G486" s="8"/>
    </row>
    <row r="487" spans="1:7" x14ac:dyDescent="0.25">
      <c r="A487" s="8"/>
      <c r="B487" s="8"/>
      <c r="C487" s="8"/>
      <c r="D487" s="8"/>
      <c r="E487" s="8"/>
      <c r="F487" s="8"/>
      <c r="G487" s="8"/>
    </row>
    <row r="488" spans="1:7" x14ac:dyDescent="0.25">
      <c r="A488" s="8"/>
      <c r="B488" s="8"/>
      <c r="C488" s="8"/>
      <c r="D488" s="8"/>
      <c r="E488" s="8"/>
      <c r="F488" s="8"/>
      <c r="G488" s="8"/>
    </row>
    <row r="489" spans="1:7" x14ac:dyDescent="0.25">
      <c r="A489" s="8"/>
      <c r="B489" s="8"/>
      <c r="C489" s="8"/>
      <c r="D489" s="8"/>
      <c r="E489" s="8"/>
      <c r="F489" s="8"/>
      <c r="G489" s="8"/>
    </row>
    <row r="490" spans="1:7" x14ac:dyDescent="0.25">
      <c r="A490" s="8"/>
      <c r="B490" s="8"/>
      <c r="C490" s="8"/>
      <c r="D490" s="8"/>
      <c r="E490" s="8"/>
      <c r="F490" s="8"/>
      <c r="G490" s="8"/>
    </row>
    <row r="491" spans="1:7" x14ac:dyDescent="0.25">
      <c r="A491" s="8"/>
      <c r="B491" s="8"/>
      <c r="C491" s="8"/>
      <c r="D491" s="8"/>
      <c r="E491" s="8"/>
      <c r="F491" s="8"/>
      <c r="G491" s="8"/>
    </row>
    <row r="492" spans="1:7" x14ac:dyDescent="0.25">
      <c r="A492" s="8"/>
      <c r="B492" s="8"/>
      <c r="C492" s="8"/>
      <c r="D492" s="8"/>
      <c r="E492" s="8"/>
      <c r="F492" s="8"/>
      <c r="G492" s="8"/>
    </row>
    <row r="493" spans="1:7" x14ac:dyDescent="0.25">
      <c r="A493" s="8"/>
      <c r="B493" s="8"/>
      <c r="C493" s="8"/>
      <c r="D493" s="8"/>
      <c r="E493" s="8"/>
      <c r="F493" s="8"/>
      <c r="G493" s="8"/>
    </row>
    <row r="494" spans="1:7" x14ac:dyDescent="0.25">
      <c r="A494" s="8"/>
      <c r="B494" s="8"/>
      <c r="C494" s="8"/>
      <c r="D494" s="8"/>
      <c r="E494" s="8"/>
      <c r="F494" s="8"/>
      <c r="G494" s="8"/>
    </row>
    <row r="495" spans="1:7" x14ac:dyDescent="0.25">
      <c r="A495" s="8"/>
      <c r="B495" s="8"/>
      <c r="C495" s="8"/>
      <c r="D495" s="8"/>
      <c r="E495" s="8"/>
      <c r="F495" s="8"/>
      <c r="G495" s="8"/>
    </row>
    <row r="496" spans="1:7" x14ac:dyDescent="0.25">
      <c r="A496" s="8"/>
      <c r="B496" s="8"/>
      <c r="C496" s="8"/>
      <c r="D496" s="8"/>
      <c r="E496" s="8"/>
      <c r="F496" s="8"/>
      <c r="G496" s="8"/>
    </row>
    <row r="497" spans="1:7" x14ac:dyDescent="0.25">
      <c r="A497" s="8"/>
      <c r="B497" s="8"/>
      <c r="C497" s="8"/>
      <c r="D497" s="8"/>
      <c r="E497" s="8"/>
      <c r="F497" s="8"/>
      <c r="G497" s="8"/>
    </row>
    <row r="498" spans="1:7" x14ac:dyDescent="0.25">
      <c r="A498" s="8"/>
      <c r="B498" s="8"/>
      <c r="C498" s="8"/>
      <c r="D498" s="8"/>
      <c r="E498" s="8"/>
      <c r="F498" s="8"/>
      <c r="G498" s="8"/>
    </row>
    <row r="499" spans="1:7" x14ac:dyDescent="0.25">
      <c r="A499" s="8"/>
      <c r="B499" s="8"/>
      <c r="C499" s="8"/>
      <c r="D499" s="8"/>
      <c r="E499" s="8"/>
      <c r="F499" s="8"/>
      <c r="G499" s="8"/>
    </row>
    <row r="500" spans="1:7" x14ac:dyDescent="0.25">
      <c r="A500" s="8"/>
      <c r="B500" s="8"/>
      <c r="C500" s="8"/>
      <c r="D500" s="8"/>
      <c r="E500" s="8"/>
      <c r="F500" s="8"/>
      <c r="G500" s="8"/>
    </row>
    <row r="501" spans="1:7" x14ac:dyDescent="0.25">
      <c r="A501" s="8"/>
      <c r="B501" s="8"/>
      <c r="C501" s="8"/>
      <c r="D501" s="8"/>
      <c r="E501" s="8"/>
      <c r="F501" s="8"/>
      <c r="G501" s="8"/>
    </row>
    <row r="502" spans="1:7" x14ac:dyDescent="0.25">
      <c r="A502" s="8"/>
      <c r="B502" s="8"/>
      <c r="C502" s="8"/>
      <c r="D502" s="8"/>
      <c r="E502" s="8"/>
      <c r="F502" s="8"/>
      <c r="G502" s="8"/>
    </row>
    <row r="503" spans="1:7" x14ac:dyDescent="0.25">
      <c r="A503" s="8"/>
      <c r="B503" s="8"/>
      <c r="C503" s="8"/>
      <c r="D503" s="8"/>
      <c r="E503" s="8"/>
      <c r="F503" s="8"/>
      <c r="G503" s="8"/>
    </row>
    <row r="504" spans="1:7" x14ac:dyDescent="0.25">
      <c r="A504" s="8"/>
      <c r="B504" s="8"/>
      <c r="C504" s="8"/>
      <c r="D504" s="8"/>
      <c r="E504" s="8"/>
      <c r="F504" s="8"/>
      <c r="G504" s="8"/>
    </row>
    <row r="505" spans="1:7" x14ac:dyDescent="0.25">
      <c r="A505" s="8"/>
      <c r="B505" s="8"/>
      <c r="C505" s="8"/>
      <c r="D505" s="8"/>
      <c r="E505" s="8"/>
      <c r="F505" s="8"/>
      <c r="G505" s="8"/>
    </row>
    <row r="506" spans="1:7" x14ac:dyDescent="0.25">
      <c r="A506" s="8"/>
      <c r="B506" s="8"/>
      <c r="C506" s="8"/>
      <c r="D506" s="8"/>
      <c r="E506" s="8"/>
      <c r="F506" s="8"/>
      <c r="G506" s="8"/>
    </row>
    <row r="507" spans="1:7" x14ac:dyDescent="0.25">
      <c r="A507" s="8"/>
      <c r="B507" s="8"/>
      <c r="C507" s="8"/>
      <c r="D507" s="8"/>
      <c r="E507" s="8"/>
      <c r="F507" s="8"/>
      <c r="G507" s="8"/>
    </row>
    <row r="508" spans="1:7" x14ac:dyDescent="0.25">
      <c r="A508" s="8"/>
      <c r="B508" s="8"/>
      <c r="C508" s="8"/>
      <c r="D508" s="8"/>
      <c r="E508" s="8"/>
      <c r="F508" s="8"/>
      <c r="G508" s="8"/>
    </row>
    <row r="509" spans="1:7" x14ac:dyDescent="0.25">
      <c r="A509" s="8"/>
      <c r="B509" s="8"/>
      <c r="C509" s="8"/>
      <c r="D509" s="8"/>
      <c r="E509" s="8"/>
      <c r="F509" s="8"/>
      <c r="G509" s="8"/>
    </row>
    <row r="510" spans="1:7" x14ac:dyDescent="0.25">
      <c r="A510" s="8"/>
      <c r="B510" s="8"/>
      <c r="C510" s="8"/>
      <c r="D510" s="8"/>
      <c r="E510" s="8"/>
      <c r="F510" s="8"/>
      <c r="G510" s="8"/>
    </row>
    <row r="511" spans="1:7" x14ac:dyDescent="0.25">
      <c r="A511" s="8"/>
      <c r="B511" s="8"/>
      <c r="C511" s="8"/>
      <c r="D511" s="8"/>
      <c r="E511" s="8"/>
      <c r="F511" s="8"/>
      <c r="G511" s="8"/>
    </row>
    <row r="512" spans="1:7" x14ac:dyDescent="0.25">
      <c r="A512" s="8"/>
      <c r="B512" s="8"/>
      <c r="C512" s="8"/>
      <c r="D512" s="8"/>
      <c r="E512" s="8"/>
      <c r="F512" s="8"/>
      <c r="G512" s="8"/>
    </row>
    <row r="513" spans="1:7" x14ac:dyDescent="0.25">
      <c r="A513" s="8"/>
      <c r="B513" s="8"/>
      <c r="C513" s="8"/>
      <c r="D513" s="8"/>
      <c r="E513" s="8"/>
      <c r="F513" s="8"/>
      <c r="G513" s="8"/>
    </row>
    <row r="514" spans="1:7" x14ac:dyDescent="0.25">
      <c r="A514" s="8"/>
      <c r="B514" s="8"/>
      <c r="C514" s="8"/>
      <c r="D514" s="8"/>
      <c r="E514" s="8"/>
      <c r="F514" s="8"/>
      <c r="G514" s="8"/>
    </row>
    <row r="515" spans="1:7" x14ac:dyDescent="0.25">
      <c r="A515" s="8"/>
      <c r="B515" s="8"/>
      <c r="C515" s="8"/>
      <c r="D515" s="8"/>
      <c r="E515" s="8"/>
      <c r="F515" s="8"/>
      <c r="G515" s="8"/>
    </row>
    <row r="516" spans="1:7" x14ac:dyDescent="0.25">
      <c r="A516" s="8"/>
      <c r="B516" s="8"/>
      <c r="C516" s="8"/>
      <c r="D516" s="8"/>
      <c r="E516" s="8"/>
      <c r="F516" s="8"/>
      <c r="G516" s="8"/>
    </row>
    <row r="517" spans="1:7" x14ac:dyDescent="0.25">
      <c r="A517" s="8"/>
      <c r="B517" s="8"/>
      <c r="C517" s="8"/>
      <c r="D517" s="8"/>
      <c r="E517" s="8"/>
      <c r="F517" s="8"/>
      <c r="G517" s="8"/>
    </row>
    <row r="518" spans="1:7" x14ac:dyDescent="0.25">
      <c r="A518" s="8"/>
      <c r="B518" s="8"/>
      <c r="C518" s="8"/>
      <c r="D518" s="8"/>
      <c r="E518" s="8"/>
      <c r="F518" s="8"/>
      <c r="G518" s="8"/>
    </row>
    <row r="519" spans="1:7" x14ac:dyDescent="0.25">
      <c r="A519" s="8"/>
      <c r="B519" s="8"/>
      <c r="C519" s="8"/>
      <c r="D519" s="8"/>
      <c r="E519" s="8"/>
      <c r="F519" s="8"/>
      <c r="G519" s="8"/>
    </row>
    <row r="520" spans="1:7" x14ac:dyDescent="0.25">
      <c r="A520" s="8"/>
      <c r="B520" s="8"/>
      <c r="C520" s="8"/>
      <c r="D520" s="8"/>
      <c r="E520" s="8"/>
      <c r="F520" s="8"/>
      <c r="G520" s="8"/>
    </row>
    <row r="521" spans="1:7" x14ac:dyDescent="0.25">
      <c r="A521" s="8"/>
      <c r="B521" s="8"/>
      <c r="C521" s="8"/>
      <c r="D521" s="8"/>
      <c r="E521" s="8"/>
      <c r="F521" s="8"/>
      <c r="G521" s="8"/>
    </row>
    <row r="522" spans="1:7" x14ac:dyDescent="0.25">
      <c r="A522" s="8"/>
      <c r="B522" s="8"/>
      <c r="C522" s="8"/>
      <c r="D522" s="8"/>
      <c r="E522" s="8"/>
      <c r="F522" s="8"/>
      <c r="G522" s="8"/>
    </row>
    <row r="523" spans="1:7" x14ac:dyDescent="0.25">
      <c r="A523" s="8"/>
      <c r="B523" s="8"/>
      <c r="C523" s="8"/>
      <c r="D523" s="8"/>
      <c r="E523" s="8"/>
      <c r="F523" s="8"/>
      <c r="G523" s="8"/>
    </row>
    <row r="524" spans="1:7" x14ac:dyDescent="0.25">
      <c r="A524" s="8"/>
      <c r="B524" s="8"/>
      <c r="C524" s="8"/>
      <c r="D524" s="8"/>
      <c r="E524" s="8"/>
      <c r="F524" s="8"/>
      <c r="G524" s="8"/>
    </row>
    <row r="525" spans="1:7" x14ac:dyDescent="0.25">
      <c r="A525" s="8"/>
      <c r="B525" s="8"/>
      <c r="C525" s="8"/>
      <c r="D525" s="8"/>
      <c r="E525" s="8"/>
      <c r="F525" s="8"/>
      <c r="G525" s="8"/>
    </row>
    <row r="526" spans="1:7" x14ac:dyDescent="0.25">
      <c r="A526" s="8"/>
      <c r="B526" s="8"/>
      <c r="C526" s="8"/>
      <c r="D526" s="8"/>
      <c r="E526" s="8"/>
      <c r="F526" s="8"/>
      <c r="G526" s="8"/>
    </row>
    <row r="527" spans="1:7" x14ac:dyDescent="0.25">
      <c r="A527" s="8"/>
      <c r="B527" s="8"/>
      <c r="C527" s="8"/>
      <c r="D527" s="8"/>
      <c r="E527" s="8"/>
      <c r="F527" s="8"/>
      <c r="G527" s="8"/>
    </row>
    <row r="528" spans="1:7" x14ac:dyDescent="0.25">
      <c r="A528" s="8"/>
      <c r="B528" s="8"/>
      <c r="C528" s="8"/>
      <c r="D528" s="8"/>
      <c r="E528" s="8"/>
      <c r="F528" s="8"/>
      <c r="G528" s="8"/>
    </row>
    <row r="529" spans="1:7" x14ac:dyDescent="0.25">
      <c r="A529" s="8"/>
      <c r="B529" s="8"/>
      <c r="C529" s="8"/>
      <c r="D529" s="8"/>
      <c r="E529" s="8"/>
      <c r="F529" s="8"/>
      <c r="G529" s="8"/>
    </row>
    <row r="530" spans="1:7" x14ac:dyDescent="0.25">
      <c r="A530" s="8"/>
      <c r="B530" s="8"/>
      <c r="C530" s="8"/>
      <c r="D530" s="8"/>
      <c r="E530" s="8"/>
      <c r="F530" s="8"/>
      <c r="G530" s="8"/>
    </row>
    <row r="531" spans="1:7" x14ac:dyDescent="0.25">
      <c r="A531" s="8"/>
      <c r="B531" s="8"/>
      <c r="C531" s="8"/>
      <c r="D531" s="8"/>
      <c r="E531" s="8"/>
      <c r="F531" s="8"/>
      <c r="G531" s="8"/>
    </row>
    <row r="532" spans="1:7" x14ac:dyDescent="0.25">
      <c r="A532" s="8"/>
      <c r="B532" s="8"/>
      <c r="C532" s="8"/>
      <c r="D532" s="8"/>
      <c r="E532" s="8"/>
      <c r="F532" s="8"/>
      <c r="G532" s="8"/>
    </row>
    <row r="533" spans="1:7" x14ac:dyDescent="0.25">
      <c r="A533" s="8"/>
      <c r="B533" s="8"/>
      <c r="C533" s="8"/>
      <c r="D533" s="8"/>
      <c r="E533" s="8"/>
      <c r="F533" s="8"/>
      <c r="G533" s="8"/>
    </row>
    <row r="534" spans="1:7" x14ac:dyDescent="0.25">
      <c r="A534" s="8"/>
      <c r="B534" s="8"/>
      <c r="C534" s="8"/>
      <c r="D534" s="8"/>
      <c r="E534" s="8"/>
      <c r="F534" s="8"/>
      <c r="G534" s="8"/>
    </row>
    <row r="535" spans="1:7" x14ac:dyDescent="0.25">
      <c r="A535" s="8"/>
      <c r="B535" s="8"/>
      <c r="C535" s="8"/>
      <c r="D535" s="8"/>
      <c r="E535" s="8"/>
      <c r="F535" s="8"/>
      <c r="G535" s="8"/>
    </row>
    <row r="536" spans="1:7" x14ac:dyDescent="0.25">
      <c r="A536" s="8"/>
      <c r="B536" s="8"/>
      <c r="C536" s="8"/>
      <c r="D536" s="8"/>
      <c r="E536" s="8"/>
      <c r="F536" s="8"/>
      <c r="G536" s="8"/>
    </row>
    <row r="537" spans="1:7" x14ac:dyDescent="0.25">
      <c r="A537" s="8"/>
      <c r="B537" s="8"/>
      <c r="C537" s="8"/>
      <c r="D537" s="8"/>
      <c r="E537" s="8"/>
      <c r="F537" s="8"/>
      <c r="G537" s="8"/>
    </row>
    <row r="538" spans="1:7" x14ac:dyDescent="0.25">
      <c r="A538" s="8"/>
      <c r="B538" s="8"/>
      <c r="C538" s="8"/>
      <c r="D538" s="8"/>
      <c r="E538" s="8"/>
      <c r="F538" s="8"/>
      <c r="G538" s="8"/>
    </row>
    <row r="539" spans="1:7" x14ac:dyDescent="0.25">
      <c r="A539" s="8"/>
      <c r="B539" s="8"/>
      <c r="C539" s="8"/>
      <c r="D539" s="8"/>
      <c r="E539" s="8"/>
      <c r="F539" s="8"/>
      <c r="G539" s="8"/>
    </row>
    <row r="540" spans="1:7" x14ac:dyDescent="0.25">
      <c r="A540" s="8"/>
      <c r="B540" s="8"/>
      <c r="C540" s="8"/>
      <c r="D540" s="8"/>
      <c r="E540" s="8"/>
      <c r="F540" s="8"/>
      <c r="G540" s="8"/>
    </row>
    <row r="541" spans="1:7" x14ac:dyDescent="0.25">
      <c r="A541" s="8"/>
      <c r="B541" s="8"/>
      <c r="C541" s="8"/>
      <c r="D541" s="8"/>
      <c r="E541" s="8"/>
      <c r="F541" s="8"/>
      <c r="G541" s="8"/>
    </row>
    <row r="542" spans="1:7" x14ac:dyDescent="0.25">
      <c r="A542" s="8"/>
      <c r="B542" s="8"/>
      <c r="C542" s="8"/>
      <c r="D542" s="8"/>
      <c r="E542" s="8"/>
      <c r="F542" s="8"/>
      <c r="G542" s="8"/>
    </row>
    <row r="543" spans="1:7" x14ac:dyDescent="0.25">
      <c r="A543" s="8"/>
      <c r="B543" s="8"/>
      <c r="C543" s="8"/>
      <c r="D543" s="8"/>
      <c r="E543" s="8"/>
      <c r="F543" s="8"/>
      <c r="G543" s="8"/>
    </row>
    <row r="544" spans="1:7" x14ac:dyDescent="0.25">
      <c r="A544" s="8"/>
      <c r="B544" s="8"/>
      <c r="C544" s="8"/>
      <c r="D544" s="8"/>
      <c r="E544" s="8"/>
      <c r="F544" s="8"/>
      <c r="G544" s="8"/>
    </row>
    <row r="545" spans="1:7" x14ac:dyDescent="0.25">
      <c r="A545" s="8"/>
      <c r="B545" s="8"/>
      <c r="C545" s="8"/>
      <c r="D545" s="8"/>
      <c r="E545" s="8"/>
      <c r="F545" s="8"/>
      <c r="G545" s="8"/>
    </row>
    <row r="546" spans="1:7" x14ac:dyDescent="0.25">
      <c r="A546" s="8"/>
      <c r="B546" s="8"/>
      <c r="C546" s="8"/>
      <c r="D546" s="8"/>
      <c r="E546" s="8"/>
      <c r="F546" s="8"/>
      <c r="G546" s="8"/>
    </row>
    <row r="547" spans="1:7" x14ac:dyDescent="0.25">
      <c r="A547" s="8"/>
      <c r="B547" s="8"/>
      <c r="C547" s="8"/>
      <c r="D547" s="8"/>
      <c r="E547" s="8"/>
      <c r="F547" s="8"/>
      <c r="G547" s="8"/>
    </row>
    <row r="548" spans="1:7" x14ac:dyDescent="0.25">
      <c r="A548" s="8"/>
      <c r="B548" s="8"/>
      <c r="C548" s="8"/>
      <c r="D548" s="8"/>
      <c r="E548" s="8"/>
      <c r="F548" s="8"/>
      <c r="G548" s="8"/>
    </row>
    <row r="549" spans="1:7" x14ac:dyDescent="0.25">
      <c r="A549" s="8"/>
      <c r="B549" s="8"/>
      <c r="C549" s="8"/>
      <c r="D549" s="8"/>
      <c r="E549" s="8"/>
      <c r="F549" s="8"/>
      <c r="G549" s="8"/>
    </row>
    <row r="550" spans="1:7" x14ac:dyDescent="0.25">
      <c r="A550" s="8"/>
      <c r="B550" s="8"/>
      <c r="C550" s="8"/>
      <c r="D550" s="8"/>
      <c r="E550" s="8"/>
      <c r="F550" s="8"/>
      <c r="G550" s="8"/>
    </row>
    <row r="551" spans="1:7" x14ac:dyDescent="0.25">
      <c r="A551" s="8"/>
      <c r="B551" s="8"/>
      <c r="C551" s="8"/>
      <c r="D551" s="8"/>
      <c r="E551" s="8"/>
      <c r="F551" s="8"/>
      <c r="G551" s="8"/>
    </row>
    <row r="552" spans="1:7" x14ac:dyDescent="0.25">
      <c r="A552" s="8"/>
      <c r="B552" s="8"/>
      <c r="C552" s="8"/>
      <c r="D552" s="8"/>
      <c r="E552" s="8"/>
      <c r="F552" s="8"/>
      <c r="G552" s="8"/>
    </row>
    <row r="553" spans="1:7" x14ac:dyDescent="0.25">
      <c r="A553" s="8"/>
      <c r="B553" s="8"/>
      <c r="C553" s="8"/>
      <c r="D553" s="8"/>
      <c r="E553" s="8"/>
      <c r="F553" s="8"/>
      <c r="G553" s="8"/>
    </row>
    <row r="554" spans="1:7" x14ac:dyDescent="0.25">
      <c r="A554" s="8"/>
      <c r="B554" s="8"/>
      <c r="C554" s="8"/>
      <c r="D554" s="8"/>
      <c r="E554" s="8"/>
      <c r="F554" s="8"/>
      <c r="G554" s="8"/>
    </row>
    <row r="555" spans="1:7" x14ac:dyDescent="0.25">
      <c r="A555" s="8"/>
      <c r="B555" s="8"/>
      <c r="C555" s="8"/>
      <c r="D555" s="8"/>
      <c r="E555" s="8"/>
      <c r="F555" s="8"/>
      <c r="G555" s="8"/>
    </row>
    <row r="556" spans="1:7" x14ac:dyDescent="0.25">
      <c r="A556" s="8"/>
      <c r="B556" s="8"/>
      <c r="C556" s="8"/>
      <c r="D556" s="8"/>
      <c r="E556" s="8"/>
      <c r="F556" s="8"/>
      <c r="G556" s="8"/>
    </row>
    <row r="557" spans="1:7" x14ac:dyDescent="0.25">
      <c r="A557" s="8"/>
      <c r="B557" s="8"/>
      <c r="C557" s="8"/>
      <c r="D557" s="8"/>
      <c r="E557" s="8"/>
      <c r="F557" s="8"/>
      <c r="G557" s="8"/>
    </row>
    <row r="558" spans="1:7" x14ac:dyDescent="0.25">
      <c r="A558" s="8"/>
      <c r="B558" s="8"/>
      <c r="C558" s="8"/>
      <c r="D558" s="8"/>
      <c r="E558" s="8"/>
      <c r="F558" s="8"/>
      <c r="G558" s="8"/>
    </row>
    <row r="559" spans="1:7" x14ac:dyDescent="0.25">
      <c r="A559" s="8"/>
      <c r="B559" s="8"/>
      <c r="C559" s="8"/>
      <c r="D559" s="8"/>
      <c r="E559" s="8"/>
      <c r="F559" s="8"/>
      <c r="G559" s="8"/>
    </row>
    <row r="560" spans="1:7" x14ac:dyDescent="0.25">
      <c r="A560" s="8"/>
      <c r="B560" s="8"/>
      <c r="C560" s="8"/>
      <c r="D560" s="8"/>
      <c r="E560" s="8"/>
      <c r="F560" s="8"/>
      <c r="G560" s="8"/>
    </row>
    <row r="561" spans="1:7" x14ac:dyDescent="0.25">
      <c r="A561" s="8"/>
      <c r="B561" s="8"/>
      <c r="C561" s="8"/>
      <c r="D561" s="8"/>
      <c r="E561" s="8"/>
      <c r="F561" s="8"/>
      <c r="G561" s="8"/>
    </row>
    <row r="562" spans="1:7" x14ac:dyDescent="0.25">
      <c r="A562" s="8"/>
      <c r="B562" s="8"/>
      <c r="C562" s="8"/>
      <c r="D562" s="8"/>
      <c r="E562" s="8"/>
      <c r="F562" s="8"/>
      <c r="G562" s="8"/>
    </row>
    <row r="563" spans="1:7" x14ac:dyDescent="0.25">
      <c r="A563" s="8"/>
      <c r="B563" s="8"/>
      <c r="C563" s="8"/>
      <c r="D563" s="8"/>
      <c r="E563" s="8"/>
      <c r="F563" s="8"/>
      <c r="G563" s="8"/>
    </row>
    <row r="564" spans="1:7" x14ac:dyDescent="0.25">
      <c r="A564" s="8"/>
      <c r="B564" s="8"/>
      <c r="C564" s="8"/>
      <c r="D564" s="8"/>
      <c r="E564" s="8"/>
      <c r="F564" s="8"/>
      <c r="G564" s="8"/>
    </row>
    <row r="565" spans="1:7" x14ac:dyDescent="0.25">
      <c r="A565" s="8"/>
      <c r="B565" s="8"/>
      <c r="C565" s="8"/>
      <c r="D565" s="8"/>
      <c r="E565" s="8"/>
      <c r="F565" s="8"/>
      <c r="G565" s="8"/>
    </row>
    <row r="566" spans="1:7" x14ac:dyDescent="0.25">
      <c r="A566" s="8"/>
      <c r="B566" s="8"/>
      <c r="C566" s="8"/>
      <c r="D566" s="8"/>
      <c r="E566" s="8"/>
      <c r="F566" s="8"/>
      <c r="G566" s="8"/>
    </row>
    <row r="567" spans="1:7" x14ac:dyDescent="0.25">
      <c r="A567" s="8"/>
      <c r="B567" s="8"/>
      <c r="C567" s="8"/>
      <c r="D567" s="8"/>
      <c r="E567" s="8"/>
      <c r="F567" s="8"/>
      <c r="G567" s="8"/>
    </row>
    <row r="568" spans="1:7" x14ac:dyDescent="0.25">
      <c r="A568" s="8"/>
      <c r="B568" s="8"/>
      <c r="C568" s="8"/>
      <c r="D568" s="8"/>
      <c r="E568" s="8"/>
      <c r="F568" s="8"/>
      <c r="G568" s="8"/>
    </row>
    <row r="569" spans="1:7" x14ac:dyDescent="0.25">
      <c r="A569" s="8"/>
      <c r="B569" s="8"/>
      <c r="C569" s="8"/>
      <c r="D569" s="8"/>
      <c r="E569" s="8"/>
      <c r="F569" s="8"/>
      <c r="G569" s="8"/>
    </row>
    <row r="570" spans="1:7" x14ac:dyDescent="0.25">
      <c r="A570" s="8"/>
      <c r="B570" s="8"/>
      <c r="C570" s="8"/>
      <c r="D570" s="8"/>
      <c r="E570" s="8"/>
      <c r="F570" s="8"/>
      <c r="G570" s="8"/>
    </row>
    <row r="571" spans="1:7" x14ac:dyDescent="0.25">
      <c r="A571" s="8"/>
      <c r="B571" s="8"/>
      <c r="C571" s="8"/>
      <c r="D571" s="8"/>
      <c r="E571" s="8"/>
      <c r="F571" s="8"/>
      <c r="G571" s="8"/>
    </row>
    <row r="572" spans="1:7" x14ac:dyDescent="0.25">
      <c r="A572" s="8"/>
      <c r="B572" s="8"/>
      <c r="C572" s="8"/>
      <c r="D572" s="8"/>
      <c r="E572" s="8"/>
      <c r="F572" s="8"/>
      <c r="G572" s="8"/>
    </row>
    <row r="573" spans="1:7" x14ac:dyDescent="0.25">
      <c r="A573" s="8"/>
      <c r="B573" s="8"/>
      <c r="C573" s="8"/>
      <c r="D573" s="8"/>
      <c r="E573" s="8"/>
      <c r="F573" s="8"/>
      <c r="G573" s="8"/>
    </row>
    <row r="574" spans="1:7" x14ac:dyDescent="0.25">
      <c r="A574" s="8"/>
      <c r="B574" s="8"/>
      <c r="C574" s="8"/>
      <c r="D574" s="8"/>
      <c r="E574" s="8"/>
      <c r="F574" s="8"/>
      <c r="G574" s="8"/>
    </row>
    <row r="575" spans="1:7" x14ac:dyDescent="0.25">
      <c r="A575" s="8"/>
      <c r="B575" s="8"/>
      <c r="C575" s="8"/>
      <c r="D575" s="8"/>
      <c r="E575" s="8"/>
      <c r="F575" s="8"/>
      <c r="G575" s="8"/>
    </row>
    <row r="576" spans="1:7" x14ac:dyDescent="0.25">
      <c r="A576" s="8"/>
      <c r="B576" s="8"/>
      <c r="C576" s="8"/>
      <c r="D576" s="8"/>
      <c r="E576" s="8"/>
      <c r="F576" s="8"/>
      <c r="G576" s="8"/>
    </row>
    <row r="577" spans="1:7" x14ac:dyDescent="0.25">
      <c r="A577" s="8"/>
      <c r="B577" s="8"/>
      <c r="C577" s="8"/>
      <c r="D577" s="8"/>
      <c r="E577" s="8"/>
      <c r="F577" s="8"/>
      <c r="G577" s="8"/>
    </row>
    <row r="578" spans="1:7" x14ac:dyDescent="0.25">
      <c r="A578" s="8"/>
      <c r="B578" s="8"/>
      <c r="C578" s="8"/>
      <c r="D578" s="8"/>
      <c r="E578" s="8"/>
      <c r="F578" s="8"/>
      <c r="G578" s="8"/>
    </row>
    <row r="579" spans="1:7" x14ac:dyDescent="0.25">
      <c r="A579" s="8"/>
      <c r="B579" s="8"/>
      <c r="C579" s="8"/>
      <c r="D579" s="8"/>
      <c r="E579" s="8"/>
      <c r="F579" s="8"/>
      <c r="G579" s="8"/>
    </row>
    <row r="580" spans="1:7" x14ac:dyDescent="0.25">
      <c r="A580" s="8"/>
      <c r="B580" s="8"/>
      <c r="C580" s="8"/>
      <c r="D580" s="8"/>
      <c r="E580" s="8"/>
      <c r="F580" s="8"/>
      <c r="G580" s="8"/>
    </row>
    <row r="581" spans="1:7" x14ac:dyDescent="0.25">
      <c r="A581" s="8"/>
      <c r="B581" s="8"/>
      <c r="C581" s="8"/>
      <c r="D581" s="8"/>
      <c r="E581" s="8"/>
      <c r="F581" s="8"/>
      <c r="G581" s="8"/>
    </row>
    <row r="582" spans="1:7" x14ac:dyDescent="0.25">
      <c r="A582" s="8"/>
      <c r="B582" s="8"/>
      <c r="C582" s="8"/>
      <c r="D582" s="8"/>
      <c r="E582" s="8"/>
      <c r="F582" s="8"/>
      <c r="G582" s="8"/>
    </row>
    <row r="583" spans="1:7" x14ac:dyDescent="0.25">
      <c r="A583" s="8"/>
      <c r="B583" s="8"/>
      <c r="C583" s="8"/>
      <c r="D583" s="8"/>
      <c r="E583" s="8"/>
      <c r="F583" s="8"/>
      <c r="G583" s="8"/>
    </row>
    <row r="584" spans="1:7" x14ac:dyDescent="0.25">
      <c r="A584" s="8"/>
      <c r="B584" s="8"/>
      <c r="C584" s="8"/>
      <c r="D584" s="8"/>
      <c r="E584" s="8"/>
      <c r="F584" s="8"/>
      <c r="G584" s="8"/>
    </row>
    <row r="585" spans="1:7" x14ac:dyDescent="0.25">
      <c r="A585" s="8"/>
      <c r="B585" s="8"/>
      <c r="C585" s="8"/>
      <c r="D585" s="8"/>
      <c r="E585" s="8"/>
      <c r="F585" s="8"/>
      <c r="G585" s="8"/>
    </row>
    <row r="586" spans="1:7" x14ac:dyDescent="0.25">
      <c r="A586" s="8"/>
      <c r="B586" s="8"/>
      <c r="C586" s="8"/>
      <c r="D586" s="8"/>
      <c r="E586" s="8"/>
      <c r="F586" s="8"/>
      <c r="G586" s="8"/>
    </row>
    <row r="587" spans="1:7" x14ac:dyDescent="0.25">
      <c r="A587" s="8"/>
      <c r="B587" s="8"/>
      <c r="C587" s="8"/>
      <c r="D587" s="8"/>
      <c r="E587" s="8"/>
      <c r="F587" s="8"/>
      <c r="G587" s="8"/>
    </row>
    <row r="588" spans="1:7" x14ac:dyDescent="0.25">
      <c r="A588" s="8"/>
      <c r="B588" s="8"/>
      <c r="C588" s="8"/>
      <c r="D588" s="8"/>
      <c r="E588" s="8"/>
      <c r="F588" s="8"/>
      <c r="G588" s="8"/>
    </row>
    <row r="589" spans="1:7" x14ac:dyDescent="0.25">
      <c r="A589" s="8"/>
      <c r="B589" s="8"/>
      <c r="C589" s="8"/>
      <c r="D589" s="8"/>
      <c r="E589" s="8"/>
      <c r="F589" s="8"/>
      <c r="G589" s="8"/>
    </row>
    <row r="590" spans="1:7" x14ac:dyDescent="0.25">
      <c r="A590" s="8"/>
      <c r="B590" s="8"/>
      <c r="C590" s="8"/>
      <c r="D590" s="8"/>
      <c r="E590" s="8"/>
      <c r="F590" s="8"/>
      <c r="G590" s="8"/>
    </row>
    <row r="591" spans="1:7" x14ac:dyDescent="0.25">
      <c r="A591" s="8"/>
      <c r="B591" s="8"/>
      <c r="C591" s="8"/>
      <c r="D591" s="8"/>
      <c r="E591" s="8"/>
      <c r="F591" s="8"/>
      <c r="G591" s="8"/>
    </row>
    <row r="592" spans="1:7" x14ac:dyDescent="0.25">
      <c r="A592" s="8"/>
      <c r="B592" s="8"/>
      <c r="C592" s="8"/>
      <c r="D592" s="8"/>
      <c r="E592" s="8"/>
      <c r="F592" s="8"/>
      <c r="G592" s="8"/>
    </row>
    <row r="593" spans="1:7" x14ac:dyDescent="0.25">
      <c r="A593" s="8"/>
      <c r="B593" s="8"/>
      <c r="C593" s="8"/>
      <c r="D593" s="8"/>
      <c r="E593" s="8"/>
      <c r="F593" s="8"/>
      <c r="G593" s="8"/>
    </row>
    <row r="594" spans="1:7" x14ac:dyDescent="0.25">
      <c r="A594" s="8"/>
      <c r="B594" s="8"/>
      <c r="C594" s="8"/>
      <c r="D594" s="8"/>
      <c r="E594" s="8"/>
      <c r="F594" s="8"/>
      <c r="G594" s="8"/>
    </row>
    <row r="595" spans="1:7" x14ac:dyDescent="0.25">
      <c r="A595" s="8"/>
      <c r="B595" s="8"/>
      <c r="C595" s="8"/>
      <c r="D595" s="8"/>
      <c r="E595" s="8"/>
      <c r="F595" s="8"/>
      <c r="G595" s="8"/>
    </row>
    <row r="596" spans="1:7" x14ac:dyDescent="0.25">
      <c r="A596" s="8"/>
      <c r="B596" s="8"/>
      <c r="C596" s="8"/>
      <c r="D596" s="8"/>
      <c r="E596" s="8"/>
      <c r="F596" s="8"/>
      <c r="G596" s="8"/>
    </row>
    <row r="597" spans="1:7" x14ac:dyDescent="0.25">
      <c r="A597" s="8"/>
      <c r="B597" s="8"/>
      <c r="C597" s="8"/>
      <c r="D597" s="8"/>
      <c r="E597" s="8"/>
      <c r="F597" s="8"/>
      <c r="G597" s="8"/>
    </row>
    <row r="598" spans="1:7" x14ac:dyDescent="0.25">
      <c r="A598" s="8"/>
      <c r="B598" s="8"/>
      <c r="C598" s="8"/>
      <c r="D598" s="8"/>
      <c r="E598" s="8"/>
      <c r="F598" s="8"/>
      <c r="G598" s="8"/>
    </row>
    <row r="599" spans="1:7" x14ac:dyDescent="0.25">
      <c r="A599" s="8"/>
      <c r="B599" s="8"/>
      <c r="C599" s="8"/>
      <c r="D599" s="8"/>
      <c r="E599" s="8"/>
      <c r="F599" s="8"/>
      <c r="G599" s="8"/>
    </row>
    <row r="600" spans="1:7" x14ac:dyDescent="0.25">
      <c r="A600" s="8"/>
      <c r="B600" s="8"/>
      <c r="C600" s="8"/>
      <c r="D600" s="8"/>
      <c r="E600" s="8"/>
      <c r="F600" s="8"/>
      <c r="G600" s="8"/>
    </row>
    <row r="601" spans="1:7" x14ac:dyDescent="0.25">
      <c r="A601" s="8"/>
      <c r="B601" s="8"/>
      <c r="C601" s="8"/>
      <c r="D601" s="8"/>
      <c r="E601" s="8"/>
      <c r="F601" s="8"/>
      <c r="G601" s="8"/>
    </row>
    <row r="602" spans="1:7" x14ac:dyDescent="0.25">
      <c r="A602" s="8"/>
      <c r="B602" s="8"/>
      <c r="C602" s="8"/>
      <c r="D602" s="8"/>
      <c r="E602" s="8"/>
      <c r="F602" s="8"/>
      <c r="G602" s="8"/>
    </row>
    <row r="603" spans="1:7" x14ac:dyDescent="0.25">
      <c r="A603" s="8"/>
      <c r="B603" s="8"/>
      <c r="C603" s="8"/>
      <c r="D603" s="8"/>
      <c r="E603" s="8"/>
      <c r="F603" s="8"/>
      <c r="G603" s="8"/>
    </row>
    <row r="604" spans="1:7" x14ac:dyDescent="0.25">
      <c r="A604" s="8"/>
      <c r="B604" s="8"/>
      <c r="C604" s="8"/>
      <c r="D604" s="8"/>
      <c r="E604" s="8"/>
      <c r="F604" s="8"/>
      <c r="G604" s="8"/>
    </row>
    <row r="605" spans="1:7" x14ac:dyDescent="0.25">
      <c r="A605" s="8"/>
      <c r="B605" s="8"/>
      <c r="C605" s="8"/>
      <c r="D605" s="8"/>
      <c r="E605" s="8"/>
      <c r="F605" s="8"/>
      <c r="G605" s="8"/>
    </row>
    <row r="606" spans="1:7" x14ac:dyDescent="0.25">
      <c r="A606" s="8"/>
      <c r="B606" s="8"/>
      <c r="C606" s="8"/>
      <c r="D606" s="8"/>
      <c r="E606" s="8"/>
      <c r="F606" s="8"/>
      <c r="G606" s="8"/>
    </row>
    <row r="607" spans="1:7" x14ac:dyDescent="0.25">
      <c r="A607" s="8"/>
      <c r="B607" s="8"/>
      <c r="C607" s="8"/>
      <c r="D607" s="8"/>
      <c r="E607" s="8"/>
      <c r="F607" s="8"/>
      <c r="G607" s="8"/>
    </row>
    <row r="608" spans="1:7" x14ac:dyDescent="0.25">
      <c r="A608" s="8"/>
      <c r="B608" s="8"/>
      <c r="C608" s="8"/>
      <c r="D608" s="8"/>
      <c r="E608" s="8"/>
      <c r="F608" s="8"/>
      <c r="G608" s="8"/>
    </row>
    <row r="609" spans="1:7" x14ac:dyDescent="0.25">
      <c r="A609" s="8"/>
      <c r="B609" s="8"/>
      <c r="C609" s="8"/>
      <c r="D609" s="8"/>
      <c r="E609" s="8"/>
      <c r="F609" s="8"/>
      <c r="G609" s="8"/>
    </row>
    <row r="610" spans="1:7" x14ac:dyDescent="0.25">
      <c r="A610" s="8"/>
      <c r="B610" s="8"/>
      <c r="C610" s="8"/>
      <c r="D610" s="8"/>
      <c r="E610" s="8"/>
      <c r="F610" s="8"/>
      <c r="G610" s="8"/>
    </row>
    <row r="611" spans="1:7" x14ac:dyDescent="0.25">
      <c r="A611" s="8"/>
      <c r="B611" s="8"/>
      <c r="C611" s="8"/>
      <c r="D611" s="8"/>
      <c r="E611" s="8"/>
      <c r="F611" s="8"/>
      <c r="G611" s="8"/>
    </row>
    <row r="612" spans="1:7" x14ac:dyDescent="0.25">
      <c r="A612" s="8"/>
      <c r="B612" s="8"/>
      <c r="C612" s="8"/>
      <c r="D612" s="8"/>
      <c r="E612" s="8"/>
      <c r="F612" s="8"/>
      <c r="G612" s="8"/>
    </row>
    <row r="613" spans="1:7" x14ac:dyDescent="0.25">
      <c r="A613" s="8"/>
      <c r="B613" s="8"/>
      <c r="C613" s="8"/>
      <c r="D613" s="8"/>
      <c r="E613" s="8"/>
      <c r="F613" s="8"/>
      <c r="G613" s="8"/>
    </row>
    <row r="614" spans="1:7" x14ac:dyDescent="0.25">
      <c r="A614" s="8"/>
      <c r="B614" s="8"/>
      <c r="C614" s="8"/>
      <c r="D614" s="8"/>
      <c r="E614" s="8"/>
      <c r="F614" s="8"/>
      <c r="G614" s="8"/>
    </row>
    <row r="615" spans="1:7" x14ac:dyDescent="0.25">
      <c r="A615" s="8"/>
      <c r="B615" s="8"/>
      <c r="C615" s="8"/>
      <c r="D615" s="8"/>
      <c r="E615" s="8"/>
      <c r="F615" s="8"/>
      <c r="G615" s="8"/>
    </row>
    <row r="616" spans="1:7" x14ac:dyDescent="0.25">
      <c r="A616" s="8"/>
      <c r="B616" s="8"/>
      <c r="C616" s="8"/>
      <c r="D616" s="8"/>
      <c r="E616" s="8"/>
      <c r="F616" s="8"/>
      <c r="G616" s="8"/>
    </row>
    <row r="617" spans="1:7" x14ac:dyDescent="0.25">
      <c r="A617" s="8"/>
      <c r="B617" s="8"/>
      <c r="C617" s="8"/>
      <c r="D617" s="8"/>
      <c r="E617" s="8"/>
      <c r="F617" s="8"/>
      <c r="G617" s="8"/>
    </row>
    <row r="618" spans="1:7" x14ac:dyDescent="0.25">
      <c r="A618" s="8"/>
      <c r="B618" s="8"/>
      <c r="C618" s="8"/>
      <c r="D618" s="8"/>
      <c r="E618" s="8"/>
      <c r="F618" s="8"/>
      <c r="G618" s="8"/>
    </row>
    <row r="619" spans="1:7" x14ac:dyDescent="0.25">
      <c r="A619" s="8"/>
      <c r="B619" s="8"/>
      <c r="C619" s="8"/>
      <c r="D619" s="8"/>
      <c r="E619" s="8"/>
      <c r="F619" s="8"/>
      <c r="G619" s="8"/>
    </row>
    <row r="620" spans="1:7" x14ac:dyDescent="0.25">
      <c r="A620" s="8"/>
      <c r="B620" s="8"/>
      <c r="C620" s="8"/>
      <c r="D620" s="8"/>
      <c r="E620" s="8"/>
      <c r="F620" s="8"/>
      <c r="G620" s="8"/>
    </row>
    <row r="621" spans="1:7" x14ac:dyDescent="0.25">
      <c r="A621" s="8"/>
      <c r="B621" s="8"/>
      <c r="C621" s="8"/>
      <c r="D621" s="8"/>
      <c r="E621" s="8"/>
      <c r="F621" s="8"/>
      <c r="G621" s="8"/>
    </row>
    <row r="622" spans="1:7" x14ac:dyDescent="0.25">
      <c r="A622" s="8"/>
      <c r="B622" s="8"/>
      <c r="C622" s="8"/>
      <c r="D622" s="8"/>
      <c r="E622" s="8"/>
      <c r="F622" s="8"/>
      <c r="G622" s="8"/>
    </row>
    <row r="623" spans="1:7" x14ac:dyDescent="0.25">
      <c r="A623" s="8"/>
      <c r="B623" s="8"/>
      <c r="C623" s="8"/>
      <c r="D623" s="8"/>
      <c r="E623" s="8"/>
      <c r="F623" s="8"/>
      <c r="G623" s="8"/>
    </row>
    <row r="624" spans="1:7" x14ac:dyDescent="0.25">
      <c r="A624" s="8"/>
      <c r="B624" s="8"/>
      <c r="C624" s="8"/>
      <c r="D624" s="8"/>
      <c r="E624" s="8"/>
      <c r="F624" s="8"/>
      <c r="G624" s="8"/>
    </row>
    <row r="625" spans="1:7" x14ac:dyDescent="0.25">
      <c r="A625" s="8"/>
      <c r="B625" s="8"/>
      <c r="C625" s="8"/>
      <c r="D625" s="8"/>
      <c r="E625" s="8"/>
      <c r="F625" s="8"/>
      <c r="G625" s="8"/>
    </row>
    <row r="626" spans="1:7" x14ac:dyDescent="0.25">
      <c r="A626" s="8"/>
      <c r="B626" s="8"/>
      <c r="C626" s="8"/>
      <c r="D626" s="8"/>
      <c r="E626" s="8"/>
      <c r="F626" s="8"/>
      <c r="G626" s="8"/>
    </row>
    <row r="627" spans="1:7" x14ac:dyDescent="0.25">
      <c r="A627" s="8"/>
      <c r="B627" s="8"/>
      <c r="C627" s="8"/>
      <c r="D627" s="8"/>
      <c r="E627" s="8"/>
      <c r="F627" s="8"/>
      <c r="G627" s="8"/>
    </row>
    <row r="628" spans="1:7" x14ac:dyDescent="0.25">
      <c r="A628" s="8"/>
      <c r="B628" s="8"/>
      <c r="C628" s="8"/>
      <c r="D628" s="8"/>
      <c r="E628" s="8"/>
      <c r="F628" s="8"/>
      <c r="G628" s="8"/>
    </row>
    <row r="629" spans="1:7" x14ac:dyDescent="0.25">
      <c r="A629" s="8"/>
      <c r="B629" s="8"/>
      <c r="C629" s="8"/>
      <c r="D629" s="8"/>
      <c r="E629" s="8"/>
      <c r="F629" s="8"/>
      <c r="G629" s="8"/>
    </row>
    <row r="630" spans="1:7" x14ac:dyDescent="0.25">
      <c r="A630" s="8"/>
      <c r="B630" s="8"/>
      <c r="C630" s="8"/>
      <c r="D630" s="8"/>
      <c r="E630" s="8"/>
      <c r="F630" s="8"/>
      <c r="G630" s="8"/>
    </row>
    <row r="631" spans="1:7" x14ac:dyDescent="0.25">
      <c r="A631" s="8"/>
      <c r="B631" s="8"/>
      <c r="C631" s="8"/>
      <c r="D631" s="8"/>
      <c r="E631" s="8"/>
      <c r="F631" s="8"/>
      <c r="G631" s="8"/>
    </row>
    <row r="632" spans="1:7" x14ac:dyDescent="0.25">
      <c r="A632" s="8"/>
      <c r="B632" s="8"/>
      <c r="C632" s="8"/>
      <c r="D632" s="8"/>
      <c r="E632" s="8"/>
      <c r="F632" s="8"/>
      <c r="G632" s="8"/>
    </row>
    <row r="633" spans="1:7" x14ac:dyDescent="0.25">
      <c r="A633" s="8"/>
      <c r="B633" s="8"/>
      <c r="C633" s="8"/>
      <c r="D633" s="8"/>
      <c r="E633" s="8"/>
      <c r="F633" s="8"/>
      <c r="G633" s="8"/>
    </row>
    <row r="634" spans="1:7" x14ac:dyDescent="0.25">
      <c r="A634" s="8"/>
      <c r="B634" s="8"/>
      <c r="C634" s="8"/>
      <c r="D634" s="8"/>
      <c r="E634" s="8"/>
      <c r="F634" s="8"/>
      <c r="G634" s="8"/>
    </row>
    <row r="635" spans="1:7" x14ac:dyDescent="0.25">
      <c r="A635" s="8"/>
      <c r="B635" s="8"/>
      <c r="C635" s="8"/>
      <c r="D635" s="8"/>
      <c r="E635" s="8"/>
      <c r="F635" s="8"/>
      <c r="G635" s="8"/>
    </row>
    <row r="636" spans="1:7" x14ac:dyDescent="0.25">
      <c r="A636" s="8"/>
      <c r="B636" s="8"/>
      <c r="C636" s="8"/>
      <c r="D636" s="8"/>
      <c r="E636" s="8"/>
      <c r="F636" s="8"/>
      <c r="G636" s="8"/>
    </row>
    <row r="637" spans="1:7" x14ac:dyDescent="0.25">
      <c r="A637" s="8"/>
      <c r="B637" s="8"/>
      <c r="C637" s="8"/>
      <c r="D637" s="8"/>
      <c r="E637" s="8"/>
      <c r="F637" s="8"/>
      <c r="G637" s="8"/>
    </row>
    <row r="638" spans="1:7" x14ac:dyDescent="0.25">
      <c r="A638" s="8"/>
      <c r="B638" s="8"/>
      <c r="C638" s="8"/>
      <c r="D638" s="8"/>
      <c r="E638" s="8"/>
      <c r="F638" s="8"/>
      <c r="G638" s="8"/>
    </row>
    <row r="639" spans="1:7" x14ac:dyDescent="0.25">
      <c r="A639" s="8"/>
      <c r="B639" s="8"/>
      <c r="C639" s="8"/>
      <c r="D639" s="8"/>
      <c r="E639" s="8"/>
      <c r="F639" s="8"/>
      <c r="G639" s="8"/>
    </row>
    <row r="640" spans="1:7" x14ac:dyDescent="0.25">
      <c r="A640" s="8"/>
      <c r="B640" s="8"/>
      <c r="C640" s="8"/>
      <c r="D640" s="8"/>
      <c r="E640" s="8"/>
      <c r="F640" s="8"/>
      <c r="G640" s="8"/>
    </row>
    <row r="641" spans="1:7" x14ac:dyDescent="0.25">
      <c r="A641" s="8"/>
      <c r="B641" s="8"/>
      <c r="C641" s="8"/>
      <c r="D641" s="8"/>
      <c r="E641" s="8"/>
      <c r="F641" s="8"/>
      <c r="G641" s="8"/>
    </row>
    <row r="642" spans="1:7" x14ac:dyDescent="0.25">
      <c r="A642" s="8"/>
      <c r="B642" s="8"/>
      <c r="C642" s="8"/>
      <c r="D642" s="8"/>
      <c r="E642" s="8"/>
      <c r="F642" s="8"/>
      <c r="G642" s="8"/>
    </row>
    <row r="643" spans="1:7" x14ac:dyDescent="0.25">
      <c r="A643" s="8"/>
      <c r="B643" s="8"/>
      <c r="C643" s="8"/>
      <c r="D643" s="8"/>
      <c r="E643" s="8"/>
      <c r="F643" s="8"/>
      <c r="G643" s="8"/>
    </row>
    <row r="644" spans="1:7" x14ac:dyDescent="0.25">
      <c r="A644" s="8"/>
      <c r="B644" s="8"/>
      <c r="C644" s="8"/>
      <c r="D644" s="8"/>
      <c r="E644" s="8"/>
      <c r="F644" s="8"/>
      <c r="G644" s="8"/>
    </row>
    <row r="645" spans="1:7" x14ac:dyDescent="0.25">
      <c r="A645" s="8"/>
      <c r="B645" s="8"/>
      <c r="C645" s="8"/>
      <c r="D645" s="8"/>
      <c r="E645" s="8"/>
      <c r="F645" s="8"/>
      <c r="G645" s="8"/>
    </row>
    <row r="646" spans="1:7" x14ac:dyDescent="0.25">
      <c r="A646" s="8"/>
      <c r="B646" s="8"/>
      <c r="C646" s="8"/>
      <c r="D646" s="8"/>
      <c r="E646" s="8"/>
      <c r="F646" s="8"/>
      <c r="G646" s="8"/>
    </row>
    <row r="647" spans="1:7" x14ac:dyDescent="0.25">
      <c r="A647" s="8"/>
      <c r="B647" s="8"/>
      <c r="C647" s="8"/>
      <c r="D647" s="8"/>
      <c r="E647" s="8"/>
      <c r="F647" s="8"/>
      <c r="G647" s="8"/>
    </row>
    <row r="648" spans="1:7" x14ac:dyDescent="0.25">
      <c r="A648" s="8"/>
      <c r="B648" s="8"/>
      <c r="C648" s="8"/>
      <c r="D648" s="8"/>
      <c r="E648" s="8"/>
      <c r="F648" s="8"/>
      <c r="G648" s="8"/>
    </row>
    <row r="649" spans="1:7" x14ac:dyDescent="0.25">
      <c r="A649" s="8"/>
      <c r="B649" s="8"/>
      <c r="C649" s="8"/>
      <c r="D649" s="8"/>
      <c r="E649" s="8"/>
      <c r="F649" s="8"/>
      <c r="G649" s="8"/>
    </row>
    <row r="650" spans="1:7" x14ac:dyDescent="0.25">
      <c r="A650" s="8"/>
      <c r="B650" s="8"/>
      <c r="C650" s="8"/>
      <c r="D650" s="8"/>
      <c r="E650" s="8"/>
      <c r="F650" s="8"/>
      <c r="G650" s="8"/>
    </row>
    <row r="651" spans="1:7" x14ac:dyDescent="0.25">
      <c r="A651" s="8"/>
      <c r="B651" s="8"/>
      <c r="C651" s="8"/>
      <c r="D651" s="8"/>
      <c r="E651" s="8"/>
      <c r="F651" s="8"/>
      <c r="G651" s="8"/>
    </row>
    <row r="652" spans="1:7" x14ac:dyDescent="0.25">
      <c r="A652" s="8"/>
      <c r="B652" s="8"/>
      <c r="C652" s="8"/>
      <c r="D652" s="8"/>
      <c r="E652" s="8"/>
      <c r="F652" s="8"/>
      <c r="G652" s="8"/>
    </row>
    <row r="653" spans="1:7" x14ac:dyDescent="0.25">
      <c r="A653" s="8"/>
      <c r="B653" s="8"/>
      <c r="C653" s="8"/>
      <c r="D653" s="8"/>
      <c r="E653" s="8"/>
      <c r="F653" s="8"/>
      <c r="G653" s="8"/>
    </row>
    <row r="654" spans="1:7" x14ac:dyDescent="0.25">
      <c r="A654" s="8"/>
      <c r="B654" s="8"/>
      <c r="C654" s="8"/>
      <c r="D654" s="8"/>
      <c r="E654" s="8"/>
      <c r="F654" s="8"/>
      <c r="G654" s="8"/>
    </row>
    <row r="655" spans="1:7" x14ac:dyDescent="0.25">
      <c r="A655" s="8"/>
      <c r="B655" s="8"/>
      <c r="C655" s="8"/>
      <c r="D655" s="8"/>
      <c r="E655" s="8"/>
      <c r="F655" s="8"/>
      <c r="G655" s="8"/>
    </row>
    <row r="656" spans="1:7" x14ac:dyDescent="0.25">
      <c r="A656" s="8"/>
      <c r="B656" s="8"/>
      <c r="C656" s="8"/>
      <c r="D656" s="8"/>
      <c r="E656" s="8"/>
      <c r="F656" s="8"/>
      <c r="G656" s="8"/>
    </row>
    <row r="657" spans="1:7" x14ac:dyDescent="0.25">
      <c r="A657" s="8"/>
      <c r="B657" s="8"/>
      <c r="C657" s="8"/>
      <c r="D657" s="8"/>
      <c r="E657" s="8"/>
      <c r="F657" s="8"/>
      <c r="G657" s="8"/>
    </row>
    <row r="658" spans="1:7" x14ac:dyDescent="0.25">
      <c r="A658" s="8"/>
      <c r="B658" s="8"/>
      <c r="C658" s="8"/>
      <c r="D658" s="8"/>
      <c r="E658" s="8"/>
      <c r="F658" s="8"/>
      <c r="G658" s="8"/>
    </row>
    <row r="659" spans="1:7" x14ac:dyDescent="0.25">
      <c r="A659" s="8"/>
      <c r="B659" s="8"/>
      <c r="C659" s="8"/>
      <c r="D659" s="8"/>
      <c r="E659" s="8"/>
      <c r="F659" s="8"/>
      <c r="G659" s="8"/>
    </row>
    <row r="660" spans="1:7" x14ac:dyDescent="0.25">
      <c r="A660" s="8"/>
      <c r="B660" s="8"/>
      <c r="C660" s="8"/>
      <c r="D660" s="8"/>
      <c r="E660" s="8"/>
      <c r="F660" s="8"/>
      <c r="G660" s="8"/>
    </row>
    <row r="661" spans="1:7" x14ac:dyDescent="0.25">
      <c r="A661" s="8"/>
      <c r="B661" s="8"/>
      <c r="C661" s="8"/>
      <c r="D661" s="8"/>
      <c r="E661" s="8"/>
      <c r="F661" s="8"/>
      <c r="G661" s="8"/>
    </row>
    <row r="662" spans="1:7" x14ac:dyDescent="0.25">
      <c r="A662" s="8"/>
      <c r="B662" s="8"/>
      <c r="C662" s="8"/>
      <c r="D662" s="8"/>
      <c r="E662" s="8"/>
      <c r="F662" s="8"/>
      <c r="G662" s="8"/>
    </row>
    <row r="663" spans="1:7" x14ac:dyDescent="0.25">
      <c r="A663" s="8"/>
      <c r="B663" s="8"/>
      <c r="C663" s="8"/>
      <c r="D663" s="8"/>
      <c r="E663" s="8"/>
      <c r="F663" s="8"/>
      <c r="G663" s="8"/>
    </row>
    <row r="664" spans="1:7" x14ac:dyDescent="0.25">
      <c r="A664" s="8"/>
      <c r="B664" s="8"/>
      <c r="C664" s="8"/>
      <c r="D664" s="8"/>
      <c r="E664" s="8"/>
      <c r="F664" s="8"/>
      <c r="G664" s="8"/>
    </row>
    <row r="665" spans="1:7" x14ac:dyDescent="0.25">
      <c r="A665" s="8"/>
      <c r="B665" s="8"/>
      <c r="C665" s="8"/>
      <c r="D665" s="8"/>
      <c r="E665" s="8"/>
      <c r="F665" s="8"/>
      <c r="G665" s="8"/>
    </row>
    <row r="666" spans="1:7" x14ac:dyDescent="0.25">
      <c r="A666" s="8"/>
      <c r="B666" s="8"/>
      <c r="C666" s="8"/>
      <c r="D666" s="8"/>
      <c r="E666" s="8"/>
      <c r="F666" s="8"/>
      <c r="G666" s="8"/>
    </row>
    <row r="667" spans="1:7" x14ac:dyDescent="0.25">
      <c r="A667" s="8"/>
      <c r="B667" s="8"/>
      <c r="C667" s="8"/>
      <c r="D667" s="8"/>
      <c r="E667" s="8"/>
      <c r="F667" s="8"/>
      <c r="G667" s="8"/>
    </row>
    <row r="668" spans="1:7" x14ac:dyDescent="0.25">
      <c r="A668" s="8"/>
      <c r="B668" s="8"/>
      <c r="C668" s="8"/>
      <c r="D668" s="8"/>
      <c r="E668" s="8"/>
      <c r="F668" s="8"/>
      <c r="G668" s="8"/>
    </row>
    <row r="669" spans="1:7" x14ac:dyDescent="0.25">
      <c r="A669" s="8"/>
      <c r="B669" s="8"/>
      <c r="C669" s="8"/>
      <c r="D669" s="8"/>
      <c r="E669" s="8"/>
      <c r="F669" s="8"/>
      <c r="G669" s="8"/>
    </row>
    <row r="670" spans="1:7" x14ac:dyDescent="0.25">
      <c r="A670" s="8"/>
      <c r="B670" s="8"/>
      <c r="C670" s="8"/>
      <c r="D670" s="8"/>
      <c r="E670" s="8"/>
      <c r="F670" s="8"/>
      <c r="G670" s="8"/>
    </row>
    <row r="671" spans="1:7" x14ac:dyDescent="0.25">
      <c r="A671" s="8"/>
      <c r="B671" s="8"/>
      <c r="C671" s="8"/>
      <c r="D671" s="8"/>
      <c r="E671" s="8"/>
      <c r="F671" s="8"/>
      <c r="G671" s="8"/>
    </row>
    <row r="672" spans="1:7" x14ac:dyDescent="0.25">
      <c r="A672" s="8"/>
      <c r="B672" s="8"/>
      <c r="C672" s="8"/>
      <c r="D672" s="8"/>
      <c r="E672" s="8"/>
      <c r="F672" s="8"/>
      <c r="G672" s="8"/>
    </row>
    <row r="673" spans="1:7" x14ac:dyDescent="0.25">
      <c r="A673" s="8"/>
      <c r="B673" s="8"/>
      <c r="C673" s="8"/>
      <c r="D673" s="8"/>
      <c r="E673" s="8"/>
      <c r="F673" s="8"/>
      <c r="G673" s="8"/>
    </row>
    <row r="674" spans="1:7" x14ac:dyDescent="0.25">
      <c r="A674" s="8"/>
      <c r="B674" s="8"/>
      <c r="C674" s="8"/>
      <c r="D674" s="8"/>
      <c r="E674" s="8"/>
      <c r="F674" s="8"/>
      <c r="G674" s="8"/>
    </row>
    <row r="675" spans="1:7" x14ac:dyDescent="0.25">
      <c r="A675" s="8"/>
      <c r="B675" s="8"/>
      <c r="C675" s="8"/>
      <c r="D675" s="8"/>
      <c r="E675" s="8"/>
      <c r="F675" s="8"/>
      <c r="G675" s="8"/>
    </row>
    <row r="676" spans="1:7" x14ac:dyDescent="0.25">
      <c r="A676" s="8"/>
      <c r="B676" s="8"/>
      <c r="C676" s="8"/>
      <c r="D676" s="8"/>
      <c r="E676" s="8"/>
      <c r="F676" s="8"/>
      <c r="G676" s="8"/>
    </row>
    <row r="677" spans="1:7" x14ac:dyDescent="0.25">
      <c r="A677" s="8"/>
      <c r="B677" s="8"/>
      <c r="C677" s="8"/>
      <c r="D677" s="8"/>
      <c r="E677" s="8"/>
      <c r="F677" s="8"/>
      <c r="G677" s="8"/>
    </row>
    <row r="678" spans="1:7" x14ac:dyDescent="0.25">
      <c r="A678" s="8"/>
      <c r="B678" s="8"/>
      <c r="C678" s="8"/>
      <c r="D678" s="8"/>
      <c r="E678" s="8"/>
      <c r="F678" s="8"/>
      <c r="G678" s="8"/>
    </row>
    <row r="679" spans="1:7" x14ac:dyDescent="0.25">
      <c r="A679" s="8"/>
      <c r="B679" s="8"/>
      <c r="C679" s="8"/>
      <c r="D679" s="8"/>
      <c r="E679" s="8"/>
      <c r="F679" s="8"/>
      <c r="G679" s="8"/>
    </row>
    <row r="680" spans="1:7" x14ac:dyDescent="0.25">
      <c r="A680" s="8"/>
      <c r="B680" s="8"/>
      <c r="C680" s="8"/>
      <c r="D680" s="8"/>
      <c r="E680" s="8"/>
      <c r="F680" s="8"/>
      <c r="G680" s="8"/>
    </row>
    <row r="681" spans="1:7" x14ac:dyDescent="0.25">
      <c r="A681" s="8"/>
      <c r="B681" s="8"/>
      <c r="C681" s="8"/>
      <c r="D681" s="8"/>
      <c r="E681" s="8"/>
      <c r="F681" s="8"/>
      <c r="G681" s="8"/>
    </row>
    <row r="682" spans="1:7" x14ac:dyDescent="0.25">
      <c r="A682" s="8"/>
      <c r="B682" s="8"/>
      <c r="C682" s="8"/>
      <c r="D682" s="8"/>
      <c r="E682" s="8"/>
      <c r="F682" s="8"/>
      <c r="G682" s="8"/>
    </row>
    <row r="683" spans="1:7" x14ac:dyDescent="0.25">
      <c r="A683" s="8"/>
      <c r="B683" s="8"/>
      <c r="C683" s="8"/>
      <c r="D683" s="8"/>
      <c r="E683" s="8"/>
      <c r="F683" s="8"/>
      <c r="G683" s="8"/>
    </row>
    <row r="684" spans="1:7" x14ac:dyDescent="0.25">
      <c r="A684" s="8"/>
      <c r="B684" s="8"/>
      <c r="C684" s="8"/>
      <c r="D684" s="8"/>
      <c r="E684" s="8"/>
      <c r="F684" s="8"/>
      <c r="G684" s="8"/>
    </row>
    <row r="685" spans="1:7" x14ac:dyDescent="0.25">
      <c r="A685" s="8"/>
      <c r="B685" s="8"/>
      <c r="C685" s="8"/>
      <c r="D685" s="8"/>
      <c r="E685" s="8"/>
      <c r="F685" s="8"/>
      <c r="G685" s="8"/>
    </row>
    <row r="686" spans="1:7" x14ac:dyDescent="0.25">
      <c r="A686" s="8"/>
      <c r="B686" s="8"/>
      <c r="C686" s="8"/>
      <c r="D686" s="8"/>
      <c r="E686" s="8"/>
      <c r="F686" s="8"/>
      <c r="G686" s="8"/>
    </row>
    <row r="687" spans="1:7" x14ac:dyDescent="0.25">
      <c r="A687" s="8"/>
      <c r="B687" s="8"/>
      <c r="C687" s="8"/>
      <c r="D687" s="8"/>
      <c r="E687" s="8"/>
      <c r="F687" s="8"/>
      <c r="G687" s="8"/>
    </row>
    <row r="688" spans="1:7" x14ac:dyDescent="0.25">
      <c r="A688" s="8"/>
      <c r="B688" s="8"/>
      <c r="C688" s="8"/>
      <c r="D688" s="8"/>
      <c r="E688" s="8"/>
      <c r="F688" s="8"/>
      <c r="G688" s="8"/>
    </row>
    <row r="689" spans="1:7" x14ac:dyDescent="0.25">
      <c r="A689" s="8"/>
      <c r="B689" s="8"/>
      <c r="C689" s="8"/>
      <c r="D689" s="8"/>
      <c r="E689" s="8"/>
      <c r="F689" s="8"/>
      <c r="G689" s="8"/>
    </row>
    <row r="690" spans="1:7" x14ac:dyDescent="0.25">
      <c r="A690" s="8"/>
      <c r="B690" s="8"/>
      <c r="C690" s="8"/>
      <c r="D690" s="8"/>
      <c r="E690" s="8"/>
      <c r="F690" s="8"/>
      <c r="G690" s="8"/>
    </row>
    <row r="691" spans="1:7" x14ac:dyDescent="0.25">
      <c r="A691" s="8"/>
      <c r="B691" s="8"/>
      <c r="C691" s="8"/>
      <c r="D691" s="8"/>
      <c r="E691" s="8"/>
      <c r="F691" s="8"/>
      <c r="G691" s="8"/>
    </row>
    <row r="692" spans="1:7" x14ac:dyDescent="0.25">
      <c r="A692" s="8"/>
      <c r="B692" s="8"/>
      <c r="C692" s="8"/>
      <c r="D692" s="8"/>
      <c r="E692" s="8"/>
      <c r="F692" s="8"/>
      <c r="G692" s="8"/>
    </row>
    <row r="693" spans="1:7" x14ac:dyDescent="0.25">
      <c r="A693" s="8"/>
      <c r="B693" s="8"/>
      <c r="C693" s="8"/>
      <c r="D693" s="8"/>
      <c r="E693" s="8"/>
      <c r="F693" s="8"/>
      <c r="G693" s="8"/>
    </row>
    <row r="694" spans="1:7" x14ac:dyDescent="0.25">
      <c r="A694" s="8"/>
      <c r="B694" s="8"/>
      <c r="C694" s="8"/>
      <c r="D694" s="8"/>
      <c r="E694" s="8"/>
      <c r="F694" s="8"/>
      <c r="G694" s="8"/>
    </row>
    <row r="695" spans="1:7" x14ac:dyDescent="0.25">
      <c r="A695" s="8"/>
      <c r="B695" s="8"/>
      <c r="C695" s="8"/>
      <c r="D695" s="8"/>
      <c r="E695" s="8"/>
      <c r="F695" s="8"/>
      <c r="G695" s="8"/>
    </row>
    <row r="696" spans="1:7" x14ac:dyDescent="0.25">
      <c r="A696" s="8"/>
      <c r="B696" s="8"/>
      <c r="C696" s="8"/>
      <c r="D696" s="8"/>
      <c r="E696" s="8"/>
      <c r="F696" s="8"/>
      <c r="G696" s="8"/>
    </row>
    <row r="697" spans="1:7" x14ac:dyDescent="0.25">
      <c r="A697" s="8"/>
      <c r="B697" s="8"/>
      <c r="C697" s="8"/>
      <c r="D697" s="8"/>
      <c r="E697" s="8"/>
      <c r="F697" s="8"/>
      <c r="G697" s="8"/>
    </row>
    <row r="698" spans="1:7" x14ac:dyDescent="0.25">
      <c r="A698" s="8"/>
      <c r="B698" s="8"/>
      <c r="C698" s="8"/>
      <c r="D698" s="8"/>
      <c r="E698" s="8"/>
      <c r="F698" s="8"/>
      <c r="G698" s="8"/>
    </row>
    <row r="699" spans="1:7" x14ac:dyDescent="0.25">
      <c r="A699" s="8"/>
      <c r="B699" s="8"/>
      <c r="C699" s="8"/>
      <c r="D699" s="8"/>
      <c r="E699" s="8"/>
      <c r="F699" s="8"/>
      <c r="G699" s="8"/>
    </row>
    <row r="700" spans="1:7" x14ac:dyDescent="0.25">
      <c r="A700" s="8"/>
      <c r="B700" s="8"/>
      <c r="C700" s="8"/>
      <c r="D700" s="8"/>
      <c r="E700" s="8"/>
      <c r="F700" s="8"/>
      <c r="G700" s="8"/>
    </row>
    <row r="701" spans="1:7" x14ac:dyDescent="0.25">
      <c r="A701" s="8"/>
      <c r="B701" s="8"/>
      <c r="C701" s="8"/>
      <c r="D701" s="8"/>
      <c r="E701" s="8"/>
      <c r="F701" s="8"/>
      <c r="G701" s="8"/>
    </row>
    <row r="702" spans="1:7" x14ac:dyDescent="0.25">
      <c r="A702" s="8"/>
      <c r="B702" s="8"/>
      <c r="C702" s="8"/>
      <c r="D702" s="8"/>
      <c r="E702" s="8"/>
      <c r="F702" s="8"/>
      <c r="G702" s="8"/>
    </row>
    <row r="703" spans="1:7" x14ac:dyDescent="0.25">
      <c r="A703" s="8"/>
      <c r="B703" s="8"/>
      <c r="C703" s="8"/>
      <c r="D703" s="8"/>
      <c r="E703" s="8"/>
      <c r="F703" s="8"/>
      <c r="G703" s="8"/>
    </row>
    <row r="704" spans="1:7" x14ac:dyDescent="0.25">
      <c r="A704" s="8"/>
      <c r="B704" s="8"/>
      <c r="C704" s="8"/>
      <c r="D704" s="8"/>
      <c r="E704" s="8"/>
      <c r="F704" s="8"/>
      <c r="G704" s="8"/>
    </row>
    <row r="705" spans="1:7" x14ac:dyDescent="0.25">
      <c r="A705" s="8"/>
      <c r="B705" s="8"/>
      <c r="C705" s="8"/>
      <c r="D705" s="8"/>
      <c r="E705" s="8"/>
      <c r="F705" s="8"/>
      <c r="G705" s="8"/>
    </row>
    <row r="706" spans="1:7" x14ac:dyDescent="0.25">
      <c r="A706" s="8"/>
      <c r="B706" s="8"/>
      <c r="C706" s="8"/>
      <c r="D706" s="8"/>
      <c r="E706" s="8"/>
      <c r="F706" s="8"/>
      <c r="G706" s="8"/>
    </row>
    <row r="707" spans="1:7" x14ac:dyDescent="0.25">
      <c r="A707" s="8"/>
      <c r="B707" s="8"/>
      <c r="C707" s="8"/>
      <c r="D707" s="8"/>
      <c r="E707" s="8"/>
      <c r="F707" s="8"/>
      <c r="G707" s="8"/>
    </row>
    <row r="708" spans="1:7" x14ac:dyDescent="0.25">
      <c r="A708" s="8"/>
      <c r="B708" s="8"/>
      <c r="C708" s="8"/>
      <c r="D708" s="8"/>
      <c r="E708" s="8"/>
      <c r="F708" s="8"/>
      <c r="G708" s="8"/>
    </row>
    <row r="709" spans="1:7" x14ac:dyDescent="0.25">
      <c r="A709" s="8"/>
      <c r="B709" s="8"/>
      <c r="C709" s="8"/>
      <c r="D709" s="8"/>
      <c r="E709" s="8"/>
      <c r="F709" s="8"/>
      <c r="G709" s="8"/>
    </row>
    <row r="710" spans="1:7" x14ac:dyDescent="0.25">
      <c r="A710" s="8"/>
      <c r="B710" s="8"/>
      <c r="C710" s="8"/>
      <c r="D710" s="8"/>
      <c r="E710" s="8"/>
      <c r="F710" s="8"/>
      <c r="G710" s="8"/>
    </row>
    <row r="711" spans="1:7" x14ac:dyDescent="0.25">
      <c r="A711" s="8"/>
      <c r="B711" s="8"/>
      <c r="C711" s="8"/>
      <c r="D711" s="8"/>
      <c r="E711" s="8"/>
      <c r="F711" s="8"/>
      <c r="G711" s="8"/>
    </row>
    <row r="712" spans="1:7" x14ac:dyDescent="0.25">
      <c r="A712" s="8"/>
      <c r="B712" s="8"/>
      <c r="C712" s="8"/>
      <c r="D712" s="8"/>
      <c r="E712" s="8"/>
      <c r="F712" s="8"/>
      <c r="G712" s="8"/>
    </row>
    <row r="713" spans="1:7" x14ac:dyDescent="0.25">
      <c r="A713" s="8"/>
      <c r="B713" s="8"/>
      <c r="C713" s="8"/>
      <c r="D713" s="8"/>
      <c r="E713" s="8"/>
      <c r="F713" s="8"/>
      <c r="G713" s="8"/>
    </row>
    <row r="714" spans="1:7" x14ac:dyDescent="0.25">
      <c r="A714" s="8"/>
      <c r="B714" s="8"/>
      <c r="C714" s="8"/>
      <c r="D714" s="8"/>
      <c r="E714" s="8"/>
      <c r="F714" s="8"/>
      <c r="G714" s="8"/>
    </row>
    <row r="715" spans="1:7" x14ac:dyDescent="0.25">
      <c r="A715" s="8"/>
      <c r="B715" s="8"/>
      <c r="C715" s="8"/>
      <c r="D715" s="8"/>
      <c r="E715" s="8"/>
      <c r="F715" s="8"/>
      <c r="G715" s="8"/>
    </row>
    <row r="716" spans="1:7" x14ac:dyDescent="0.25">
      <c r="A716" s="8"/>
      <c r="B716" s="8"/>
      <c r="C716" s="8"/>
      <c r="D716" s="8"/>
      <c r="E716" s="8"/>
      <c r="F716" s="8"/>
      <c r="G716" s="8"/>
    </row>
    <row r="717" spans="1:7" x14ac:dyDescent="0.25">
      <c r="A717" s="8"/>
      <c r="B717" s="8"/>
      <c r="C717" s="8"/>
      <c r="D717" s="8"/>
      <c r="E717" s="8"/>
      <c r="F717" s="8"/>
      <c r="G717" s="8"/>
    </row>
    <row r="718" spans="1:7" x14ac:dyDescent="0.25">
      <c r="A718" s="8"/>
      <c r="B718" s="8"/>
      <c r="C718" s="8"/>
      <c r="D718" s="8"/>
      <c r="E718" s="8"/>
      <c r="F718" s="8"/>
      <c r="G718" s="8"/>
    </row>
    <row r="719" spans="1:7" x14ac:dyDescent="0.25">
      <c r="A719" s="8"/>
      <c r="B719" s="8"/>
      <c r="C719" s="8"/>
      <c r="D719" s="8"/>
      <c r="E719" s="8"/>
      <c r="F719" s="8"/>
      <c r="G719" s="8"/>
    </row>
    <row r="720" spans="1:7" x14ac:dyDescent="0.25">
      <c r="A720" s="8"/>
      <c r="B720" s="8"/>
      <c r="C720" s="8"/>
      <c r="D720" s="8"/>
      <c r="E720" s="8"/>
      <c r="F720" s="8"/>
      <c r="G720" s="8"/>
    </row>
    <row r="721" spans="1:7" x14ac:dyDescent="0.25">
      <c r="A721" s="8"/>
      <c r="B721" s="8"/>
      <c r="C721" s="8"/>
      <c r="D721" s="8"/>
      <c r="E721" s="8"/>
      <c r="F721" s="8"/>
      <c r="G721" s="8"/>
    </row>
    <row r="722" spans="1:7" x14ac:dyDescent="0.25">
      <c r="A722" s="8"/>
      <c r="B722" s="8"/>
      <c r="C722" s="8"/>
      <c r="D722" s="8"/>
      <c r="E722" s="8"/>
      <c r="F722" s="8"/>
      <c r="G722" s="8"/>
    </row>
    <row r="723" spans="1:7" x14ac:dyDescent="0.25">
      <c r="A723" s="8"/>
      <c r="B723" s="8"/>
      <c r="C723" s="8"/>
      <c r="D723" s="8"/>
      <c r="E723" s="8"/>
      <c r="F723" s="8"/>
      <c r="G723" s="8"/>
    </row>
    <row r="724" spans="1:7" x14ac:dyDescent="0.25">
      <c r="A724" s="8"/>
      <c r="B724" s="8"/>
      <c r="C724" s="8"/>
      <c r="D724" s="8"/>
      <c r="E724" s="8"/>
      <c r="F724" s="8"/>
      <c r="G724" s="8"/>
    </row>
    <row r="725" spans="1:7" x14ac:dyDescent="0.25">
      <c r="A725" s="8"/>
      <c r="B725" s="8"/>
      <c r="C725" s="8"/>
      <c r="D725" s="8"/>
      <c r="E725" s="8"/>
      <c r="F725" s="8"/>
      <c r="G725" s="8"/>
    </row>
    <row r="726" spans="1:7" x14ac:dyDescent="0.25">
      <c r="A726" s="8"/>
      <c r="B726" s="8"/>
      <c r="C726" s="8"/>
      <c r="D726" s="8"/>
      <c r="E726" s="8"/>
      <c r="F726" s="8"/>
      <c r="G726" s="8"/>
    </row>
    <row r="727" spans="1:7" x14ac:dyDescent="0.25">
      <c r="A727" s="8"/>
      <c r="B727" s="8"/>
      <c r="C727" s="8"/>
      <c r="D727" s="8"/>
      <c r="E727" s="8"/>
      <c r="F727" s="8"/>
      <c r="G727" s="8"/>
    </row>
    <row r="728" spans="1:7" x14ac:dyDescent="0.25">
      <c r="A728" s="8"/>
      <c r="B728" s="8"/>
      <c r="C728" s="8"/>
      <c r="D728" s="8"/>
      <c r="E728" s="8"/>
      <c r="F728" s="8"/>
      <c r="G728" s="8"/>
    </row>
    <row r="729" spans="1:7" x14ac:dyDescent="0.25">
      <c r="A729" s="8"/>
      <c r="B729" s="8"/>
      <c r="C729" s="8"/>
      <c r="D729" s="8"/>
      <c r="E729" s="8"/>
      <c r="F729" s="8"/>
      <c r="G729" s="8"/>
    </row>
    <row r="730" spans="1:7" x14ac:dyDescent="0.25">
      <c r="A730" s="8"/>
      <c r="B730" s="8"/>
      <c r="C730" s="8"/>
      <c r="D730" s="8"/>
      <c r="E730" s="8"/>
      <c r="F730" s="8"/>
      <c r="G730" s="8"/>
    </row>
    <row r="731" spans="1:7" x14ac:dyDescent="0.25">
      <c r="A731" s="8"/>
      <c r="B731" s="8"/>
      <c r="C731" s="8"/>
      <c r="D731" s="8"/>
      <c r="E731" s="8"/>
      <c r="F731" s="8"/>
      <c r="G731" s="8"/>
    </row>
    <row r="732" spans="1:7" x14ac:dyDescent="0.25">
      <c r="A732" s="8"/>
      <c r="B732" s="8"/>
      <c r="C732" s="8"/>
      <c r="D732" s="8"/>
      <c r="E732" s="8"/>
      <c r="F732" s="8"/>
      <c r="G732" s="8"/>
    </row>
    <row r="733" spans="1:7" x14ac:dyDescent="0.25">
      <c r="A733" s="8"/>
      <c r="B733" s="8"/>
      <c r="C733" s="8"/>
      <c r="D733" s="8"/>
      <c r="E733" s="8"/>
      <c r="F733" s="8"/>
      <c r="G733" s="8"/>
    </row>
    <row r="734" spans="1:7" x14ac:dyDescent="0.25">
      <c r="A734" s="8"/>
      <c r="B734" s="8"/>
      <c r="C734" s="8"/>
      <c r="D734" s="8"/>
      <c r="E734" s="8"/>
      <c r="F734" s="8"/>
      <c r="G734" s="8"/>
    </row>
    <row r="735" spans="1:7" x14ac:dyDescent="0.25">
      <c r="A735" s="8"/>
      <c r="B735" s="8"/>
      <c r="C735" s="8"/>
      <c r="D735" s="8"/>
      <c r="E735" s="8"/>
      <c r="F735" s="8"/>
      <c r="G735" s="8"/>
    </row>
    <row r="736" spans="1:7" x14ac:dyDescent="0.25">
      <c r="A736" s="8"/>
      <c r="B736" s="8"/>
      <c r="C736" s="8"/>
      <c r="D736" s="8"/>
      <c r="E736" s="8"/>
      <c r="F736" s="8"/>
      <c r="G736" s="8"/>
    </row>
    <row r="737" spans="1:7" x14ac:dyDescent="0.25">
      <c r="A737" s="8"/>
      <c r="B737" s="8"/>
      <c r="C737" s="8"/>
      <c r="D737" s="8"/>
      <c r="E737" s="8"/>
      <c r="F737" s="8"/>
      <c r="G737" s="8"/>
    </row>
    <row r="738" spans="1:7" x14ac:dyDescent="0.25">
      <c r="A738" s="8"/>
      <c r="B738" s="8"/>
      <c r="C738" s="8"/>
      <c r="D738" s="8"/>
      <c r="E738" s="8"/>
      <c r="F738" s="8"/>
      <c r="G738" s="8"/>
    </row>
    <row r="739" spans="1:7" x14ac:dyDescent="0.25">
      <c r="A739" s="8"/>
      <c r="B739" s="8"/>
      <c r="C739" s="8"/>
      <c r="D739" s="8"/>
      <c r="E739" s="8"/>
      <c r="F739" s="8"/>
      <c r="G739" s="8"/>
    </row>
    <row r="740" spans="1:7" x14ac:dyDescent="0.25">
      <c r="A740" s="8"/>
      <c r="B740" s="8"/>
      <c r="C740" s="8"/>
      <c r="D740" s="8"/>
      <c r="E740" s="8"/>
      <c r="F740" s="8"/>
      <c r="G740" s="8"/>
    </row>
    <row r="741" spans="1:7" x14ac:dyDescent="0.25">
      <c r="A741" s="8"/>
      <c r="B741" s="8"/>
      <c r="C741" s="8"/>
      <c r="D741" s="8"/>
      <c r="E741" s="8"/>
      <c r="F741" s="8"/>
      <c r="G741" s="8"/>
    </row>
    <row r="742" spans="1:7" x14ac:dyDescent="0.25">
      <c r="A742" s="8"/>
      <c r="B742" s="8"/>
      <c r="C742" s="8"/>
      <c r="D742" s="8"/>
      <c r="E742" s="8"/>
      <c r="F742" s="8"/>
      <c r="G742" s="8"/>
    </row>
    <row r="743" spans="1:7" x14ac:dyDescent="0.25">
      <c r="A743" s="8"/>
      <c r="B743" s="8"/>
      <c r="C743" s="8"/>
      <c r="D743" s="8"/>
      <c r="E743" s="8"/>
      <c r="F743" s="8"/>
      <c r="G743" s="8"/>
    </row>
    <row r="744" spans="1:7" x14ac:dyDescent="0.25">
      <c r="A744" s="8"/>
      <c r="B744" s="8"/>
      <c r="C744" s="8"/>
      <c r="D744" s="8"/>
      <c r="E744" s="8"/>
      <c r="F744" s="8"/>
      <c r="G744" s="8"/>
    </row>
    <row r="745" spans="1:7" x14ac:dyDescent="0.25">
      <c r="A745" s="8"/>
      <c r="B745" s="8"/>
      <c r="C745" s="8"/>
      <c r="D745" s="8"/>
      <c r="E745" s="8"/>
      <c r="F745" s="8"/>
      <c r="G745" s="8"/>
    </row>
    <row r="746" spans="1:7" x14ac:dyDescent="0.25">
      <c r="A746" s="8"/>
      <c r="B746" s="8"/>
      <c r="C746" s="8"/>
      <c r="D746" s="8"/>
      <c r="E746" s="8"/>
      <c r="F746" s="8"/>
      <c r="G746" s="8"/>
    </row>
    <row r="747" spans="1:7" x14ac:dyDescent="0.25">
      <c r="A747" s="8"/>
      <c r="B747" s="8"/>
      <c r="C747" s="8"/>
      <c r="D747" s="8"/>
      <c r="E747" s="8"/>
      <c r="F747" s="8"/>
      <c r="G747" s="8"/>
    </row>
    <row r="748" spans="1:7" x14ac:dyDescent="0.25">
      <c r="A748" s="8"/>
      <c r="B748" s="8"/>
      <c r="C748" s="8"/>
      <c r="D748" s="8"/>
      <c r="E748" s="8"/>
      <c r="F748" s="8"/>
      <c r="G748" s="8"/>
    </row>
    <row r="749" spans="1:7" x14ac:dyDescent="0.25">
      <c r="A749" s="8"/>
      <c r="B749" s="8"/>
      <c r="C749" s="8"/>
      <c r="D749" s="8"/>
      <c r="E749" s="8"/>
      <c r="F749" s="8"/>
      <c r="G749" s="8"/>
    </row>
    <row r="750" spans="1:7" x14ac:dyDescent="0.25">
      <c r="A750" s="8"/>
      <c r="B750" s="8"/>
      <c r="C750" s="8"/>
      <c r="D750" s="8"/>
      <c r="E750" s="8"/>
      <c r="F750" s="8"/>
      <c r="G750" s="8"/>
    </row>
    <row r="751" spans="1:7" x14ac:dyDescent="0.25">
      <c r="A751" s="8"/>
      <c r="B751" s="8"/>
      <c r="C751" s="8"/>
      <c r="D751" s="8"/>
      <c r="E751" s="8"/>
      <c r="F751" s="8"/>
      <c r="G751" s="8"/>
    </row>
    <row r="752" spans="1:7" x14ac:dyDescent="0.25">
      <c r="A752" s="8"/>
      <c r="B752" s="8"/>
      <c r="C752" s="8"/>
      <c r="D752" s="8"/>
      <c r="E752" s="8"/>
      <c r="F752" s="8"/>
      <c r="G752" s="8"/>
    </row>
    <row r="753" spans="1:7" x14ac:dyDescent="0.25">
      <c r="A753" s="8"/>
      <c r="B753" s="8"/>
      <c r="C753" s="8"/>
      <c r="D753" s="8"/>
      <c r="E753" s="8"/>
      <c r="F753" s="8"/>
      <c r="G753" s="8"/>
    </row>
    <row r="754" spans="1:7" x14ac:dyDescent="0.25">
      <c r="A754" s="8"/>
      <c r="B754" s="8"/>
      <c r="C754" s="8"/>
      <c r="D754" s="8"/>
      <c r="E754" s="8"/>
      <c r="F754" s="8"/>
      <c r="G754" s="8"/>
    </row>
    <row r="755" spans="1:7" x14ac:dyDescent="0.25">
      <c r="A755" s="8"/>
      <c r="B755" s="8"/>
      <c r="C755" s="8"/>
      <c r="D755" s="8"/>
      <c r="E755" s="8"/>
      <c r="F755" s="8"/>
      <c r="G755" s="8"/>
    </row>
    <row r="756" spans="1:7" x14ac:dyDescent="0.25">
      <c r="A756" s="8"/>
      <c r="B756" s="8"/>
      <c r="C756" s="8"/>
      <c r="D756" s="8"/>
      <c r="E756" s="8"/>
      <c r="F756" s="8"/>
      <c r="G756" s="8"/>
    </row>
    <row r="757" spans="1:7" x14ac:dyDescent="0.25">
      <c r="A757" s="8"/>
      <c r="B757" s="8"/>
      <c r="C757" s="8"/>
      <c r="D757" s="8"/>
      <c r="E757" s="8"/>
      <c r="F757" s="8"/>
      <c r="G757" s="8"/>
    </row>
    <row r="758" spans="1:7" x14ac:dyDescent="0.25">
      <c r="A758" s="8"/>
      <c r="B758" s="8"/>
      <c r="C758" s="8"/>
      <c r="D758" s="8"/>
      <c r="E758" s="8"/>
      <c r="F758" s="8"/>
      <c r="G758" s="8"/>
    </row>
    <row r="759" spans="1:7" x14ac:dyDescent="0.25">
      <c r="A759" s="8"/>
      <c r="B759" s="8"/>
      <c r="C759" s="8"/>
      <c r="D759" s="8"/>
      <c r="E759" s="8"/>
      <c r="F759" s="8"/>
      <c r="G759" s="8"/>
    </row>
    <row r="760" spans="1:7" x14ac:dyDescent="0.25">
      <c r="A760" s="8"/>
      <c r="B760" s="8"/>
      <c r="C760" s="8"/>
      <c r="D760" s="8"/>
      <c r="E760" s="8"/>
      <c r="F760" s="8"/>
      <c r="G760" s="8"/>
    </row>
    <row r="761" spans="1:7" x14ac:dyDescent="0.25">
      <c r="A761" s="8"/>
      <c r="B761" s="8"/>
      <c r="C761" s="8"/>
      <c r="D761" s="8"/>
      <c r="E761" s="8"/>
      <c r="F761" s="8"/>
      <c r="G761" s="8"/>
    </row>
    <row r="762" spans="1:7" x14ac:dyDescent="0.25">
      <c r="A762" s="8"/>
      <c r="B762" s="8"/>
      <c r="C762" s="8"/>
      <c r="D762" s="8"/>
      <c r="E762" s="8"/>
      <c r="F762" s="8"/>
      <c r="G762" s="8"/>
    </row>
    <row r="763" spans="1:7" x14ac:dyDescent="0.25">
      <c r="A763" s="8"/>
      <c r="B763" s="8"/>
      <c r="C763" s="8"/>
      <c r="D763" s="8"/>
      <c r="E763" s="8"/>
      <c r="F763" s="8"/>
      <c r="G763" s="8"/>
    </row>
    <row r="764" spans="1:7" x14ac:dyDescent="0.25">
      <c r="A764" s="8"/>
      <c r="B764" s="8"/>
      <c r="C764" s="8"/>
      <c r="D764" s="8"/>
      <c r="E764" s="8"/>
      <c r="F764" s="8"/>
      <c r="G764" s="8"/>
    </row>
    <row r="765" spans="1:7" x14ac:dyDescent="0.25">
      <c r="A765" s="8"/>
      <c r="B765" s="8"/>
      <c r="C765" s="8"/>
      <c r="D765" s="8"/>
      <c r="E765" s="8"/>
      <c r="F765" s="8"/>
      <c r="G765" s="8"/>
    </row>
    <row r="766" spans="1:7" x14ac:dyDescent="0.25">
      <c r="A766" s="8"/>
      <c r="B766" s="8"/>
      <c r="C766" s="8"/>
      <c r="D766" s="8"/>
      <c r="E766" s="8"/>
      <c r="F766" s="8"/>
      <c r="G766" s="8"/>
    </row>
    <row r="767" spans="1:7" x14ac:dyDescent="0.25">
      <c r="A767" s="8"/>
      <c r="B767" s="8"/>
      <c r="C767" s="8"/>
      <c r="D767" s="8"/>
      <c r="E767" s="8"/>
      <c r="F767" s="8"/>
      <c r="G767" s="8"/>
    </row>
    <row r="768" spans="1:7" x14ac:dyDescent="0.25">
      <c r="A768" s="8"/>
      <c r="B768" s="8"/>
      <c r="C768" s="8"/>
      <c r="D768" s="8"/>
      <c r="E768" s="8"/>
      <c r="F768" s="8"/>
      <c r="G768" s="8"/>
    </row>
    <row r="769" spans="1:7" x14ac:dyDescent="0.25">
      <c r="A769" s="8"/>
      <c r="B769" s="8"/>
      <c r="C769" s="8"/>
      <c r="D769" s="8"/>
      <c r="E769" s="8"/>
      <c r="F769" s="8"/>
      <c r="G769" s="8"/>
    </row>
    <row r="770" spans="1:7" x14ac:dyDescent="0.25">
      <c r="A770" s="8"/>
      <c r="B770" s="8"/>
      <c r="C770" s="8"/>
      <c r="D770" s="8"/>
      <c r="E770" s="8"/>
      <c r="F770" s="8"/>
      <c r="G770" s="8"/>
    </row>
    <row r="771" spans="1:7" x14ac:dyDescent="0.25">
      <c r="A771" s="8"/>
      <c r="B771" s="8"/>
      <c r="C771" s="8"/>
      <c r="D771" s="8"/>
      <c r="E771" s="8"/>
      <c r="F771" s="8"/>
      <c r="G771" s="8"/>
    </row>
    <row r="772" spans="1:7" x14ac:dyDescent="0.25">
      <c r="A772" s="8"/>
      <c r="B772" s="8"/>
      <c r="C772" s="8"/>
      <c r="D772" s="8"/>
      <c r="E772" s="8"/>
      <c r="F772" s="8"/>
      <c r="G772" s="8"/>
    </row>
    <row r="773" spans="1:7" x14ac:dyDescent="0.25">
      <c r="A773" s="8"/>
      <c r="B773" s="8"/>
      <c r="C773" s="8"/>
      <c r="D773" s="8"/>
      <c r="E773" s="8"/>
      <c r="F773" s="8"/>
      <c r="G773" s="8"/>
    </row>
    <row r="774" spans="1:7" x14ac:dyDescent="0.25">
      <c r="A774" s="8"/>
      <c r="B774" s="8"/>
      <c r="C774" s="8"/>
      <c r="D774" s="8"/>
      <c r="E774" s="8"/>
      <c r="F774" s="8"/>
      <c r="G774" s="8"/>
    </row>
    <row r="775" spans="1:7" x14ac:dyDescent="0.25">
      <c r="A775" s="8"/>
      <c r="B775" s="8"/>
      <c r="C775" s="8"/>
      <c r="D775" s="8"/>
      <c r="E775" s="8"/>
      <c r="F775" s="8"/>
      <c r="G775" s="8"/>
    </row>
    <row r="776" spans="1:7" x14ac:dyDescent="0.25">
      <c r="A776" s="8"/>
      <c r="B776" s="8"/>
      <c r="C776" s="8"/>
      <c r="D776" s="8"/>
      <c r="E776" s="8"/>
      <c r="F776" s="8"/>
      <c r="G776" s="8"/>
    </row>
    <row r="777" spans="1:7" x14ac:dyDescent="0.25">
      <c r="A777" s="8"/>
      <c r="B777" s="8"/>
      <c r="C777" s="8"/>
      <c r="D777" s="8"/>
      <c r="E777" s="8"/>
      <c r="F777" s="8"/>
      <c r="G777" s="8"/>
    </row>
    <row r="778" spans="1:7" x14ac:dyDescent="0.25">
      <c r="A778" s="8"/>
      <c r="B778" s="8"/>
      <c r="C778" s="8"/>
      <c r="D778" s="8"/>
      <c r="E778" s="8"/>
      <c r="F778" s="8"/>
      <c r="G778" s="8"/>
    </row>
    <row r="779" spans="1:7" x14ac:dyDescent="0.25">
      <c r="A779" s="8"/>
      <c r="B779" s="8"/>
      <c r="C779" s="8"/>
      <c r="D779" s="8"/>
      <c r="E779" s="8"/>
      <c r="F779" s="8"/>
      <c r="G779" s="8"/>
    </row>
    <row r="780" spans="1:7" x14ac:dyDescent="0.25">
      <c r="A780" s="8"/>
      <c r="B780" s="8"/>
      <c r="C780" s="8"/>
      <c r="D780" s="8"/>
      <c r="E780" s="8"/>
      <c r="F780" s="8"/>
      <c r="G780" s="8"/>
    </row>
    <row r="781" spans="1:7" x14ac:dyDescent="0.25">
      <c r="A781" s="8"/>
      <c r="B781" s="8"/>
      <c r="C781" s="8"/>
      <c r="D781" s="8"/>
      <c r="E781" s="8"/>
      <c r="F781" s="8"/>
      <c r="G781" s="8"/>
    </row>
    <row r="782" spans="1:7" x14ac:dyDescent="0.25">
      <c r="A782" s="8"/>
      <c r="B782" s="8"/>
      <c r="C782" s="8"/>
      <c r="D782" s="8"/>
      <c r="E782" s="8"/>
      <c r="F782" s="8"/>
      <c r="G782" s="8"/>
    </row>
    <row r="783" spans="1:7" x14ac:dyDescent="0.25">
      <c r="A783" s="8"/>
      <c r="B783" s="8"/>
      <c r="C783" s="8"/>
      <c r="D783" s="8"/>
      <c r="E783" s="8"/>
      <c r="F783" s="8"/>
      <c r="G783" s="8"/>
    </row>
    <row r="784" spans="1:7" x14ac:dyDescent="0.25">
      <c r="A784" s="8"/>
      <c r="B784" s="8"/>
      <c r="C784" s="8"/>
      <c r="D784" s="8"/>
      <c r="E784" s="8"/>
      <c r="F784" s="8"/>
      <c r="G784" s="8"/>
    </row>
    <row r="785" spans="1:7" x14ac:dyDescent="0.25">
      <c r="A785" s="8"/>
      <c r="B785" s="8"/>
      <c r="C785" s="8"/>
      <c r="D785" s="8"/>
      <c r="E785" s="8"/>
      <c r="F785" s="8"/>
      <c r="G785" s="8"/>
    </row>
    <row r="786" spans="1:7" x14ac:dyDescent="0.25">
      <c r="A786" s="8"/>
      <c r="B786" s="8"/>
      <c r="C786" s="8"/>
      <c r="D786" s="8"/>
      <c r="E786" s="8"/>
      <c r="F786" s="8"/>
      <c r="G786" s="8"/>
    </row>
    <row r="787" spans="1:7" x14ac:dyDescent="0.25">
      <c r="A787" s="8"/>
      <c r="B787" s="8"/>
      <c r="C787" s="8"/>
      <c r="D787" s="8"/>
      <c r="E787" s="8"/>
      <c r="F787" s="8"/>
      <c r="G787" s="8"/>
    </row>
    <row r="788" spans="1:7" x14ac:dyDescent="0.25">
      <c r="A788" s="8"/>
      <c r="B788" s="8"/>
      <c r="C788" s="8"/>
      <c r="D788" s="8"/>
      <c r="E788" s="8"/>
      <c r="F788" s="8"/>
      <c r="G788" s="8"/>
    </row>
    <row r="789" spans="1:7" x14ac:dyDescent="0.25">
      <c r="A789" s="8"/>
      <c r="B789" s="8"/>
      <c r="C789" s="8"/>
      <c r="D789" s="8"/>
      <c r="E789" s="8"/>
      <c r="F789" s="8"/>
      <c r="G789" s="8"/>
    </row>
    <row r="790" spans="1:7" x14ac:dyDescent="0.25">
      <c r="A790" s="8"/>
      <c r="B790" s="8"/>
      <c r="C790" s="8"/>
      <c r="D790" s="8"/>
      <c r="E790" s="8"/>
      <c r="F790" s="8"/>
      <c r="G790" s="8"/>
    </row>
    <row r="791" spans="1:7" x14ac:dyDescent="0.25">
      <c r="A791" s="8"/>
      <c r="B791" s="8"/>
      <c r="C791" s="8"/>
      <c r="D791" s="8"/>
      <c r="E791" s="8"/>
      <c r="F791" s="8"/>
      <c r="G791" s="8"/>
    </row>
    <row r="792" spans="1:7" x14ac:dyDescent="0.25">
      <c r="A792" s="8"/>
      <c r="B792" s="8"/>
      <c r="C792" s="8"/>
      <c r="D792" s="8"/>
      <c r="E792" s="8"/>
      <c r="F792" s="8"/>
      <c r="G792" s="8"/>
    </row>
    <row r="793" spans="1:7" x14ac:dyDescent="0.25">
      <c r="A793" s="8"/>
      <c r="B793" s="8"/>
      <c r="C793" s="8"/>
      <c r="D793" s="8"/>
      <c r="E793" s="8"/>
      <c r="F793" s="8"/>
      <c r="G793" s="8"/>
    </row>
    <row r="794" spans="1:7" x14ac:dyDescent="0.25">
      <c r="A794" s="8"/>
      <c r="B794" s="8"/>
      <c r="C794" s="8"/>
      <c r="D794" s="8"/>
      <c r="E794" s="8"/>
      <c r="F794" s="8"/>
      <c r="G794" s="8"/>
    </row>
    <row r="795" spans="1:7" x14ac:dyDescent="0.25">
      <c r="A795" s="8"/>
      <c r="B795" s="8"/>
      <c r="C795" s="8"/>
      <c r="D795" s="8"/>
      <c r="E795" s="8"/>
      <c r="F795" s="8"/>
      <c r="G795" s="8"/>
    </row>
    <row r="796" spans="1:7" x14ac:dyDescent="0.25">
      <c r="A796" s="8"/>
      <c r="B796" s="8"/>
      <c r="C796" s="8"/>
      <c r="D796" s="8"/>
      <c r="E796" s="8"/>
      <c r="F796" s="8"/>
      <c r="G796" s="8"/>
    </row>
    <row r="797" spans="1:7" x14ac:dyDescent="0.25">
      <c r="A797" s="8"/>
      <c r="B797" s="8"/>
      <c r="C797" s="8"/>
      <c r="D797" s="8"/>
      <c r="E797" s="8"/>
      <c r="F797" s="8"/>
      <c r="G797" s="8"/>
    </row>
    <row r="798" spans="1:7" x14ac:dyDescent="0.25">
      <c r="A798" s="8"/>
      <c r="B798" s="8"/>
      <c r="C798" s="8"/>
      <c r="D798" s="8"/>
      <c r="E798" s="8"/>
      <c r="F798" s="8"/>
      <c r="G798" s="8"/>
    </row>
    <row r="799" spans="1:7" x14ac:dyDescent="0.25">
      <c r="A799" s="8"/>
      <c r="B799" s="8"/>
      <c r="C799" s="8"/>
      <c r="D799" s="8"/>
      <c r="E799" s="8"/>
      <c r="F799" s="8"/>
      <c r="G799" s="8"/>
    </row>
    <row r="800" spans="1:7" x14ac:dyDescent="0.25">
      <c r="A800" s="8"/>
      <c r="B800" s="8"/>
      <c r="C800" s="8"/>
      <c r="D800" s="8"/>
      <c r="E800" s="8"/>
      <c r="F800" s="8"/>
      <c r="G800" s="8"/>
    </row>
    <row r="801" spans="1:7" x14ac:dyDescent="0.25">
      <c r="A801" s="8"/>
      <c r="B801" s="8"/>
      <c r="C801" s="8"/>
      <c r="D801" s="8"/>
      <c r="E801" s="8"/>
      <c r="F801" s="8"/>
      <c r="G801" s="8"/>
    </row>
    <row r="802" spans="1:7" x14ac:dyDescent="0.25">
      <c r="A802" s="8"/>
      <c r="B802" s="8"/>
      <c r="C802" s="8"/>
      <c r="D802" s="8"/>
      <c r="E802" s="8"/>
      <c r="F802" s="8"/>
      <c r="G802" s="8"/>
    </row>
    <row r="803" spans="1:7" x14ac:dyDescent="0.25">
      <c r="A803" s="8"/>
      <c r="B803" s="8"/>
      <c r="C803" s="8"/>
      <c r="D803" s="8"/>
      <c r="E803" s="8"/>
      <c r="F803" s="8"/>
      <c r="G803" s="8"/>
    </row>
    <row r="804" spans="1:7" x14ac:dyDescent="0.25">
      <c r="A804" s="8"/>
      <c r="B804" s="8"/>
      <c r="C804" s="8"/>
      <c r="D804" s="8"/>
      <c r="E804" s="8"/>
      <c r="F804" s="8"/>
      <c r="G804" s="8"/>
    </row>
    <row r="805" spans="1:7" x14ac:dyDescent="0.25">
      <c r="A805" s="8"/>
      <c r="B805" s="8"/>
      <c r="C805" s="8"/>
      <c r="D805" s="8"/>
      <c r="E805" s="8"/>
      <c r="F805" s="8"/>
      <c r="G805" s="8"/>
    </row>
    <row r="806" spans="1:7" x14ac:dyDescent="0.25">
      <c r="A806" s="8"/>
      <c r="B806" s="8"/>
      <c r="C806" s="8"/>
      <c r="D806" s="8"/>
      <c r="E806" s="8"/>
      <c r="F806" s="8"/>
      <c r="G806" s="8"/>
    </row>
    <row r="807" spans="1:7" x14ac:dyDescent="0.25">
      <c r="A807" s="8"/>
      <c r="B807" s="8"/>
      <c r="C807" s="8"/>
      <c r="D807" s="8"/>
      <c r="E807" s="8"/>
      <c r="F807" s="8"/>
      <c r="G807" s="8"/>
    </row>
    <row r="808" spans="1:7" x14ac:dyDescent="0.25">
      <c r="A808" s="8"/>
      <c r="B808" s="8"/>
      <c r="C808" s="8"/>
      <c r="D808" s="8"/>
      <c r="E808" s="8"/>
      <c r="F808" s="8"/>
      <c r="G808" s="8"/>
    </row>
    <row r="809" spans="1:7" x14ac:dyDescent="0.25">
      <c r="A809" s="8"/>
      <c r="B809" s="8"/>
      <c r="C809" s="8"/>
      <c r="D809" s="8"/>
      <c r="E809" s="8"/>
      <c r="F809" s="8"/>
      <c r="G809" s="8"/>
    </row>
    <row r="810" spans="1:7" x14ac:dyDescent="0.25">
      <c r="A810" s="8"/>
      <c r="B810" s="8"/>
      <c r="C810" s="8"/>
      <c r="D810" s="8"/>
      <c r="E810" s="8"/>
      <c r="F810" s="8"/>
      <c r="G810" s="8"/>
    </row>
    <row r="811" spans="1:7" x14ac:dyDescent="0.25">
      <c r="A811" s="8"/>
      <c r="B811" s="8"/>
      <c r="C811" s="8"/>
      <c r="D811" s="8"/>
      <c r="E811" s="8"/>
      <c r="F811" s="8"/>
      <c r="G811" s="8"/>
    </row>
    <row r="812" spans="1:7" x14ac:dyDescent="0.25">
      <c r="A812" s="8"/>
      <c r="B812" s="8"/>
      <c r="C812" s="8"/>
      <c r="D812" s="8"/>
      <c r="E812" s="8"/>
      <c r="F812" s="8"/>
      <c r="G812" s="8"/>
    </row>
    <row r="813" spans="1:7" x14ac:dyDescent="0.25">
      <c r="A813" s="8"/>
      <c r="B813" s="8"/>
      <c r="C813" s="8"/>
      <c r="D813" s="8"/>
      <c r="E813" s="8"/>
      <c r="F813" s="8"/>
      <c r="G813" s="8"/>
    </row>
    <row r="814" spans="1:7" x14ac:dyDescent="0.25">
      <c r="A814" s="8"/>
      <c r="B814" s="8"/>
      <c r="C814" s="8"/>
      <c r="D814" s="8"/>
      <c r="E814" s="8"/>
      <c r="F814" s="8"/>
      <c r="G814" s="8"/>
    </row>
    <row r="815" spans="1:7" x14ac:dyDescent="0.25">
      <c r="A815" s="8"/>
      <c r="B815" s="8"/>
      <c r="C815" s="8"/>
      <c r="D815" s="8"/>
      <c r="E815" s="8"/>
      <c r="F815" s="8"/>
      <c r="G815" s="8"/>
    </row>
    <row r="816" spans="1:7" x14ac:dyDescent="0.25">
      <c r="A816" s="8"/>
      <c r="B816" s="8"/>
      <c r="C816" s="8"/>
      <c r="D816" s="8"/>
      <c r="E816" s="8"/>
      <c r="F816" s="8"/>
      <c r="G816" s="8"/>
    </row>
    <row r="817" spans="1:7" x14ac:dyDescent="0.25">
      <c r="A817" s="8"/>
      <c r="B817" s="8"/>
      <c r="C817" s="8"/>
      <c r="D817" s="8"/>
      <c r="E817" s="8"/>
      <c r="F817" s="8"/>
      <c r="G817" s="8"/>
    </row>
    <row r="818" spans="1:7" x14ac:dyDescent="0.25">
      <c r="A818" s="8"/>
      <c r="B818" s="8"/>
      <c r="C818" s="8"/>
      <c r="D818" s="8"/>
      <c r="E818" s="8"/>
      <c r="F818" s="8"/>
      <c r="G818" s="8"/>
    </row>
    <row r="819" spans="1:7" x14ac:dyDescent="0.25">
      <c r="A819" s="8"/>
      <c r="B819" s="8"/>
      <c r="C819" s="8"/>
      <c r="D819" s="8"/>
      <c r="E819" s="8"/>
      <c r="F819" s="8"/>
      <c r="G819" s="8"/>
    </row>
    <row r="820" spans="1:7" x14ac:dyDescent="0.25">
      <c r="A820" s="8"/>
      <c r="B820" s="8"/>
      <c r="C820" s="8"/>
      <c r="D820" s="8"/>
      <c r="E820" s="8"/>
      <c r="F820" s="8"/>
      <c r="G820" s="8"/>
    </row>
    <row r="821" spans="1:7" x14ac:dyDescent="0.25">
      <c r="A821" s="8"/>
      <c r="B821" s="8"/>
      <c r="C821" s="8"/>
      <c r="D821" s="8"/>
      <c r="E821" s="8"/>
      <c r="F821" s="8"/>
      <c r="G821" s="8"/>
    </row>
    <row r="822" spans="1:7" x14ac:dyDescent="0.25">
      <c r="A822" s="8"/>
      <c r="B822" s="8"/>
      <c r="C822" s="8"/>
      <c r="D822" s="8"/>
      <c r="E822" s="8"/>
      <c r="F822" s="8"/>
      <c r="G822" s="8"/>
    </row>
    <row r="823" spans="1:7" x14ac:dyDescent="0.25">
      <c r="A823" s="8"/>
      <c r="B823" s="8"/>
      <c r="C823" s="8"/>
      <c r="D823" s="8"/>
      <c r="E823" s="8"/>
      <c r="F823" s="8"/>
      <c r="G823" s="8"/>
    </row>
    <row r="824" spans="1:7" x14ac:dyDescent="0.25">
      <c r="A824" s="8"/>
      <c r="B824" s="8"/>
      <c r="C824" s="8"/>
      <c r="D824" s="8"/>
      <c r="E824" s="8"/>
      <c r="F824" s="8"/>
      <c r="G824" s="8"/>
    </row>
    <row r="825" spans="1:7" x14ac:dyDescent="0.25">
      <c r="A825" s="8"/>
      <c r="B825" s="8"/>
      <c r="C825" s="8"/>
      <c r="D825" s="8"/>
      <c r="E825" s="8"/>
      <c r="F825" s="8"/>
      <c r="G825" s="8"/>
    </row>
    <row r="826" spans="1:7" x14ac:dyDescent="0.25">
      <c r="A826" s="8"/>
      <c r="B826" s="8"/>
      <c r="C826" s="8"/>
      <c r="D826" s="8"/>
      <c r="E826" s="8"/>
      <c r="F826" s="8"/>
      <c r="G826" s="8"/>
    </row>
    <row r="827" spans="1:7" x14ac:dyDescent="0.25">
      <c r="A827" s="8"/>
      <c r="B827" s="8"/>
      <c r="C827" s="8"/>
      <c r="D827" s="8"/>
      <c r="E827" s="8"/>
      <c r="F827" s="8"/>
      <c r="G827" s="8"/>
    </row>
    <row r="828" spans="1:7" x14ac:dyDescent="0.25">
      <c r="A828" s="8"/>
      <c r="B828" s="8"/>
      <c r="C828" s="8"/>
      <c r="D828" s="8"/>
      <c r="E828" s="8"/>
      <c r="F828" s="8"/>
      <c r="G828" s="8"/>
    </row>
    <row r="829" spans="1:7" x14ac:dyDescent="0.25">
      <c r="A829" s="8"/>
      <c r="B829" s="8"/>
      <c r="C829" s="8"/>
      <c r="D829" s="8"/>
      <c r="E829" s="8"/>
      <c r="F829" s="8"/>
      <c r="G829" s="8"/>
    </row>
    <row r="830" spans="1:7" x14ac:dyDescent="0.25">
      <c r="A830" s="8"/>
      <c r="B830" s="8"/>
      <c r="C830" s="8"/>
      <c r="D830" s="8"/>
      <c r="E830" s="8"/>
      <c r="F830" s="8"/>
      <c r="G830" s="8"/>
    </row>
    <row r="831" spans="1:7" x14ac:dyDescent="0.25">
      <c r="A831" s="8"/>
      <c r="B831" s="8"/>
      <c r="C831" s="8"/>
      <c r="D831" s="8"/>
      <c r="E831" s="8"/>
      <c r="F831" s="8"/>
      <c r="G831" s="8"/>
    </row>
    <row r="832" spans="1:7" x14ac:dyDescent="0.25">
      <c r="A832" s="8"/>
      <c r="B832" s="8"/>
      <c r="C832" s="8"/>
      <c r="D832" s="8"/>
      <c r="E832" s="8"/>
      <c r="F832" s="8"/>
      <c r="G832" s="8"/>
    </row>
    <row r="833" spans="1:7" x14ac:dyDescent="0.25">
      <c r="A833" s="8"/>
      <c r="B833" s="8"/>
      <c r="C833" s="8"/>
      <c r="D833" s="8"/>
      <c r="E833" s="8"/>
      <c r="F833" s="8"/>
      <c r="G833" s="8"/>
    </row>
    <row r="834" spans="1:7" x14ac:dyDescent="0.25">
      <c r="A834" s="8"/>
      <c r="B834" s="8"/>
      <c r="C834" s="8"/>
      <c r="D834" s="8"/>
      <c r="E834" s="8"/>
      <c r="F834" s="8"/>
      <c r="G834" s="8"/>
    </row>
    <row r="835" spans="1:7" x14ac:dyDescent="0.25">
      <c r="A835" s="8"/>
      <c r="B835" s="8"/>
      <c r="C835" s="8"/>
      <c r="D835" s="8"/>
      <c r="E835" s="8"/>
      <c r="F835" s="8"/>
      <c r="G835" s="8"/>
    </row>
    <row r="836" spans="1:7" x14ac:dyDescent="0.25">
      <c r="A836" s="8"/>
      <c r="B836" s="8"/>
      <c r="C836" s="8"/>
      <c r="D836" s="8"/>
      <c r="E836" s="8"/>
      <c r="F836" s="8"/>
      <c r="G836" s="8"/>
    </row>
    <row r="837" spans="1:7" x14ac:dyDescent="0.25">
      <c r="A837" s="8"/>
      <c r="B837" s="8"/>
      <c r="C837" s="8"/>
      <c r="D837" s="8"/>
      <c r="E837" s="8"/>
      <c r="F837" s="8"/>
      <c r="G837" s="8"/>
    </row>
    <row r="838" spans="1:7" x14ac:dyDescent="0.25">
      <c r="A838" s="8"/>
      <c r="B838" s="8"/>
      <c r="C838" s="8"/>
      <c r="D838" s="8"/>
      <c r="E838" s="8"/>
      <c r="F838" s="8"/>
      <c r="G838" s="8"/>
    </row>
    <row r="839" spans="1:7" x14ac:dyDescent="0.25">
      <c r="A839" s="8"/>
      <c r="B839" s="8"/>
      <c r="C839" s="8"/>
      <c r="D839" s="8"/>
      <c r="E839" s="8"/>
      <c r="F839" s="8"/>
      <c r="G839" s="8"/>
    </row>
    <row r="840" spans="1:7" x14ac:dyDescent="0.25">
      <c r="A840" s="8"/>
      <c r="B840" s="8"/>
      <c r="C840" s="8"/>
      <c r="D840" s="8"/>
      <c r="E840" s="8"/>
      <c r="F840" s="8"/>
      <c r="G840" s="8"/>
    </row>
    <row r="841" spans="1:7" x14ac:dyDescent="0.25">
      <c r="A841" s="8"/>
      <c r="B841" s="8"/>
      <c r="C841" s="8"/>
      <c r="D841" s="8"/>
      <c r="E841" s="8"/>
      <c r="F841" s="8"/>
      <c r="G841" s="8"/>
    </row>
    <row r="842" spans="1:7" x14ac:dyDescent="0.25">
      <c r="A842" s="8"/>
      <c r="B842" s="8"/>
      <c r="C842" s="8"/>
      <c r="D842" s="8"/>
      <c r="E842" s="8"/>
      <c r="F842" s="8"/>
      <c r="G842" s="8"/>
    </row>
    <row r="843" spans="1:7" x14ac:dyDescent="0.25">
      <c r="A843" s="8"/>
      <c r="B843" s="8"/>
      <c r="C843" s="8"/>
      <c r="D843" s="8"/>
      <c r="E843" s="8"/>
      <c r="F843" s="8"/>
      <c r="G843" s="8"/>
    </row>
    <row r="844" spans="1:7" x14ac:dyDescent="0.25">
      <c r="A844" s="8"/>
      <c r="B844" s="8"/>
      <c r="C844" s="8"/>
      <c r="D844" s="8"/>
      <c r="E844" s="8"/>
      <c r="F844" s="8"/>
      <c r="G844" s="8"/>
    </row>
    <row r="845" spans="1:7" x14ac:dyDescent="0.25">
      <c r="A845" s="8"/>
      <c r="B845" s="8"/>
      <c r="C845" s="8"/>
      <c r="D845" s="8"/>
      <c r="E845" s="8"/>
      <c r="F845" s="8"/>
      <c r="G845" s="8"/>
    </row>
    <row r="846" spans="1:7" x14ac:dyDescent="0.25">
      <c r="A846" s="8"/>
      <c r="B846" s="8"/>
      <c r="C846" s="8"/>
      <c r="D846" s="8"/>
      <c r="E846" s="8"/>
      <c r="F846" s="8"/>
      <c r="G846" s="8"/>
    </row>
    <row r="847" spans="1:7" x14ac:dyDescent="0.25">
      <c r="A847" s="8"/>
      <c r="B847" s="8"/>
      <c r="C847" s="8"/>
      <c r="D847" s="8"/>
      <c r="E847" s="8"/>
      <c r="F847" s="8"/>
      <c r="G847" s="8"/>
    </row>
    <row r="848" spans="1:7" x14ac:dyDescent="0.25">
      <c r="A848" s="8"/>
      <c r="B848" s="8"/>
      <c r="C848" s="8"/>
      <c r="D848" s="8"/>
      <c r="E848" s="8"/>
      <c r="F848" s="8"/>
      <c r="G848" s="8"/>
    </row>
    <row r="849" spans="1:7" x14ac:dyDescent="0.25">
      <c r="A849" s="8"/>
      <c r="B849" s="8"/>
      <c r="C849" s="8"/>
      <c r="D849" s="8"/>
      <c r="E849" s="8"/>
      <c r="F849" s="8"/>
      <c r="G849" s="8"/>
    </row>
    <row r="850" spans="1:7" x14ac:dyDescent="0.25">
      <c r="A850" s="8"/>
      <c r="B850" s="8"/>
      <c r="C850" s="8"/>
      <c r="D850" s="8"/>
      <c r="E850" s="8"/>
      <c r="F850" s="8"/>
      <c r="G850" s="8"/>
    </row>
    <row r="851" spans="1:7" x14ac:dyDescent="0.25">
      <c r="A851" s="8"/>
      <c r="B851" s="8"/>
      <c r="C851" s="8"/>
      <c r="D851" s="8"/>
      <c r="E851" s="8"/>
      <c r="F851" s="8"/>
      <c r="G851" s="8"/>
    </row>
    <row r="852" spans="1:7" x14ac:dyDescent="0.25">
      <c r="A852" s="8"/>
      <c r="B852" s="8"/>
      <c r="C852" s="8"/>
      <c r="D852" s="8"/>
      <c r="E852" s="8"/>
      <c r="F852" s="8"/>
      <c r="G852" s="8"/>
    </row>
    <row r="853" spans="1:7" x14ac:dyDescent="0.25">
      <c r="A853" s="8"/>
      <c r="B853" s="8"/>
      <c r="C853" s="8"/>
      <c r="D853" s="8"/>
      <c r="E853" s="8"/>
      <c r="F853" s="8"/>
      <c r="G853" s="8"/>
    </row>
    <row r="854" spans="1:7" x14ac:dyDescent="0.25">
      <c r="A854" s="8"/>
      <c r="B854" s="8"/>
      <c r="C854" s="8"/>
      <c r="D854" s="8"/>
      <c r="E854" s="8"/>
      <c r="F854" s="8"/>
      <c r="G854" s="8"/>
    </row>
    <row r="855" spans="1:7" x14ac:dyDescent="0.25">
      <c r="A855" s="8"/>
      <c r="B855" s="8"/>
      <c r="C855" s="8"/>
      <c r="D855" s="8"/>
      <c r="E855" s="8"/>
      <c r="F855" s="8"/>
      <c r="G855" s="8"/>
    </row>
    <row r="856" spans="1:7" x14ac:dyDescent="0.25">
      <c r="A856" s="8"/>
      <c r="B856" s="8"/>
      <c r="C856" s="8"/>
      <c r="D856" s="8"/>
      <c r="E856" s="8"/>
      <c r="F856" s="8"/>
      <c r="G856" s="8"/>
    </row>
    <row r="857" spans="1:7" x14ac:dyDescent="0.25">
      <c r="A857" s="8"/>
      <c r="B857" s="8"/>
      <c r="C857" s="8"/>
      <c r="D857" s="8"/>
      <c r="E857" s="8"/>
      <c r="F857" s="8"/>
      <c r="G857" s="8"/>
    </row>
    <row r="858" spans="1:7" x14ac:dyDescent="0.25">
      <c r="A858" s="8"/>
      <c r="B858" s="8"/>
      <c r="C858" s="8"/>
      <c r="D858" s="8"/>
      <c r="E858" s="8"/>
      <c r="F858" s="8"/>
      <c r="G858" s="8"/>
    </row>
    <row r="859" spans="1:7" x14ac:dyDescent="0.25">
      <c r="A859" s="8"/>
      <c r="B859" s="8"/>
      <c r="C859" s="8"/>
      <c r="D859" s="8"/>
      <c r="E859" s="8"/>
      <c r="F859" s="8"/>
      <c r="G859" s="8"/>
    </row>
    <row r="860" spans="1:7" x14ac:dyDescent="0.25">
      <c r="A860" s="8"/>
      <c r="B860" s="8"/>
      <c r="C860" s="8"/>
      <c r="D860" s="8"/>
      <c r="E860" s="8"/>
      <c r="F860" s="8"/>
      <c r="G860" s="8"/>
    </row>
    <row r="861" spans="1:7" x14ac:dyDescent="0.25">
      <c r="A861" s="8"/>
      <c r="B861" s="8"/>
      <c r="C861" s="8"/>
      <c r="D861" s="8"/>
      <c r="E861" s="8"/>
      <c r="F861" s="8"/>
      <c r="G861" s="8"/>
    </row>
    <row r="862" spans="1:7" x14ac:dyDescent="0.25">
      <c r="A862" s="8"/>
      <c r="B862" s="8"/>
      <c r="C862" s="8"/>
      <c r="D862" s="8"/>
      <c r="E862" s="8"/>
      <c r="F862" s="8"/>
      <c r="G862" s="8"/>
    </row>
    <row r="863" spans="1:7" x14ac:dyDescent="0.25">
      <c r="A863" s="8"/>
      <c r="B863" s="8"/>
      <c r="C863" s="8"/>
      <c r="D863" s="8"/>
      <c r="E863" s="8"/>
      <c r="F863" s="8"/>
      <c r="G863" s="8"/>
    </row>
    <row r="864" spans="1:7" x14ac:dyDescent="0.25">
      <c r="A864" s="8"/>
      <c r="B864" s="8"/>
      <c r="C864" s="8"/>
      <c r="D864" s="8"/>
      <c r="E864" s="8"/>
      <c r="F864" s="8"/>
      <c r="G864" s="8"/>
    </row>
    <row r="865" spans="1:7" x14ac:dyDescent="0.25">
      <c r="A865" s="8"/>
      <c r="B865" s="8"/>
      <c r="C865" s="8"/>
      <c r="D865" s="8"/>
      <c r="E865" s="8"/>
      <c r="F865" s="8"/>
      <c r="G865" s="8"/>
    </row>
    <row r="866" spans="1:7" x14ac:dyDescent="0.25">
      <c r="A866" s="8"/>
      <c r="B866" s="8"/>
      <c r="C866" s="8"/>
      <c r="D866" s="8"/>
      <c r="E866" s="8"/>
      <c r="F866" s="8"/>
      <c r="G866" s="8"/>
    </row>
    <row r="867" spans="1:7" x14ac:dyDescent="0.25">
      <c r="A867" s="8"/>
      <c r="B867" s="8"/>
      <c r="C867" s="8"/>
      <c r="D867" s="8"/>
      <c r="E867" s="8"/>
      <c r="F867" s="8"/>
      <c r="G867" s="8"/>
    </row>
    <row r="868" spans="1:7" x14ac:dyDescent="0.25">
      <c r="A868" s="8"/>
      <c r="B868" s="8"/>
      <c r="C868" s="8"/>
      <c r="D868" s="8"/>
      <c r="E868" s="8"/>
      <c r="F868" s="8"/>
      <c r="G868" s="8"/>
    </row>
    <row r="869" spans="1:7" x14ac:dyDescent="0.25">
      <c r="A869" s="8"/>
      <c r="B869" s="8"/>
      <c r="C869" s="8"/>
      <c r="D869" s="8"/>
      <c r="E869" s="8"/>
      <c r="F869" s="8"/>
      <c r="G869" s="8"/>
    </row>
    <row r="870" spans="1:7" x14ac:dyDescent="0.25">
      <c r="A870" s="8"/>
      <c r="B870" s="8"/>
      <c r="C870" s="8"/>
      <c r="D870" s="8"/>
      <c r="E870" s="8"/>
      <c r="F870" s="8"/>
      <c r="G870" s="8"/>
    </row>
    <row r="871" spans="1:7" x14ac:dyDescent="0.25">
      <c r="A871" s="8"/>
      <c r="B871" s="8"/>
      <c r="C871" s="8"/>
      <c r="D871" s="8"/>
      <c r="E871" s="8"/>
      <c r="F871" s="8"/>
      <c r="G871" s="8"/>
    </row>
    <row r="872" spans="1:7" x14ac:dyDescent="0.25">
      <c r="A872" s="8"/>
      <c r="B872" s="8"/>
      <c r="C872" s="8"/>
      <c r="D872" s="8"/>
      <c r="E872" s="8"/>
      <c r="F872" s="8"/>
      <c r="G872" s="8"/>
    </row>
    <row r="873" spans="1:7" x14ac:dyDescent="0.25">
      <c r="A873" s="8"/>
      <c r="B873" s="8"/>
      <c r="C873" s="8"/>
      <c r="D873" s="8"/>
      <c r="E873" s="8"/>
      <c r="F873" s="8"/>
      <c r="G873" s="8"/>
    </row>
    <row r="874" spans="1:7" x14ac:dyDescent="0.25">
      <c r="A874" s="8"/>
      <c r="B874" s="8"/>
      <c r="C874" s="8"/>
      <c r="D874" s="8"/>
      <c r="E874" s="8"/>
      <c r="F874" s="8"/>
      <c r="G874" s="8"/>
    </row>
    <row r="875" spans="1:7" x14ac:dyDescent="0.25">
      <c r="A875" s="8"/>
      <c r="B875" s="8"/>
      <c r="C875" s="8"/>
      <c r="D875" s="8"/>
      <c r="E875" s="8"/>
      <c r="F875" s="8"/>
      <c r="G875" s="8"/>
    </row>
    <row r="876" spans="1:7" x14ac:dyDescent="0.25">
      <c r="A876" s="8"/>
      <c r="B876" s="8"/>
      <c r="C876" s="8"/>
      <c r="D876" s="8"/>
      <c r="E876" s="8"/>
      <c r="F876" s="8"/>
      <c r="G876" s="8"/>
    </row>
    <row r="877" spans="1:7" x14ac:dyDescent="0.25">
      <c r="A877" s="8"/>
      <c r="B877" s="8"/>
      <c r="C877" s="8"/>
      <c r="D877" s="8"/>
      <c r="E877" s="8"/>
      <c r="F877" s="8"/>
      <c r="G877" s="8"/>
    </row>
    <row r="878" spans="1:7" x14ac:dyDescent="0.25">
      <c r="A878" s="8"/>
      <c r="B878" s="8"/>
      <c r="C878" s="8"/>
      <c r="D878" s="8"/>
      <c r="E878" s="8"/>
      <c r="F878" s="8"/>
      <c r="G878" s="8"/>
    </row>
    <row r="879" spans="1:7" x14ac:dyDescent="0.25">
      <c r="A879" s="8"/>
      <c r="B879" s="8"/>
      <c r="C879" s="8"/>
      <c r="D879" s="8"/>
      <c r="E879" s="8"/>
      <c r="F879" s="8"/>
      <c r="G879" s="8"/>
    </row>
    <row r="880" spans="1:7" x14ac:dyDescent="0.25">
      <c r="A880" s="8"/>
      <c r="B880" s="8"/>
      <c r="C880" s="8"/>
      <c r="D880" s="8"/>
      <c r="E880" s="8"/>
      <c r="F880" s="8"/>
      <c r="G880" s="8"/>
    </row>
    <row r="881" spans="1:7" x14ac:dyDescent="0.25">
      <c r="A881" s="8"/>
      <c r="B881" s="8"/>
      <c r="C881" s="8"/>
      <c r="D881" s="8"/>
      <c r="E881" s="8"/>
      <c r="F881" s="8"/>
      <c r="G881" s="8"/>
    </row>
    <row r="882" spans="1:7" x14ac:dyDescent="0.25">
      <c r="A882" s="8"/>
      <c r="B882" s="8"/>
      <c r="C882" s="8"/>
      <c r="D882" s="8"/>
      <c r="E882" s="8"/>
      <c r="F882" s="8"/>
      <c r="G882" s="8"/>
    </row>
    <row r="883" spans="1:7" x14ac:dyDescent="0.25">
      <c r="A883" s="8"/>
      <c r="B883" s="8"/>
      <c r="C883" s="8"/>
      <c r="D883" s="8"/>
      <c r="E883" s="8"/>
      <c r="F883" s="8"/>
      <c r="G883" s="8"/>
    </row>
    <row r="884" spans="1:7" x14ac:dyDescent="0.25">
      <c r="A884" s="8"/>
      <c r="B884" s="8"/>
      <c r="C884" s="8"/>
      <c r="D884" s="8"/>
      <c r="E884" s="8"/>
      <c r="F884" s="8"/>
      <c r="G884" s="8"/>
    </row>
    <row r="885" spans="1:7" x14ac:dyDescent="0.25">
      <c r="A885" s="8"/>
      <c r="B885" s="8"/>
      <c r="C885" s="8"/>
      <c r="D885" s="8"/>
      <c r="E885" s="8"/>
      <c r="F885" s="8"/>
      <c r="G885" s="8"/>
    </row>
    <row r="886" spans="1:7" x14ac:dyDescent="0.25">
      <c r="A886" s="8"/>
      <c r="B886" s="8"/>
      <c r="C886" s="8"/>
      <c r="D886" s="8"/>
      <c r="E886" s="8"/>
      <c r="F886" s="8"/>
      <c r="G886" s="8"/>
    </row>
    <row r="887" spans="1:7" x14ac:dyDescent="0.25">
      <c r="A887" s="8"/>
      <c r="B887" s="8"/>
      <c r="C887" s="8"/>
      <c r="D887" s="8"/>
      <c r="E887" s="8"/>
      <c r="F887" s="8"/>
      <c r="G887" s="8"/>
    </row>
    <row r="888" spans="1:7" x14ac:dyDescent="0.25">
      <c r="A888" s="8"/>
      <c r="B888" s="8"/>
      <c r="C888" s="8"/>
      <c r="D888" s="8"/>
      <c r="E888" s="8"/>
      <c r="F888" s="8"/>
      <c r="G888" s="8"/>
    </row>
    <row r="889" spans="1:7" x14ac:dyDescent="0.25">
      <c r="A889" s="8"/>
      <c r="B889" s="8"/>
      <c r="C889" s="8"/>
      <c r="D889" s="8"/>
      <c r="E889" s="8"/>
      <c r="F889" s="8"/>
      <c r="G889" s="8"/>
    </row>
    <row r="890" spans="1:7" x14ac:dyDescent="0.25">
      <c r="A890" s="8"/>
      <c r="B890" s="8"/>
      <c r="C890" s="8"/>
      <c r="D890" s="8"/>
      <c r="E890" s="8"/>
      <c r="F890" s="8"/>
      <c r="G890" s="8"/>
    </row>
    <row r="891" spans="1:7" x14ac:dyDescent="0.25">
      <c r="A891" s="8"/>
      <c r="B891" s="8"/>
      <c r="C891" s="8"/>
      <c r="D891" s="8"/>
      <c r="E891" s="8"/>
      <c r="F891" s="8"/>
      <c r="G891" s="8"/>
    </row>
    <row r="892" spans="1:7" x14ac:dyDescent="0.25">
      <c r="A892" s="8"/>
      <c r="B892" s="8"/>
      <c r="C892" s="8"/>
      <c r="D892" s="8"/>
      <c r="E892" s="8"/>
      <c r="F892" s="8"/>
      <c r="G892" s="8"/>
    </row>
    <row r="893" spans="1:7" x14ac:dyDescent="0.25">
      <c r="A893" s="8"/>
      <c r="B893" s="8"/>
      <c r="C893" s="8"/>
      <c r="D893" s="8"/>
      <c r="E893" s="8"/>
      <c r="F893" s="8"/>
      <c r="G893" s="8"/>
    </row>
    <row r="894" spans="1:7" x14ac:dyDescent="0.25">
      <c r="A894" s="8"/>
      <c r="B894" s="8"/>
      <c r="C894" s="8"/>
      <c r="D894" s="8"/>
      <c r="E894" s="8"/>
      <c r="F894" s="8"/>
      <c r="G894" s="8"/>
    </row>
    <row r="895" spans="1:7" x14ac:dyDescent="0.25">
      <c r="A895" s="8"/>
      <c r="B895" s="8"/>
      <c r="C895" s="8"/>
      <c r="D895" s="8"/>
      <c r="E895" s="8"/>
      <c r="F895" s="8"/>
      <c r="G895" s="8"/>
    </row>
    <row r="896" spans="1:7" x14ac:dyDescent="0.25">
      <c r="A896" s="8"/>
      <c r="B896" s="8"/>
      <c r="C896" s="8"/>
      <c r="D896" s="8"/>
      <c r="E896" s="8"/>
      <c r="F896" s="8"/>
      <c r="G896" s="8"/>
    </row>
    <row r="897" spans="1:7" x14ac:dyDescent="0.25">
      <c r="A897" s="8"/>
      <c r="B897" s="8"/>
      <c r="C897" s="8"/>
      <c r="D897" s="8"/>
      <c r="E897" s="8"/>
      <c r="F897" s="8"/>
      <c r="G897" s="8"/>
    </row>
    <row r="898" spans="1:7" x14ac:dyDescent="0.25">
      <c r="A898" s="8"/>
      <c r="B898" s="8"/>
      <c r="C898" s="8"/>
      <c r="D898" s="8"/>
      <c r="E898" s="8"/>
      <c r="F898" s="8"/>
      <c r="G898" s="8"/>
    </row>
    <row r="899" spans="1:7" x14ac:dyDescent="0.25">
      <c r="A899" s="8"/>
      <c r="B899" s="8"/>
      <c r="C899" s="8"/>
      <c r="D899" s="8"/>
      <c r="E899" s="8"/>
      <c r="F899" s="8"/>
      <c r="G899" s="8"/>
    </row>
    <row r="900" spans="1:7" x14ac:dyDescent="0.25">
      <c r="A900" s="8"/>
      <c r="B900" s="8"/>
      <c r="C900" s="8"/>
      <c r="D900" s="8"/>
      <c r="E900" s="8"/>
      <c r="F900" s="8"/>
      <c r="G900" s="8"/>
    </row>
    <row r="901" spans="1:7" x14ac:dyDescent="0.25">
      <c r="A901" s="8"/>
      <c r="B901" s="8"/>
      <c r="C901" s="8"/>
      <c r="D901" s="8"/>
      <c r="E901" s="8"/>
      <c r="F901" s="8"/>
      <c r="G901" s="8"/>
    </row>
    <row r="902" spans="1:7" x14ac:dyDescent="0.25">
      <c r="A902" s="8"/>
      <c r="B902" s="8"/>
      <c r="C902" s="8"/>
      <c r="D902" s="8"/>
      <c r="E902" s="8"/>
      <c r="F902" s="8"/>
      <c r="G902" s="8"/>
    </row>
    <row r="903" spans="1:7" x14ac:dyDescent="0.25">
      <c r="A903" s="8"/>
      <c r="B903" s="8"/>
      <c r="C903" s="8"/>
      <c r="D903" s="8"/>
      <c r="E903" s="8"/>
      <c r="F903" s="8"/>
      <c r="G903" s="8"/>
    </row>
    <row r="904" spans="1:7" x14ac:dyDescent="0.25">
      <c r="A904" s="8"/>
      <c r="B904" s="8"/>
      <c r="C904" s="8"/>
      <c r="D904" s="8"/>
      <c r="E904" s="8"/>
      <c r="F904" s="8"/>
      <c r="G904" s="8"/>
    </row>
    <row r="905" spans="1:7" x14ac:dyDescent="0.25">
      <c r="A905" s="8"/>
      <c r="B905" s="8"/>
      <c r="C905" s="8"/>
      <c r="D905" s="8"/>
      <c r="E905" s="8"/>
      <c r="F905" s="8"/>
      <c r="G905" s="8"/>
    </row>
    <row r="906" spans="1:7" x14ac:dyDescent="0.25">
      <c r="A906" s="8"/>
      <c r="B906" s="8"/>
      <c r="C906" s="8"/>
      <c r="D906" s="8"/>
      <c r="E906" s="8"/>
      <c r="F906" s="8"/>
      <c r="G906" s="8"/>
    </row>
    <row r="907" spans="1:7" x14ac:dyDescent="0.25">
      <c r="A907" s="8"/>
      <c r="B907" s="8"/>
      <c r="C907" s="8"/>
      <c r="D907" s="8"/>
      <c r="E907" s="8"/>
      <c r="F907" s="8"/>
      <c r="G907" s="8"/>
    </row>
    <row r="908" spans="1:7" x14ac:dyDescent="0.25">
      <c r="A908" s="8"/>
      <c r="B908" s="8"/>
      <c r="C908" s="8"/>
      <c r="D908" s="8"/>
      <c r="E908" s="8"/>
      <c r="F908" s="8"/>
      <c r="G908" s="8"/>
    </row>
    <row r="909" spans="1:7" x14ac:dyDescent="0.25">
      <c r="A909" s="8"/>
      <c r="B909" s="8"/>
      <c r="C909" s="8"/>
      <c r="D909" s="8"/>
      <c r="E909" s="8"/>
      <c r="F909" s="8"/>
      <c r="G909" s="8"/>
    </row>
    <row r="910" spans="1:7" x14ac:dyDescent="0.25">
      <c r="A910" s="8"/>
      <c r="B910" s="8"/>
      <c r="C910" s="8"/>
      <c r="D910" s="8"/>
      <c r="E910" s="8"/>
      <c r="F910" s="8"/>
      <c r="G910" s="8"/>
    </row>
    <row r="911" spans="1:7" x14ac:dyDescent="0.25">
      <c r="A911" s="8"/>
      <c r="B911" s="8"/>
      <c r="C911" s="8"/>
      <c r="D911" s="8"/>
      <c r="E911" s="8"/>
      <c r="F911" s="8"/>
      <c r="G911" s="8"/>
    </row>
    <row r="912" spans="1:7" x14ac:dyDescent="0.25">
      <c r="A912" s="8"/>
      <c r="B912" s="8"/>
      <c r="C912" s="8"/>
      <c r="D912" s="8"/>
      <c r="E912" s="8"/>
      <c r="F912" s="8"/>
      <c r="G912" s="8"/>
    </row>
    <row r="913" spans="1:7" x14ac:dyDescent="0.25">
      <c r="A913" s="8"/>
      <c r="B913" s="8"/>
      <c r="C913" s="8"/>
      <c r="D913" s="8"/>
      <c r="E913" s="8"/>
      <c r="F913" s="8"/>
      <c r="G913" s="8"/>
    </row>
    <row r="914" spans="1:7" x14ac:dyDescent="0.25">
      <c r="A914" s="8"/>
      <c r="B914" s="8"/>
      <c r="C914" s="8"/>
      <c r="D914" s="8"/>
      <c r="E914" s="8"/>
      <c r="F914" s="8"/>
      <c r="G914" s="8"/>
    </row>
    <row r="915" spans="1:7" x14ac:dyDescent="0.25">
      <c r="A915" s="8"/>
      <c r="B915" s="8"/>
      <c r="C915" s="8"/>
      <c r="D915" s="8"/>
      <c r="E915" s="8"/>
      <c r="F915" s="8"/>
      <c r="G915" s="8"/>
    </row>
    <row r="916" spans="1:7" x14ac:dyDescent="0.25">
      <c r="A916" s="8"/>
      <c r="B916" s="8"/>
      <c r="C916" s="8"/>
      <c r="D916" s="8"/>
      <c r="E916" s="8"/>
      <c r="F916" s="8"/>
      <c r="G916" s="8"/>
    </row>
    <row r="917" spans="1:7" x14ac:dyDescent="0.25">
      <c r="A917" s="8"/>
      <c r="B917" s="8"/>
      <c r="C917" s="8"/>
      <c r="D917" s="8"/>
      <c r="E917" s="8"/>
      <c r="F917" s="8"/>
      <c r="G917" s="8"/>
    </row>
    <row r="918" spans="1:7" x14ac:dyDescent="0.25">
      <c r="A918" s="8"/>
      <c r="B918" s="8"/>
      <c r="C918" s="8"/>
      <c r="D918" s="8"/>
      <c r="E918" s="8"/>
      <c r="F918" s="8"/>
      <c r="G918" s="8"/>
    </row>
    <row r="919" spans="1:7" x14ac:dyDescent="0.25">
      <c r="A919" s="8"/>
      <c r="B919" s="8"/>
      <c r="C919" s="8"/>
      <c r="D919" s="8"/>
      <c r="E919" s="8"/>
      <c r="F919" s="8"/>
      <c r="G919" s="8"/>
    </row>
    <row r="920" spans="1:7" x14ac:dyDescent="0.25">
      <c r="A920" s="8"/>
      <c r="B920" s="8"/>
      <c r="C920" s="8"/>
      <c r="D920" s="8"/>
      <c r="E920" s="8"/>
      <c r="F920" s="8"/>
      <c r="G920" s="8"/>
    </row>
    <row r="921" spans="1:7" x14ac:dyDescent="0.25">
      <c r="A921" s="8"/>
      <c r="B921" s="8"/>
      <c r="C921" s="8"/>
      <c r="D921" s="8"/>
      <c r="E921" s="8"/>
      <c r="F921" s="8"/>
      <c r="G921" s="8"/>
    </row>
    <row r="922" spans="1:7" x14ac:dyDescent="0.25">
      <c r="A922" s="8"/>
      <c r="B922" s="8"/>
      <c r="C922" s="8"/>
      <c r="D922" s="8"/>
      <c r="E922" s="8"/>
      <c r="F922" s="8"/>
      <c r="G922" s="8"/>
    </row>
    <row r="923" spans="1:7" x14ac:dyDescent="0.25">
      <c r="A923" s="8"/>
      <c r="B923" s="8"/>
      <c r="C923" s="8"/>
      <c r="D923" s="8"/>
      <c r="E923" s="8"/>
      <c r="F923" s="8"/>
      <c r="G923" s="8"/>
    </row>
    <row r="924" spans="1:7" x14ac:dyDescent="0.25">
      <c r="A924" s="8"/>
      <c r="B924" s="8"/>
      <c r="C924" s="8"/>
      <c r="D924" s="8"/>
      <c r="E924" s="8"/>
      <c r="F924" s="8"/>
      <c r="G924" s="8"/>
    </row>
    <row r="925" spans="1:7" x14ac:dyDescent="0.25">
      <c r="A925" s="8"/>
      <c r="B925" s="8"/>
      <c r="C925" s="8"/>
      <c r="D925" s="8"/>
      <c r="E925" s="8"/>
      <c r="F925" s="8"/>
      <c r="G925" s="8"/>
    </row>
    <row r="926" spans="1:7" x14ac:dyDescent="0.25">
      <c r="A926" s="8"/>
      <c r="B926" s="8"/>
      <c r="C926" s="8"/>
      <c r="D926" s="8"/>
      <c r="E926" s="8"/>
      <c r="F926" s="8"/>
      <c r="G926" s="8"/>
    </row>
    <row r="927" spans="1:7" x14ac:dyDescent="0.25">
      <c r="A927" s="8"/>
      <c r="B927" s="8"/>
      <c r="C927" s="8"/>
      <c r="D927" s="8"/>
      <c r="E927" s="8"/>
      <c r="F927" s="8"/>
      <c r="G927" s="8"/>
    </row>
    <row r="928" spans="1:7" x14ac:dyDescent="0.25">
      <c r="A928" s="8"/>
      <c r="B928" s="8"/>
      <c r="C928" s="8"/>
      <c r="D928" s="8"/>
      <c r="E928" s="8"/>
      <c r="F928" s="8"/>
      <c r="G928" s="8"/>
    </row>
    <row r="929" spans="1:7" x14ac:dyDescent="0.25">
      <c r="A929" s="8"/>
      <c r="B929" s="8"/>
      <c r="C929" s="8"/>
      <c r="D929" s="8"/>
      <c r="E929" s="8"/>
      <c r="F929" s="8"/>
      <c r="G929" s="8"/>
    </row>
    <row r="930" spans="1:7" x14ac:dyDescent="0.25">
      <c r="A930" s="8"/>
      <c r="B930" s="8"/>
      <c r="C930" s="8"/>
      <c r="D930" s="8"/>
      <c r="E930" s="8"/>
      <c r="F930" s="8"/>
      <c r="G930" s="8"/>
    </row>
    <row r="931" spans="1:7" x14ac:dyDescent="0.25">
      <c r="A931" s="8"/>
      <c r="B931" s="8"/>
      <c r="C931" s="8"/>
      <c r="D931" s="8"/>
      <c r="E931" s="8"/>
      <c r="F931" s="8"/>
      <c r="G931" s="8"/>
    </row>
    <row r="932" spans="1:7" x14ac:dyDescent="0.25">
      <c r="A932" s="8"/>
      <c r="B932" s="8"/>
      <c r="C932" s="8"/>
      <c r="D932" s="8"/>
      <c r="E932" s="8"/>
      <c r="F932" s="8"/>
      <c r="G932" s="8"/>
    </row>
    <row r="933" spans="1:7" x14ac:dyDescent="0.25">
      <c r="A933" s="8"/>
      <c r="B933" s="8"/>
      <c r="C933" s="8"/>
      <c r="D933" s="8"/>
      <c r="E933" s="8"/>
      <c r="F933" s="8"/>
      <c r="G933" s="8"/>
    </row>
    <row r="934" spans="1:7" x14ac:dyDescent="0.25">
      <c r="A934" s="8"/>
      <c r="B934" s="8"/>
      <c r="C934" s="8"/>
      <c r="D934" s="8"/>
      <c r="E934" s="8"/>
      <c r="F934" s="8"/>
      <c r="G934" s="8"/>
    </row>
    <row r="935" spans="1:7" x14ac:dyDescent="0.25">
      <c r="A935" s="8"/>
      <c r="B935" s="8"/>
      <c r="C935" s="8"/>
      <c r="D935" s="8"/>
      <c r="E935" s="8"/>
      <c r="F935" s="8"/>
      <c r="G935" s="8"/>
    </row>
    <row r="936" spans="1:7" x14ac:dyDescent="0.25">
      <c r="A936" s="8"/>
      <c r="B936" s="8"/>
      <c r="C936" s="8"/>
      <c r="D936" s="8"/>
      <c r="E936" s="8"/>
      <c r="F936" s="8"/>
      <c r="G936" s="8"/>
    </row>
    <row r="937" spans="1:7" x14ac:dyDescent="0.25">
      <c r="A937" s="8"/>
      <c r="B937" s="8"/>
      <c r="C937" s="8"/>
      <c r="D937" s="8"/>
      <c r="E937" s="8"/>
      <c r="F937" s="8"/>
      <c r="G937" s="8"/>
    </row>
    <row r="938" spans="1:7" x14ac:dyDescent="0.25">
      <c r="A938" s="8"/>
      <c r="B938" s="8"/>
      <c r="C938" s="8"/>
      <c r="D938" s="8"/>
      <c r="E938" s="8"/>
      <c r="F938" s="8"/>
      <c r="G938" s="8"/>
    </row>
    <row r="939" spans="1:7" x14ac:dyDescent="0.25">
      <c r="A939" s="8"/>
      <c r="B939" s="8"/>
      <c r="C939" s="8"/>
      <c r="D939" s="8"/>
      <c r="E939" s="8"/>
      <c r="F939" s="8"/>
      <c r="G939" s="8"/>
    </row>
    <row r="940" spans="1:7" x14ac:dyDescent="0.25">
      <c r="A940" s="8"/>
      <c r="B940" s="8"/>
      <c r="C940" s="8"/>
      <c r="D940" s="8"/>
      <c r="E940" s="8"/>
      <c r="F940" s="8"/>
      <c r="G940" s="8"/>
    </row>
    <row r="941" spans="1:7" x14ac:dyDescent="0.25">
      <c r="A941" s="8"/>
      <c r="B941" s="8"/>
      <c r="C941" s="8"/>
      <c r="D941" s="8"/>
      <c r="E941" s="8"/>
      <c r="F941" s="8"/>
      <c r="G941" s="8"/>
    </row>
    <row r="942" spans="1:7" x14ac:dyDescent="0.25">
      <c r="A942" s="8"/>
      <c r="B942" s="8"/>
      <c r="C942" s="8"/>
      <c r="D942" s="8"/>
      <c r="E942" s="8"/>
      <c r="F942" s="8"/>
      <c r="G942" s="8"/>
    </row>
    <row r="943" spans="1:7" x14ac:dyDescent="0.25">
      <c r="A943" s="8"/>
      <c r="B943" s="8"/>
      <c r="C943" s="8"/>
      <c r="D943" s="8"/>
      <c r="E943" s="8"/>
      <c r="F943" s="8"/>
      <c r="G943" s="8"/>
    </row>
    <row r="944" spans="1:7" x14ac:dyDescent="0.25">
      <c r="A944" s="8"/>
      <c r="B944" s="8"/>
      <c r="C944" s="8"/>
      <c r="D944" s="8"/>
      <c r="E944" s="8"/>
      <c r="F944" s="8"/>
      <c r="G944" s="8"/>
    </row>
    <row r="945" spans="1:7" x14ac:dyDescent="0.25">
      <c r="A945" s="8"/>
      <c r="B945" s="8"/>
      <c r="C945" s="8"/>
      <c r="D945" s="8"/>
      <c r="E945" s="8"/>
      <c r="F945" s="8"/>
      <c r="G945" s="8"/>
    </row>
    <row r="946" spans="1:7" x14ac:dyDescent="0.25">
      <c r="A946" s="8"/>
      <c r="B946" s="8"/>
      <c r="C946" s="8"/>
      <c r="D946" s="8"/>
      <c r="E946" s="8"/>
      <c r="F946" s="8"/>
      <c r="G946" s="8"/>
    </row>
    <row r="947" spans="1:7" x14ac:dyDescent="0.25">
      <c r="A947" s="8"/>
      <c r="B947" s="8"/>
      <c r="C947" s="8"/>
      <c r="D947" s="8"/>
      <c r="E947" s="8"/>
      <c r="F947" s="8"/>
      <c r="G947" s="8"/>
    </row>
    <row r="948" spans="1:7" x14ac:dyDescent="0.25">
      <c r="A948" s="8"/>
      <c r="B948" s="8"/>
      <c r="C948" s="8"/>
      <c r="D948" s="8"/>
      <c r="E948" s="8"/>
      <c r="F948" s="8"/>
      <c r="G948" s="8"/>
    </row>
    <row r="949" spans="1:7" x14ac:dyDescent="0.25">
      <c r="A949" s="8"/>
      <c r="B949" s="8"/>
      <c r="C949" s="8"/>
      <c r="D949" s="8"/>
      <c r="E949" s="8"/>
      <c r="F949" s="8"/>
      <c r="G949" s="8"/>
    </row>
    <row r="950" spans="1:7" x14ac:dyDescent="0.25">
      <c r="A950" s="8"/>
      <c r="B950" s="8"/>
      <c r="C950" s="8"/>
      <c r="D950" s="8"/>
      <c r="E950" s="8"/>
      <c r="F950" s="8"/>
      <c r="G950" s="8"/>
    </row>
    <row r="951" spans="1:7" x14ac:dyDescent="0.25">
      <c r="A951" s="8"/>
      <c r="B951" s="8"/>
      <c r="C951" s="8"/>
      <c r="D951" s="8"/>
      <c r="E951" s="8"/>
      <c r="F951" s="8"/>
      <c r="G951" s="8"/>
    </row>
    <row r="952" spans="1:7" x14ac:dyDescent="0.25">
      <c r="A952" s="8"/>
      <c r="B952" s="8"/>
      <c r="C952" s="8"/>
      <c r="D952" s="8"/>
      <c r="E952" s="8"/>
      <c r="F952" s="8"/>
      <c r="G952" s="8"/>
    </row>
    <row r="953" spans="1:7" x14ac:dyDescent="0.25">
      <c r="A953" s="8"/>
      <c r="B953" s="8"/>
      <c r="C953" s="8"/>
      <c r="D953" s="8"/>
      <c r="E953" s="8"/>
      <c r="F953" s="8"/>
      <c r="G953" s="8"/>
    </row>
    <row r="954" spans="1:7" x14ac:dyDescent="0.25">
      <c r="A954" s="8"/>
      <c r="B954" s="8"/>
      <c r="C954" s="8"/>
      <c r="D954" s="8"/>
      <c r="E954" s="8"/>
      <c r="F954" s="8"/>
      <c r="G954" s="8"/>
    </row>
    <row r="955" spans="1:7" x14ac:dyDescent="0.25">
      <c r="A955" s="8"/>
      <c r="B955" s="8"/>
      <c r="C955" s="8"/>
      <c r="D955" s="8"/>
      <c r="E955" s="8"/>
      <c r="F955" s="8"/>
      <c r="G955" s="8"/>
    </row>
    <row r="956" spans="1:7" x14ac:dyDescent="0.25">
      <c r="A956" s="8"/>
      <c r="B956" s="8"/>
      <c r="C956" s="8"/>
      <c r="D956" s="8"/>
      <c r="E956" s="8"/>
      <c r="F956" s="8"/>
      <c r="G956" s="8"/>
    </row>
    <row r="957" spans="1:7" x14ac:dyDescent="0.25">
      <c r="A957" s="8"/>
      <c r="B957" s="8"/>
      <c r="C957" s="8"/>
      <c r="D957" s="8"/>
      <c r="E957" s="8"/>
      <c r="F957" s="8"/>
      <c r="G957" s="8"/>
    </row>
    <row r="958" spans="1:7" x14ac:dyDescent="0.25">
      <c r="A958" s="8"/>
      <c r="B958" s="8"/>
      <c r="C958" s="8"/>
      <c r="D958" s="8"/>
      <c r="E958" s="8"/>
      <c r="F958" s="8"/>
      <c r="G958" s="8"/>
    </row>
    <row r="959" spans="1:7" x14ac:dyDescent="0.25">
      <c r="A959" s="8"/>
      <c r="B959" s="8"/>
      <c r="C959" s="8"/>
      <c r="D959" s="8"/>
      <c r="E959" s="8"/>
      <c r="F959" s="8"/>
      <c r="G959" s="8"/>
    </row>
    <row r="960" spans="1:7" x14ac:dyDescent="0.25">
      <c r="A960" s="8"/>
      <c r="B960" s="8"/>
      <c r="C960" s="8"/>
      <c r="D960" s="8"/>
      <c r="E960" s="8"/>
      <c r="F960" s="8"/>
      <c r="G960" s="8"/>
    </row>
    <row r="961" spans="1:7" x14ac:dyDescent="0.25">
      <c r="A961" s="8"/>
      <c r="B961" s="8"/>
      <c r="C961" s="8"/>
      <c r="D961" s="8"/>
      <c r="E961" s="8"/>
      <c r="F961" s="8"/>
      <c r="G961" s="8"/>
    </row>
    <row r="962" spans="1:7" x14ac:dyDescent="0.25">
      <c r="A962" s="8"/>
      <c r="B962" s="8"/>
      <c r="C962" s="8"/>
      <c r="D962" s="8"/>
      <c r="E962" s="8"/>
      <c r="F962" s="8"/>
      <c r="G962" s="8"/>
    </row>
    <row r="963" spans="1:7" x14ac:dyDescent="0.25">
      <c r="A963" s="8"/>
      <c r="B963" s="8"/>
      <c r="C963" s="8"/>
      <c r="D963" s="8"/>
      <c r="E963" s="8"/>
      <c r="F963" s="8"/>
      <c r="G963" s="8"/>
    </row>
    <row r="964" spans="1:7" x14ac:dyDescent="0.25">
      <c r="A964" s="8"/>
      <c r="B964" s="8"/>
      <c r="C964" s="8"/>
      <c r="D964" s="8"/>
      <c r="E964" s="8"/>
      <c r="F964" s="8"/>
      <c r="G964" s="8"/>
    </row>
    <row r="965" spans="1:7" x14ac:dyDescent="0.25">
      <c r="A965" s="8"/>
      <c r="B965" s="8"/>
      <c r="C965" s="8"/>
      <c r="D965" s="8"/>
      <c r="E965" s="8"/>
      <c r="F965" s="8"/>
      <c r="G965" s="8"/>
    </row>
    <row r="966" spans="1:7" x14ac:dyDescent="0.25">
      <c r="A966" s="8"/>
      <c r="B966" s="8"/>
      <c r="C966" s="8"/>
      <c r="D966" s="8"/>
      <c r="E966" s="8"/>
      <c r="F966" s="8"/>
      <c r="G966" s="8"/>
    </row>
    <row r="967" spans="1:7" x14ac:dyDescent="0.25">
      <c r="A967" s="8"/>
      <c r="B967" s="8"/>
      <c r="C967" s="8"/>
      <c r="D967" s="8"/>
      <c r="E967" s="8"/>
      <c r="F967" s="8"/>
      <c r="G967" s="8"/>
    </row>
    <row r="968" spans="1:7" x14ac:dyDescent="0.25">
      <c r="A968" s="8"/>
      <c r="B968" s="8"/>
      <c r="C968" s="8"/>
      <c r="D968" s="8"/>
      <c r="E968" s="8"/>
      <c r="F968" s="8"/>
      <c r="G968" s="8"/>
    </row>
    <row r="969" spans="1:7" x14ac:dyDescent="0.25">
      <c r="A969" s="8"/>
      <c r="B969" s="8"/>
      <c r="C969" s="8"/>
      <c r="D969" s="8"/>
      <c r="E969" s="8"/>
      <c r="F969" s="8"/>
      <c r="G969" s="8"/>
    </row>
    <row r="970" spans="1:7" x14ac:dyDescent="0.25">
      <c r="A970" s="8"/>
      <c r="B970" s="8"/>
      <c r="C970" s="8"/>
      <c r="D970" s="8"/>
      <c r="E970" s="8"/>
      <c r="F970" s="8"/>
      <c r="G970" s="8"/>
    </row>
    <row r="971" spans="1:7" x14ac:dyDescent="0.25">
      <c r="A971" s="8"/>
      <c r="B971" s="8"/>
      <c r="C971" s="8"/>
      <c r="D971" s="8"/>
      <c r="E971" s="8"/>
      <c r="F971" s="8"/>
      <c r="G971" s="8"/>
    </row>
    <row r="972" spans="1:7" x14ac:dyDescent="0.25">
      <c r="A972" s="8"/>
      <c r="B972" s="8"/>
      <c r="C972" s="8"/>
      <c r="D972" s="8"/>
      <c r="E972" s="8"/>
      <c r="F972" s="8"/>
      <c r="G972" s="8"/>
    </row>
    <row r="973" spans="1:7" x14ac:dyDescent="0.25">
      <c r="A973" s="8"/>
      <c r="B973" s="8"/>
      <c r="C973" s="8"/>
      <c r="D973" s="8"/>
      <c r="E973" s="8"/>
      <c r="F973" s="8"/>
      <c r="G973" s="8"/>
    </row>
    <row r="974" spans="1:7" x14ac:dyDescent="0.25">
      <c r="A974" s="8"/>
      <c r="B974" s="8"/>
      <c r="C974" s="8"/>
      <c r="D974" s="8"/>
      <c r="E974" s="8"/>
      <c r="F974" s="8"/>
      <c r="G974" s="8"/>
    </row>
    <row r="975" spans="1:7" x14ac:dyDescent="0.25">
      <c r="A975" s="8"/>
      <c r="B975" s="8"/>
      <c r="C975" s="8"/>
      <c r="D975" s="8"/>
      <c r="E975" s="8"/>
      <c r="F975" s="8"/>
      <c r="G975" s="8"/>
    </row>
    <row r="976" spans="1:7" x14ac:dyDescent="0.25">
      <c r="A976" s="8"/>
      <c r="B976" s="8"/>
      <c r="C976" s="8"/>
      <c r="D976" s="8"/>
      <c r="E976" s="8"/>
      <c r="F976" s="8"/>
      <c r="G976" s="8"/>
    </row>
    <row r="977" spans="1:7" x14ac:dyDescent="0.25">
      <c r="A977" s="8"/>
      <c r="B977" s="8"/>
      <c r="C977" s="8"/>
      <c r="D977" s="8"/>
      <c r="E977" s="8"/>
      <c r="F977" s="8"/>
      <c r="G977" s="8"/>
    </row>
    <row r="978" spans="1:7" x14ac:dyDescent="0.25">
      <c r="A978" s="8"/>
      <c r="B978" s="8"/>
      <c r="C978" s="8"/>
      <c r="D978" s="8"/>
      <c r="E978" s="8"/>
      <c r="F978" s="8"/>
      <c r="G978" s="8"/>
    </row>
    <row r="979" spans="1:7" x14ac:dyDescent="0.25">
      <c r="A979" s="8"/>
      <c r="B979" s="8"/>
      <c r="C979" s="8"/>
      <c r="D979" s="8"/>
      <c r="E979" s="8"/>
      <c r="F979" s="8"/>
      <c r="G979" s="8"/>
    </row>
    <row r="980" spans="1:7" x14ac:dyDescent="0.25">
      <c r="A980" s="8"/>
      <c r="B980" s="8"/>
      <c r="C980" s="8"/>
      <c r="D980" s="8"/>
      <c r="E980" s="8"/>
      <c r="F980" s="8"/>
      <c r="G980" s="8"/>
    </row>
    <row r="981" spans="1:7" x14ac:dyDescent="0.25">
      <c r="A981" s="8"/>
      <c r="B981" s="8"/>
      <c r="C981" s="8"/>
      <c r="D981" s="8"/>
      <c r="E981" s="8"/>
      <c r="F981" s="8"/>
      <c r="G981" s="8"/>
    </row>
    <row r="982" spans="1:7" x14ac:dyDescent="0.25">
      <c r="A982" s="8"/>
      <c r="B982" s="8"/>
      <c r="C982" s="8"/>
      <c r="D982" s="8"/>
      <c r="E982" s="8"/>
      <c r="F982" s="8"/>
      <c r="G982" s="8"/>
    </row>
    <row r="983" spans="1:7" x14ac:dyDescent="0.25">
      <c r="A983" s="8"/>
      <c r="B983" s="8"/>
      <c r="C983" s="8"/>
      <c r="D983" s="8"/>
      <c r="E983" s="8"/>
      <c r="F983" s="8"/>
      <c r="G983" s="8"/>
    </row>
    <row r="984" spans="1:7" x14ac:dyDescent="0.25">
      <c r="A984" s="8"/>
      <c r="B984" s="8"/>
      <c r="C984" s="8"/>
      <c r="D984" s="8"/>
      <c r="E984" s="8"/>
      <c r="F984" s="8"/>
      <c r="G984" s="8"/>
    </row>
    <row r="985" spans="1:7" x14ac:dyDescent="0.25">
      <c r="A985" s="8"/>
      <c r="B985" s="8"/>
      <c r="C985" s="8"/>
      <c r="D985" s="8"/>
      <c r="E985" s="8"/>
      <c r="F985" s="8"/>
      <c r="G985" s="8"/>
    </row>
    <row r="986" spans="1:7" x14ac:dyDescent="0.25">
      <c r="A986" s="8"/>
      <c r="B986" s="8"/>
      <c r="C986" s="8"/>
      <c r="D986" s="8"/>
      <c r="E986" s="8"/>
      <c r="F986" s="8"/>
      <c r="G986" s="8"/>
    </row>
    <row r="987" spans="1:7" x14ac:dyDescent="0.25">
      <c r="A987" s="8"/>
      <c r="B987" s="8"/>
      <c r="C987" s="8"/>
      <c r="D987" s="8"/>
      <c r="E987" s="8"/>
      <c r="F987" s="8"/>
      <c r="G987" s="8"/>
    </row>
    <row r="988" spans="1:7" x14ac:dyDescent="0.25">
      <c r="A988" s="8"/>
      <c r="B988" s="8"/>
      <c r="C988" s="8"/>
      <c r="D988" s="8"/>
      <c r="E988" s="8"/>
      <c r="F988" s="8"/>
      <c r="G988" s="8"/>
    </row>
    <row r="989" spans="1:7" x14ac:dyDescent="0.25">
      <c r="A989" s="8"/>
      <c r="B989" s="8"/>
      <c r="C989" s="8"/>
      <c r="D989" s="8"/>
      <c r="E989" s="8"/>
      <c r="F989" s="8"/>
      <c r="G989" s="8"/>
    </row>
    <row r="990" spans="1:7" x14ac:dyDescent="0.25">
      <c r="A990" s="8"/>
      <c r="B990" s="8"/>
      <c r="C990" s="8"/>
      <c r="D990" s="8"/>
      <c r="E990" s="8"/>
      <c r="F990" s="8"/>
      <c r="G990" s="8"/>
    </row>
    <row r="991" spans="1:7" x14ac:dyDescent="0.25">
      <c r="A991" s="8"/>
      <c r="B991" s="8"/>
      <c r="C991" s="8"/>
      <c r="D991" s="8"/>
      <c r="E991" s="8"/>
      <c r="F991" s="8"/>
      <c r="G991" s="8"/>
    </row>
    <row r="992" spans="1:7" x14ac:dyDescent="0.25">
      <c r="A992" s="8"/>
      <c r="B992" s="8"/>
      <c r="C992" s="8"/>
      <c r="D992" s="8"/>
      <c r="E992" s="8"/>
      <c r="F992" s="8"/>
      <c r="G992" s="8"/>
    </row>
    <row r="993" spans="1:7" x14ac:dyDescent="0.25">
      <c r="A993" s="8"/>
      <c r="B993" s="8"/>
      <c r="C993" s="8"/>
      <c r="D993" s="8"/>
      <c r="E993" s="8"/>
      <c r="F993" s="8"/>
      <c r="G993" s="8"/>
    </row>
    <row r="994" spans="1:7" x14ac:dyDescent="0.25">
      <c r="A994" s="8"/>
      <c r="B994" s="8"/>
      <c r="C994" s="8"/>
      <c r="D994" s="8"/>
      <c r="E994" s="8"/>
      <c r="F994" s="8"/>
      <c r="G994" s="8"/>
    </row>
    <row r="995" spans="1:7" x14ac:dyDescent="0.25">
      <c r="A995" s="8"/>
      <c r="B995" s="8"/>
      <c r="C995" s="8"/>
      <c r="D995" s="8"/>
      <c r="E995" s="8"/>
      <c r="F995" s="8"/>
      <c r="G995" s="8"/>
    </row>
    <row r="996" spans="1:7" x14ac:dyDescent="0.25">
      <c r="A996" s="8"/>
      <c r="B996" s="8"/>
      <c r="C996" s="8"/>
      <c r="D996" s="8"/>
      <c r="E996" s="8"/>
      <c r="F996" s="8"/>
      <c r="G996" s="8"/>
    </row>
    <row r="997" spans="1:7" x14ac:dyDescent="0.25">
      <c r="A997" s="8"/>
      <c r="B997" s="8"/>
      <c r="C997" s="8"/>
      <c r="D997" s="8"/>
      <c r="E997" s="8"/>
      <c r="F997" s="8"/>
      <c r="G997" s="8"/>
    </row>
    <row r="998" spans="1:7" x14ac:dyDescent="0.25">
      <c r="A998" s="8"/>
      <c r="B998" s="8"/>
      <c r="C998" s="8"/>
      <c r="D998" s="8"/>
      <c r="E998" s="8"/>
      <c r="F998" s="8"/>
      <c r="G998" s="8"/>
    </row>
    <row r="999" spans="1:7" x14ac:dyDescent="0.25">
      <c r="A999" s="8"/>
      <c r="B999" s="8"/>
      <c r="C999" s="8"/>
      <c r="D999" s="8"/>
      <c r="E999" s="8"/>
      <c r="F999" s="8"/>
      <c r="G999" s="8"/>
    </row>
    <row r="1000" spans="1:7" x14ac:dyDescent="0.25">
      <c r="A1000" s="8"/>
      <c r="B1000" s="8"/>
      <c r="C1000" s="8"/>
      <c r="D1000" s="8"/>
      <c r="E1000" s="8"/>
      <c r="F1000" s="8"/>
      <c r="G1000" s="8"/>
    </row>
    <row r="1001" spans="1:7" x14ac:dyDescent="0.25">
      <c r="A1001" s="8"/>
      <c r="B1001" s="8"/>
      <c r="C1001" s="8"/>
      <c r="D1001" s="8"/>
      <c r="E1001" s="8"/>
      <c r="F1001" s="8"/>
      <c r="G1001" s="8"/>
    </row>
    <row r="1002" spans="1:7" x14ac:dyDescent="0.25">
      <c r="A1002" s="8"/>
      <c r="B1002" s="8"/>
      <c r="C1002" s="8"/>
      <c r="D1002" s="8"/>
      <c r="E1002" s="8"/>
      <c r="F1002" s="8"/>
      <c r="G1002" s="8"/>
    </row>
  </sheetData>
  <mergeCells count="2">
    <mergeCell ref="J115:K115"/>
    <mergeCell ref="J123:K1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Y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5" x14ac:dyDescent="0.25">
      <c r="A1" s="54" t="s">
        <v>0</v>
      </c>
      <c r="B1" s="38" t="s">
        <v>4354</v>
      </c>
      <c r="C1" s="38" t="s">
        <v>4355</v>
      </c>
      <c r="D1" s="38" t="s">
        <v>6</v>
      </c>
      <c r="E1" s="38"/>
      <c r="F1" s="38"/>
      <c r="G1" s="38"/>
      <c r="H1" s="38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</row>
    <row r="2" spans="1:25" x14ac:dyDescent="0.25">
      <c r="A2" s="11" t="s">
        <v>4210</v>
      </c>
      <c r="B2" s="11">
        <v>18903256739.099998</v>
      </c>
      <c r="C2" s="11">
        <v>24758930991.299999</v>
      </c>
      <c r="D2" s="8">
        <f t="shared" ref="D2:D183" si="0">((C2-B2)/B2)*100</f>
        <v>30.977065661325799</v>
      </c>
      <c r="E2" s="69" t="s">
        <v>4469</v>
      </c>
      <c r="F2" s="67"/>
      <c r="G2" s="67"/>
      <c r="H2" s="8"/>
    </row>
    <row r="3" spans="1:25" x14ac:dyDescent="0.25">
      <c r="A3" s="11" t="s">
        <v>4133</v>
      </c>
      <c r="B3" s="11">
        <v>2764926372.5999999</v>
      </c>
      <c r="C3" s="11">
        <v>3492644526</v>
      </c>
      <c r="D3" s="8">
        <f t="shared" si="0"/>
        <v>26.319621405169279</v>
      </c>
      <c r="E3" s="8"/>
      <c r="F3" s="8"/>
      <c r="G3" s="8"/>
      <c r="H3" s="8"/>
    </row>
    <row r="4" spans="1:25" x14ac:dyDescent="0.25">
      <c r="A4" s="11" t="s">
        <v>56</v>
      </c>
      <c r="B4" s="11">
        <v>10774589335.969999</v>
      </c>
      <c r="C4" s="11">
        <v>13013796174.120001</v>
      </c>
      <c r="D4" s="8">
        <f t="shared" si="0"/>
        <v>20.782294046925859</v>
      </c>
      <c r="E4" s="8"/>
      <c r="F4" s="8"/>
      <c r="G4" s="8"/>
      <c r="H4" s="8"/>
    </row>
    <row r="5" spans="1:25" x14ac:dyDescent="0.25">
      <c r="A5" s="11" t="s">
        <v>4051</v>
      </c>
      <c r="B5" s="11">
        <v>24338957930.599998</v>
      </c>
      <c r="C5" s="11">
        <v>27456403776</v>
      </c>
      <c r="D5" s="8">
        <f t="shared" si="0"/>
        <v>12.808460634547597</v>
      </c>
      <c r="E5" s="8"/>
      <c r="F5" s="8"/>
      <c r="G5" s="8"/>
      <c r="H5" s="8"/>
    </row>
    <row r="6" spans="1:25" x14ac:dyDescent="0.25">
      <c r="A6" s="11" t="s">
        <v>2867</v>
      </c>
      <c r="B6" s="11">
        <v>4722067330.1000004</v>
      </c>
      <c r="C6" s="11">
        <v>5209439731.8000002</v>
      </c>
      <c r="D6" s="8">
        <f t="shared" si="0"/>
        <v>10.321165871425189</v>
      </c>
      <c r="E6" s="8"/>
      <c r="F6" s="8"/>
      <c r="G6" s="8"/>
      <c r="H6" s="8"/>
    </row>
    <row r="7" spans="1:25" x14ac:dyDescent="0.25">
      <c r="A7" s="11" t="s">
        <v>1001</v>
      </c>
      <c r="B7" s="11">
        <v>631717386799.04993</v>
      </c>
      <c r="C7" s="11">
        <v>694697628000.44995</v>
      </c>
      <c r="D7" s="8">
        <f t="shared" si="0"/>
        <v>9.9696862105576525</v>
      </c>
      <c r="E7" s="8"/>
      <c r="F7" s="8"/>
      <c r="G7" s="8"/>
      <c r="H7" s="8"/>
    </row>
    <row r="8" spans="1:25" x14ac:dyDescent="0.25">
      <c r="A8" s="11" t="s">
        <v>41</v>
      </c>
      <c r="B8" s="11">
        <v>381538461201</v>
      </c>
      <c r="C8" s="11">
        <v>418023931891.09998</v>
      </c>
      <c r="D8" s="8">
        <f t="shared" si="0"/>
        <v>9.562724181266459</v>
      </c>
      <c r="E8" s="8"/>
      <c r="F8" s="8"/>
      <c r="G8" s="8"/>
      <c r="H8" s="8"/>
    </row>
    <row r="9" spans="1:25" x14ac:dyDescent="0.25">
      <c r="A9" s="11" t="s">
        <v>4177</v>
      </c>
      <c r="B9" s="11">
        <v>37369223442.25</v>
      </c>
      <c r="C9" s="11">
        <v>40901362240.75</v>
      </c>
      <c r="D9" s="8">
        <f t="shared" si="0"/>
        <v>9.4519994614245313</v>
      </c>
      <c r="E9" s="8"/>
      <c r="F9" s="8"/>
      <c r="G9" s="8"/>
      <c r="H9" s="8"/>
    </row>
    <row r="10" spans="1:25" x14ac:dyDescent="0.25">
      <c r="A10" s="11" t="s">
        <v>3402</v>
      </c>
      <c r="B10" s="11">
        <v>5580554432853.9512</v>
      </c>
      <c r="C10" s="11">
        <v>6065529147411.7998</v>
      </c>
      <c r="D10" s="8">
        <f t="shared" si="0"/>
        <v>8.6904396398805073</v>
      </c>
      <c r="E10" s="8"/>
      <c r="F10" s="8"/>
      <c r="G10" s="8"/>
      <c r="H10" s="8"/>
    </row>
    <row r="11" spans="1:25" x14ac:dyDescent="0.25">
      <c r="A11" s="11" t="s">
        <v>2594</v>
      </c>
      <c r="B11" s="11">
        <v>3928215828</v>
      </c>
      <c r="C11" s="11">
        <v>4235310621.25</v>
      </c>
      <c r="D11" s="8">
        <f t="shared" si="0"/>
        <v>7.8176660014720554</v>
      </c>
      <c r="E11" s="8"/>
      <c r="F11" s="8"/>
      <c r="G11" s="8"/>
      <c r="H11" s="8"/>
    </row>
    <row r="12" spans="1:25" x14ac:dyDescent="0.25">
      <c r="A12" s="11" t="s">
        <v>3867</v>
      </c>
      <c r="B12" s="11">
        <v>3663536074</v>
      </c>
      <c r="C12" s="11">
        <v>3889696604.2000003</v>
      </c>
      <c r="D12" s="8">
        <f t="shared" si="0"/>
        <v>6.1732851985559645</v>
      </c>
      <c r="E12" s="8"/>
      <c r="F12" s="8"/>
      <c r="G12" s="8"/>
      <c r="H12" s="8"/>
    </row>
    <row r="13" spans="1:25" x14ac:dyDescent="0.25">
      <c r="A13" s="11" t="s">
        <v>4191</v>
      </c>
      <c r="B13" s="11">
        <v>8842342807.75</v>
      </c>
      <c r="C13" s="11">
        <v>9363955769.75</v>
      </c>
      <c r="D13" s="8">
        <f t="shared" si="0"/>
        <v>5.8990357345433919</v>
      </c>
      <c r="E13" s="8"/>
      <c r="F13" s="8"/>
      <c r="G13" s="8"/>
      <c r="H13" s="8"/>
    </row>
    <row r="14" spans="1:25" x14ac:dyDescent="0.25">
      <c r="A14" s="11" t="s">
        <v>2501</v>
      </c>
      <c r="B14" s="11">
        <v>115049279555.16</v>
      </c>
      <c r="C14" s="11">
        <v>121036158768.45999</v>
      </c>
      <c r="D14" s="8">
        <f t="shared" si="0"/>
        <v>5.2037520238704307</v>
      </c>
      <c r="E14" s="8"/>
      <c r="F14" s="8"/>
      <c r="G14" s="8"/>
      <c r="H14" s="8"/>
    </row>
    <row r="15" spans="1:25" x14ac:dyDescent="0.25">
      <c r="A15" s="11" t="s">
        <v>3131</v>
      </c>
      <c r="B15" s="11">
        <v>1173342328370.9001</v>
      </c>
      <c r="C15" s="11">
        <v>1234337569099.1001</v>
      </c>
      <c r="D15" s="8">
        <f t="shared" si="0"/>
        <v>5.1984181643636242</v>
      </c>
      <c r="E15" s="8"/>
      <c r="F15" s="8"/>
      <c r="G15" s="8"/>
      <c r="H15" s="8"/>
    </row>
    <row r="16" spans="1:25" x14ac:dyDescent="0.25">
      <c r="A16" s="11" t="s">
        <v>4057</v>
      </c>
      <c r="B16" s="11">
        <v>3709973020.1999998</v>
      </c>
      <c r="C16" s="11">
        <v>3894380615.4000001</v>
      </c>
      <c r="D16" s="8">
        <f t="shared" si="0"/>
        <v>4.9705912737354385</v>
      </c>
      <c r="E16" s="8"/>
      <c r="F16" s="8"/>
      <c r="G16" s="8"/>
      <c r="H16" s="8"/>
    </row>
    <row r="17" spans="1:8" x14ac:dyDescent="0.25">
      <c r="A17" s="11" t="s">
        <v>183</v>
      </c>
      <c r="B17" s="11">
        <v>821064810198.40002</v>
      </c>
      <c r="C17" s="11">
        <v>853321180999.1001</v>
      </c>
      <c r="D17" s="8">
        <f t="shared" si="0"/>
        <v>3.9286022735410771</v>
      </c>
      <c r="E17" s="8"/>
      <c r="F17" s="8"/>
      <c r="G17" s="8"/>
      <c r="H17" s="8"/>
    </row>
    <row r="18" spans="1:8" x14ac:dyDescent="0.25">
      <c r="A18" s="11" t="s">
        <v>3454</v>
      </c>
      <c r="B18" s="11">
        <v>29317112506.949997</v>
      </c>
      <c r="C18" s="11">
        <v>30445921096.090004</v>
      </c>
      <c r="D18" s="8">
        <f t="shared" si="0"/>
        <v>3.8503402709677101</v>
      </c>
      <c r="E18" s="8"/>
      <c r="F18" s="8"/>
      <c r="G18" s="8"/>
      <c r="H18" s="8"/>
    </row>
    <row r="19" spans="1:8" x14ac:dyDescent="0.25">
      <c r="A19" s="11" t="s">
        <v>2297</v>
      </c>
      <c r="B19" s="11">
        <v>1113919394752.0303</v>
      </c>
      <c r="C19" s="11">
        <v>1154020833096.8499</v>
      </c>
      <c r="D19" s="8">
        <f t="shared" si="0"/>
        <v>3.6000305348616868</v>
      </c>
      <c r="E19" s="8"/>
      <c r="F19" s="8"/>
      <c r="G19" s="8"/>
      <c r="H19" s="8"/>
    </row>
    <row r="20" spans="1:8" x14ac:dyDescent="0.25">
      <c r="A20" s="11" t="s">
        <v>2749</v>
      </c>
      <c r="B20" s="11">
        <v>14042667998</v>
      </c>
      <c r="C20" s="11">
        <v>14545531848.800001</v>
      </c>
      <c r="D20" s="8">
        <f t="shared" si="0"/>
        <v>3.580970872996645</v>
      </c>
      <c r="E20" s="8"/>
      <c r="F20" s="8"/>
      <c r="G20" s="8"/>
      <c r="H20" s="8"/>
    </row>
    <row r="21" spans="1:8" x14ac:dyDescent="0.25">
      <c r="A21" s="11" t="s">
        <v>4168</v>
      </c>
      <c r="B21" s="11">
        <v>73345673036.5</v>
      </c>
      <c r="C21" s="11">
        <v>75949195310</v>
      </c>
      <c r="D21" s="8">
        <f t="shared" si="0"/>
        <v>3.5496603490220533</v>
      </c>
      <c r="E21" s="8"/>
      <c r="F21" s="8"/>
      <c r="G21" s="8"/>
      <c r="H21" s="8"/>
    </row>
    <row r="22" spans="1:8" x14ac:dyDescent="0.25">
      <c r="A22" s="56" t="s">
        <v>2577</v>
      </c>
      <c r="B22" s="11">
        <v>475965673764.10004</v>
      </c>
      <c r="C22" s="11">
        <v>492817014930.45001</v>
      </c>
      <c r="D22" s="8">
        <f t="shared" si="0"/>
        <v>3.5404530400446275</v>
      </c>
      <c r="E22" s="8"/>
      <c r="F22" s="8"/>
      <c r="G22" s="8"/>
      <c r="H22" s="8"/>
    </row>
    <row r="23" spans="1:8" x14ac:dyDescent="0.25">
      <c r="A23" s="11" t="s">
        <v>4128</v>
      </c>
      <c r="B23" s="11">
        <v>19277637500</v>
      </c>
      <c r="C23" s="11">
        <v>19941212500</v>
      </c>
      <c r="D23" s="8">
        <f t="shared" si="0"/>
        <v>3.4422008402222524</v>
      </c>
      <c r="E23" s="8"/>
      <c r="F23" s="8"/>
      <c r="G23" s="8"/>
      <c r="H23" s="8"/>
    </row>
    <row r="24" spans="1:8" x14ac:dyDescent="0.25">
      <c r="A24" s="11" t="s">
        <v>4094</v>
      </c>
      <c r="B24" s="11">
        <v>30230784482.16</v>
      </c>
      <c r="C24" s="11">
        <v>31223415704.219997</v>
      </c>
      <c r="D24" s="8">
        <f t="shared" si="0"/>
        <v>3.2835112917621303</v>
      </c>
      <c r="E24" s="8"/>
      <c r="F24" s="8"/>
      <c r="G24" s="8"/>
      <c r="H24" s="8"/>
    </row>
    <row r="25" spans="1:8" x14ac:dyDescent="0.25">
      <c r="A25" s="11" t="s">
        <v>2321</v>
      </c>
      <c r="B25" s="11">
        <v>111733316709.7</v>
      </c>
      <c r="C25" s="11">
        <v>115343641161.25</v>
      </c>
      <c r="D25" s="8">
        <f t="shared" si="0"/>
        <v>3.2311977822426683</v>
      </c>
      <c r="E25" s="8"/>
      <c r="F25" s="8"/>
      <c r="G25" s="8"/>
      <c r="H25" s="8"/>
    </row>
    <row r="26" spans="1:8" x14ac:dyDescent="0.25">
      <c r="A26" s="11" t="s">
        <v>807</v>
      </c>
      <c r="B26" s="11">
        <v>3125212805288.23</v>
      </c>
      <c r="C26" s="11">
        <v>3225886180959.0806</v>
      </c>
      <c r="D26" s="8">
        <f t="shared" si="0"/>
        <v>3.2213286564197903</v>
      </c>
      <c r="E26" s="8"/>
      <c r="F26" s="8"/>
      <c r="G26" s="8"/>
      <c r="H26" s="8"/>
    </row>
    <row r="27" spans="1:8" x14ac:dyDescent="0.25">
      <c r="A27" s="11" t="s">
        <v>3663</v>
      </c>
      <c r="B27" s="11">
        <v>73435175732.300003</v>
      </c>
      <c r="C27" s="11">
        <v>75763471272.399994</v>
      </c>
      <c r="D27" s="8">
        <f t="shared" si="0"/>
        <v>3.1705453372747967</v>
      </c>
      <c r="E27" s="8"/>
      <c r="F27" s="8"/>
      <c r="G27" s="8"/>
      <c r="H27" s="8"/>
    </row>
    <row r="28" spans="1:8" x14ac:dyDescent="0.25">
      <c r="A28" s="11" t="s">
        <v>1616</v>
      </c>
      <c r="B28" s="11">
        <v>489686414757.5</v>
      </c>
      <c r="C28" s="11">
        <v>503857228639.5</v>
      </c>
      <c r="D28" s="8">
        <f t="shared" si="0"/>
        <v>2.8938548129863064</v>
      </c>
      <c r="E28" s="8"/>
      <c r="F28" s="8"/>
      <c r="G28" s="8"/>
      <c r="H28" s="8"/>
    </row>
    <row r="29" spans="1:8" x14ac:dyDescent="0.25">
      <c r="A29" s="11" t="s">
        <v>1968</v>
      </c>
      <c r="B29" s="11">
        <v>27776321009348.766</v>
      </c>
      <c r="C29" s="11">
        <v>28578503401101.785</v>
      </c>
      <c r="D29" s="8">
        <f t="shared" si="0"/>
        <v>2.888008068034015</v>
      </c>
      <c r="E29" s="8"/>
      <c r="F29" s="8"/>
      <c r="G29" s="8"/>
      <c r="H29" s="8"/>
    </row>
    <row r="30" spans="1:8" x14ac:dyDescent="0.25">
      <c r="A30" s="11" t="s">
        <v>3900</v>
      </c>
      <c r="B30" s="11">
        <v>211970305729.64001</v>
      </c>
      <c r="C30" s="11">
        <v>217447183650.40002</v>
      </c>
      <c r="D30" s="8">
        <f t="shared" si="0"/>
        <v>2.583794886697742</v>
      </c>
      <c r="E30" s="8"/>
      <c r="F30" s="8"/>
      <c r="G30" s="8"/>
      <c r="H30" s="8"/>
    </row>
    <row r="31" spans="1:8" x14ac:dyDescent="0.25">
      <c r="A31" s="11" t="s">
        <v>3118</v>
      </c>
      <c r="B31" s="11">
        <v>9542746164021.25</v>
      </c>
      <c r="C31" s="11">
        <v>9788602015827.6992</v>
      </c>
      <c r="D31" s="8">
        <f t="shared" si="0"/>
        <v>2.5763637382852402</v>
      </c>
      <c r="E31" s="8"/>
      <c r="F31" s="8"/>
      <c r="G31" s="8"/>
      <c r="H31" s="8"/>
    </row>
    <row r="32" spans="1:8" x14ac:dyDescent="0.25">
      <c r="A32" s="11" t="s">
        <v>4082</v>
      </c>
      <c r="B32" s="11">
        <v>1372574489475</v>
      </c>
      <c r="C32" s="11">
        <v>1405307195063.75</v>
      </c>
      <c r="D32" s="8">
        <f t="shared" si="0"/>
        <v>2.3847671539684545</v>
      </c>
      <c r="E32" s="8"/>
      <c r="F32" s="8"/>
      <c r="G32" s="8"/>
      <c r="H32" s="8"/>
    </row>
    <row r="33" spans="1:9" x14ac:dyDescent="0.25">
      <c r="A33" s="11" t="s">
        <v>9</v>
      </c>
      <c r="B33" s="11">
        <v>2916913908293.8696</v>
      </c>
      <c r="C33" s="11">
        <v>2984927422739.8501</v>
      </c>
      <c r="D33" s="8">
        <f t="shared" si="0"/>
        <v>2.3316942695015026</v>
      </c>
      <c r="E33" s="8"/>
      <c r="F33" s="8"/>
      <c r="G33" s="8"/>
      <c r="H33" s="8"/>
    </row>
    <row r="34" spans="1:9" x14ac:dyDescent="0.25">
      <c r="A34" s="11" t="s">
        <v>3831</v>
      </c>
      <c r="B34" s="11">
        <v>3430346097.5500002</v>
      </c>
      <c r="C34" s="11">
        <v>3507594281.7599998</v>
      </c>
      <c r="D34" s="8">
        <f t="shared" si="0"/>
        <v>2.2519064261524884</v>
      </c>
      <c r="E34" s="8"/>
      <c r="F34" s="8"/>
      <c r="G34" s="8"/>
      <c r="H34" s="8"/>
      <c r="I34" s="58"/>
    </row>
    <row r="35" spans="1:9" x14ac:dyDescent="0.25">
      <c r="A35" s="11" t="s">
        <v>2627</v>
      </c>
      <c r="B35" s="11">
        <v>425047994063.68994</v>
      </c>
      <c r="C35" s="11">
        <v>434347337681.03003</v>
      </c>
      <c r="D35" s="8">
        <f t="shared" si="0"/>
        <v>2.1878337851764238</v>
      </c>
      <c r="E35" s="8"/>
      <c r="F35" s="8"/>
      <c r="G35" s="8"/>
      <c r="H35" s="8"/>
    </row>
    <row r="36" spans="1:9" x14ac:dyDescent="0.25">
      <c r="A36" s="11" t="s">
        <v>1478</v>
      </c>
      <c r="B36" s="11">
        <v>358107912534.98993</v>
      </c>
      <c r="C36" s="11">
        <v>365394306948.03992</v>
      </c>
      <c r="D36" s="8">
        <f t="shared" si="0"/>
        <v>2.0346923812631621</v>
      </c>
      <c r="E36" s="8"/>
      <c r="F36" s="8"/>
      <c r="G36" s="8"/>
      <c r="H36" s="8"/>
    </row>
    <row r="37" spans="1:9" x14ac:dyDescent="0.25">
      <c r="A37" s="11" t="s">
        <v>1171</v>
      </c>
      <c r="B37" s="11">
        <v>663883865391.3302</v>
      </c>
      <c r="C37" s="11">
        <v>677232972107.3396</v>
      </c>
      <c r="D37" s="8">
        <f t="shared" si="0"/>
        <v>2.0107593228132892</v>
      </c>
      <c r="E37" s="8"/>
      <c r="F37" s="8"/>
      <c r="G37" s="8"/>
      <c r="H37" s="8"/>
    </row>
    <row r="38" spans="1:9" x14ac:dyDescent="0.25">
      <c r="A38" s="11" t="s">
        <v>3707</v>
      </c>
      <c r="B38" s="11">
        <v>172600112657.54999</v>
      </c>
      <c r="C38" s="11">
        <v>175927835973.44998</v>
      </c>
      <c r="D38" s="8">
        <f t="shared" si="0"/>
        <v>1.9279960277328534</v>
      </c>
      <c r="E38" s="8"/>
      <c r="F38" s="8"/>
      <c r="G38" s="8"/>
      <c r="H38" s="8"/>
    </row>
    <row r="39" spans="1:9" x14ac:dyDescent="0.25">
      <c r="A39" s="11" t="s">
        <v>3690</v>
      </c>
      <c r="B39" s="11">
        <v>81313714369.420013</v>
      </c>
      <c r="C39" s="11">
        <v>82859919718.139999</v>
      </c>
      <c r="D39" s="8">
        <f t="shared" si="0"/>
        <v>1.9015308311896202</v>
      </c>
      <c r="E39" s="8"/>
      <c r="F39" s="8"/>
      <c r="G39" s="8"/>
      <c r="H39" s="8"/>
    </row>
    <row r="40" spans="1:9" x14ac:dyDescent="0.25">
      <c r="A40" s="11" t="s">
        <v>3744</v>
      </c>
      <c r="B40" s="11">
        <v>1042627445579.53</v>
      </c>
      <c r="C40" s="11">
        <v>1061051829144.6599</v>
      </c>
      <c r="D40" s="8">
        <f t="shared" si="0"/>
        <v>1.7671109314496267</v>
      </c>
      <c r="E40" s="8"/>
      <c r="F40" s="8"/>
      <c r="G40" s="8"/>
      <c r="H40" s="8"/>
    </row>
    <row r="41" spans="1:9" x14ac:dyDescent="0.25">
      <c r="A41" s="11" t="s">
        <v>3068</v>
      </c>
      <c r="B41" s="11">
        <v>2492882954.2000003</v>
      </c>
      <c r="C41" s="11">
        <v>2533592886.6000004</v>
      </c>
      <c r="D41" s="8">
        <f t="shared" si="0"/>
        <v>1.6330462820732177</v>
      </c>
      <c r="E41" s="8"/>
      <c r="F41" s="8"/>
      <c r="G41" s="8"/>
      <c r="H41" s="8"/>
    </row>
    <row r="42" spans="1:9" x14ac:dyDescent="0.25">
      <c r="A42" s="11" t="s">
        <v>3976</v>
      </c>
      <c r="B42" s="11">
        <v>1118662028867.4197</v>
      </c>
      <c r="C42" s="11">
        <v>1134927415592</v>
      </c>
      <c r="D42" s="8">
        <f t="shared" si="0"/>
        <v>1.4540036494353958</v>
      </c>
      <c r="E42" s="8"/>
      <c r="F42" s="8"/>
      <c r="G42" s="8"/>
      <c r="H42" s="8"/>
    </row>
    <row r="43" spans="1:9" x14ac:dyDescent="0.25">
      <c r="A43" s="11" t="s">
        <v>3906</v>
      </c>
      <c r="B43" s="11">
        <v>201304307343.07999</v>
      </c>
      <c r="C43" s="11">
        <v>204171087664.73999</v>
      </c>
      <c r="D43" s="8">
        <f t="shared" si="0"/>
        <v>1.4241028219898901</v>
      </c>
      <c r="E43" s="8"/>
      <c r="F43" s="8"/>
      <c r="G43" s="8"/>
      <c r="H43" s="8"/>
    </row>
    <row r="44" spans="1:9" x14ac:dyDescent="0.25">
      <c r="A44" s="11" t="s">
        <v>3683</v>
      </c>
      <c r="B44" s="11">
        <v>3777594797318.1602</v>
      </c>
      <c r="C44" s="11">
        <v>3827682083232.2495</v>
      </c>
      <c r="D44" s="8">
        <f t="shared" si="0"/>
        <v>1.3259041427536902</v>
      </c>
      <c r="E44" s="8"/>
      <c r="F44" s="8"/>
      <c r="G44" s="8"/>
      <c r="H44" s="8"/>
    </row>
    <row r="45" spans="1:9" x14ac:dyDescent="0.25">
      <c r="A45" s="11" t="s">
        <v>1046</v>
      </c>
      <c r="B45" s="11">
        <v>779227874781.34985</v>
      </c>
      <c r="C45" s="11">
        <v>789344827160.88013</v>
      </c>
      <c r="D45" s="8">
        <f t="shared" si="0"/>
        <v>1.298330399482831</v>
      </c>
      <c r="E45" s="8"/>
      <c r="F45" s="8"/>
      <c r="G45" s="8"/>
      <c r="H45" s="8"/>
    </row>
    <row r="46" spans="1:9" x14ac:dyDescent="0.25">
      <c r="A46" s="11" t="s">
        <v>2825</v>
      </c>
      <c r="B46" s="11">
        <v>1590360108.6500001</v>
      </c>
      <c r="C46" s="11">
        <v>1610076088.5</v>
      </c>
      <c r="D46" s="8">
        <f t="shared" si="0"/>
        <v>1.2397179571321173</v>
      </c>
      <c r="E46" s="8"/>
      <c r="F46" s="8"/>
      <c r="G46" s="8"/>
      <c r="H46" s="8"/>
    </row>
    <row r="47" spans="1:9" x14ac:dyDescent="0.25">
      <c r="A47" s="11" t="s">
        <v>4200</v>
      </c>
      <c r="B47" s="11">
        <v>65651058487.799995</v>
      </c>
      <c r="C47" s="11">
        <v>66403339992</v>
      </c>
      <c r="D47" s="8">
        <f t="shared" si="0"/>
        <v>1.1458787131966832</v>
      </c>
      <c r="E47" s="69" t="s">
        <v>4470</v>
      </c>
      <c r="F47" s="67"/>
      <c r="G47" s="8"/>
      <c r="H47" s="8"/>
    </row>
    <row r="48" spans="1:9" x14ac:dyDescent="0.25">
      <c r="A48" s="11" t="s">
        <v>1351</v>
      </c>
      <c r="B48" s="11">
        <v>38244820841.300003</v>
      </c>
      <c r="C48" s="11">
        <v>38554726193.800003</v>
      </c>
      <c r="D48" s="8">
        <f t="shared" si="0"/>
        <v>0.81031979149798483</v>
      </c>
      <c r="E48" s="8"/>
      <c r="F48" s="8"/>
      <c r="G48" s="8"/>
      <c r="H48" s="8"/>
    </row>
    <row r="49" spans="1:8" x14ac:dyDescent="0.25">
      <c r="A49" s="11" t="s">
        <v>3369</v>
      </c>
      <c r="B49" s="11">
        <v>81451895528.859985</v>
      </c>
      <c r="C49" s="11">
        <v>81970833052.939987</v>
      </c>
      <c r="D49" s="8">
        <f t="shared" si="0"/>
        <v>0.63710920502289869</v>
      </c>
      <c r="E49" s="8"/>
      <c r="F49" s="8"/>
      <c r="G49" s="8"/>
      <c r="H49" s="8"/>
    </row>
    <row r="50" spans="1:8" x14ac:dyDescent="0.25">
      <c r="A50" s="11" t="s">
        <v>166</v>
      </c>
      <c r="B50" s="11">
        <v>467741486041.65002</v>
      </c>
      <c r="C50" s="11">
        <v>470664165973.34998</v>
      </c>
      <c r="D50" s="8">
        <f t="shared" si="0"/>
        <v>0.62484941338722755</v>
      </c>
      <c r="E50" s="8"/>
      <c r="F50" s="8"/>
      <c r="G50" s="8"/>
      <c r="H50" s="8"/>
    </row>
    <row r="51" spans="1:8" x14ac:dyDescent="0.25">
      <c r="A51" s="11" t="s">
        <v>1333</v>
      </c>
      <c r="B51" s="11">
        <v>75730743866.549988</v>
      </c>
      <c r="C51" s="11">
        <v>75958229387.549988</v>
      </c>
      <c r="D51" s="8">
        <f t="shared" si="0"/>
        <v>0.30038727917537278</v>
      </c>
      <c r="E51" s="8"/>
      <c r="F51" s="8"/>
      <c r="G51" s="8"/>
      <c r="H51" s="8"/>
    </row>
    <row r="52" spans="1:8" x14ac:dyDescent="0.25">
      <c r="A52" s="11" t="s">
        <v>3874</v>
      </c>
      <c r="B52" s="11">
        <v>202152172778.45001</v>
      </c>
      <c r="C52" s="11">
        <v>202253324038.15002</v>
      </c>
      <c r="D52" s="8">
        <f t="shared" si="0"/>
        <v>5.0037186496565432E-2</v>
      </c>
      <c r="E52" s="8"/>
      <c r="F52" s="8"/>
      <c r="G52" s="8"/>
      <c r="H52" s="8"/>
    </row>
    <row r="53" spans="1:8" x14ac:dyDescent="0.25">
      <c r="A53" s="11" t="s">
        <v>1598</v>
      </c>
      <c r="B53" s="11">
        <v>1387811017329.99</v>
      </c>
      <c r="C53" s="11">
        <v>1388236626240.1799</v>
      </c>
      <c r="D53" s="8">
        <f t="shared" si="0"/>
        <v>3.0667641694383616E-2</v>
      </c>
      <c r="E53" s="8"/>
      <c r="F53" s="8"/>
      <c r="G53" s="8"/>
      <c r="H53" s="8"/>
    </row>
    <row r="54" spans="1:8" x14ac:dyDescent="0.25">
      <c r="A54" s="11" t="s">
        <v>96</v>
      </c>
      <c r="B54" s="11">
        <v>20312969808.700001</v>
      </c>
      <c r="C54" s="11">
        <v>20271320447</v>
      </c>
      <c r="D54" s="8">
        <f t="shared" si="0"/>
        <v>-0.20503826910707285</v>
      </c>
      <c r="E54" s="8"/>
      <c r="F54" s="8"/>
      <c r="G54" s="8"/>
      <c r="H54" s="8"/>
    </row>
    <row r="55" spans="1:8" x14ac:dyDescent="0.25">
      <c r="A55" s="11" t="s">
        <v>1760</v>
      </c>
      <c r="B55" s="11">
        <v>206709360411.37997</v>
      </c>
      <c r="C55" s="11">
        <v>206130061360.47003</v>
      </c>
      <c r="D55" s="8">
        <f t="shared" si="0"/>
        <v>-0.28024809798504435</v>
      </c>
      <c r="E55" s="69" t="s">
        <v>4471</v>
      </c>
      <c r="F55" s="67"/>
      <c r="G55" s="8"/>
      <c r="H55" s="8"/>
    </row>
    <row r="56" spans="1:8" x14ac:dyDescent="0.25">
      <c r="A56" s="11" t="s">
        <v>2787</v>
      </c>
      <c r="B56" s="11">
        <v>596411276827.09998</v>
      </c>
      <c r="C56" s="11">
        <v>593844969180.49988</v>
      </c>
      <c r="D56" s="8">
        <f t="shared" si="0"/>
        <v>-0.43029160351441043</v>
      </c>
      <c r="E56" s="8"/>
      <c r="F56" s="8"/>
      <c r="G56" s="8"/>
      <c r="H56" s="8"/>
    </row>
    <row r="57" spans="1:8" x14ac:dyDescent="0.25">
      <c r="A57" s="11" t="s">
        <v>3431</v>
      </c>
      <c r="B57" s="11">
        <v>3832124731647.5</v>
      </c>
      <c r="C57" s="11">
        <v>3813687489863.6001</v>
      </c>
      <c r="D57" s="8">
        <f t="shared" si="0"/>
        <v>-0.4811232168837416</v>
      </c>
      <c r="E57" s="8"/>
      <c r="F57" s="8"/>
      <c r="G57" s="8"/>
      <c r="H57" s="8"/>
    </row>
    <row r="58" spans="1:8" x14ac:dyDescent="0.25">
      <c r="A58" s="11" t="s">
        <v>1584</v>
      </c>
      <c r="B58" s="11">
        <v>231083076316.72</v>
      </c>
      <c r="C58" s="11">
        <v>229956911219.28</v>
      </c>
      <c r="D58" s="8">
        <f t="shared" si="0"/>
        <v>-0.48734209159328162</v>
      </c>
      <c r="E58" s="8"/>
      <c r="F58" s="8"/>
      <c r="G58" s="8"/>
      <c r="H58" s="8"/>
    </row>
    <row r="59" spans="1:8" x14ac:dyDescent="0.25">
      <c r="A59" s="11" t="s">
        <v>3023</v>
      </c>
      <c r="B59" s="11">
        <v>54400839471.890007</v>
      </c>
      <c r="C59" s="11">
        <v>54126317089.290001</v>
      </c>
      <c r="D59" s="8">
        <f t="shared" si="0"/>
        <v>-0.50462894555488846</v>
      </c>
      <c r="E59" s="8"/>
      <c r="F59" s="8"/>
      <c r="G59" s="8"/>
      <c r="H59" s="8"/>
    </row>
    <row r="60" spans="1:8" x14ac:dyDescent="0.25">
      <c r="A60" s="11" t="s">
        <v>959</v>
      </c>
      <c r="B60" s="11">
        <v>203067617342.84998</v>
      </c>
      <c r="C60" s="11">
        <v>201843424033.35001</v>
      </c>
      <c r="D60" s="8">
        <f t="shared" si="0"/>
        <v>-0.60285008782719807</v>
      </c>
      <c r="E60" s="8"/>
      <c r="F60" s="8"/>
      <c r="G60" s="8"/>
      <c r="H60" s="8"/>
    </row>
    <row r="61" spans="1:8" x14ac:dyDescent="0.25">
      <c r="A61" s="11" t="s">
        <v>833</v>
      </c>
      <c r="B61" s="11">
        <v>250236199920.89999</v>
      </c>
      <c r="C61" s="11">
        <v>248607642838.80002</v>
      </c>
      <c r="D61" s="8">
        <f t="shared" si="0"/>
        <v>-0.65080794969503397</v>
      </c>
      <c r="E61" s="8"/>
      <c r="F61" s="8"/>
      <c r="G61" s="8"/>
      <c r="H61" s="8"/>
    </row>
    <row r="62" spans="1:8" x14ac:dyDescent="0.25">
      <c r="A62" s="11" t="s">
        <v>2261</v>
      </c>
      <c r="B62" s="11">
        <v>47019198402.969994</v>
      </c>
      <c r="C62" s="11">
        <v>46662926453.880005</v>
      </c>
      <c r="D62" s="8">
        <f t="shared" si="0"/>
        <v>-0.75771591433061225</v>
      </c>
      <c r="E62" s="8"/>
      <c r="F62" s="8"/>
      <c r="G62" s="8"/>
      <c r="H62" s="8"/>
    </row>
    <row r="63" spans="1:8" x14ac:dyDescent="0.25">
      <c r="A63" s="11" t="s">
        <v>3918</v>
      </c>
      <c r="B63" s="11">
        <v>57290089030.649994</v>
      </c>
      <c r="C63" s="11">
        <v>56838226665.790001</v>
      </c>
      <c r="D63" s="8">
        <f t="shared" si="0"/>
        <v>-0.78872693777495817</v>
      </c>
      <c r="E63" s="8"/>
      <c r="F63" s="8"/>
      <c r="G63" s="8"/>
      <c r="H63" s="8"/>
    </row>
    <row r="64" spans="1:8" x14ac:dyDescent="0.25">
      <c r="A64" s="56" t="s">
        <v>2567</v>
      </c>
      <c r="B64" s="11">
        <v>169397167299.20001</v>
      </c>
      <c r="C64" s="11">
        <v>167848151560.64999</v>
      </c>
      <c r="D64" s="8">
        <f t="shared" si="0"/>
        <v>-0.91442835984030868</v>
      </c>
      <c r="E64" s="69" t="s">
        <v>4472</v>
      </c>
      <c r="F64" s="67"/>
      <c r="G64" s="8"/>
      <c r="H64" s="8"/>
    </row>
    <row r="65" spans="1:8" x14ac:dyDescent="0.25">
      <c r="A65" s="11" t="s">
        <v>1645</v>
      </c>
      <c r="B65" s="11">
        <v>489983781009.65997</v>
      </c>
      <c r="C65" s="11">
        <v>485404842613.35999</v>
      </c>
      <c r="D65" s="8">
        <f t="shared" si="0"/>
        <v>-0.93450815593622982</v>
      </c>
      <c r="E65" s="8"/>
      <c r="F65" s="8"/>
      <c r="G65" s="8"/>
      <c r="H65" s="8"/>
    </row>
    <row r="66" spans="1:8" x14ac:dyDescent="0.25">
      <c r="A66" s="11" t="s">
        <v>2681</v>
      </c>
      <c r="B66" s="11">
        <v>346675628637.36005</v>
      </c>
      <c r="C66" s="11">
        <v>343012791308.6499</v>
      </c>
      <c r="D66" s="8">
        <f t="shared" si="0"/>
        <v>-1.056560376945809</v>
      </c>
      <c r="E66" s="69" t="s">
        <v>4473</v>
      </c>
      <c r="F66" s="67"/>
      <c r="G66" s="8"/>
      <c r="H66" s="8"/>
    </row>
    <row r="67" spans="1:8" x14ac:dyDescent="0.25">
      <c r="A67" s="11" t="s">
        <v>108</v>
      </c>
      <c r="B67" s="55">
        <v>2069101557119.6501</v>
      </c>
      <c r="C67" s="55">
        <v>2047070410663.3999</v>
      </c>
      <c r="D67" s="8">
        <f t="shared" si="0"/>
        <v>-1.064768734064427</v>
      </c>
      <c r="E67" s="8"/>
      <c r="F67" s="8"/>
      <c r="G67" s="8"/>
      <c r="H67" s="8"/>
    </row>
    <row r="68" spans="1:8" x14ac:dyDescent="0.25">
      <c r="A68" s="11" t="s">
        <v>4036</v>
      </c>
      <c r="B68" s="11">
        <v>219231299114.19998</v>
      </c>
      <c r="C68" s="11">
        <v>216088681932.44998</v>
      </c>
      <c r="D68" s="8">
        <f t="shared" si="0"/>
        <v>-1.4334710392392358</v>
      </c>
      <c r="E68" s="8"/>
      <c r="F68" s="8"/>
      <c r="G68" s="8"/>
      <c r="H68" s="8"/>
    </row>
    <row r="69" spans="1:8" x14ac:dyDescent="0.25">
      <c r="A69" s="11" t="s">
        <v>1907</v>
      </c>
      <c r="B69" s="11">
        <v>530004044458.39001</v>
      </c>
      <c r="C69" s="11">
        <v>522034280330.28009</v>
      </c>
      <c r="D69" s="8">
        <f t="shared" si="0"/>
        <v>-1.5037176058258592</v>
      </c>
      <c r="E69" s="8"/>
      <c r="F69" s="8"/>
      <c r="G69" s="8"/>
      <c r="H69" s="8"/>
    </row>
    <row r="70" spans="1:8" x14ac:dyDescent="0.25">
      <c r="A70" s="11" t="s">
        <v>1376</v>
      </c>
      <c r="B70" s="11">
        <v>5670030314938.8984</v>
      </c>
      <c r="C70" s="11">
        <v>5576371743044.0498</v>
      </c>
      <c r="D70" s="8">
        <f t="shared" si="0"/>
        <v>-1.6518178332853926</v>
      </c>
      <c r="E70" s="8"/>
      <c r="F70" s="8"/>
      <c r="G70" s="8"/>
      <c r="H70" s="8"/>
    </row>
    <row r="71" spans="1:8" x14ac:dyDescent="0.25">
      <c r="A71" s="11" t="s">
        <v>376</v>
      </c>
      <c r="B71" s="11">
        <v>4205036470213.3604</v>
      </c>
      <c r="C71" s="11">
        <v>4134790359943.9497</v>
      </c>
      <c r="D71" s="8">
        <f t="shared" si="0"/>
        <v>-1.6705232110827903</v>
      </c>
      <c r="E71" s="8"/>
      <c r="F71" s="8"/>
      <c r="G71" s="8"/>
      <c r="H71" s="8"/>
    </row>
    <row r="72" spans="1:8" x14ac:dyDescent="0.25">
      <c r="A72" s="11" t="s">
        <v>2444</v>
      </c>
      <c r="B72" s="11">
        <v>1088883294661.7</v>
      </c>
      <c r="C72" s="11">
        <v>1070023800440.45</v>
      </c>
      <c r="D72" s="8">
        <f t="shared" si="0"/>
        <v>-1.7320032655206974</v>
      </c>
      <c r="E72" s="8"/>
      <c r="F72" s="8"/>
      <c r="G72" s="8"/>
      <c r="H72" s="8"/>
    </row>
    <row r="73" spans="1:8" x14ac:dyDescent="0.25">
      <c r="A73" s="11" t="s">
        <v>815</v>
      </c>
      <c r="B73" s="11">
        <v>33304920093.900002</v>
      </c>
      <c r="C73" s="11">
        <v>32672177989.599998</v>
      </c>
      <c r="D73" s="8">
        <f t="shared" si="0"/>
        <v>-1.8998457360535557</v>
      </c>
      <c r="E73" s="8"/>
      <c r="F73" s="8"/>
      <c r="G73" s="8"/>
      <c r="H73" s="8"/>
    </row>
    <row r="74" spans="1:8" x14ac:dyDescent="0.25">
      <c r="A74" s="11" t="s">
        <v>2755</v>
      </c>
      <c r="B74" s="11">
        <v>3375078322383.5913</v>
      </c>
      <c r="C74" s="11">
        <v>3310411619638.6108</v>
      </c>
      <c r="D74" s="8">
        <f t="shared" si="0"/>
        <v>-1.916005987656924</v>
      </c>
      <c r="E74" s="8"/>
      <c r="F74" s="8"/>
      <c r="G74" s="8"/>
      <c r="H74" s="8"/>
    </row>
    <row r="75" spans="1:8" x14ac:dyDescent="0.25">
      <c r="A75" s="11" t="s">
        <v>15</v>
      </c>
      <c r="B75" s="11">
        <v>10850374583544.18</v>
      </c>
      <c r="C75" s="11">
        <v>10640869794030.199</v>
      </c>
      <c r="D75" s="8">
        <f t="shared" si="0"/>
        <v>-1.9308530585821264</v>
      </c>
      <c r="E75" s="69" t="s">
        <v>4474</v>
      </c>
      <c r="F75" s="67"/>
      <c r="G75" s="8"/>
      <c r="H75" s="8"/>
    </row>
    <row r="76" spans="1:8" x14ac:dyDescent="0.25">
      <c r="A76" s="11" t="s">
        <v>52</v>
      </c>
      <c r="B76" s="11">
        <v>547984846845.44995</v>
      </c>
      <c r="C76" s="11">
        <v>536865842681.46002</v>
      </c>
      <c r="D76" s="8">
        <f t="shared" si="0"/>
        <v>-2.0290714657527493</v>
      </c>
      <c r="E76" s="8"/>
      <c r="F76" s="8"/>
      <c r="G76" s="8"/>
      <c r="H76" s="8"/>
    </row>
    <row r="77" spans="1:8" x14ac:dyDescent="0.25">
      <c r="A77" s="11" t="s">
        <v>3209</v>
      </c>
      <c r="B77" s="11">
        <v>315570219539.47003</v>
      </c>
      <c r="C77" s="11">
        <v>309153337233.32001</v>
      </c>
      <c r="D77" s="8">
        <f t="shared" si="0"/>
        <v>-2.0334245466871219</v>
      </c>
      <c r="E77" s="8"/>
      <c r="F77" s="8"/>
      <c r="G77" s="8"/>
      <c r="H77" s="8"/>
    </row>
    <row r="78" spans="1:8" x14ac:dyDescent="0.25">
      <c r="A78" s="11" t="s">
        <v>3361</v>
      </c>
      <c r="B78" s="11">
        <v>134366249158.89999</v>
      </c>
      <c r="C78" s="11">
        <v>131525266260.14999</v>
      </c>
      <c r="D78" s="8">
        <f t="shared" si="0"/>
        <v>-2.1143575239569916</v>
      </c>
      <c r="E78" s="8"/>
      <c r="F78" s="8"/>
      <c r="G78" s="8"/>
      <c r="H78" s="8"/>
    </row>
    <row r="79" spans="1:8" x14ac:dyDescent="0.25">
      <c r="A79" s="11" t="s">
        <v>2265</v>
      </c>
      <c r="B79" s="11">
        <v>16437341296.65</v>
      </c>
      <c r="C79" s="11">
        <v>16073390969.189999</v>
      </c>
      <c r="D79" s="8">
        <f t="shared" si="0"/>
        <v>-2.2141678565387921</v>
      </c>
      <c r="E79" s="8"/>
      <c r="F79" s="8"/>
      <c r="G79" s="8"/>
      <c r="H79" s="8"/>
    </row>
    <row r="80" spans="1:8" x14ac:dyDescent="0.25">
      <c r="A80" s="11" t="s">
        <v>1999</v>
      </c>
      <c r="B80" s="11">
        <v>790521705328.08997</v>
      </c>
      <c r="C80" s="11">
        <v>772103281316.76978</v>
      </c>
      <c r="D80" s="8">
        <f t="shared" si="0"/>
        <v>-2.3299074379843874</v>
      </c>
      <c r="E80" s="8"/>
      <c r="F80" s="8"/>
      <c r="G80" s="8"/>
      <c r="H80" s="8"/>
    </row>
    <row r="81" spans="1:8" x14ac:dyDescent="0.25">
      <c r="A81" s="11" t="s">
        <v>11</v>
      </c>
      <c r="B81" s="11">
        <v>1288077607187.6201</v>
      </c>
      <c r="C81" s="11">
        <v>1258042740679.47</v>
      </c>
      <c r="D81" s="8">
        <f t="shared" si="0"/>
        <v>-2.3317590757383067</v>
      </c>
      <c r="E81" s="8"/>
      <c r="F81" s="8"/>
      <c r="G81" s="8"/>
      <c r="H81" s="8"/>
    </row>
    <row r="82" spans="1:8" x14ac:dyDescent="0.25">
      <c r="A82" s="11" t="s">
        <v>3536</v>
      </c>
      <c r="B82" s="11">
        <v>2151014793421.25</v>
      </c>
      <c r="C82" s="11">
        <v>2098872724164.8</v>
      </c>
      <c r="D82" s="8">
        <f t="shared" si="0"/>
        <v>-2.4240683707022077</v>
      </c>
      <c r="E82" s="8"/>
      <c r="F82" s="8"/>
      <c r="G82" s="8"/>
      <c r="H82" s="8"/>
    </row>
    <row r="83" spans="1:8" x14ac:dyDescent="0.25">
      <c r="A83" s="11" t="s">
        <v>2816</v>
      </c>
      <c r="B83" s="11">
        <v>301050623831.90002</v>
      </c>
      <c r="C83" s="11">
        <v>293666978556.25</v>
      </c>
      <c r="D83" s="8">
        <f t="shared" si="0"/>
        <v>-2.4526258014907447</v>
      </c>
      <c r="E83" s="8"/>
      <c r="F83" s="8"/>
      <c r="G83" s="8"/>
      <c r="H83" s="8"/>
    </row>
    <row r="84" spans="1:8" x14ac:dyDescent="0.25">
      <c r="A84" s="11" t="s">
        <v>324</v>
      </c>
      <c r="B84" s="11">
        <v>292727899991.59998</v>
      </c>
      <c r="C84" s="11">
        <v>285097372069.40002</v>
      </c>
      <c r="D84" s="8">
        <f t="shared" si="0"/>
        <v>-2.6066964995201736</v>
      </c>
      <c r="E84" s="8"/>
      <c r="F84" s="8"/>
      <c r="G84" s="8"/>
      <c r="H84" s="8"/>
    </row>
    <row r="85" spans="1:8" x14ac:dyDescent="0.25">
      <c r="A85" s="11" t="s">
        <v>3974</v>
      </c>
      <c r="B85" s="11">
        <v>226125392867.85001</v>
      </c>
      <c r="C85" s="11">
        <v>220220533188.70001</v>
      </c>
      <c r="D85" s="8">
        <f t="shared" si="0"/>
        <v>-2.6113209154713792</v>
      </c>
      <c r="E85" s="8"/>
      <c r="F85" s="8"/>
      <c r="G85" s="8"/>
      <c r="H85" s="8"/>
    </row>
    <row r="86" spans="1:8" x14ac:dyDescent="0.25">
      <c r="A86" s="11" t="s">
        <v>767</v>
      </c>
      <c r="B86" s="11">
        <v>671891971579.98999</v>
      </c>
      <c r="C86" s="11">
        <v>654286682128.51001</v>
      </c>
      <c r="D86" s="8">
        <f t="shared" si="0"/>
        <v>-2.6202559631841109</v>
      </c>
      <c r="E86" s="8"/>
      <c r="F86" s="8"/>
      <c r="G86" s="8"/>
      <c r="H86" s="8"/>
    </row>
    <row r="87" spans="1:8" x14ac:dyDescent="0.25">
      <c r="A87" s="11" t="s">
        <v>3561</v>
      </c>
      <c r="B87" s="11">
        <v>372510622059.72998</v>
      </c>
      <c r="C87" s="11">
        <v>362668428375.57007</v>
      </c>
      <c r="D87" s="8">
        <f t="shared" si="0"/>
        <v>-2.6421243050035152</v>
      </c>
      <c r="E87" s="8"/>
      <c r="F87" s="8"/>
      <c r="G87" s="8"/>
      <c r="H87" s="8"/>
    </row>
    <row r="88" spans="1:8" x14ac:dyDescent="0.25">
      <c r="A88" s="11" t="s">
        <v>2228</v>
      </c>
      <c r="B88" s="11">
        <v>4706688743023.0605</v>
      </c>
      <c r="C88" s="11">
        <v>4579699792961.5293</v>
      </c>
      <c r="D88" s="8">
        <f t="shared" si="0"/>
        <v>-2.6980528561565231</v>
      </c>
      <c r="E88" s="8"/>
      <c r="F88" s="8"/>
      <c r="G88" s="8"/>
      <c r="H88" s="8"/>
    </row>
    <row r="89" spans="1:8" x14ac:dyDescent="0.25">
      <c r="A89" s="11" t="s">
        <v>2286</v>
      </c>
      <c r="B89" s="11">
        <v>516455444845.69</v>
      </c>
      <c r="C89" s="11">
        <v>502190545176.49005</v>
      </c>
      <c r="D89" s="8">
        <f t="shared" si="0"/>
        <v>-2.7620775057298723</v>
      </c>
      <c r="E89" s="8"/>
      <c r="F89" s="8"/>
      <c r="G89" s="8"/>
      <c r="H89" s="8"/>
    </row>
    <row r="90" spans="1:8" x14ac:dyDescent="0.25">
      <c r="A90" s="11" t="s">
        <v>850</v>
      </c>
      <c r="B90" s="11">
        <v>478692127551.34998</v>
      </c>
      <c r="C90" s="11">
        <v>465199357937.5</v>
      </c>
      <c r="D90" s="8">
        <f t="shared" si="0"/>
        <v>-2.8186738066634671</v>
      </c>
      <c r="E90" s="8"/>
      <c r="F90" s="8"/>
      <c r="G90" s="8"/>
      <c r="H90" s="8"/>
    </row>
    <row r="91" spans="1:8" x14ac:dyDescent="0.25">
      <c r="A91" s="11" t="s">
        <v>2753</v>
      </c>
      <c r="B91" s="11">
        <v>1074398950073.3499</v>
      </c>
      <c r="C91" s="11">
        <v>1043942639018.5001</v>
      </c>
      <c r="D91" s="8">
        <f t="shared" si="0"/>
        <v>-2.8347301579893078</v>
      </c>
      <c r="E91" s="8"/>
      <c r="F91" s="8"/>
      <c r="G91" s="8"/>
      <c r="H91" s="8"/>
    </row>
    <row r="92" spans="1:8" x14ac:dyDescent="0.25">
      <c r="A92" s="11" t="s">
        <v>342</v>
      </c>
      <c r="B92" s="11">
        <v>1123888390438.2</v>
      </c>
      <c r="C92" s="11">
        <v>1091667664275.25</v>
      </c>
      <c r="D92" s="8">
        <f t="shared" si="0"/>
        <v>-2.8668973215736493</v>
      </c>
      <c r="E92" s="8"/>
      <c r="F92" s="8"/>
      <c r="G92" s="8"/>
      <c r="H92" s="8"/>
    </row>
    <row r="93" spans="1:8" x14ac:dyDescent="0.25">
      <c r="A93" s="11" t="s">
        <v>985</v>
      </c>
      <c r="B93" s="11">
        <v>1976610628793.0002</v>
      </c>
      <c r="C93" s="11">
        <v>1919415450703.95</v>
      </c>
      <c r="D93" s="8">
        <f t="shared" si="0"/>
        <v>-2.893598630701284</v>
      </c>
      <c r="E93" s="8"/>
      <c r="F93" s="8"/>
      <c r="G93" s="8"/>
      <c r="H93" s="8"/>
    </row>
    <row r="94" spans="1:8" x14ac:dyDescent="0.25">
      <c r="A94" s="11" t="s">
        <v>659</v>
      </c>
      <c r="B94" s="11">
        <v>84084832599.399994</v>
      </c>
      <c r="C94" s="11">
        <v>81581327312.949997</v>
      </c>
      <c r="D94" s="8">
        <f t="shared" si="0"/>
        <v>-2.9773565684280872</v>
      </c>
      <c r="E94" s="8"/>
      <c r="F94" s="8"/>
      <c r="G94" s="8"/>
      <c r="H94" s="8"/>
    </row>
    <row r="95" spans="1:8" x14ac:dyDescent="0.25">
      <c r="A95" s="11" t="s">
        <v>1970</v>
      </c>
      <c r="B95" s="11">
        <v>702842431401.55005</v>
      </c>
      <c r="C95" s="11">
        <v>680351952523.15002</v>
      </c>
      <c r="D95" s="8">
        <f t="shared" si="0"/>
        <v>-3.1999318586317242</v>
      </c>
      <c r="E95" s="8"/>
      <c r="F95" s="8"/>
      <c r="G95" s="8"/>
      <c r="H95" s="8"/>
    </row>
    <row r="96" spans="1:8" x14ac:dyDescent="0.25">
      <c r="A96" s="11" t="s">
        <v>204</v>
      </c>
      <c r="B96" s="11">
        <v>1235903522465.2798</v>
      </c>
      <c r="C96" s="11">
        <v>1195857337390.0701</v>
      </c>
      <c r="D96" s="8">
        <f t="shared" si="0"/>
        <v>-3.2402355319231426</v>
      </c>
      <c r="E96" s="8"/>
      <c r="F96" s="8"/>
      <c r="G96" s="8"/>
      <c r="H96" s="8"/>
    </row>
    <row r="97" spans="1:8" x14ac:dyDescent="0.25">
      <c r="A97" s="11" t="s">
        <v>1935</v>
      </c>
      <c r="B97" s="11">
        <v>338207943032.05005</v>
      </c>
      <c r="C97" s="11">
        <v>326934124170.75</v>
      </c>
      <c r="D97" s="8">
        <f t="shared" si="0"/>
        <v>-3.3333986068540362</v>
      </c>
      <c r="E97" s="8"/>
      <c r="F97" s="8"/>
      <c r="G97" s="8"/>
      <c r="H97" s="8"/>
    </row>
    <row r="98" spans="1:8" x14ac:dyDescent="0.25">
      <c r="A98" s="11" t="s">
        <v>1337</v>
      </c>
      <c r="B98" s="11">
        <v>1011572674828.59</v>
      </c>
      <c r="C98" s="11">
        <v>977311745035.06006</v>
      </c>
      <c r="D98" s="8">
        <f t="shared" si="0"/>
        <v>-3.3868975157257375</v>
      </c>
      <c r="E98" s="8"/>
      <c r="F98" s="8"/>
      <c r="G98" s="8"/>
      <c r="H98" s="8"/>
    </row>
    <row r="99" spans="1:8" x14ac:dyDescent="0.25">
      <c r="A99" s="11" t="s">
        <v>1695</v>
      </c>
      <c r="B99" s="11">
        <v>134065803076.68001</v>
      </c>
      <c r="C99" s="11">
        <v>129460590854.48</v>
      </c>
      <c r="D99" s="8">
        <f t="shared" si="0"/>
        <v>-3.4350387022751985</v>
      </c>
      <c r="E99" s="8"/>
      <c r="F99" s="8"/>
      <c r="G99" s="8"/>
      <c r="H99" s="8"/>
    </row>
    <row r="100" spans="1:8" x14ac:dyDescent="0.25">
      <c r="A100" s="11" t="s">
        <v>2522</v>
      </c>
      <c r="B100" s="11">
        <v>283073566002.40002</v>
      </c>
      <c r="C100" s="11">
        <v>273176093264.50003</v>
      </c>
      <c r="D100" s="8">
        <f t="shared" si="0"/>
        <v>-3.4964312908737223</v>
      </c>
      <c r="E100" s="8"/>
      <c r="F100" s="8"/>
      <c r="G100" s="8"/>
      <c r="H100" s="8"/>
    </row>
    <row r="101" spans="1:8" x14ac:dyDescent="0.25">
      <c r="A101" s="11" t="s">
        <v>711</v>
      </c>
      <c r="B101" s="11">
        <v>355422898552.04999</v>
      </c>
      <c r="C101" s="11">
        <v>342618878083.45001</v>
      </c>
      <c r="D101" s="8">
        <f t="shared" si="0"/>
        <v>-3.6024748323087823</v>
      </c>
      <c r="E101" s="8"/>
      <c r="F101" s="8"/>
      <c r="G101" s="8"/>
      <c r="H101" s="8"/>
    </row>
    <row r="102" spans="1:8" x14ac:dyDescent="0.25">
      <c r="A102" s="11" t="s">
        <v>677</v>
      </c>
      <c r="B102" s="11">
        <v>258726920903.60001</v>
      </c>
      <c r="C102" s="11">
        <v>249189348020.95004</v>
      </c>
      <c r="D102" s="8">
        <f t="shared" si="0"/>
        <v>-3.6863473075550579</v>
      </c>
      <c r="E102" s="8"/>
      <c r="F102" s="8"/>
      <c r="G102" s="8"/>
      <c r="H102" s="8"/>
    </row>
    <row r="103" spans="1:8" x14ac:dyDescent="0.25">
      <c r="A103" s="11" t="s">
        <v>1633</v>
      </c>
      <c r="B103" s="11">
        <v>1211021414943.3203</v>
      </c>
      <c r="C103" s="11">
        <v>1165568594232.3796</v>
      </c>
      <c r="D103" s="8">
        <f t="shared" si="0"/>
        <v>-3.7532631669496954</v>
      </c>
      <c r="E103" s="8"/>
      <c r="F103" s="8"/>
      <c r="G103" s="8"/>
      <c r="H103" s="8"/>
    </row>
    <row r="104" spans="1:8" x14ac:dyDescent="0.25">
      <c r="A104" s="11" t="s">
        <v>1685</v>
      </c>
      <c r="B104" s="11">
        <v>230738995806.13998</v>
      </c>
      <c r="C104" s="11">
        <v>221954584716.50998</v>
      </c>
      <c r="D104" s="8">
        <f t="shared" si="0"/>
        <v>-3.8070769351056741</v>
      </c>
      <c r="E104" s="8"/>
      <c r="F104" s="8"/>
      <c r="G104" s="8"/>
      <c r="H104" s="8"/>
    </row>
    <row r="105" spans="1:8" x14ac:dyDescent="0.25">
      <c r="A105" s="11" t="s">
        <v>876</v>
      </c>
      <c r="B105" s="11">
        <v>879341471.4000001</v>
      </c>
      <c r="C105" s="11">
        <v>845772371.5999999</v>
      </c>
      <c r="D105" s="8">
        <f t="shared" si="0"/>
        <v>-3.8175271941348115</v>
      </c>
      <c r="E105" s="8"/>
      <c r="F105" s="8"/>
      <c r="G105" s="8"/>
      <c r="H105" s="8"/>
    </row>
    <row r="106" spans="1:8" x14ac:dyDescent="0.25">
      <c r="A106" s="11" t="s">
        <v>206</v>
      </c>
      <c r="B106" s="11">
        <v>1042842075917.2002</v>
      </c>
      <c r="C106" s="11">
        <v>1002853258895.5999</v>
      </c>
      <c r="D106" s="8">
        <f t="shared" si="0"/>
        <v>-3.8345994992990082</v>
      </c>
      <c r="E106" s="8"/>
      <c r="F106" s="8"/>
      <c r="G106" s="8"/>
      <c r="H106" s="8"/>
    </row>
    <row r="107" spans="1:8" x14ac:dyDescent="0.25">
      <c r="A107" s="11" t="s">
        <v>262</v>
      </c>
      <c r="B107" s="11">
        <v>11723766239.1</v>
      </c>
      <c r="C107" s="11">
        <v>11266221396.289999</v>
      </c>
      <c r="D107" s="8">
        <f t="shared" si="0"/>
        <v>-3.9027120933547867</v>
      </c>
      <c r="E107" s="8"/>
      <c r="F107" s="8"/>
      <c r="G107" s="8"/>
      <c r="H107" s="8"/>
    </row>
    <row r="108" spans="1:8" x14ac:dyDescent="0.25">
      <c r="A108" s="11" t="s">
        <v>3611</v>
      </c>
      <c r="B108" s="11">
        <v>182450844946.73001</v>
      </c>
      <c r="C108" s="11">
        <v>175262877796.52002</v>
      </c>
      <c r="D108" s="8">
        <f t="shared" si="0"/>
        <v>-3.9396732595613111</v>
      </c>
      <c r="E108" s="8"/>
      <c r="F108" s="8"/>
      <c r="G108" s="8"/>
      <c r="H108" s="8"/>
    </row>
    <row r="109" spans="1:8" x14ac:dyDescent="0.25">
      <c r="A109" s="11" t="s">
        <v>2575</v>
      </c>
      <c r="B109" s="11">
        <v>842058161474.29993</v>
      </c>
      <c r="C109" s="11">
        <v>808399931229.84998</v>
      </c>
      <c r="D109" s="8">
        <f t="shared" si="0"/>
        <v>-3.9971384144677304</v>
      </c>
      <c r="E109" s="8"/>
      <c r="F109" s="8"/>
      <c r="G109" s="8"/>
      <c r="H109" s="8"/>
    </row>
    <row r="110" spans="1:8" x14ac:dyDescent="0.25">
      <c r="A110" s="11" t="s">
        <v>3085</v>
      </c>
      <c r="B110" s="11">
        <v>8191507744290.6016</v>
      </c>
      <c r="C110" s="11">
        <v>7852986059134.8506</v>
      </c>
      <c r="D110" s="8">
        <f t="shared" si="0"/>
        <v>-4.1325931162269507</v>
      </c>
      <c r="E110" s="8"/>
      <c r="F110" s="8"/>
      <c r="G110" s="8"/>
      <c r="H110" s="8"/>
    </row>
    <row r="111" spans="1:8" x14ac:dyDescent="0.25">
      <c r="A111" s="11" t="s">
        <v>2951</v>
      </c>
      <c r="B111" s="11">
        <v>329022443639.31982</v>
      </c>
      <c r="C111" s="11">
        <v>315152491235.7998</v>
      </c>
      <c r="D111" s="8">
        <f t="shared" si="0"/>
        <v>-4.2155034319556952</v>
      </c>
      <c r="E111" s="8"/>
      <c r="F111" s="8"/>
      <c r="G111" s="8"/>
      <c r="H111" s="8"/>
    </row>
    <row r="112" spans="1:8" x14ac:dyDescent="0.25">
      <c r="A112" s="11" t="s">
        <v>858</v>
      </c>
      <c r="B112" s="11">
        <v>3441400632902.77</v>
      </c>
      <c r="C112" s="11">
        <v>3296268880820.2192</v>
      </c>
      <c r="D112" s="8">
        <f t="shared" si="0"/>
        <v>-4.2172291913637014</v>
      </c>
      <c r="E112" s="69" t="s">
        <v>4475</v>
      </c>
      <c r="F112" s="67"/>
      <c r="G112" s="8"/>
      <c r="H112" s="8"/>
    </row>
    <row r="113" spans="1:9" x14ac:dyDescent="0.25">
      <c r="A113" s="11" t="s">
        <v>2929</v>
      </c>
      <c r="B113" s="11">
        <v>390941470672.39001</v>
      </c>
      <c r="C113" s="11">
        <v>373738389463.92999</v>
      </c>
      <c r="D113" s="8">
        <f t="shared" si="0"/>
        <v>-4.4004237204285364</v>
      </c>
      <c r="E113" s="8"/>
      <c r="F113" s="8"/>
      <c r="G113" s="8"/>
      <c r="H113" s="8"/>
    </row>
    <row r="114" spans="1:9" x14ac:dyDescent="0.25">
      <c r="A114" s="11" t="s">
        <v>1453</v>
      </c>
      <c r="B114" s="11">
        <v>415552676689.74005</v>
      </c>
      <c r="C114" s="11">
        <v>397220392811.69</v>
      </c>
      <c r="D114" s="8">
        <f t="shared" si="0"/>
        <v>-4.4115427252408956</v>
      </c>
      <c r="E114" s="8"/>
      <c r="F114" s="8"/>
      <c r="G114" s="8"/>
      <c r="H114" s="8"/>
    </row>
    <row r="115" spans="1:9" x14ac:dyDescent="0.25">
      <c r="A115" s="11" t="s">
        <v>110</v>
      </c>
      <c r="B115" s="11">
        <v>419677144715.23004</v>
      </c>
      <c r="C115" s="11">
        <v>400692240229.87994</v>
      </c>
      <c r="D115" s="8">
        <f t="shared" si="0"/>
        <v>-4.5236927300942771</v>
      </c>
      <c r="E115" s="8"/>
      <c r="F115" s="8"/>
      <c r="G115" s="8"/>
      <c r="H115" s="8"/>
    </row>
    <row r="116" spans="1:9" x14ac:dyDescent="0.25">
      <c r="A116" s="11" t="s">
        <v>1793</v>
      </c>
      <c r="B116" s="11">
        <v>1031644781089.4302</v>
      </c>
      <c r="C116" s="11">
        <v>984834783088.79004</v>
      </c>
      <c r="D116" s="8">
        <f t="shared" si="0"/>
        <v>-4.5374143172815913</v>
      </c>
      <c r="E116" s="8"/>
      <c r="F116" s="8"/>
      <c r="G116" s="8"/>
      <c r="H116" s="8"/>
    </row>
    <row r="117" spans="1:9" x14ac:dyDescent="0.25">
      <c r="A117" s="11" t="s">
        <v>2671</v>
      </c>
      <c r="B117" s="11">
        <v>234155555768.51996</v>
      </c>
      <c r="C117" s="11">
        <v>222803827235.97998</v>
      </c>
      <c r="D117" s="8">
        <f t="shared" si="0"/>
        <v>-4.847943280817133</v>
      </c>
      <c r="E117" s="8"/>
      <c r="F117" s="8"/>
      <c r="G117" s="8"/>
      <c r="H117" s="8"/>
    </row>
    <row r="118" spans="1:9" x14ac:dyDescent="0.25">
      <c r="A118" s="11" t="s">
        <v>356</v>
      </c>
      <c r="B118" s="11">
        <v>2823121079724.2295</v>
      </c>
      <c r="C118" s="11">
        <v>2684241969885.2295</v>
      </c>
      <c r="D118" s="8">
        <f t="shared" si="0"/>
        <v>-4.9193465642134662</v>
      </c>
      <c r="E118" s="8"/>
      <c r="F118" s="8"/>
      <c r="G118" s="8"/>
      <c r="H118" s="8"/>
      <c r="I118" s="58"/>
    </row>
    <row r="119" spans="1:9" x14ac:dyDescent="0.25">
      <c r="A119" s="11" t="s">
        <v>2998</v>
      </c>
      <c r="B119" s="11">
        <v>12869375842.290001</v>
      </c>
      <c r="C119" s="11">
        <v>12228956673.040001</v>
      </c>
      <c r="D119" s="8">
        <f t="shared" si="0"/>
        <v>-4.9763032574238864</v>
      </c>
      <c r="E119" s="8"/>
      <c r="F119" s="8"/>
      <c r="G119" s="8"/>
      <c r="H119" s="8"/>
    </row>
    <row r="120" spans="1:9" x14ac:dyDescent="0.25">
      <c r="A120" s="11" t="s">
        <v>3519</v>
      </c>
      <c r="B120" s="11">
        <v>6713939933.8000002</v>
      </c>
      <c r="C120" s="11">
        <v>6375111596.3000002</v>
      </c>
      <c r="D120" s="8">
        <f t="shared" si="0"/>
        <v>-5.0466393926796371</v>
      </c>
      <c r="E120" s="8"/>
      <c r="F120" s="8"/>
      <c r="G120" s="8"/>
      <c r="H120" s="8"/>
    </row>
    <row r="121" spans="1:9" x14ac:dyDescent="0.25">
      <c r="A121" s="11" t="s">
        <v>4053</v>
      </c>
      <c r="B121" s="11">
        <v>14950129473.299999</v>
      </c>
      <c r="C121" s="11">
        <v>14182708632.299999</v>
      </c>
      <c r="D121" s="8">
        <f t="shared" si="0"/>
        <v>-5.1332053168540508</v>
      </c>
      <c r="E121" s="8"/>
      <c r="F121" s="8"/>
      <c r="G121" s="8"/>
      <c r="H121" s="8"/>
    </row>
    <row r="122" spans="1:9" x14ac:dyDescent="0.25">
      <c r="A122" s="11" t="s">
        <v>2247</v>
      </c>
      <c r="B122" s="11">
        <v>152886037302.23001</v>
      </c>
      <c r="C122" s="11">
        <v>145035263310.85001</v>
      </c>
      <c r="D122" s="8">
        <f t="shared" si="0"/>
        <v>-5.1350496944729773</v>
      </c>
      <c r="E122" s="8"/>
      <c r="F122" s="8"/>
      <c r="G122" s="8"/>
      <c r="H122" s="8"/>
    </row>
    <row r="123" spans="1:9" x14ac:dyDescent="0.25">
      <c r="A123" s="11" t="s">
        <v>1064</v>
      </c>
      <c r="B123" s="11">
        <v>996611177105.13013</v>
      </c>
      <c r="C123" s="11">
        <v>944359984316.61987</v>
      </c>
      <c r="D123" s="8">
        <f t="shared" si="0"/>
        <v>-5.2428864926324623</v>
      </c>
      <c r="E123" s="8"/>
      <c r="F123" s="8"/>
      <c r="G123" s="8"/>
      <c r="H123" s="8"/>
    </row>
    <row r="124" spans="1:9" x14ac:dyDescent="0.25">
      <c r="A124" s="11" t="s">
        <v>1271</v>
      </c>
      <c r="B124" s="11">
        <v>1013199027776.85</v>
      </c>
      <c r="C124" s="11">
        <v>959831629191.15002</v>
      </c>
      <c r="D124" s="8">
        <f t="shared" si="0"/>
        <v>-5.2672177057648888</v>
      </c>
      <c r="E124" s="69" t="s">
        <v>4476</v>
      </c>
      <c r="F124" s="67"/>
      <c r="G124" s="8"/>
      <c r="H124" s="8"/>
    </row>
    <row r="125" spans="1:9" x14ac:dyDescent="0.25">
      <c r="A125" s="11" t="s">
        <v>3652</v>
      </c>
      <c r="B125" s="11">
        <v>102180969709.36</v>
      </c>
      <c r="C125" s="11">
        <v>96770390510.599991</v>
      </c>
      <c r="D125" s="8">
        <f t="shared" si="0"/>
        <v>-5.2950947854083523</v>
      </c>
      <c r="E125" s="8"/>
      <c r="F125" s="8"/>
      <c r="G125" s="8"/>
      <c r="H125" s="8"/>
    </row>
    <row r="126" spans="1:9" x14ac:dyDescent="0.25">
      <c r="A126" s="11" t="s">
        <v>3287</v>
      </c>
      <c r="B126" s="11">
        <v>204851437087.65002</v>
      </c>
      <c r="C126" s="11">
        <v>193938305216.64999</v>
      </c>
      <c r="D126" s="8">
        <f t="shared" si="0"/>
        <v>-5.3273396692504607</v>
      </c>
      <c r="E126" s="8"/>
      <c r="F126" s="8"/>
      <c r="G126" s="8"/>
      <c r="H126" s="8"/>
    </row>
    <row r="127" spans="1:9" x14ac:dyDescent="0.25">
      <c r="A127" s="11" t="s">
        <v>680</v>
      </c>
      <c r="B127" s="11">
        <v>25533257107208.75</v>
      </c>
      <c r="C127" s="11">
        <v>24169719384367.898</v>
      </c>
      <c r="D127" s="8">
        <f t="shared" si="0"/>
        <v>-5.3402420110980939</v>
      </c>
      <c r="E127" s="8"/>
      <c r="F127" s="8"/>
      <c r="G127" s="8"/>
      <c r="H127" s="8"/>
    </row>
    <row r="128" spans="1:9" x14ac:dyDescent="0.25">
      <c r="A128" s="11" t="s">
        <v>2346</v>
      </c>
      <c r="B128" s="11">
        <v>26287009095.990002</v>
      </c>
      <c r="C128" s="11">
        <v>24824072262.630001</v>
      </c>
      <c r="D128" s="8">
        <f t="shared" si="0"/>
        <v>-5.5652464227402989</v>
      </c>
      <c r="E128" s="8"/>
      <c r="F128" s="8"/>
      <c r="G128" s="8"/>
      <c r="H128" s="8"/>
    </row>
    <row r="129" spans="1:8" x14ac:dyDescent="0.25">
      <c r="A129" s="11" t="s">
        <v>668</v>
      </c>
      <c r="B129" s="11">
        <v>67575778722.350006</v>
      </c>
      <c r="C129" s="11">
        <v>63797523702.800003</v>
      </c>
      <c r="D129" s="8">
        <f t="shared" si="0"/>
        <v>-5.5911379653851974</v>
      </c>
      <c r="E129" s="8"/>
      <c r="F129" s="8"/>
      <c r="G129" s="8"/>
      <c r="H129" s="8"/>
    </row>
    <row r="130" spans="1:8" x14ac:dyDescent="0.25">
      <c r="A130" s="11" t="s">
        <v>4068</v>
      </c>
      <c r="B130" s="11">
        <v>23662695878.400002</v>
      </c>
      <c r="C130" s="11">
        <v>22336267194.700001</v>
      </c>
      <c r="D130" s="8">
        <f t="shared" si="0"/>
        <v>-5.605568742109404</v>
      </c>
      <c r="E130" s="8"/>
      <c r="F130" s="8"/>
      <c r="G130" s="8"/>
      <c r="H130" s="8"/>
    </row>
    <row r="131" spans="1:8" x14ac:dyDescent="0.25">
      <c r="A131" s="11" t="s">
        <v>3501</v>
      </c>
      <c r="B131" s="11">
        <v>22635665559.550003</v>
      </c>
      <c r="C131" s="11">
        <v>21356735317.450005</v>
      </c>
      <c r="D131" s="8">
        <f t="shared" si="0"/>
        <v>-5.6500668766967932</v>
      </c>
      <c r="E131" s="8"/>
      <c r="F131" s="8"/>
      <c r="G131" s="8"/>
      <c r="H131" s="8"/>
    </row>
    <row r="132" spans="1:8" x14ac:dyDescent="0.25">
      <c r="A132" s="11" t="s">
        <v>1538</v>
      </c>
      <c r="B132" s="11">
        <v>989600244.5</v>
      </c>
      <c r="C132" s="11">
        <v>933480204.97000003</v>
      </c>
      <c r="D132" s="8">
        <f t="shared" si="0"/>
        <v>-5.6709807664159255</v>
      </c>
      <c r="E132" s="8"/>
      <c r="F132" s="8"/>
      <c r="G132" s="8"/>
      <c r="H132" s="8"/>
    </row>
    <row r="133" spans="1:8" x14ac:dyDescent="0.25">
      <c r="A133" s="11" t="s">
        <v>3772</v>
      </c>
      <c r="B133" s="11">
        <v>572661800566.84998</v>
      </c>
      <c r="C133" s="11">
        <v>540090898256.04999</v>
      </c>
      <c r="D133" s="8">
        <f t="shared" si="0"/>
        <v>-5.6876331333013033</v>
      </c>
      <c r="E133" s="8"/>
      <c r="F133" s="8"/>
      <c r="G133" s="8"/>
      <c r="H133" s="8"/>
    </row>
    <row r="134" spans="1:8" x14ac:dyDescent="0.25">
      <c r="A134" s="11" t="s">
        <v>1606</v>
      </c>
      <c r="B134" s="11">
        <v>206048269118.18002</v>
      </c>
      <c r="C134" s="11">
        <v>194273221508.98999</v>
      </c>
      <c r="D134" s="8">
        <f t="shared" si="0"/>
        <v>-5.7147034816567155</v>
      </c>
      <c r="E134" s="8"/>
      <c r="F134" s="8"/>
      <c r="G134" s="8"/>
      <c r="H134" s="8"/>
    </row>
    <row r="135" spans="1:8" x14ac:dyDescent="0.25">
      <c r="A135" s="11" t="s">
        <v>1315</v>
      </c>
      <c r="B135" s="11">
        <v>154107985146.95001</v>
      </c>
      <c r="C135" s="11">
        <v>145205377581.5</v>
      </c>
      <c r="D135" s="8">
        <f t="shared" si="0"/>
        <v>-5.7768632540104337</v>
      </c>
      <c r="E135" s="8"/>
      <c r="F135" s="8"/>
      <c r="G135" s="8"/>
      <c r="H135" s="8"/>
    </row>
    <row r="136" spans="1:8" x14ac:dyDescent="0.25">
      <c r="A136" s="11" t="s">
        <v>2721</v>
      </c>
      <c r="B136" s="11">
        <v>5621926006161.8096</v>
      </c>
      <c r="C136" s="11">
        <v>5286970410505.4902</v>
      </c>
      <c r="D136" s="8">
        <f t="shared" si="0"/>
        <v>-5.9580221313691677</v>
      </c>
      <c r="E136" s="8"/>
      <c r="F136" s="8"/>
      <c r="G136" s="8"/>
      <c r="H136" s="8"/>
    </row>
    <row r="137" spans="1:8" x14ac:dyDescent="0.25">
      <c r="A137" s="11" t="s">
        <v>3503</v>
      </c>
      <c r="B137" s="11">
        <v>1924525005649.25</v>
      </c>
      <c r="C137" s="11">
        <v>1809239936983.3</v>
      </c>
      <c r="D137" s="8">
        <f t="shared" si="0"/>
        <v>-5.9903128474580587</v>
      </c>
      <c r="E137" s="69" t="s">
        <v>4477</v>
      </c>
      <c r="F137" s="67"/>
      <c r="G137" s="8"/>
      <c r="H137" s="8"/>
    </row>
    <row r="138" spans="1:8" x14ac:dyDescent="0.25">
      <c r="A138" s="11" t="s">
        <v>3951</v>
      </c>
      <c r="B138" s="11">
        <v>902988398496.84973</v>
      </c>
      <c r="C138" s="11">
        <v>847334435276.10999</v>
      </c>
      <c r="D138" s="8">
        <f t="shared" si="0"/>
        <v>-6.163308777098746</v>
      </c>
      <c r="E138" s="8"/>
      <c r="F138" s="8"/>
      <c r="G138" s="8"/>
      <c r="H138" s="8"/>
    </row>
    <row r="139" spans="1:8" x14ac:dyDescent="0.25">
      <c r="A139" s="11" t="s">
        <v>1672</v>
      </c>
      <c r="B139" s="11">
        <v>304963895971.75</v>
      </c>
      <c r="C139" s="11">
        <v>285742273282.25</v>
      </c>
      <c r="D139" s="8">
        <f t="shared" si="0"/>
        <v>-6.3029174742968834</v>
      </c>
      <c r="E139" s="8"/>
      <c r="F139" s="8"/>
      <c r="G139" s="8"/>
      <c r="H139" s="8"/>
    </row>
    <row r="140" spans="1:8" x14ac:dyDescent="0.25">
      <c r="A140" s="11" t="s">
        <v>893</v>
      </c>
      <c r="B140" s="11">
        <v>1317813579673.8501</v>
      </c>
      <c r="C140" s="11">
        <v>1233780076697.75</v>
      </c>
      <c r="D140" s="8">
        <f t="shared" si="0"/>
        <v>-6.3767367609687113</v>
      </c>
      <c r="E140" s="69" t="s">
        <v>4478</v>
      </c>
      <c r="F140" s="67"/>
      <c r="G140" s="8"/>
      <c r="H140" s="8"/>
    </row>
    <row r="141" spans="1:8" x14ac:dyDescent="0.25">
      <c r="A141" s="11" t="s">
        <v>1501</v>
      </c>
      <c r="B141" s="11">
        <v>749200377768.5</v>
      </c>
      <c r="C141" s="11">
        <v>701093966662.84998</v>
      </c>
      <c r="D141" s="8">
        <f t="shared" si="0"/>
        <v>-6.4210340161513795</v>
      </c>
      <c r="E141" s="8"/>
      <c r="F141" s="8"/>
      <c r="G141" s="8"/>
      <c r="H141" s="8"/>
    </row>
    <row r="142" spans="1:8" x14ac:dyDescent="0.25">
      <c r="A142" s="11" t="s">
        <v>295</v>
      </c>
      <c r="B142" s="11">
        <v>86337908043.100006</v>
      </c>
      <c r="C142" s="11">
        <v>80736129647.600006</v>
      </c>
      <c r="D142" s="8">
        <f t="shared" si="0"/>
        <v>-6.4882026012300225</v>
      </c>
      <c r="E142" s="8"/>
      <c r="F142" s="8"/>
      <c r="G142" s="8"/>
      <c r="H142" s="8"/>
    </row>
    <row r="143" spans="1:8" x14ac:dyDescent="0.25">
      <c r="A143" s="11" t="s">
        <v>3618</v>
      </c>
      <c r="B143" s="11">
        <v>133136809848.95001</v>
      </c>
      <c r="C143" s="11">
        <v>124284823535.5</v>
      </c>
      <c r="D143" s="8">
        <f t="shared" si="0"/>
        <v>-6.6487895597716422</v>
      </c>
      <c r="E143" s="8"/>
      <c r="F143" s="8"/>
      <c r="G143" s="8"/>
      <c r="H143" s="8"/>
    </row>
    <row r="144" spans="1:8" x14ac:dyDescent="0.25">
      <c r="A144" s="11" t="s">
        <v>13</v>
      </c>
      <c r="B144" s="11">
        <v>8248138072005.6113</v>
      </c>
      <c r="C144" s="11">
        <v>7689867475671.1104</v>
      </c>
      <c r="D144" s="8">
        <f t="shared" si="0"/>
        <v>-6.7684438774041062</v>
      </c>
      <c r="E144" s="69" t="s">
        <v>4479</v>
      </c>
      <c r="F144" s="67"/>
      <c r="G144" s="8"/>
      <c r="H144" s="8"/>
    </row>
    <row r="145" spans="1:8" x14ac:dyDescent="0.25">
      <c r="A145" s="11" t="s">
        <v>1136</v>
      </c>
      <c r="B145" s="11">
        <v>6827102523011.0596</v>
      </c>
      <c r="C145" s="11">
        <v>6352500889918.791</v>
      </c>
      <c r="D145" s="8">
        <f t="shared" si="0"/>
        <v>-6.9517285186885962</v>
      </c>
      <c r="E145" s="8"/>
      <c r="F145" s="8"/>
      <c r="G145" s="8"/>
      <c r="H145" s="8"/>
    </row>
    <row r="146" spans="1:8" x14ac:dyDescent="0.25">
      <c r="A146" s="11" t="s">
        <v>2834</v>
      </c>
      <c r="B146" s="11">
        <v>26857763195.599998</v>
      </c>
      <c r="C146" s="11">
        <v>24972156053.200001</v>
      </c>
      <c r="D146" s="8">
        <f t="shared" si="0"/>
        <v>-7.0207154954322819</v>
      </c>
      <c r="E146" s="8"/>
      <c r="F146" s="8"/>
      <c r="G146" s="8"/>
      <c r="H146" s="8"/>
    </row>
    <row r="147" spans="1:8" x14ac:dyDescent="0.25">
      <c r="A147" s="11" t="s">
        <v>788</v>
      </c>
      <c r="B147" s="11">
        <v>19561867569901.051</v>
      </c>
      <c r="C147" s="11">
        <v>18157645905442.852</v>
      </c>
      <c r="D147" s="8">
        <f t="shared" si="0"/>
        <v>-7.1783619812395143</v>
      </c>
      <c r="E147" s="8"/>
      <c r="F147" s="8"/>
      <c r="G147" s="8"/>
      <c r="H147" s="8"/>
    </row>
    <row r="148" spans="1:8" x14ac:dyDescent="0.25">
      <c r="A148" s="11" t="s">
        <v>2422</v>
      </c>
      <c r="B148" s="11">
        <v>488801391699.68005</v>
      </c>
      <c r="C148" s="11">
        <v>452447904664.65002</v>
      </c>
      <c r="D148" s="8">
        <f t="shared" si="0"/>
        <v>-7.4372715897187218</v>
      </c>
      <c r="E148" s="8"/>
      <c r="F148" s="8"/>
      <c r="G148" s="8"/>
      <c r="H148" s="8"/>
    </row>
    <row r="149" spans="1:8" x14ac:dyDescent="0.25">
      <c r="A149" s="11" t="s">
        <v>3814</v>
      </c>
      <c r="B149" s="11">
        <v>2713386628.25</v>
      </c>
      <c r="C149" s="11">
        <v>2510917088</v>
      </c>
      <c r="D149" s="8">
        <f t="shared" si="0"/>
        <v>-7.4618758028074623</v>
      </c>
      <c r="E149" s="8"/>
      <c r="F149" s="8"/>
      <c r="G149" s="8"/>
      <c r="H149" s="8"/>
    </row>
    <row r="150" spans="1:8" x14ac:dyDescent="0.25">
      <c r="A150" s="11" t="s">
        <v>1868</v>
      </c>
      <c r="B150" s="11">
        <v>4936069640052.3594</v>
      </c>
      <c r="C150" s="11">
        <v>4551893330914.5693</v>
      </c>
      <c r="D150" s="8">
        <f t="shared" si="0"/>
        <v>-7.7830407014621228</v>
      </c>
      <c r="E150" s="8"/>
      <c r="F150" s="8"/>
      <c r="G150" s="8"/>
      <c r="H150" s="8"/>
    </row>
    <row r="151" spans="1:8" x14ac:dyDescent="0.25">
      <c r="A151" s="11" t="s">
        <v>831</v>
      </c>
      <c r="B151" s="11">
        <v>190714019155.75</v>
      </c>
      <c r="C151" s="11">
        <v>175821396873.45001</v>
      </c>
      <c r="D151" s="8">
        <f t="shared" si="0"/>
        <v>-7.8088765305384609</v>
      </c>
      <c r="E151" s="8"/>
      <c r="F151" s="8"/>
      <c r="G151" s="8"/>
      <c r="H151" s="8"/>
    </row>
    <row r="152" spans="1:8" x14ac:dyDescent="0.25">
      <c r="A152" s="11" t="s">
        <v>4111</v>
      </c>
      <c r="B152" s="11">
        <v>38978574566.57</v>
      </c>
      <c r="C152" s="11">
        <v>35926974115.709999</v>
      </c>
      <c r="D152" s="8">
        <f t="shared" si="0"/>
        <v>-7.8289175137697509</v>
      </c>
      <c r="E152" s="8"/>
      <c r="F152" s="8"/>
      <c r="G152" s="8"/>
      <c r="H152" s="8"/>
    </row>
    <row r="153" spans="1:8" x14ac:dyDescent="0.25">
      <c r="A153" s="11" t="s">
        <v>3872</v>
      </c>
      <c r="B153" s="11">
        <v>645621350554.28003</v>
      </c>
      <c r="C153" s="11">
        <v>594399113851.88989</v>
      </c>
      <c r="D153" s="8">
        <f t="shared" si="0"/>
        <v>-7.9337891565101941</v>
      </c>
      <c r="E153" s="8"/>
      <c r="F153" s="8"/>
      <c r="G153" s="8"/>
      <c r="H153" s="8"/>
    </row>
    <row r="154" spans="1:8" x14ac:dyDescent="0.25">
      <c r="A154" s="11" t="s">
        <v>4066</v>
      </c>
      <c r="B154" s="11">
        <v>62649699867.600006</v>
      </c>
      <c r="C154" s="11">
        <v>57530485014.760002</v>
      </c>
      <c r="D154" s="8">
        <f t="shared" si="0"/>
        <v>-8.1711721902237926</v>
      </c>
      <c r="E154" s="8"/>
      <c r="F154" s="8"/>
      <c r="G154" s="8"/>
      <c r="H154" s="8"/>
    </row>
    <row r="155" spans="1:8" x14ac:dyDescent="0.25">
      <c r="A155" s="11" t="s">
        <v>4145</v>
      </c>
      <c r="B155" s="11">
        <v>10593817487970.549</v>
      </c>
      <c r="C155" s="11">
        <v>9717513080712.6504</v>
      </c>
      <c r="D155" s="8">
        <f t="shared" si="0"/>
        <v>-8.2718473133311594</v>
      </c>
      <c r="E155" s="8"/>
      <c r="F155" s="8"/>
      <c r="G155" s="8"/>
      <c r="H155" s="8"/>
    </row>
    <row r="156" spans="1:8" x14ac:dyDescent="0.25">
      <c r="A156" s="11" t="s">
        <v>2905</v>
      </c>
      <c r="B156" s="11">
        <v>54049538027.540001</v>
      </c>
      <c r="C156" s="11">
        <v>49532498428.610001</v>
      </c>
      <c r="D156" s="8">
        <f t="shared" si="0"/>
        <v>-8.3572214745451134</v>
      </c>
      <c r="E156" s="8"/>
      <c r="F156" s="8"/>
      <c r="G156" s="8"/>
      <c r="H156" s="8"/>
    </row>
    <row r="157" spans="1:8" x14ac:dyDescent="0.25">
      <c r="A157" s="11" t="s">
        <v>935</v>
      </c>
      <c r="B157" s="11">
        <v>3286304754468.9995</v>
      </c>
      <c r="C157" s="11">
        <v>3007408639347.5498</v>
      </c>
      <c r="D157" s="8">
        <f t="shared" si="0"/>
        <v>-8.4866175220719509</v>
      </c>
      <c r="E157" s="69" t="s">
        <v>4480</v>
      </c>
      <c r="F157" s="67"/>
      <c r="G157" s="8"/>
      <c r="H157" s="8"/>
    </row>
    <row r="158" spans="1:8" x14ac:dyDescent="0.25">
      <c r="A158" s="11" t="s">
        <v>642</v>
      </c>
      <c r="B158" s="11">
        <v>1493857533572.7998</v>
      </c>
      <c r="C158" s="11">
        <v>1364229556287.3999</v>
      </c>
      <c r="D158" s="8">
        <f t="shared" si="0"/>
        <v>-8.6773989066664079</v>
      </c>
      <c r="E158" s="8"/>
      <c r="F158" s="8"/>
      <c r="G158" s="8"/>
      <c r="H158" s="8"/>
    </row>
    <row r="159" spans="1:8" x14ac:dyDescent="0.25">
      <c r="A159" s="11" t="s">
        <v>3183</v>
      </c>
      <c r="B159" s="11">
        <v>3867365082076.4497</v>
      </c>
      <c r="C159" s="11">
        <v>3523934754238.8999</v>
      </c>
      <c r="D159" s="8">
        <f t="shared" si="0"/>
        <v>-8.8802148374664593</v>
      </c>
      <c r="E159" s="8"/>
      <c r="F159" s="8"/>
      <c r="G159" s="8"/>
      <c r="H159" s="8"/>
    </row>
    <row r="160" spans="1:8" x14ac:dyDescent="0.25">
      <c r="A160" s="11" t="s">
        <v>4077</v>
      </c>
      <c r="B160" s="11">
        <v>4273969634.9999995</v>
      </c>
      <c r="C160" s="11">
        <v>3886910381.25</v>
      </c>
      <c r="D160" s="8">
        <f t="shared" si="0"/>
        <v>-9.05620036652412</v>
      </c>
      <c r="E160" s="8"/>
      <c r="F160" s="8"/>
      <c r="G160" s="8"/>
      <c r="H160" s="8"/>
    </row>
    <row r="161" spans="1:8" x14ac:dyDescent="0.25">
      <c r="A161" s="11" t="s">
        <v>67</v>
      </c>
      <c r="B161" s="11">
        <v>811775244038.44995</v>
      </c>
      <c r="C161" s="11">
        <v>736826409933.59998</v>
      </c>
      <c r="D161" s="8">
        <f t="shared" si="0"/>
        <v>-9.2327075326899237</v>
      </c>
      <c r="E161" s="8"/>
      <c r="F161" s="8"/>
      <c r="G161" s="8"/>
      <c r="H161" s="8"/>
    </row>
    <row r="162" spans="1:8" x14ac:dyDescent="0.25">
      <c r="A162" s="11" t="s">
        <v>3883</v>
      </c>
      <c r="B162" s="11">
        <v>424289048043.29993</v>
      </c>
      <c r="C162" s="11">
        <v>384678957871.95001</v>
      </c>
      <c r="D162" s="8">
        <f t="shared" si="0"/>
        <v>-9.3356381349036361</v>
      </c>
      <c r="E162" s="8"/>
      <c r="F162" s="8"/>
      <c r="G162" s="8"/>
      <c r="H162" s="8"/>
    </row>
    <row r="163" spans="1:8" x14ac:dyDescent="0.25">
      <c r="A163" s="11" t="s">
        <v>3672</v>
      </c>
      <c r="B163" s="11">
        <v>9396067689.4500008</v>
      </c>
      <c r="C163" s="11">
        <v>8508634014.75</v>
      </c>
      <c r="D163" s="8">
        <f t="shared" si="0"/>
        <v>-9.4447347979029601</v>
      </c>
      <c r="E163" s="8"/>
      <c r="F163" s="8"/>
      <c r="G163" s="8"/>
      <c r="H163" s="8"/>
    </row>
    <row r="164" spans="1:8" x14ac:dyDescent="0.25">
      <c r="A164" s="11" t="s">
        <v>350</v>
      </c>
      <c r="B164" s="11">
        <v>866880758325.45996</v>
      </c>
      <c r="C164" s="11">
        <v>780205235076.90002</v>
      </c>
      <c r="D164" s="8">
        <f t="shared" si="0"/>
        <v>-9.9985519826267328</v>
      </c>
      <c r="E164" s="8"/>
      <c r="F164" s="8"/>
      <c r="G164" s="8"/>
      <c r="H164" s="8"/>
    </row>
    <row r="165" spans="1:8" x14ac:dyDescent="0.25">
      <c r="A165" s="11" t="s">
        <v>758</v>
      </c>
      <c r="B165" s="11">
        <v>67815678008</v>
      </c>
      <c r="C165" s="11">
        <v>61030950820</v>
      </c>
      <c r="D165" s="8">
        <f t="shared" si="0"/>
        <v>-10.004658785833605</v>
      </c>
      <c r="E165" s="8"/>
      <c r="F165" s="8"/>
      <c r="G165" s="8"/>
      <c r="H165" s="8"/>
    </row>
    <row r="166" spans="1:8" x14ac:dyDescent="0.25">
      <c r="A166" s="11" t="s">
        <v>1563</v>
      </c>
      <c r="B166" s="11">
        <v>39503467884.699997</v>
      </c>
      <c r="C166" s="11">
        <v>35469852655.5</v>
      </c>
      <c r="D166" s="8">
        <f t="shared" si="0"/>
        <v>-10.210787673054517</v>
      </c>
      <c r="E166" s="8"/>
      <c r="F166" s="8"/>
      <c r="G166" s="8"/>
      <c r="H166" s="8"/>
    </row>
    <row r="167" spans="1:8" x14ac:dyDescent="0.25">
      <c r="A167" s="11" t="s">
        <v>3110</v>
      </c>
      <c r="B167" s="11">
        <v>1303001579433.4397</v>
      </c>
      <c r="C167" s="11">
        <v>1163992552483.1499</v>
      </c>
      <c r="D167" s="8">
        <f t="shared" si="0"/>
        <v>-10.668369796660764</v>
      </c>
      <c r="E167" s="69" t="s">
        <v>4481</v>
      </c>
      <c r="F167" s="67"/>
      <c r="G167" s="8"/>
      <c r="H167" s="8"/>
    </row>
    <row r="168" spans="1:8" x14ac:dyDescent="0.25">
      <c r="A168" s="11" t="s">
        <v>1807</v>
      </c>
      <c r="B168" s="11">
        <v>1261328746419.2502</v>
      </c>
      <c r="C168" s="11">
        <v>1125579711833.7998</v>
      </c>
      <c r="D168" s="8">
        <f t="shared" si="0"/>
        <v>-10.762383317658021</v>
      </c>
      <c r="E168" s="8"/>
      <c r="F168" s="8"/>
      <c r="G168" s="8"/>
      <c r="H168" s="8"/>
    </row>
    <row r="169" spans="1:8" x14ac:dyDescent="0.25">
      <c r="A169" s="11" t="s">
        <v>2778</v>
      </c>
      <c r="B169" s="11">
        <v>4846380249.8100004</v>
      </c>
      <c r="C169" s="11">
        <v>4324429852.9700003</v>
      </c>
      <c r="D169" s="8">
        <f t="shared" si="0"/>
        <v>-10.769901863570505</v>
      </c>
      <c r="E169" s="8"/>
      <c r="F169" s="8"/>
      <c r="G169" s="8"/>
      <c r="H169" s="8"/>
    </row>
    <row r="170" spans="1:8" x14ac:dyDescent="0.25">
      <c r="A170" s="11" t="s">
        <v>3312</v>
      </c>
      <c r="B170" s="11">
        <v>195901077097.51999</v>
      </c>
      <c r="C170" s="11">
        <v>171020390539.13998</v>
      </c>
      <c r="D170" s="8">
        <f t="shared" si="0"/>
        <v>-12.700637958204968</v>
      </c>
      <c r="E170" s="8"/>
      <c r="F170" s="8"/>
      <c r="G170" s="8"/>
      <c r="H170" s="8"/>
    </row>
    <row r="171" spans="1:8" x14ac:dyDescent="0.25">
      <c r="A171" s="11" t="s">
        <v>3140</v>
      </c>
      <c r="B171" s="11">
        <v>2737810948801.1504</v>
      </c>
      <c r="C171" s="11">
        <v>2367150464372.1006</v>
      </c>
      <c r="D171" s="8">
        <f t="shared" si="0"/>
        <v>-13.538571192848686</v>
      </c>
      <c r="E171" s="8"/>
      <c r="F171" s="8"/>
      <c r="G171" s="8"/>
      <c r="H171" s="8"/>
    </row>
    <row r="172" spans="1:8" x14ac:dyDescent="0.25">
      <c r="A172" s="11" t="s">
        <v>3793</v>
      </c>
      <c r="B172" s="11">
        <v>865994402923.75</v>
      </c>
      <c r="C172" s="11">
        <v>747440860055.5</v>
      </c>
      <c r="D172" s="8">
        <f t="shared" si="0"/>
        <v>-13.689874030131408</v>
      </c>
      <c r="E172" s="8"/>
      <c r="F172" s="8"/>
      <c r="G172" s="8"/>
      <c r="H172" s="8"/>
    </row>
    <row r="173" spans="1:8" x14ac:dyDescent="0.25">
      <c r="A173" s="11" t="s">
        <v>3190</v>
      </c>
      <c r="B173" s="11">
        <v>99412431685.350006</v>
      </c>
      <c r="C173" s="11">
        <v>85731452597.299988</v>
      </c>
      <c r="D173" s="8">
        <f t="shared" si="0"/>
        <v>-13.76183929526203</v>
      </c>
      <c r="E173" s="8"/>
      <c r="F173" s="8"/>
      <c r="G173" s="8"/>
      <c r="H173" s="8"/>
    </row>
    <row r="174" spans="1:8" x14ac:dyDescent="0.25">
      <c r="A174" s="11" t="s">
        <v>3847</v>
      </c>
      <c r="B174" s="11">
        <v>859435331752.55005</v>
      </c>
      <c r="C174" s="11">
        <v>739131343243.55005</v>
      </c>
      <c r="D174" s="8">
        <f t="shared" si="0"/>
        <v>-13.998026851383639</v>
      </c>
      <c r="E174" s="69" t="s">
        <v>4482</v>
      </c>
      <c r="F174" s="67"/>
      <c r="G174" s="8"/>
      <c r="H174" s="8"/>
    </row>
    <row r="175" spans="1:8" x14ac:dyDescent="0.25">
      <c r="A175" s="11" t="s">
        <v>4194</v>
      </c>
      <c r="B175" s="11">
        <v>296431300</v>
      </c>
      <c r="C175" s="11">
        <v>252746210</v>
      </c>
      <c r="D175" s="8">
        <f t="shared" si="0"/>
        <v>-14.737003143730099</v>
      </c>
      <c r="E175" s="69" t="s">
        <v>4483</v>
      </c>
      <c r="F175" s="67"/>
      <c r="G175" s="8"/>
      <c r="H175" s="8"/>
    </row>
    <row r="176" spans="1:8" x14ac:dyDescent="0.25">
      <c r="A176" s="11" t="s">
        <v>3639</v>
      </c>
      <c r="B176" s="11">
        <v>3609642948.8000002</v>
      </c>
      <c r="C176" s="11">
        <v>3021975359.3000002</v>
      </c>
      <c r="D176" s="8">
        <f t="shared" si="0"/>
        <v>-16.280490836229824</v>
      </c>
      <c r="E176" s="8"/>
      <c r="F176" s="8"/>
      <c r="G176" s="8"/>
      <c r="H176" s="8"/>
    </row>
    <row r="177" spans="1:8" x14ac:dyDescent="0.25">
      <c r="A177" s="11" t="s">
        <v>2757</v>
      </c>
      <c r="B177" s="11">
        <v>654286392819.25</v>
      </c>
      <c r="C177" s="11">
        <v>544129059265.15002</v>
      </c>
      <c r="D177" s="8">
        <f t="shared" si="0"/>
        <v>-16.836256227100158</v>
      </c>
      <c r="E177" s="8"/>
      <c r="F177" s="8"/>
      <c r="G177" s="8"/>
      <c r="H177" s="8"/>
    </row>
    <row r="178" spans="1:8" x14ac:dyDescent="0.25">
      <c r="A178" s="11" t="s">
        <v>3475</v>
      </c>
      <c r="B178" s="11">
        <v>8151509726687.6797</v>
      </c>
      <c r="C178" s="11">
        <v>6741139416096.1709</v>
      </c>
      <c r="D178" s="8">
        <f t="shared" si="0"/>
        <v>-17.301952127641083</v>
      </c>
      <c r="E178" s="8"/>
      <c r="F178" s="8"/>
      <c r="G178" s="8"/>
      <c r="H178" s="8"/>
    </row>
    <row r="179" spans="1:8" x14ac:dyDescent="0.25">
      <c r="A179" s="11" t="s">
        <v>3232</v>
      </c>
      <c r="B179" s="11">
        <v>1290952014522.3501</v>
      </c>
      <c r="C179" s="11">
        <v>1057499155943.02</v>
      </c>
      <c r="D179" s="8">
        <f t="shared" si="0"/>
        <v>-18.083775070888844</v>
      </c>
      <c r="E179" s="8"/>
      <c r="F179" s="8"/>
      <c r="G179" s="8"/>
      <c r="H179" s="8"/>
    </row>
    <row r="180" spans="1:8" x14ac:dyDescent="0.25">
      <c r="A180" s="11" t="s">
        <v>4033</v>
      </c>
      <c r="B180" s="11">
        <v>4559885464183.3496</v>
      </c>
      <c r="C180" s="11">
        <v>3711474842129.3999</v>
      </c>
      <c r="D180" s="8">
        <f t="shared" si="0"/>
        <v>-18.605963433028801</v>
      </c>
      <c r="E180" s="8"/>
      <c r="F180" s="8"/>
      <c r="G180" s="8"/>
      <c r="H180" s="8"/>
    </row>
    <row r="181" spans="1:8" x14ac:dyDescent="0.25">
      <c r="A181" s="11" t="s">
        <v>2892</v>
      </c>
      <c r="B181" s="11">
        <v>4382645084214.7998</v>
      </c>
      <c r="C181" s="11">
        <v>3396025557701</v>
      </c>
      <c r="D181" s="8">
        <f t="shared" si="0"/>
        <v>-22.511964979034204</v>
      </c>
      <c r="E181" s="8"/>
      <c r="F181" s="8"/>
      <c r="G181" s="8"/>
      <c r="H181" s="8"/>
    </row>
    <row r="182" spans="1:8" x14ac:dyDescent="0.25">
      <c r="A182" s="11" t="s">
        <v>4016</v>
      </c>
      <c r="B182" s="11">
        <v>1787417274829.9998</v>
      </c>
      <c r="C182" s="11">
        <v>1339896602157.0999</v>
      </c>
      <c r="D182" s="8">
        <f t="shared" si="0"/>
        <v>-25.037280268842839</v>
      </c>
      <c r="E182" s="8"/>
      <c r="F182" s="8"/>
      <c r="G182" s="8"/>
      <c r="H182" s="8"/>
    </row>
    <row r="183" spans="1:8" x14ac:dyDescent="0.25">
      <c r="A183" s="11" t="s">
        <v>3262</v>
      </c>
      <c r="B183" s="11">
        <v>4627999551919.2002</v>
      </c>
      <c r="C183" s="11">
        <v>3040693185694.0503</v>
      </c>
      <c r="D183" s="8">
        <f t="shared" si="0"/>
        <v>-34.297893688578782</v>
      </c>
      <c r="E183" s="8"/>
      <c r="F183" s="8"/>
      <c r="G183" s="8"/>
      <c r="H183" s="8"/>
    </row>
    <row r="184" spans="1:8" x14ac:dyDescent="0.25">
      <c r="A184" s="11"/>
      <c r="B184" s="8"/>
      <c r="C184" s="8"/>
      <c r="D184" s="8"/>
      <c r="E184" s="8"/>
      <c r="F184" s="8"/>
      <c r="G184" s="8"/>
      <c r="H184" s="8"/>
    </row>
    <row r="185" spans="1:8" x14ac:dyDescent="0.25">
      <c r="A185" s="11"/>
      <c r="B185" s="8"/>
      <c r="C185" s="8"/>
      <c r="D185" s="8"/>
      <c r="E185" s="8"/>
      <c r="F185" s="8"/>
      <c r="G185" s="8"/>
      <c r="H185" s="8"/>
    </row>
    <row r="186" spans="1:8" x14ac:dyDescent="0.25">
      <c r="A186" s="11"/>
      <c r="B186" s="8"/>
      <c r="C186" s="8"/>
      <c r="D186" s="8"/>
      <c r="E186" s="8"/>
      <c r="F186" s="8"/>
      <c r="G186" s="8"/>
      <c r="H186" s="8"/>
    </row>
    <row r="187" spans="1:8" x14ac:dyDescent="0.25">
      <c r="A187" s="11"/>
      <c r="B187" s="8"/>
      <c r="C187" s="8"/>
      <c r="D187" s="8"/>
      <c r="E187" s="8"/>
      <c r="F187" s="8"/>
      <c r="G187" s="8"/>
      <c r="H187" s="8"/>
    </row>
    <row r="188" spans="1:8" x14ac:dyDescent="0.25">
      <c r="A188" s="11"/>
      <c r="B188" s="8"/>
      <c r="C188" s="8"/>
      <c r="D188" s="8"/>
      <c r="E188" s="8"/>
      <c r="F188" s="8"/>
      <c r="G188" s="8"/>
      <c r="H188" s="8"/>
    </row>
    <row r="189" spans="1:8" x14ac:dyDescent="0.25">
      <c r="A189" s="11"/>
      <c r="B189" s="8"/>
      <c r="C189" s="8"/>
      <c r="D189" s="8"/>
      <c r="E189" s="8"/>
      <c r="F189" s="8"/>
      <c r="G189" s="8"/>
      <c r="H189" s="8"/>
    </row>
    <row r="190" spans="1:8" x14ac:dyDescent="0.25">
      <c r="A190" s="11"/>
      <c r="B190" s="8"/>
      <c r="C190" s="8"/>
      <c r="D190" s="8"/>
      <c r="E190" s="8"/>
      <c r="F190" s="8"/>
      <c r="G190" s="8"/>
      <c r="H190" s="8"/>
    </row>
    <row r="191" spans="1:8" x14ac:dyDescent="0.25">
      <c r="A191" s="11"/>
      <c r="B191" s="8"/>
      <c r="C191" s="8"/>
      <c r="D191" s="8"/>
      <c r="E191" s="8"/>
      <c r="F191" s="8"/>
      <c r="G191" s="8"/>
      <c r="H191" s="8"/>
    </row>
    <row r="192" spans="1:8" x14ac:dyDescent="0.25">
      <c r="A192" s="11"/>
      <c r="B192" s="8"/>
      <c r="C192" s="8"/>
      <c r="D192" s="8"/>
      <c r="E192" s="8"/>
      <c r="F192" s="8"/>
      <c r="G192" s="8"/>
      <c r="H192" s="8"/>
    </row>
    <row r="193" spans="1:8" x14ac:dyDescent="0.25">
      <c r="A193" s="11"/>
      <c r="B193" s="8"/>
      <c r="C193" s="8"/>
      <c r="D193" s="8"/>
      <c r="E193" s="8"/>
      <c r="F193" s="8"/>
      <c r="G193" s="8"/>
      <c r="H193" s="8"/>
    </row>
    <row r="194" spans="1:8" x14ac:dyDescent="0.25">
      <c r="A194" s="11"/>
      <c r="B194" s="8"/>
      <c r="C194" s="8"/>
      <c r="D194" s="8"/>
      <c r="E194" s="8"/>
      <c r="F194" s="8"/>
      <c r="G194" s="8"/>
      <c r="H194" s="8"/>
    </row>
    <row r="195" spans="1:8" x14ac:dyDescent="0.25">
      <c r="A195" s="11"/>
      <c r="B195" s="8"/>
      <c r="C195" s="8"/>
      <c r="D195" s="8"/>
      <c r="E195" s="8"/>
      <c r="F195" s="8"/>
      <c r="G195" s="8"/>
      <c r="H195" s="8"/>
    </row>
    <row r="196" spans="1:8" x14ac:dyDescent="0.25">
      <c r="A196" s="11"/>
      <c r="B196" s="8"/>
      <c r="C196" s="8"/>
      <c r="D196" s="8"/>
      <c r="E196" s="8"/>
      <c r="F196" s="8"/>
      <c r="G196" s="8"/>
      <c r="H196" s="8"/>
    </row>
    <row r="197" spans="1:8" x14ac:dyDescent="0.25">
      <c r="A197" s="11"/>
      <c r="B197" s="8"/>
      <c r="C197" s="8"/>
      <c r="D197" s="8"/>
      <c r="E197" s="8"/>
      <c r="F197" s="8"/>
      <c r="G197" s="8"/>
      <c r="H197" s="8"/>
    </row>
    <row r="198" spans="1:8" x14ac:dyDescent="0.25">
      <c r="A198" s="11"/>
      <c r="B198" s="8"/>
      <c r="C198" s="8"/>
      <c r="D198" s="8"/>
      <c r="E198" s="8"/>
      <c r="F198" s="8"/>
      <c r="G198" s="8"/>
      <c r="H198" s="8"/>
    </row>
    <row r="199" spans="1:8" x14ac:dyDescent="0.25">
      <c r="A199" s="11"/>
      <c r="B199" s="8"/>
      <c r="C199" s="8"/>
      <c r="D199" s="8"/>
      <c r="E199" s="8"/>
      <c r="F199" s="8"/>
      <c r="G199" s="8"/>
      <c r="H199" s="8"/>
    </row>
    <row r="200" spans="1:8" x14ac:dyDescent="0.25">
      <c r="A200" s="11"/>
      <c r="B200" s="8"/>
      <c r="C200" s="8"/>
      <c r="D200" s="8"/>
      <c r="E200" s="8"/>
      <c r="F200" s="8"/>
      <c r="G200" s="8"/>
      <c r="H200" s="8"/>
    </row>
    <row r="201" spans="1:8" x14ac:dyDescent="0.25">
      <c r="A201" s="11"/>
      <c r="B201" s="8"/>
      <c r="C201" s="8"/>
      <c r="D201" s="8"/>
      <c r="E201" s="8"/>
      <c r="F201" s="8"/>
      <c r="G201" s="8"/>
      <c r="H201" s="8"/>
    </row>
    <row r="202" spans="1:8" x14ac:dyDescent="0.25">
      <c r="A202" s="11"/>
      <c r="B202" s="8"/>
      <c r="C202" s="8"/>
      <c r="D202" s="8"/>
      <c r="E202" s="8"/>
      <c r="F202" s="8"/>
      <c r="G202" s="8"/>
      <c r="H202" s="8"/>
    </row>
    <row r="203" spans="1:8" x14ac:dyDescent="0.25">
      <c r="A203" s="11"/>
      <c r="B203" s="8"/>
      <c r="C203" s="8"/>
      <c r="D203" s="8"/>
      <c r="E203" s="8"/>
      <c r="F203" s="8"/>
      <c r="G203" s="8"/>
      <c r="H203" s="8"/>
    </row>
    <row r="204" spans="1:8" x14ac:dyDescent="0.25">
      <c r="A204" s="11"/>
      <c r="B204" s="8"/>
      <c r="C204" s="8"/>
      <c r="D204" s="8"/>
      <c r="E204" s="8"/>
      <c r="F204" s="8"/>
      <c r="G204" s="8"/>
      <c r="H204" s="8"/>
    </row>
    <row r="205" spans="1:8" x14ac:dyDescent="0.25">
      <c r="A205" s="11"/>
      <c r="B205" s="8"/>
      <c r="C205" s="8"/>
      <c r="D205" s="8"/>
      <c r="E205" s="8"/>
      <c r="F205" s="8"/>
      <c r="G205" s="8"/>
      <c r="H205" s="8"/>
    </row>
    <row r="206" spans="1:8" x14ac:dyDescent="0.25">
      <c r="A206" s="11"/>
      <c r="B206" s="8"/>
      <c r="C206" s="8"/>
      <c r="D206" s="8"/>
      <c r="E206" s="8"/>
      <c r="F206" s="8"/>
      <c r="G206" s="8"/>
      <c r="H206" s="8"/>
    </row>
    <row r="207" spans="1:8" x14ac:dyDescent="0.25">
      <c r="A207" s="11"/>
      <c r="B207" s="8"/>
      <c r="C207" s="8"/>
      <c r="D207" s="8"/>
      <c r="E207" s="8"/>
      <c r="F207" s="8"/>
      <c r="G207" s="8"/>
      <c r="H207" s="8"/>
    </row>
    <row r="208" spans="1:8" x14ac:dyDescent="0.25">
      <c r="A208" s="11"/>
      <c r="B208" s="8"/>
      <c r="C208" s="8"/>
      <c r="D208" s="8"/>
      <c r="E208" s="8"/>
      <c r="F208" s="8"/>
      <c r="G208" s="8"/>
      <c r="H208" s="8"/>
    </row>
    <row r="209" spans="1:8" x14ac:dyDescent="0.25">
      <c r="A209" s="11"/>
      <c r="B209" s="8"/>
      <c r="C209" s="8"/>
      <c r="D209" s="8"/>
      <c r="E209" s="8"/>
      <c r="F209" s="8"/>
      <c r="G209" s="8"/>
      <c r="H209" s="8"/>
    </row>
    <row r="210" spans="1:8" x14ac:dyDescent="0.25">
      <c r="A210" s="11"/>
      <c r="B210" s="8"/>
      <c r="C210" s="8"/>
      <c r="D210" s="8"/>
      <c r="E210" s="8"/>
      <c r="F210" s="8"/>
      <c r="G210" s="8"/>
      <c r="H210" s="8"/>
    </row>
    <row r="211" spans="1:8" x14ac:dyDescent="0.25">
      <c r="A211" s="11"/>
      <c r="B211" s="8"/>
      <c r="C211" s="8"/>
      <c r="D211" s="8"/>
      <c r="E211" s="8"/>
      <c r="F211" s="8"/>
      <c r="G211" s="8"/>
      <c r="H211" s="8"/>
    </row>
    <row r="212" spans="1:8" x14ac:dyDescent="0.25">
      <c r="A212" s="11"/>
      <c r="B212" s="8"/>
      <c r="C212" s="8"/>
      <c r="D212" s="8"/>
      <c r="E212" s="8"/>
      <c r="F212" s="8"/>
      <c r="G212" s="8"/>
      <c r="H212" s="8"/>
    </row>
    <row r="213" spans="1:8" x14ac:dyDescent="0.25">
      <c r="A213" s="11"/>
      <c r="B213" s="8"/>
      <c r="C213" s="8"/>
      <c r="D213" s="8"/>
      <c r="E213" s="8"/>
      <c r="F213" s="8"/>
      <c r="G213" s="8"/>
      <c r="H213" s="8"/>
    </row>
    <row r="214" spans="1:8" x14ac:dyDescent="0.25">
      <c r="A214" s="11"/>
      <c r="B214" s="8"/>
      <c r="C214" s="8"/>
      <c r="D214" s="8"/>
      <c r="E214" s="8"/>
      <c r="F214" s="8"/>
      <c r="G214" s="8"/>
      <c r="H214" s="8"/>
    </row>
    <row r="215" spans="1:8" x14ac:dyDescent="0.25">
      <c r="A215" s="11"/>
      <c r="B215" s="8"/>
      <c r="C215" s="8"/>
      <c r="D215" s="8"/>
      <c r="E215" s="8"/>
      <c r="F215" s="8"/>
      <c r="G215" s="8"/>
      <c r="H215" s="8"/>
    </row>
    <row r="216" spans="1:8" x14ac:dyDescent="0.25">
      <c r="A216" s="11"/>
      <c r="B216" s="8"/>
      <c r="C216" s="8"/>
      <c r="D216" s="8"/>
      <c r="E216" s="8"/>
      <c r="F216" s="8"/>
      <c r="G216" s="8"/>
      <c r="H216" s="8"/>
    </row>
    <row r="217" spans="1:8" x14ac:dyDescent="0.25">
      <c r="A217" s="11"/>
      <c r="B217" s="8"/>
      <c r="C217" s="8"/>
      <c r="D217" s="8"/>
      <c r="E217" s="8"/>
      <c r="F217" s="8"/>
      <c r="G217" s="8"/>
      <c r="H217" s="8"/>
    </row>
    <row r="218" spans="1:8" x14ac:dyDescent="0.25">
      <c r="A218" s="11"/>
      <c r="B218" s="8"/>
      <c r="C218" s="8"/>
      <c r="D218" s="8"/>
      <c r="E218" s="8"/>
      <c r="F218" s="8"/>
      <c r="G218" s="8"/>
      <c r="H218" s="8"/>
    </row>
    <row r="219" spans="1:8" x14ac:dyDescent="0.25">
      <c r="A219" s="11"/>
      <c r="B219" s="8"/>
      <c r="C219" s="8"/>
      <c r="D219" s="8"/>
      <c r="E219" s="8"/>
      <c r="F219" s="8"/>
      <c r="G219" s="8"/>
      <c r="H219" s="8"/>
    </row>
    <row r="220" spans="1:8" x14ac:dyDescent="0.25">
      <c r="A220" s="11"/>
      <c r="B220" s="8"/>
      <c r="C220" s="8"/>
      <c r="D220" s="8"/>
      <c r="E220" s="8"/>
      <c r="F220" s="8"/>
      <c r="G220" s="8"/>
      <c r="H220" s="8"/>
    </row>
    <row r="221" spans="1:8" x14ac:dyDescent="0.25">
      <c r="A221" s="11"/>
      <c r="B221" s="8"/>
      <c r="C221" s="8"/>
      <c r="D221" s="8"/>
      <c r="E221" s="8"/>
      <c r="F221" s="8"/>
      <c r="G221" s="8"/>
      <c r="H221" s="8"/>
    </row>
    <row r="222" spans="1:8" x14ac:dyDescent="0.25">
      <c r="A222" s="11"/>
      <c r="B222" s="8"/>
      <c r="C222" s="8"/>
      <c r="D222" s="8"/>
      <c r="E222" s="8"/>
      <c r="F222" s="8"/>
      <c r="G222" s="8"/>
      <c r="H222" s="8"/>
    </row>
    <row r="223" spans="1:8" x14ac:dyDescent="0.25">
      <c r="A223" s="11"/>
      <c r="B223" s="8"/>
      <c r="C223" s="8"/>
      <c r="D223" s="8"/>
      <c r="E223" s="8"/>
      <c r="F223" s="8"/>
      <c r="G223" s="8"/>
      <c r="H223" s="8"/>
    </row>
    <row r="224" spans="1:8" x14ac:dyDescent="0.25">
      <c r="A224" s="11"/>
      <c r="B224" s="8"/>
      <c r="C224" s="8"/>
      <c r="D224" s="8"/>
      <c r="E224" s="8"/>
      <c r="F224" s="8"/>
      <c r="G224" s="8"/>
      <c r="H224" s="8"/>
    </row>
    <row r="225" spans="1:8" x14ac:dyDescent="0.25">
      <c r="A225" s="11"/>
      <c r="B225" s="8"/>
      <c r="C225" s="8"/>
      <c r="D225" s="8"/>
      <c r="E225" s="8"/>
      <c r="F225" s="8"/>
      <c r="G225" s="8"/>
      <c r="H225" s="8"/>
    </row>
    <row r="226" spans="1:8" x14ac:dyDescent="0.25">
      <c r="A226" s="11"/>
      <c r="B226" s="8"/>
      <c r="C226" s="8"/>
      <c r="D226" s="8"/>
      <c r="E226" s="8"/>
      <c r="F226" s="8"/>
      <c r="G226" s="8"/>
      <c r="H226" s="8"/>
    </row>
    <row r="227" spans="1:8" x14ac:dyDescent="0.25">
      <c r="A227" s="11"/>
      <c r="B227" s="8"/>
      <c r="C227" s="8"/>
      <c r="D227" s="8"/>
      <c r="E227" s="8"/>
      <c r="F227" s="8"/>
      <c r="G227" s="8"/>
      <c r="H227" s="8"/>
    </row>
    <row r="228" spans="1:8" x14ac:dyDescent="0.25">
      <c r="A228" s="11"/>
      <c r="B228" s="8"/>
      <c r="C228" s="8"/>
      <c r="D228" s="8"/>
      <c r="E228" s="8"/>
      <c r="F228" s="8"/>
      <c r="G228" s="8"/>
      <c r="H228" s="8"/>
    </row>
    <row r="229" spans="1:8" x14ac:dyDescent="0.25">
      <c r="A229" s="11"/>
      <c r="B229" s="8"/>
      <c r="C229" s="8"/>
      <c r="D229" s="8"/>
      <c r="E229" s="8"/>
      <c r="F229" s="8"/>
      <c r="G229" s="8"/>
      <c r="H229" s="8"/>
    </row>
    <row r="230" spans="1:8" x14ac:dyDescent="0.25">
      <c r="A230" s="11"/>
      <c r="B230" s="8"/>
      <c r="C230" s="8"/>
      <c r="D230" s="8"/>
      <c r="E230" s="8"/>
      <c r="F230" s="8"/>
      <c r="G230" s="8"/>
      <c r="H230" s="8"/>
    </row>
    <row r="231" spans="1:8" x14ac:dyDescent="0.25">
      <c r="A231" s="11"/>
      <c r="B231" s="8"/>
      <c r="C231" s="8"/>
      <c r="D231" s="8"/>
      <c r="E231" s="8"/>
      <c r="F231" s="8"/>
      <c r="G231" s="8"/>
      <c r="H231" s="8"/>
    </row>
    <row r="232" spans="1:8" x14ac:dyDescent="0.25">
      <c r="A232" s="11"/>
      <c r="B232" s="8"/>
      <c r="C232" s="8"/>
      <c r="D232" s="8"/>
      <c r="E232" s="8"/>
      <c r="F232" s="8"/>
      <c r="G232" s="8"/>
      <c r="H232" s="8"/>
    </row>
    <row r="233" spans="1:8" x14ac:dyDescent="0.25">
      <c r="A233" s="11"/>
      <c r="B233" s="8"/>
      <c r="C233" s="8"/>
      <c r="D233" s="8"/>
      <c r="E233" s="8"/>
      <c r="F233" s="8"/>
      <c r="G233" s="8"/>
      <c r="H233" s="8"/>
    </row>
    <row r="234" spans="1:8" x14ac:dyDescent="0.25">
      <c r="A234" s="11"/>
      <c r="B234" s="8"/>
      <c r="C234" s="8"/>
      <c r="D234" s="8"/>
      <c r="E234" s="8"/>
      <c r="F234" s="8"/>
      <c r="G234" s="8"/>
      <c r="H234" s="8"/>
    </row>
    <row r="235" spans="1:8" x14ac:dyDescent="0.25">
      <c r="A235" s="11"/>
      <c r="B235" s="8"/>
      <c r="C235" s="8"/>
      <c r="D235" s="8"/>
      <c r="E235" s="8"/>
      <c r="F235" s="8"/>
      <c r="G235" s="8"/>
      <c r="H235" s="8"/>
    </row>
    <row r="236" spans="1:8" x14ac:dyDescent="0.25">
      <c r="A236" s="11"/>
      <c r="B236" s="8"/>
      <c r="C236" s="8"/>
      <c r="D236" s="8"/>
      <c r="E236" s="8"/>
      <c r="F236" s="8"/>
      <c r="G236" s="8"/>
      <c r="H236" s="8"/>
    </row>
    <row r="237" spans="1:8" x14ac:dyDescent="0.25">
      <c r="A237" s="11"/>
      <c r="B237" s="8"/>
      <c r="C237" s="8"/>
      <c r="D237" s="8"/>
      <c r="E237" s="8"/>
      <c r="F237" s="8"/>
      <c r="G237" s="8"/>
      <c r="H237" s="8"/>
    </row>
    <row r="238" spans="1:8" x14ac:dyDescent="0.25">
      <c r="A238" s="11"/>
      <c r="B238" s="8"/>
      <c r="C238" s="8"/>
      <c r="D238" s="8"/>
      <c r="E238" s="8"/>
      <c r="F238" s="8"/>
      <c r="G238" s="8"/>
      <c r="H238" s="8"/>
    </row>
    <row r="239" spans="1:8" x14ac:dyDescent="0.25">
      <c r="A239" s="11"/>
      <c r="B239" s="8"/>
      <c r="C239" s="8"/>
      <c r="D239" s="8"/>
      <c r="E239" s="8"/>
      <c r="F239" s="8"/>
      <c r="G239" s="8"/>
      <c r="H239" s="8"/>
    </row>
    <row r="240" spans="1:8" x14ac:dyDescent="0.25">
      <c r="A240" s="11"/>
      <c r="B240" s="8"/>
      <c r="C240" s="8"/>
      <c r="D240" s="8"/>
      <c r="E240" s="8"/>
      <c r="F240" s="8"/>
      <c r="G240" s="8"/>
      <c r="H240" s="8"/>
    </row>
    <row r="241" spans="1:8" x14ac:dyDescent="0.25">
      <c r="A241" s="11"/>
      <c r="B241" s="8"/>
      <c r="C241" s="8"/>
      <c r="D241" s="8"/>
      <c r="E241" s="8"/>
      <c r="F241" s="8"/>
      <c r="G241" s="8"/>
      <c r="H241" s="8"/>
    </row>
    <row r="242" spans="1:8" x14ac:dyDescent="0.25">
      <c r="A242" s="11"/>
      <c r="B242" s="8"/>
      <c r="C242" s="8"/>
      <c r="D242" s="8"/>
      <c r="E242" s="8"/>
      <c r="F242" s="8"/>
      <c r="G242" s="8"/>
      <c r="H242" s="8"/>
    </row>
    <row r="243" spans="1:8" x14ac:dyDescent="0.25">
      <c r="A243" s="11"/>
      <c r="B243" s="8"/>
      <c r="C243" s="8"/>
      <c r="D243" s="8"/>
      <c r="E243" s="8"/>
      <c r="F243" s="8"/>
      <c r="G243" s="8"/>
      <c r="H243" s="8"/>
    </row>
    <row r="244" spans="1:8" x14ac:dyDescent="0.25">
      <c r="A244" s="11"/>
      <c r="B244" s="8"/>
      <c r="C244" s="8"/>
      <c r="D244" s="8"/>
      <c r="E244" s="8"/>
      <c r="F244" s="8"/>
      <c r="G244" s="8"/>
      <c r="H244" s="8"/>
    </row>
    <row r="245" spans="1:8" x14ac:dyDescent="0.25">
      <c r="A245" s="11"/>
      <c r="B245" s="8"/>
      <c r="C245" s="8"/>
      <c r="D245" s="8"/>
      <c r="E245" s="8"/>
      <c r="F245" s="8"/>
      <c r="G245" s="8"/>
      <c r="H245" s="8"/>
    </row>
    <row r="246" spans="1:8" x14ac:dyDescent="0.25">
      <c r="A246" s="11"/>
      <c r="B246" s="8"/>
      <c r="C246" s="8"/>
      <c r="D246" s="8"/>
      <c r="E246" s="8"/>
      <c r="F246" s="8"/>
      <c r="G246" s="8"/>
      <c r="H246" s="8"/>
    </row>
    <row r="247" spans="1:8" x14ac:dyDescent="0.25">
      <c r="A247" s="11"/>
      <c r="B247" s="8"/>
      <c r="C247" s="8"/>
      <c r="D247" s="8"/>
      <c r="E247" s="8"/>
      <c r="F247" s="8"/>
      <c r="G247" s="8"/>
      <c r="H247" s="8"/>
    </row>
    <row r="248" spans="1:8" x14ac:dyDescent="0.25">
      <c r="A248" s="11"/>
      <c r="B248" s="8"/>
      <c r="C248" s="8"/>
      <c r="D248" s="8"/>
      <c r="E248" s="8"/>
      <c r="F248" s="8"/>
      <c r="G248" s="8"/>
      <c r="H248" s="8"/>
    </row>
    <row r="249" spans="1:8" x14ac:dyDescent="0.25">
      <c r="A249" s="11"/>
      <c r="B249" s="8"/>
      <c r="C249" s="8"/>
      <c r="D249" s="8"/>
      <c r="E249" s="8"/>
      <c r="F249" s="8"/>
      <c r="G249" s="8"/>
      <c r="H249" s="8"/>
    </row>
    <row r="250" spans="1:8" x14ac:dyDescent="0.25">
      <c r="A250" s="11"/>
      <c r="B250" s="8"/>
      <c r="C250" s="8"/>
      <c r="D250" s="8"/>
      <c r="E250" s="8"/>
      <c r="F250" s="8"/>
      <c r="G250" s="8"/>
      <c r="H250" s="8"/>
    </row>
    <row r="251" spans="1:8" x14ac:dyDescent="0.25">
      <c r="A251" s="11"/>
      <c r="B251" s="8"/>
      <c r="C251" s="8"/>
      <c r="D251" s="8"/>
      <c r="E251" s="8"/>
      <c r="F251" s="8"/>
      <c r="G251" s="8"/>
      <c r="H251" s="8"/>
    </row>
    <row r="252" spans="1:8" x14ac:dyDescent="0.25">
      <c r="A252" s="11"/>
      <c r="B252" s="8"/>
      <c r="C252" s="8"/>
      <c r="D252" s="8"/>
      <c r="E252" s="8"/>
      <c r="F252" s="8"/>
      <c r="G252" s="8"/>
      <c r="H252" s="8"/>
    </row>
    <row r="253" spans="1:8" x14ac:dyDescent="0.25">
      <c r="A253" s="11"/>
      <c r="B253" s="8"/>
      <c r="C253" s="8"/>
      <c r="D253" s="8"/>
      <c r="E253" s="8"/>
      <c r="F253" s="8"/>
      <c r="G253" s="8"/>
      <c r="H253" s="8"/>
    </row>
    <row r="254" spans="1:8" x14ac:dyDescent="0.25">
      <c r="A254" s="11"/>
      <c r="B254" s="8"/>
      <c r="C254" s="8"/>
      <c r="D254" s="8"/>
      <c r="E254" s="8"/>
      <c r="F254" s="8"/>
      <c r="G254" s="8"/>
      <c r="H254" s="8"/>
    </row>
    <row r="255" spans="1:8" x14ac:dyDescent="0.25">
      <c r="A255" s="11"/>
      <c r="B255" s="8"/>
      <c r="C255" s="8"/>
      <c r="D255" s="8"/>
      <c r="E255" s="8"/>
      <c r="F255" s="8"/>
      <c r="G255" s="8"/>
      <c r="H255" s="8"/>
    </row>
    <row r="256" spans="1:8" x14ac:dyDescent="0.25">
      <c r="A256" s="11"/>
      <c r="B256" s="8"/>
      <c r="C256" s="8"/>
      <c r="D256" s="8"/>
      <c r="E256" s="8"/>
      <c r="F256" s="8"/>
      <c r="G256" s="8"/>
      <c r="H256" s="8"/>
    </row>
    <row r="257" spans="1:8" x14ac:dyDescent="0.25">
      <c r="A257" s="11"/>
      <c r="B257" s="8"/>
      <c r="C257" s="8"/>
      <c r="D257" s="8"/>
      <c r="E257" s="8"/>
      <c r="F257" s="8"/>
      <c r="G257" s="8"/>
      <c r="H257" s="8"/>
    </row>
    <row r="258" spans="1:8" x14ac:dyDescent="0.25">
      <c r="A258" s="11"/>
      <c r="B258" s="8"/>
      <c r="C258" s="8"/>
      <c r="D258" s="8"/>
      <c r="E258" s="8"/>
      <c r="F258" s="8"/>
      <c r="G258" s="8"/>
      <c r="H258" s="8"/>
    </row>
    <row r="259" spans="1:8" x14ac:dyDescent="0.25">
      <c r="A259" s="11"/>
      <c r="B259" s="8"/>
      <c r="C259" s="8"/>
      <c r="D259" s="8"/>
      <c r="E259" s="8"/>
      <c r="F259" s="8"/>
      <c r="G259" s="8"/>
      <c r="H259" s="8"/>
    </row>
    <row r="260" spans="1:8" x14ac:dyDescent="0.25">
      <c r="A260" s="11"/>
      <c r="B260" s="8"/>
      <c r="C260" s="8"/>
      <c r="D260" s="8"/>
      <c r="E260" s="8"/>
      <c r="F260" s="8"/>
      <c r="G260" s="8"/>
      <c r="H260" s="8"/>
    </row>
    <row r="261" spans="1:8" x14ac:dyDescent="0.25">
      <c r="A261" s="11"/>
      <c r="B261" s="8"/>
      <c r="C261" s="8"/>
      <c r="D261" s="8"/>
      <c r="E261" s="8"/>
      <c r="F261" s="8"/>
      <c r="G261" s="8"/>
      <c r="H261" s="8"/>
    </row>
    <row r="262" spans="1:8" x14ac:dyDescent="0.25">
      <c r="A262" s="11"/>
      <c r="B262" s="8"/>
      <c r="C262" s="8"/>
      <c r="D262" s="8"/>
      <c r="E262" s="8"/>
      <c r="F262" s="8"/>
      <c r="G262" s="8"/>
      <c r="H262" s="8"/>
    </row>
    <row r="263" spans="1:8" x14ac:dyDescent="0.25">
      <c r="A263" s="11"/>
      <c r="B263" s="8"/>
      <c r="C263" s="8"/>
      <c r="D263" s="8"/>
      <c r="E263" s="8"/>
      <c r="F263" s="8"/>
      <c r="G263" s="8"/>
      <c r="H263" s="8"/>
    </row>
    <row r="264" spans="1:8" x14ac:dyDescent="0.25">
      <c r="A264" s="11"/>
      <c r="B264" s="8"/>
      <c r="C264" s="8"/>
      <c r="D264" s="8"/>
      <c r="E264" s="8"/>
      <c r="F264" s="8"/>
      <c r="G264" s="8"/>
      <c r="H264" s="8"/>
    </row>
    <row r="265" spans="1:8" x14ac:dyDescent="0.25">
      <c r="A265" s="11"/>
      <c r="B265" s="8"/>
      <c r="C265" s="8"/>
      <c r="D265" s="8"/>
      <c r="E265" s="8"/>
      <c r="F265" s="8"/>
      <c r="G265" s="8"/>
      <c r="H265" s="8"/>
    </row>
    <row r="266" spans="1:8" x14ac:dyDescent="0.25">
      <c r="A266" s="11"/>
      <c r="B266" s="8"/>
      <c r="C266" s="8"/>
      <c r="D266" s="8"/>
      <c r="E266" s="8"/>
      <c r="F266" s="8"/>
      <c r="G266" s="8"/>
      <c r="H266" s="8"/>
    </row>
    <row r="267" spans="1:8" x14ac:dyDescent="0.25">
      <c r="A267" s="11"/>
      <c r="B267" s="8"/>
      <c r="C267" s="8"/>
      <c r="D267" s="8"/>
      <c r="E267" s="8"/>
      <c r="F267" s="8"/>
      <c r="G267" s="8"/>
      <c r="H267" s="8"/>
    </row>
    <row r="268" spans="1:8" x14ac:dyDescent="0.25">
      <c r="A268" s="11"/>
      <c r="B268" s="8"/>
      <c r="C268" s="8"/>
      <c r="D268" s="8"/>
      <c r="E268" s="8"/>
      <c r="F268" s="8"/>
      <c r="G268" s="8"/>
      <c r="H268" s="8"/>
    </row>
    <row r="269" spans="1:8" x14ac:dyDescent="0.25">
      <c r="A269" s="11"/>
      <c r="B269" s="8"/>
      <c r="C269" s="8"/>
      <c r="D269" s="8"/>
      <c r="E269" s="8"/>
      <c r="F269" s="8"/>
      <c r="G269" s="8"/>
      <c r="H269" s="8"/>
    </row>
    <row r="270" spans="1:8" x14ac:dyDescent="0.25">
      <c r="A270" s="11"/>
      <c r="B270" s="8"/>
      <c r="C270" s="8"/>
      <c r="D270" s="8"/>
      <c r="E270" s="8"/>
      <c r="F270" s="8"/>
      <c r="G270" s="8"/>
      <c r="H270" s="8"/>
    </row>
    <row r="271" spans="1:8" x14ac:dyDescent="0.25">
      <c r="A271" s="11"/>
      <c r="B271" s="8"/>
      <c r="C271" s="8"/>
      <c r="D271" s="8"/>
      <c r="E271" s="8"/>
      <c r="F271" s="8"/>
      <c r="G271" s="8"/>
      <c r="H271" s="8"/>
    </row>
    <row r="272" spans="1:8" x14ac:dyDescent="0.25">
      <c r="A272" s="11"/>
      <c r="B272" s="8"/>
      <c r="C272" s="8"/>
      <c r="D272" s="8"/>
      <c r="E272" s="8"/>
      <c r="F272" s="8"/>
      <c r="G272" s="8"/>
      <c r="H272" s="8"/>
    </row>
    <row r="273" spans="1:8" x14ac:dyDescent="0.25">
      <c r="A273" s="11"/>
      <c r="B273" s="8"/>
      <c r="C273" s="8"/>
      <c r="D273" s="8"/>
      <c r="E273" s="8"/>
      <c r="F273" s="8"/>
      <c r="G273" s="8"/>
      <c r="H273" s="8"/>
    </row>
    <row r="274" spans="1:8" x14ac:dyDescent="0.25">
      <c r="A274" s="11"/>
      <c r="B274" s="8"/>
      <c r="C274" s="8"/>
      <c r="D274" s="8"/>
      <c r="E274" s="8"/>
      <c r="F274" s="8"/>
      <c r="G274" s="8"/>
      <c r="H274" s="8"/>
    </row>
    <row r="275" spans="1:8" x14ac:dyDescent="0.25">
      <c r="A275" s="11"/>
      <c r="B275" s="8"/>
      <c r="C275" s="8"/>
      <c r="D275" s="8"/>
      <c r="E275" s="8"/>
      <c r="F275" s="8"/>
      <c r="G275" s="8"/>
      <c r="H275" s="8"/>
    </row>
    <row r="276" spans="1:8" x14ac:dyDescent="0.25">
      <c r="A276" s="11"/>
      <c r="B276" s="8"/>
      <c r="C276" s="8"/>
      <c r="D276" s="8"/>
      <c r="E276" s="8"/>
      <c r="F276" s="8"/>
      <c r="G276" s="8"/>
      <c r="H276" s="8"/>
    </row>
    <row r="277" spans="1:8" x14ac:dyDescent="0.25">
      <c r="A277" s="11"/>
      <c r="B277" s="8"/>
      <c r="C277" s="8"/>
      <c r="D277" s="8"/>
      <c r="E277" s="8"/>
      <c r="F277" s="8"/>
      <c r="G277" s="8"/>
      <c r="H277" s="8"/>
    </row>
    <row r="278" spans="1:8" x14ac:dyDescent="0.25">
      <c r="A278" s="11"/>
      <c r="B278" s="8"/>
      <c r="C278" s="8"/>
      <c r="D278" s="8"/>
      <c r="E278" s="8"/>
      <c r="F278" s="8"/>
      <c r="G278" s="8"/>
      <c r="H278" s="8"/>
    </row>
    <row r="279" spans="1:8" x14ac:dyDescent="0.25">
      <c r="A279" s="11"/>
      <c r="B279" s="8"/>
      <c r="C279" s="8"/>
      <c r="D279" s="8"/>
      <c r="E279" s="8"/>
      <c r="F279" s="8"/>
      <c r="G279" s="8"/>
      <c r="H279" s="8"/>
    </row>
    <row r="280" spans="1:8" x14ac:dyDescent="0.25">
      <c r="A280" s="11"/>
      <c r="B280" s="8"/>
      <c r="C280" s="8"/>
      <c r="D280" s="8"/>
      <c r="E280" s="8"/>
      <c r="F280" s="8"/>
      <c r="G280" s="8"/>
      <c r="H280" s="8"/>
    </row>
    <row r="281" spans="1:8" x14ac:dyDescent="0.25">
      <c r="A281" s="11"/>
      <c r="B281" s="8"/>
      <c r="C281" s="8"/>
      <c r="D281" s="8"/>
      <c r="E281" s="8"/>
      <c r="F281" s="8"/>
      <c r="G281" s="8"/>
      <c r="H281" s="8"/>
    </row>
    <row r="282" spans="1:8" x14ac:dyDescent="0.25">
      <c r="A282" s="11"/>
      <c r="B282" s="8"/>
      <c r="C282" s="8"/>
      <c r="D282" s="8"/>
      <c r="E282" s="8"/>
      <c r="F282" s="8"/>
      <c r="G282" s="8"/>
      <c r="H282" s="8"/>
    </row>
    <row r="283" spans="1:8" x14ac:dyDescent="0.25">
      <c r="A283" s="11"/>
      <c r="B283" s="8"/>
      <c r="C283" s="8"/>
      <c r="D283" s="8"/>
      <c r="E283" s="8"/>
      <c r="F283" s="8"/>
      <c r="G283" s="8"/>
      <c r="H283" s="8"/>
    </row>
    <row r="284" spans="1:8" x14ac:dyDescent="0.25">
      <c r="A284" s="11"/>
      <c r="B284" s="8"/>
      <c r="C284" s="8"/>
      <c r="D284" s="8"/>
      <c r="E284" s="8"/>
      <c r="F284" s="8"/>
      <c r="G284" s="8"/>
      <c r="H284" s="8"/>
    </row>
    <row r="285" spans="1:8" x14ac:dyDescent="0.25">
      <c r="A285" s="11"/>
      <c r="B285" s="8"/>
      <c r="C285" s="8"/>
      <c r="D285" s="8"/>
      <c r="E285" s="8"/>
      <c r="F285" s="8"/>
      <c r="G285" s="8"/>
      <c r="H285" s="8"/>
    </row>
    <row r="286" spans="1:8" x14ac:dyDescent="0.25">
      <c r="A286" s="11"/>
      <c r="B286" s="8"/>
      <c r="C286" s="8"/>
      <c r="D286" s="8"/>
      <c r="E286" s="8"/>
      <c r="F286" s="8"/>
      <c r="G286" s="8"/>
      <c r="H286" s="8"/>
    </row>
    <row r="287" spans="1:8" x14ac:dyDescent="0.25">
      <c r="A287" s="11"/>
      <c r="B287" s="8"/>
      <c r="C287" s="8"/>
      <c r="D287" s="8"/>
      <c r="E287" s="8"/>
      <c r="F287" s="8"/>
      <c r="G287" s="8"/>
      <c r="H287" s="8"/>
    </row>
    <row r="288" spans="1:8" x14ac:dyDescent="0.25">
      <c r="A288" s="11"/>
      <c r="B288" s="8"/>
      <c r="C288" s="8"/>
      <c r="D288" s="8"/>
      <c r="E288" s="8"/>
      <c r="F288" s="8"/>
      <c r="G288" s="8"/>
      <c r="H288" s="8"/>
    </row>
    <row r="289" spans="1:8" x14ac:dyDescent="0.25">
      <c r="A289" s="11"/>
      <c r="B289" s="8"/>
      <c r="C289" s="8"/>
      <c r="D289" s="8"/>
      <c r="E289" s="8"/>
      <c r="F289" s="8"/>
      <c r="G289" s="8"/>
      <c r="H289" s="8"/>
    </row>
    <row r="290" spans="1:8" x14ac:dyDescent="0.25">
      <c r="A290" s="11"/>
      <c r="B290" s="8"/>
      <c r="C290" s="8"/>
      <c r="D290" s="8"/>
      <c r="E290" s="8"/>
      <c r="F290" s="8"/>
      <c r="G290" s="8"/>
      <c r="H290" s="8"/>
    </row>
    <row r="291" spans="1:8" x14ac:dyDescent="0.25">
      <c r="A291" s="11"/>
      <c r="B291" s="8"/>
      <c r="C291" s="8"/>
      <c r="D291" s="8"/>
      <c r="E291" s="8"/>
      <c r="F291" s="8"/>
      <c r="G291" s="8"/>
      <c r="H291" s="8"/>
    </row>
    <row r="292" spans="1:8" x14ac:dyDescent="0.25">
      <c r="A292" s="11"/>
      <c r="B292" s="8"/>
      <c r="C292" s="8"/>
      <c r="D292" s="8"/>
      <c r="E292" s="8"/>
      <c r="F292" s="8"/>
      <c r="G292" s="8"/>
      <c r="H292" s="8"/>
    </row>
    <row r="293" spans="1:8" x14ac:dyDescent="0.25">
      <c r="A293" s="11"/>
      <c r="B293" s="8"/>
      <c r="C293" s="8"/>
      <c r="D293" s="8"/>
      <c r="E293" s="8"/>
      <c r="F293" s="8"/>
      <c r="G293" s="8"/>
      <c r="H293" s="8"/>
    </row>
    <row r="294" spans="1:8" x14ac:dyDescent="0.25">
      <c r="A294" s="11"/>
      <c r="B294" s="8"/>
      <c r="C294" s="8"/>
      <c r="D294" s="8"/>
      <c r="E294" s="8"/>
      <c r="F294" s="8"/>
      <c r="G294" s="8"/>
      <c r="H294" s="8"/>
    </row>
    <row r="295" spans="1:8" x14ac:dyDescent="0.25">
      <c r="A295" s="11"/>
      <c r="B295" s="8"/>
      <c r="C295" s="8"/>
      <c r="D295" s="8"/>
      <c r="E295" s="8"/>
      <c r="F295" s="8"/>
      <c r="G295" s="8"/>
      <c r="H295" s="8"/>
    </row>
    <row r="296" spans="1:8" x14ac:dyDescent="0.25">
      <c r="A296" s="11"/>
      <c r="B296" s="8"/>
      <c r="C296" s="8"/>
      <c r="D296" s="8"/>
      <c r="E296" s="8"/>
      <c r="F296" s="8"/>
      <c r="G296" s="8"/>
      <c r="H296" s="8"/>
    </row>
    <row r="297" spans="1:8" x14ac:dyDescent="0.25">
      <c r="A297" s="11"/>
      <c r="B297" s="8"/>
      <c r="C297" s="8"/>
      <c r="D297" s="8"/>
      <c r="E297" s="8"/>
      <c r="F297" s="8"/>
      <c r="G297" s="8"/>
      <c r="H297" s="8"/>
    </row>
    <row r="298" spans="1:8" x14ac:dyDescent="0.25">
      <c r="A298" s="11"/>
      <c r="B298" s="8"/>
      <c r="C298" s="8"/>
      <c r="D298" s="8"/>
      <c r="E298" s="8"/>
      <c r="F298" s="8"/>
      <c r="G298" s="8"/>
      <c r="H298" s="8"/>
    </row>
    <row r="299" spans="1:8" x14ac:dyDescent="0.25">
      <c r="A299" s="11"/>
      <c r="B299" s="8"/>
      <c r="C299" s="8"/>
      <c r="D299" s="8"/>
      <c r="E299" s="8"/>
      <c r="F299" s="8"/>
      <c r="G299" s="8"/>
      <c r="H299" s="8"/>
    </row>
    <row r="300" spans="1:8" x14ac:dyDescent="0.25">
      <c r="A300" s="11"/>
      <c r="B300" s="8"/>
      <c r="C300" s="8"/>
      <c r="D300" s="8"/>
      <c r="E300" s="8"/>
      <c r="F300" s="8"/>
      <c r="G300" s="8"/>
      <c r="H300" s="8"/>
    </row>
    <row r="301" spans="1:8" x14ac:dyDescent="0.25">
      <c r="A301" s="11"/>
      <c r="B301" s="8"/>
      <c r="C301" s="8"/>
      <c r="D301" s="8"/>
      <c r="E301" s="8"/>
      <c r="F301" s="8"/>
      <c r="G301" s="8"/>
      <c r="H301" s="8"/>
    </row>
    <row r="302" spans="1:8" x14ac:dyDescent="0.25">
      <c r="A302" s="11"/>
      <c r="B302" s="8"/>
      <c r="C302" s="8"/>
      <c r="D302" s="8"/>
      <c r="E302" s="8"/>
      <c r="F302" s="8"/>
      <c r="G302" s="8"/>
      <c r="H302" s="8"/>
    </row>
    <row r="303" spans="1:8" x14ac:dyDescent="0.25">
      <c r="A303" s="11"/>
      <c r="B303" s="8"/>
      <c r="C303" s="8"/>
      <c r="D303" s="8"/>
      <c r="E303" s="8"/>
      <c r="F303" s="8"/>
      <c r="G303" s="8"/>
      <c r="H303" s="8"/>
    </row>
    <row r="304" spans="1:8" x14ac:dyDescent="0.25">
      <c r="A304" s="11"/>
      <c r="B304" s="8"/>
      <c r="C304" s="8"/>
      <c r="D304" s="8"/>
      <c r="E304" s="8"/>
      <c r="F304" s="8"/>
      <c r="G304" s="8"/>
      <c r="H304" s="8"/>
    </row>
    <row r="305" spans="1:8" x14ac:dyDescent="0.25">
      <c r="A305" s="11"/>
      <c r="B305" s="8"/>
      <c r="C305" s="8"/>
      <c r="D305" s="8"/>
      <c r="E305" s="8"/>
      <c r="F305" s="8"/>
      <c r="G305" s="8"/>
      <c r="H305" s="8"/>
    </row>
    <row r="306" spans="1:8" x14ac:dyDescent="0.25">
      <c r="A306" s="11"/>
      <c r="B306" s="8"/>
      <c r="C306" s="8"/>
      <c r="D306" s="8"/>
      <c r="E306" s="8"/>
      <c r="F306" s="8"/>
      <c r="G306" s="8"/>
      <c r="H306" s="8"/>
    </row>
    <row r="307" spans="1:8" x14ac:dyDescent="0.25">
      <c r="A307" s="11"/>
      <c r="B307" s="8"/>
      <c r="C307" s="8"/>
      <c r="D307" s="8"/>
      <c r="E307" s="8"/>
      <c r="F307" s="8"/>
      <c r="G307" s="8"/>
      <c r="H307" s="8"/>
    </row>
    <row r="308" spans="1:8" x14ac:dyDescent="0.25">
      <c r="A308" s="11"/>
      <c r="B308" s="8"/>
      <c r="C308" s="8"/>
      <c r="D308" s="8"/>
      <c r="E308" s="8"/>
      <c r="F308" s="8"/>
      <c r="G308" s="8"/>
      <c r="H308" s="8"/>
    </row>
    <row r="309" spans="1:8" x14ac:dyDescent="0.25">
      <c r="A309" s="11"/>
      <c r="B309" s="8"/>
      <c r="C309" s="8"/>
      <c r="D309" s="8"/>
      <c r="E309" s="8"/>
      <c r="F309" s="8"/>
      <c r="G309" s="8"/>
      <c r="H309" s="8"/>
    </row>
    <row r="310" spans="1:8" x14ac:dyDescent="0.25">
      <c r="A310" s="11"/>
      <c r="B310" s="8"/>
      <c r="C310" s="8"/>
      <c r="D310" s="8"/>
      <c r="E310" s="8"/>
      <c r="F310" s="8"/>
      <c r="G310" s="8"/>
      <c r="H310" s="8"/>
    </row>
    <row r="311" spans="1:8" x14ac:dyDescent="0.25">
      <c r="A311" s="11"/>
      <c r="B311" s="8"/>
      <c r="C311" s="8"/>
      <c r="D311" s="8"/>
      <c r="E311" s="8"/>
      <c r="F311" s="8"/>
      <c r="G311" s="8"/>
      <c r="H311" s="8"/>
    </row>
    <row r="312" spans="1:8" x14ac:dyDescent="0.25">
      <c r="A312" s="11"/>
      <c r="B312" s="8"/>
      <c r="C312" s="8"/>
      <c r="D312" s="8"/>
      <c r="E312" s="8"/>
      <c r="F312" s="8"/>
      <c r="G312" s="8"/>
      <c r="H312" s="8"/>
    </row>
    <row r="313" spans="1:8" x14ac:dyDescent="0.25">
      <c r="A313" s="11"/>
      <c r="B313" s="8"/>
      <c r="C313" s="8"/>
      <c r="D313" s="8"/>
      <c r="E313" s="8"/>
      <c r="F313" s="8"/>
      <c r="G313" s="8"/>
      <c r="H313" s="8"/>
    </row>
    <row r="314" spans="1:8" x14ac:dyDescent="0.25">
      <c r="A314" s="11"/>
      <c r="B314" s="8"/>
      <c r="C314" s="8"/>
      <c r="D314" s="8"/>
      <c r="E314" s="8"/>
      <c r="F314" s="8"/>
      <c r="G314" s="8"/>
      <c r="H314" s="8"/>
    </row>
    <row r="315" spans="1:8" x14ac:dyDescent="0.25">
      <c r="A315" s="11"/>
      <c r="B315" s="8"/>
      <c r="C315" s="8"/>
      <c r="D315" s="8"/>
      <c r="E315" s="8"/>
      <c r="F315" s="8"/>
      <c r="G315" s="8"/>
      <c r="H315" s="8"/>
    </row>
    <row r="316" spans="1:8" x14ac:dyDescent="0.25">
      <c r="A316" s="11"/>
      <c r="B316" s="8"/>
      <c r="C316" s="8"/>
      <c r="D316" s="8"/>
      <c r="E316" s="8"/>
      <c r="F316" s="8"/>
      <c r="G316" s="8"/>
      <c r="H316" s="8"/>
    </row>
    <row r="317" spans="1:8" x14ac:dyDescent="0.25">
      <c r="A317" s="11"/>
      <c r="B317" s="8"/>
      <c r="C317" s="8"/>
      <c r="D317" s="8"/>
      <c r="E317" s="8"/>
      <c r="F317" s="8"/>
      <c r="G317" s="8"/>
      <c r="H317" s="8"/>
    </row>
    <row r="318" spans="1:8" x14ac:dyDescent="0.25">
      <c r="A318" s="11"/>
      <c r="B318" s="8"/>
      <c r="C318" s="8"/>
      <c r="D318" s="8"/>
      <c r="E318" s="8"/>
      <c r="F318" s="8"/>
      <c r="G318" s="8"/>
      <c r="H318" s="8"/>
    </row>
    <row r="319" spans="1:8" x14ac:dyDescent="0.25">
      <c r="A319" s="11"/>
      <c r="B319" s="8"/>
      <c r="C319" s="8"/>
      <c r="D319" s="8"/>
      <c r="E319" s="8"/>
      <c r="F319" s="8"/>
      <c r="G319" s="8"/>
      <c r="H319" s="8"/>
    </row>
    <row r="320" spans="1:8" x14ac:dyDescent="0.25">
      <c r="A320" s="11"/>
      <c r="B320" s="8"/>
      <c r="C320" s="8"/>
      <c r="D320" s="8"/>
      <c r="E320" s="8"/>
      <c r="F320" s="8"/>
      <c r="G320" s="8"/>
      <c r="H320" s="8"/>
    </row>
    <row r="321" spans="1:8" x14ac:dyDescent="0.25">
      <c r="A321" s="11"/>
      <c r="B321" s="8"/>
      <c r="C321" s="8"/>
      <c r="D321" s="8"/>
      <c r="E321" s="8"/>
      <c r="F321" s="8"/>
      <c r="G321" s="8"/>
      <c r="H321" s="8"/>
    </row>
    <row r="322" spans="1:8" x14ac:dyDescent="0.25">
      <c r="A322" s="11"/>
      <c r="B322" s="8"/>
      <c r="C322" s="8"/>
      <c r="D322" s="8"/>
      <c r="E322" s="8"/>
      <c r="F322" s="8"/>
      <c r="G322" s="8"/>
      <c r="H322" s="8"/>
    </row>
    <row r="323" spans="1:8" x14ac:dyDescent="0.25">
      <c r="A323" s="11"/>
      <c r="B323" s="8"/>
      <c r="C323" s="8"/>
      <c r="D323" s="8"/>
      <c r="E323" s="8"/>
      <c r="F323" s="8"/>
      <c r="G323" s="8"/>
      <c r="H323" s="8"/>
    </row>
    <row r="324" spans="1:8" x14ac:dyDescent="0.25">
      <c r="A324" s="11"/>
      <c r="B324" s="8"/>
      <c r="C324" s="8"/>
      <c r="D324" s="8"/>
      <c r="E324" s="8"/>
      <c r="F324" s="8"/>
      <c r="G324" s="8"/>
      <c r="H324" s="8"/>
    </row>
    <row r="325" spans="1:8" x14ac:dyDescent="0.25">
      <c r="A325" s="11"/>
      <c r="B325" s="8"/>
      <c r="C325" s="8"/>
      <c r="D325" s="8"/>
      <c r="E325" s="8"/>
      <c r="F325" s="8"/>
      <c r="G325" s="8"/>
      <c r="H325" s="8"/>
    </row>
    <row r="326" spans="1:8" x14ac:dyDescent="0.25">
      <c r="A326" s="11"/>
      <c r="B326" s="8"/>
      <c r="C326" s="8"/>
      <c r="D326" s="8"/>
      <c r="E326" s="8"/>
      <c r="F326" s="8"/>
      <c r="G326" s="8"/>
      <c r="H326" s="8"/>
    </row>
    <row r="327" spans="1:8" x14ac:dyDescent="0.25">
      <c r="A327" s="11"/>
      <c r="B327" s="8"/>
      <c r="C327" s="8"/>
      <c r="D327" s="8"/>
      <c r="E327" s="8"/>
      <c r="F327" s="8"/>
      <c r="G327" s="8"/>
      <c r="H327" s="8"/>
    </row>
    <row r="328" spans="1:8" x14ac:dyDescent="0.25">
      <c r="A328" s="11"/>
      <c r="B328" s="8"/>
      <c r="C328" s="8"/>
      <c r="D328" s="8"/>
      <c r="E328" s="8"/>
      <c r="F328" s="8"/>
      <c r="G328" s="8"/>
      <c r="H328" s="8"/>
    </row>
    <row r="329" spans="1:8" x14ac:dyDescent="0.25">
      <c r="A329" s="11"/>
      <c r="B329" s="8"/>
      <c r="C329" s="8"/>
      <c r="D329" s="8"/>
      <c r="E329" s="8"/>
      <c r="F329" s="8"/>
      <c r="G329" s="8"/>
      <c r="H329" s="8"/>
    </row>
    <row r="330" spans="1:8" x14ac:dyDescent="0.25">
      <c r="A330" s="11"/>
      <c r="B330" s="8"/>
      <c r="C330" s="8"/>
      <c r="D330" s="8"/>
      <c r="E330" s="8"/>
      <c r="F330" s="8"/>
      <c r="G330" s="8"/>
      <c r="H330" s="8"/>
    </row>
    <row r="331" spans="1:8" x14ac:dyDescent="0.25">
      <c r="A331" s="11"/>
      <c r="B331" s="8"/>
      <c r="C331" s="8"/>
      <c r="D331" s="8"/>
      <c r="E331" s="8"/>
      <c r="F331" s="8"/>
      <c r="G331" s="8"/>
      <c r="H331" s="8"/>
    </row>
    <row r="332" spans="1:8" x14ac:dyDescent="0.25">
      <c r="A332" s="11"/>
      <c r="B332" s="8"/>
      <c r="C332" s="8"/>
      <c r="D332" s="8"/>
      <c r="E332" s="8"/>
      <c r="F332" s="8"/>
      <c r="G332" s="8"/>
      <c r="H332" s="8"/>
    </row>
    <row r="333" spans="1:8" x14ac:dyDescent="0.25">
      <c r="A333" s="11"/>
      <c r="B333" s="8"/>
      <c r="C333" s="8"/>
      <c r="D333" s="8"/>
      <c r="E333" s="8"/>
      <c r="F333" s="8"/>
      <c r="G333" s="8"/>
      <c r="H333" s="8"/>
    </row>
    <row r="334" spans="1:8" x14ac:dyDescent="0.25">
      <c r="A334" s="11"/>
      <c r="B334" s="8"/>
      <c r="C334" s="8"/>
      <c r="D334" s="8"/>
      <c r="E334" s="8"/>
      <c r="F334" s="8"/>
      <c r="G334" s="8"/>
      <c r="H334" s="8"/>
    </row>
    <row r="335" spans="1:8" x14ac:dyDescent="0.25">
      <c r="A335" s="11"/>
      <c r="B335" s="8"/>
      <c r="C335" s="8"/>
      <c r="D335" s="8"/>
      <c r="E335" s="8"/>
      <c r="F335" s="8"/>
      <c r="G335" s="8"/>
      <c r="H335" s="8"/>
    </row>
    <row r="336" spans="1:8" x14ac:dyDescent="0.25">
      <c r="A336" s="11"/>
      <c r="B336" s="8"/>
      <c r="C336" s="8"/>
      <c r="D336" s="8"/>
      <c r="E336" s="8"/>
      <c r="F336" s="8"/>
      <c r="G336" s="8"/>
      <c r="H336" s="8"/>
    </row>
    <row r="337" spans="1:8" x14ac:dyDescent="0.25">
      <c r="A337" s="11"/>
      <c r="B337" s="8"/>
      <c r="C337" s="8"/>
      <c r="D337" s="8"/>
      <c r="E337" s="8"/>
      <c r="F337" s="8"/>
      <c r="G337" s="8"/>
      <c r="H337" s="8"/>
    </row>
    <row r="338" spans="1:8" x14ac:dyDescent="0.25">
      <c r="A338" s="11"/>
      <c r="B338" s="8"/>
      <c r="C338" s="8"/>
      <c r="D338" s="8"/>
      <c r="E338" s="8"/>
      <c r="F338" s="8"/>
      <c r="G338" s="8"/>
      <c r="H338" s="8"/>
    </row>
    <row r="339" spans="1:8" x14ac:dyDescent="0.25">
      <c r="A339" s="11"/>
      <c r="B339" s="8"/>
      <c r="C339" s="8"/>
      <c r="D339" s="8"/>
      <c r="E339" s="8"/>
      <c r="F339" s="8"/>
      <c r="G339" s="8"/>
      <c r="H339" s="8"/>
    </row>
    <row r="340" spans="1:8" x14ac:dyDescent="0.25">
      <c r="A340" s="11"/>
      <c r="B340" s="8"/>
      <c r="C340" s="8"/>
      <c r="D340" s="8"/>
      <c r="E340" s="8"/>
      <c r="F340" s="8"/>
      <c r="G340" s="8"/>
      <c r="H340" s="8"/>
    </row>
    <row r="341" spans="1:8" x14ac:dyDescent="0.25">
      <c r="A341" s="11"/>
      <c r="B341" s="8"/>
      <c r="C341" s="8"/>
      <c r="D341" s="8"/>
      <c r="E341" s="8"/>
      <c r="F341" s="8"/>
      <c r="G341" s="8"/>
      <c r="H341" s="8"/>
    </row>
    <row r="342" spans="1:8" x14ac:dyDescent="0.25">
      <c r="A342" s="11"/>
      <c r="B342" s="8"/>
      <c r="C342" s="8"/>
      <c r="D342" s="8"/>
      <c r="E342" s="8"/>
      <c r="F342" s="8"/>
      <c r="G342" s="8"/>
      <c r="H342" s="8"/>
    </row>
    <row r="343" spans="1:8" x14ac:dyDescent="0.25">
      <c r="A343" s="11"/>
      <c r="B343" s="8"/>
      <c r="C343" s="8"/>
      <c r="D343" s="8"/>
      <c r="E343" s="8"/>
      <c r="F343" s="8"/>
      <c r="G343" s="8"/>
      <c r="H343" s="8"/>
    </row>
    <row r="344" spans="1:8" x14ac:dyDescent="0.25">
      <c r="A344" s="11"/>
      <c r="B344" s="8"/>
      <c r="C344" s="8"/>
      <c r="D344" s="8"/>
      <c r="E344" s="8"/>
      <c r="F344" s="8"/>
      <c r="G344" s="8"/>
      <c r="H344" s="8"/>
    </row>
    <row r="345" spans="1:8" x14ac:dyDescent="0.25">
      <c r="A345" s="11"/>
      <c r="B345" s="8"/>
      <c r="C345" s="8"/>
      <c r="D345" s="8"/>
      <c r="E345" s="8"/>
      <c r="F345" s="8"/>
      <c r="G345" s="8"/>
      <c r="H345" s="8"/>
    </row>
    <row r="346" spans="1:8" x14ac:dyDescent="0.25">
      <c r="A346" s="11"/>
      <c r="B346" s="8"/>
      <c r="C346" s="8"/>
      <c r="D346" s="8"/>
      <c r="E346" s="8"/>
      <c r="F346" s="8"/>
      <c r="G346" s="8"/>
      <c r="H346" s="8"/>
    </row>
    <row r="347" spans="1:8" x14ac:dyDescent="0.25">
      <c r="A347" s="11"/>
      <c r="B347" s="8"/>
      <c r="C347" s="8"/>
      <c r="D347" s="8"/>
      <c r="E347" s="8"/>
      <c r="F347" s="8"/>
      <c r="G347" s="8"/>
      <c r="H347" s="8"/>
    </row>
    <row r="348" spans="1:8" x14ac:dyDescent="0.25">
      <c r="A348" s="11"/>
      <c r="B348" s="8"/>
      <c r="C348" s="8"/>
      <c r="D348" s="8"/>
      <c r="E348" s="8"/>
      <c r="F348" s="8"/>
      <c r="G348" s="8"/>
      <c r="H348" s="8"/>
    </row>
    <row r="349" spans="1:8" x14ac:dyDescent="0.25">
      <c r="A349" s="11"/>
      <c r="B349" s="8"/>
      <c r="C349" s="8"/>
      <c r="D349" s="8"/>
      <c r="E349" s="8"/>
      <c r="F349" s="8"/>
      <c r="G349" s="8"/>
      <c r="H349" s="8"/>
    </row>
    <row r="350" spans="1:8" x14ac:dyDescent="0.25">
      <c r="A350" s="11"/>
      <c r="B350" s="8"/>
      <c r="C350" s="8"/>
      <c r="D350" s="8"/>
      <c r="E350" s="8"/>
      <c r="F350" s="8"/>
      <c r="G350" s="8"/>
      <c r="H350" s="8"/>
    </row>
    <row r="351" spans="1:8" x14ac:dyDescent="0.25">
      <c r="A351" s="11"/>
      <c r="B351" s="8"/>
      <c r="C351" s="8"/>
      <c r="D351" s="8"/>
      <c r="E351" s="8"/>
      <c r="F351" s="8"/>
      <c r="G351" s="8"/>
      <c r="H351" s="8"/>
    </row>
    <row r="352" spans="1:8" x14ac:dyDescent="0.25">
      <c r="A352" s="11"/>
      <c r="B352" s="8"/>
      <c r="C352" s="8"/>
      <c r="D352" s="8"/>
      <c r="E352" s="8"/>
      <c r="F352" s="8"/>
      <c r="G352" s="8"/>
      <c r="H352" s="8"/>
    </row>
    <row r="353" spans="1:8" x14ac:dyDescent="0.25">
      <c r="A353" s="11"/>
      <c r="B353" s="8"/>
      <c r="C353" s="8"/>
      <c r="D353" s="8"/>
      <c r="E353" s="8"/>
      <c r="F353" s="8"/>
      <c r="G353" s="8"/>
      <c r="H353" s="8"/>
    </row>
    <row r="354" spans="1:8" x14ac:dyDescent="0.25">
      <c r="A354" s="11"/>
      <c r="B354" s="8"/>
      <c r="C354" s="8"/>
      <c r="D354" s="8"/>
      <c r="E354" s="8"/>
      <c r="F354" s="8"/>
      <c r="G354" s="8"/>
      <c r="H354" s="8"/>
    </row>
    <row r="355" spans="1:8" x14ac:dyDescent="0.25">
      <c r="A355" s="11"/>
      <c r="B355" s="8"/>
      <c r="C355" s="8"/>
      <c r="D355" s="8"/>
      <c r="E355" s="8"/>
      <c r="F355" s="8"/>
      <c r="G355" s="8"/>
      <c r="H355" s="8"/>
    </row>
    <row r="356" spans="1:8" x14ac:dyDescent="0.25">
      <c r="A356" s="11"/>
      <c r="B356" s="8"/>
      <c r="C356" s="8"/>
      <c r="D356" s="8"/>
      <c r="E356" s="8"/>
      <c r="F356" s="8"/>
      <c r="G356" s="8"/>
      <c r="H356" s="8"/>
    </row>
    <row r="357" spans="1:8" x14ac:dyDescent="0.25">
      <c r="A357" s="11"/>
      <c r="B357" s="8"/>
      <c r="C357" s="8"/>
      <c r="D357" s="8"/>
      <c r="E357" s="8"/>
      <c r="F357" s="8"/>
      <c r="G357" s="8"/>
      <c r="H357" s="8"/>
    </row>
    <row r="358" spans="1:8" x14ac:dyDescent="0.25">
      <c r="A358" s="11"/>
      <c r="B358" s="8"/>
      <c r="C358" s="8"/>
      <c r="D358" s="8"/>
      <c r="E358" s="8"/>
      <c r="F358" s="8"/>
      <c r="G358" s="8"/>
      <c r="H358" s="8"/>
    </row>
    <row r="359" spans="1:8" x14ac:dyDescent="0.25">
      <c r="A359" s="11"/>
      <c r="B359" s="8"/>
      <c r="C359" s="8"/>
      <c r="D359" s="8"/>
      <c r="E359" s="8"/>
      <c r="F359" s="8"/>
      <c r="G359" s="8"/>
      <c r="H359" s="8"/>
    </row>
    <row r="360" spans="1:8" x14ac:dyDescent="0.25">
      <c r="A360" s="11"/>
      <c r="B360" s="8"/>
      <c r="C360" s="8"/>
      <c r="D360" s="8"/>
      <c r="E360" s="8"/>
      <c r="F360" s="8"/>
      <c r="G360" s="8"/>
      <c r="H360" s="8"/>
    </row>
    <row r="361" spans="1:8" x14ac:dyDescent="0.25">
      <c r="A361" s="11"/>
      <c r="B361" s="8"/>
      <c r="C361" s="8"/>
      <c r="D361" s="8"/>
      <c r="E361" s="8"/>
      <c r="F361" s="8"/>
      <c r="G361" s="8"/>
      <c r="H361" s="8"/>
    </row>
    <row r="362" spans="1:8" x14ac:dyDescent="0.25">
      <c r="A362" s="11"/>
      <c r="B362" s="8"/>
      <c r="C362" s="8"/>
      <c r="D362" s="8"/>
      <c r="E362" s="8"/>
      <c r="F362" s="8"/>
      <c r="G362" s="8"/>
      <c r="H362" s="8"/>
    </row>
    <row r="363" spans="1:8" x14ac:dyDescent="0.25">
      <c r="A363" s="11"/>
      <c r="B363" s="8"/>
      <c r="C363" s="8"/>
      <c r="D363" s="8"/>
      <c r="E363" s="8"/>
      <c r="F363" s="8"/>
      <c r="G363" s="8"/>
      <c r="H363" s="8"/>
    </row>
    <row r="364" spans="1:8" x14ac:dyDescent="0.25">
      <c r="A364" s="11"/>
      <c r="B364" s="8"/>
      <c r="C364" s="8"/>
      <c r="D364" s="8"/>
      <c r="E364" s="8"/>
      <c r="F364" s="8"/>
      <c r="G364" s="8"/>
      <c r="H364" s="8"/>
    </row>
    <row r="365" spans="1:8" x14ac:dyDescent="0.25">
      <c r="A365" s="11"/>
      <c r="B365" s="8"/>
      <c r="C365" s="8"/>
      <c r="D365" s="8"/>
      <c r="E365" s="8"/>
      <c r="F365" s="8"/>
      <c r="G365" s="8"/>
      <c r="H365" s="8"/>
    </row>
    <row r="366" spans="1:8" x14ac:dyDescent="0.25">
      <c r="A366" s="11"/>
      <c r="B366" s="8"/>
      <c r="C366" s="8"/>
      <c r="D366" s="8"/>
      <c r="E366" s="8"/>
      <c r="F366" s="8"/>
      <c r="G366" s="8"/>
      <c r="H366" s="8"/>
    </row>
    <row r="367" spans="1:8" x14ac:dyDescent="0.25">
      <c r="A367" s="11"/>
      <c r="B367" s="8"/>
      <c r="C367" s="8"/>
      <c r="D367" s="8"/>
      <c r="E367" s="8"/>
      <c r="F367" s="8"/>
      <c r="G367" s="8"/>
      <c r="H367" s="8"/>
    </row>
    <row r="368" spans="1:8" x14ac:dyDescent="0.25">
      <c r="A368" s="11"/>
      <c r="B368" s="8"/>
      <c r="C368" s="8"/>
      <c r="D368" s="8"/>
      <c r="E368" s="8"/>
      <c r="F368" s="8"/>
      <c r="G368" s="8"/>
      <c r="H368" s="8"/>
    </row>
    <row r="369" spans="1:8" x14ac:dyDescent="0.25">
      <c r="A369" s="11"/>
      <c r="B369" s="8"/>
      <c r="C369" s="8"/>
      <c r="D369" s="8"/>
      <c r="E369" s="8"/>
      <c r="F369" s="8"/>
      <c r="G369" s="8"/>
      <c r="H369" s="8"/>
    </row>
    <row r="370" spans="1:8" x14ac:dyDescent="0.25">
      <c r="A370" s="11"/>
      <c r="B370" s="8"/>
      <c r="C370" s="8"/>
      <c r="D370" s="8"/>
      <c r="E370" s="8"/>
      <c r="F370" s="8"/>
      <c r="G370" s="8"/>
      <c r="H370" s="8"/>
    </row>
    <row r="371" spans="1:8" x14ac:dyDescent="0.25">
      <c r="A371" s="11"/>
      <c r="B371" s="8"/>
      <c r="C371" s="8"/>
      <c r="D371" s="8"/>
      <c r="E371" s="8"/>
      <c r="F371" s="8"/>
      <c r="G371" s="8"/>
      <c r="H371" s="8"/>
    </row>
    <row r="372" spans="1:8" x14ac:dyDescent="0.25">
      <c r="A372" s="11"/>
      <c r="B372" s="8"/>
      <c r="C372" s="8"/>
      <c r="D372" s="8"/>
      <c r="E372" s="8"/>
      <c r="F372" s="8"/>
      <c r="G372" s="8"/>
      <c r="H372" s="8"/>
    </row>
    <row r="373" spans="1:8" x14ac:dyDescent="0.25">
      <c r="A373" s="11"/>
      <c r="B373" s="8"/>
      <c r="C373" s="8"/>
      <c r="D373" s="8"/>
      <c r="E373" s="8"/>
      <c r="F373" s="8"/>
      <c r="G373" s="8"/>
      <c r="H373" s="8"/>
    </row>
    <row r="374" spans="1:8" x14ac:dyDescent="0.25">
      <c r="A374" s="11"/>
      <c r="B374" s="8"/>
      <c r="C374" s="8"/>
      <c r="D374" s="8"/>
      <c r="E374" s="8"/>
      <c r="F374" s="8"/>
      <c r="G374" s="8"/>
      <c r="H374" s="8"/>
    </row>
    <row r="375" spans="1:8" x14ac:dyDescent="0.25">
      <c r="A375" s="11"/>
      <c r="B375" s="8"/>
      <c r="C375" s="8"/>
      <c r="D375" s="8"/>
      <c r="E375" s="8"/>
      <c r="F375" s="8"/>
      <c r="G375" s="8"/>
      <c r="H375" s="8"/>
    </row>
    <row r="376" spans="1:8" x14ac:dyDescent="0.25">
      <c r="A376" s="11"/>
      <c r="B376" s="8"/>
      <c r="C376" s="8"/>
      <c r="D376" s="8"/>
      <c r="E376" s="8"/>
      <c r="F376" s="8"/>
      <c r="G376" s="8"/>
      <c r="H376" s="8"/>
    </row>
    <row r="377" spans="1:8" x14ac:dyDescent="0.25">
      <c r="A377" s="11"/>
      <c r="B377" s="8"/>
      <c r="C377" s="8"/>
      <c r="D377" s="8"/>
      <c r="E377" s="8"/>
      <c r="F377" s="8"/>
      <c r="G377" s="8"/>
      <c r="H377" s="8"/>
    </row>
    <row r="378" spans="1:8" x14ac:dyDescent="0.25">
      <c r="A378" s="11"/>
      <c r="B378" s="8"/>
      <c r="C378" s="8"/>
      <c r="D378" s="8"/>
      <c r="E378" s="8"/>
      <c r="F378" s="8"/>
      <c r="G378" s="8"/>
      <c r="H378" s="8"/>
    </row>
    <row r="379" spans="1:8" x14ac:dyDescent="0.25">
      <c r="A379" s="11"/>
      <c r="B379" s="8"/>
      <c r="C379" s="8"/>
      <c r="D379" s="8"/>
      <c r="E379" s="8"/>
      <c r="F379" s="8"/>
      <c r="G379" s="8"/>
      <c r="H379" s="8"/>
    </row>
    <row r="380" spans="1:8" x14ac:dyDescent="0.25">
      <c r="A380" s="11"/>
      <c r="B380" s="8"/>
      <c r="C380" s="8"/>
      <c r="D380" s="8"/>
      <c r="E380" s="8"/>
      <c r="F380" s="8"/>
      <c r="G380" s="8"/>
      <c r="H380" s="8"/>
    </row>
    <row r="381" spans="1:8" x14ac:dyDescent="0.25">
      <c r="A381" s="11"/>
      <c r="B381" s="8"/>
      <c r="C381" s="8"/>
      <c r="D381" s="8"/>
      <c r="E381" s="8"/>
      <c r="F381" s="8"/>
      <c r="G381" s="8"/>
      <c r="H381" s="8"/>
    </row>
    <row r="382" spans="1:8" x14ac:dyDescent="0.25">
      <c r="A382" s="11"/>
      <c r="B382" s="8"/>
      <c r="C382" s="8"/>
      <c r="D382" s="8"/>
      <c r="E382" s="8"/>
      <c r="F382" s="8"/>
      <c r="G382" s="8"/>
      <c r="H382" s="8"/>
    </row>
    <row r="383" spans="1:8" x14ac:dyDescent="0.25">
      <c r="A383" s="11"/>
      <c r="B383" s="8"/>
      <c r="C383" s="8"/>
      <c r="D383" s="8"/>
      <c r="E383" s="8"/>
      <c r="F383" s="8"/>
      <c r="G383" s="8"/>
      <c r="H383" s="8"/>
    </row>
    <row r="384" spans="1:8" x14ac:dyDescent="0.25">
      <c r="A384" s="11"/>
      <c r="B384" s="8"/>
      <c r="C384" s="8"/>
      <c r="D384" s="8"/>
      <c r="E384" s="8"/>
      <c r="F384" s="8"/>
      <c r="G384" s="8"/>
      <c r="H384" s="8"/>
    </row>
    <row r="385" spans="1:8" x14ac:dyDescent="0.25">
      <c r="A385" s="11"/>
      <c r="B385" s="8"/>
      <c r="C385" s="8"/>
      <c r="D385" s="8"/>
      <c r="E385" s="8"/>
      <c r="F385" s="8"/>
      <c r="G385" s="8"/>
      <c r="H385" s="8"/>
    </row>
    <row r="386" spans="1:8" x14ac:dyDescent="0.25">
      <c r="A386" s="11"/>
      <c r="B386" s="8"/>
      <c r="C386" s="8"/>
      <c r="D386" s="8"/>
      <c r="E386" s="8"/>
      <c r="F386" s="8"/>
      <c r="G386" s="8"/>
      <c r="H386" s="8"/>
    </row>
    <row r="387" spans="1:8" x14ac:dyDescent="0.25">
      <c r="A387" s="11"/>
      <c r="B387" s="8"/>
      <c r="C387" s="8"/>
      <c r="D387" s="8"/>
      <c r="E387" s="8"/>
      <c r="F387" s="8"/>
      <c r="G387" s="8"/>
      <c r="H387" s="8"/>
    </row>
    <row r="388" spans="1:8" x14ac:dyDescent="0.25">
      <c r="A388" s="11"/>
      <c r="B388" s="8"/>
      <c r="C388" s="8"/>
      <c r="D388" s="8"/>
      <c r="E388" s="8"/>
      <c r="F388" s="8"/>
      <c r="G388" s="8"/>
      <c r="H388" s="8"/>
    </row>
    <row r="389" spans="1:8" x14ac:dyDescent="0.25">
      <c r="A389" s="11"/>
      <c r="B389" s="8"/>
      <c r="C389" s="8"/>
      <c r="D389" s="8"/>
      <c r="E389" s="8"/>
      <c r="F389" s="8"/>
      <c r="G389" s="8"/>
      <c r="H389" s="8"/>
    </row>
    <row r="390" spans="1:8" x14ac:dyDescent="0.25">
      <c r="A390" s="11"/>
      <c r="B390" s="8"/>
      <c r="C390" s="8"/>
      <c r="D390" s="8"/>
      <c r="E390" s="8"/>
      <c r="F390" s="8"/>
      <c r="G390" s="8"/>
      <c r="H390" s="8"/>
    </row>
    <row r="391" spans="1:8" x14ac:dyDescent="0.25">
      <c r="A391" s="11"/>
      <c r="B391" s="8"/>
      <c r="C391" s="8"/>
      <c r="D391" s="8"/>
      <c r="E391" s="8"/>
      <c r="F391" s="8"/>
      <c r="G391" s="8"/>
      <c r="H391" s="8"/>
    </row>
    <row r="392" spans="1:8" x14ac:dyDescent="0.25">
      <c r="A392" s="11"/>
      <c r="B392" s="8"/>
      <c r="C392" s="8"/>
      <c r="D392" s="8"/>
      <c r="E392" s="8"/>
      <c r="F392" s="8"/>
      <c r="G392" s="8"/>
      <c r="H392" s="8"/>
    </row>
    <row r="393" spans="1:8" x14ac:dyDescent="0.25">
      <c r="A393" s="11"/>
      <c r="B393" s="8"/>
      <c r="C393" s="8"/>
      <c r="D393" s="8"/>
      <c r="E393" s="8"/>
      <c r="F393" s="8"/>
      <c r="G393" s="8"/>
      <c r="H393" s="8"/>
    </row>
    <row r="394" spans="1:8" x14ac:dyDescent="0.25">
      <c r="A394" s="11"/>
      <c r="B394" s="8"/>
      <c r="C394" s="8"/>
      <c r="D394" s="8"/>
      <c r="E394" s="8"/>
      <c r="F394" s="8"/>
      <c r="G394" s="8"/>
      <c r="H394" s="8"/>
    </row>
    <row r="395" spans="1:8" x14ac:dyDescent="0.25">
      <c r="A395" s="11"/>
      <c r="B395" s="8"/>
      <c r="C395" s="8"/>
      <c r="D395" s="8"/>
      <c r="E395" s="8"/>
      <c r="F395" s="8"/>
      <c r="G395" s="8"/>
      <c r="H395" s="8"/>
    </row>
    <row r="396" spans="1:8" x14ac:dyDescent="0.25">
      <c r="A396" s="11"/>
      <c r="B396" s="8"/>
      <c r="C396" s="8"/>
      <c r="D396" s="8"/>
      <c r="E396" s="8"/>
      <c r="F396" s="8"/>
      <c r="G396" s="8"/>
      <c r="H396" s="8"/>
    </row>
    <row r="397" spans="1:8" x14ac:dyDescent="0.25">
      <c r="A397" s="11"/>
      <c r="B397" s="8"/>
      <c r="C397" s="8"/>
      <c r="D397" s="8"/>
      <c r="E397" s="8"/>
      <c r="F397" s="8"/>
      <c r="G397" s="8"/>
      <c r="H397" s="8"/>
    </row>
    <row r="398" spans="1:8" x14ac:dyDescent="0.25">
      <c r="A398" s="11"/>
      <c r="B398" s="8"/>
      <c r="C398" s="8"/>
      <c r="D398" s="8"/>
      <c r="E398" s="8"/>
      <c r="F398" s="8"/>
      <c r="G398" s="8"/>
      <c r="H398" s="8"/>
    </row>
    <row r="399" spans="1:8" x14ac:dyDescent="0.25">
      <c r="A399" s="11"/>
      <c r="B399" s="8"/>
      <c r="C399" s="8"/>
      <c r="D399" s="8"/>
      <c r="E399" s="8"/>
      <c r="F399" s="8"/>
      <c r="G399" s="8"/>
      <c r="H399" s="8"/>
    </row>
    <row r="400" spans="1:8" x14ac:dyDescent="0.25">
      <c r="A400" s="11"/>
      <c r="B400" s="8"/>
      <c r="C400" s="8"/>
      <c r="D400" s="8"/>
      <c r="E400" s="8"/>
      <c r="F400" s="8"/>
      <c r="G400" s="8"/>
      <c r="H400" s="8"/>
    </row>
    <row r="401" spans="1:8" x14ac:dyDescent="0.25">
      <c r="A401" s="11"/>
      <c r="B401" s="8"/>
      <c r="C401" s="8"/>
      <c r="D401" s="8"/>
      <c r="E401" s="8"/>
      <c r="F401" s="8"/>
      <c r="G401" s="8"/>
      <c r="H401" s="8"/>
    </row>
    <row r="402" spans="1:8" x14ac:dyDescent="0.25">
      <c r="A402" s="11"/>
      <c r="B402" s="8"/>
      <c r="C402" s="8"/>
      <c r="D402" s="8"/>
      <c r="E402" s="8"/>
      <c r="F402" s="8"/>
      <c r="G402" s="8"/>
      <c r="H402" s="8"/>
    </row>
    <row r="403" spans="1:8" x14ac:dyDescent="0.25">
      <c r="A403" s="11"/>
      <c r="B403" s="8"/>
      <c r="C403" s="8"/>
      <c r="D403" s="8"/>
      <c r="E403" s="8"/>
      <c r="F403" s="8"/>
      <c r="G403" s="8"/>
      <c r="H403" s="8"/>
    </row>
    <row r="404" spans="1:8" x14ac:dyDescent="0.25">
      <c r="A404" s="11"/>
      <c r="B404" s="8"/>
      <c r="C404" s="8"/>
      <c r="D404" s="8"/>
      <c r="E404" s="8"/>
      <c r="F404" s="8"/>
      <c r="G404" s="8"/>
      <c r="H404" s="8"/>
    </row>
    <row r="405" spans="1:8" x14ac:dyDescent="0.25">
      <c r="A405" s="11"/>
      <c r="B405" s="8"/>
      <c r="C405" s="8"/>
      <c r="D405" s="8"/>
      <c r="E405" s="8"/>
      <c r="F405" s="8"/>
      <c r="G405" s="8"/>
      <c r="H405" s="8"/>
    </row>
    <row r="406" spans="1:8" x14ac:dyDescent="0.25">
      <c r="A406" s="11"/>
      <c r="B406" s="8"/>
      <c r="C406" s="8"/>
      <c r="D406" s="8"/>
      <c r="E406" s="8"/>
      <c r="F406" s="8"/>
      <c r="G406" s="8"/>
      <c r="H406" s="8"/>
    </row>
    <row r="407" spans="1:8" x14ac:dyDescent="0.25">
      <c r="A407" s="11"/>
      <c r="B407" s="8"/>
      <c r="C407" s="8"/>
      <c r="D407" s="8"/>
      <c r="E407" s="8"/>
      <c r="F407" s="8"/>
      <c r="G407" s="8"/>
      <c r="H407" s="8"/>
    </row>
    <row r="408" spans="1:8" x14ac:dyDescent="0.25">
      <c r="A408" s="11"/>
      <c r="B408" s="8"/>
      <c r="C408" s="8"/>
      <c r="D408" s="8"/>
      <c r="E408" s="8"/>
      <c r="F408" s="8"/>
      <c r="G408" s="8"/>
      <c r="H408" s="8"/>
    </row>
    <row r="409" spans="1:8" x14ac:dyDescent="0.25">
      <c r="A409" s="11"/>
      <c r="B409" s="8"/>
      <c r="C409" s="8"/>
      <c r="D409" s="8"/>
      <c r="E409" s="8"/>
      <c r="F409" s="8"/>
      <c r="G409" s="8"/>
      <c r="H409" s="8"/>
    </row>
    <row r="410" spans="1:8" x14ac:dyDescent="0.25">
      <c r="A410" s="11"/>
      <c r="B410" s="8"/>
      <c r="C410" s="8"/>
      <c r="D410" s="8"/>
      <c r="E410" s="8"/>
      <c r="F410" s="8"/>
      <c r="G410" s="8"/>
      <c r="H410" s="8"/>
    </row>
    <row r="411" spans="1:8" x14ac:dyDescent="0.25">
      <c r="A411" s="11"/>
      <c r="B411" s="8"/>
      <c r="C411" s="8"/>
      <c r="D411" s="8"/>
      <c r="E411" s="8"/>
      <c r="F411" s="8"/>
      <c r="G411" s="8"/>
      <c r="H411" s="8"/>
    </row>
    <row r="412" spans="1:8" x14ac:dyDescent="0.25">
      <c r="A412" s="11"/>
      <c r="B412" s="8"/>
      <c r="C412" s="8"/>
      <c r="D412" s="8"/>
      <c r="E412" s="8"/>
      <c r="F412" s="8"/>
      <c r="G412" s="8"/>
      <c r="H412" s="8"/>
    </row>
    <row r="413" spans="1:8" x14ac:dyDescent="0.25">
      <c r="A413" s="11"/>
      <c r="B413" s="8"/>
      <c r="C413" s="8"/>
      <c r="D413" s="8"/>
      <c r="E413" s="8"/>
      <c r="F413" s="8"/>
      <c r="G413" s="8"/>
      <c r="H413" s="8"/>
    </row>
    <row r="414" spans="1:8" x14ac:dyDescent="0.25">
      <c r="A414" s="11"/>
      <c r="B414" s="8"/>
      <c r="C414" s="8"/>
      <c r="D414" s="8"/>
      <c r="E414" s="8"/>
      <c r="F414" s="8"/>
      <c r="G414" s="8"/>
      <c r="H414" s="8"/>
    </row>
    <row r="415" spans="1:8" x14ac:dyDescent="0.25">
      <c r="A415" s="11"/>
      <c r="B415" s="8"/>
      <c r="C415" s="8"/>
      <c r="D415" s="8"/>
      <c r="E415" s="8"/>
      <c r="F415" s="8"/>
      <c r="G415" s="8"/>
      <c r="H415" s="8"/>
    </row>
    <row r="416" spans="1:8" x14ac:dyDescent="0.25">
      <c r="A416" s="11"/>
      <c r="B416" s="8"/>
      <c r="C416" s="8"/>
      <c r="D416" s="8"/>
      <c r="E416" s="8"/>
      <c r="F416" s="8"/>
      <c r="G416" s="8"/>
      <c r="H416" s="8"/>
    </row>
    <row r="417" spans="1:8" x14ac:dyDescent="0.25">
      <c r="A417" s="11"/>
      <c r="B417" s="8"/>
      <c r="C417" s="8"/>
      <c r="D417" s="8"/>
      <c r="E417" s="8"/>
      <c r="F417" s="8"/>
      <c r="G417" s="8"/>
      <c r="H417" s="8"/>
    </row>
    <row r="418" spans="1:8" x14ac:dyDescent="0.25">
      <c r="A418" s="11"/>
      <c r="B418" s="8"/>
      <c r="C418" s="8"/>
      <c r="D418" s="8"/>
      <c r="E418" s="8"/>
      <c r="F418" s="8"/>
      <c r="G418" s="8"/>
      <c r="H418" s="8"/>
    </row>
    <row r="419" spans="1:8" x14ac:dyDescent="0.25">
      <c r="A419" s="11"/>
      <c r="B419" s="8"/>
      <c r="C419" s="8"/>
      <c r="D419" s="8"/>
      <c r="E419" s="8"/>
      <c r="F419" s="8"/>
      <c r="G419" s="8"/>
      <c r="H419" s="8"/>
    </row>
    <row r="420" spans="1:8" x14ac:dyDescent="0.25">
      <c r="A420" s="11"/>
      <c r="B420" s="8"/>
      <c r="C420" s="8"/>
      <c r="D420" s="8"/>
      <c r="E420" s="8"/>
      <c r="F420" s="8"/>
      <c r="G420" s="8"/>
      <c r="H420" s="8"/>
    </row>
    <row r="421" spans="1:8" x14ac:dyDescent="0.25">
      <c r="A421" s="11"/>
      <c r="B421" s="8"/>
      <c r="C421" s="8"/>
      <c r="D421" s="8"/>
      <c r="E421" s="8"/>
      <c r="F421" s="8"/>
      <c r="G421" s="8"/>
      <c r="H421" s="8"/>
    </row>
    <row r="422" spans="1:8" x14ac:dyDescent="0.25">
      <c r="A422" s="11"/>
      <c r="B422" s="8"/>
      <c r="C422" s="8"/>
      <c r="D422" s="8"/>
      <c r="E422" s="8"/>
      <c r="F422" s="8"/>
      <c r="G422" s="8"/>
      <c r="H422" s="8"/>
    </row>
    <row r="423" spans="1:8" x14ac:dyDescent="0.25">
      <c r="A423" s="11"/>
      <c r="B423" s="8"/>
      <c r="C423" s="8"/>
      <c r="D423" s="8"/>
      <c r="E423" s="8"/>
      <c r="F423" s="8"/>
      <c r="G423" s="8"/>
      <c r="H423" s="8"/>
    </row>
    <row r="424" spans="1:8" x14ac:dyDescent="0.25">
      <c r="A424" s="11"/>
      <c r="B424" s="8"/>
      <c r="C424" s="8"/>
      <c r="D424" s="8"/>
      <c r="E424" s="8"/>
      <c r="F424" s="8"/>
      <c r="G424" s="8"/>
      <c r="H424" s="8"/>
    </row>
    <row r="425" spans="1:8" x14ac:dyDescent="0.25">
      <c r="A425" s="11"/>
      <c r="B425" s="8"/>
      <c r="C425" s="8"/>
      <c r="D425" s="8"/>
      <c r="E425" s="8"/>
      <c r="F425" s="8"/>
      <c r="G425" s="8"/>
      <c r="H425" s="8"/>
    </row>
    <row r="426" spans="1:8" x14ac:dyDescent="0.25">
      <c r="A426" s="11"/>
      <c r="B426" s="8"/>
      <c r="C426" s="8"/>
      <c r="D426" s="8"/>
      <c r="E426" s="8"/>
      <c r="F426" s="8"/>
      <c r="G426" s="8"/>
      <c r="H426" s="8"/>
    </row>
    <row r="427" spans="1:8" x14ac:dyDescent="0.25">
      <c r="A427" s="11"/>
      <c r="B427" s="8"/>
      <c r="C427" s="8"/>
      <c r="D427" s="8"/>
      <c r="E427" s="8"/>
      <c r="F427" s="8"/>
      <c r="G427" s="8"/>
      <c r="H427" s="8"/>
    </row>
    <row r="428" spans="1:8" x14ac:dyDescent="0.25">
      <c r="A428" s="11"/>
      <c r="B428" s="8"/>
      <c r="C428" s="8"/>
      <c r="D428" s="8"/>
      <c r="E428" s="8"/>
      <c r="F428" s="8"/>
      <c r="G428" s="8"/>
      <c r="H428" s="8"/>
    </row>
    <row r="429" spans="1:8" x14ac:dyDescent="0.25">
      <c r="A429" s="11"/>
      <c r="B429" s="8"/>
      <c r="C429" s="8"/>
      <c r="D429" s="8"/>
      <c r="E429" s="8"/>
      <c r="F429" s="8"/>
      <c r="G429" s="8"/>
      <c r="H429" s="8"/>
    </row>
    <row r="430" spans="1:8" x14ac:dyDescent="0.25">
      <c r="A430" s="11"/>
      <c r="B430" s="8"/>
      <c r="C430" s="8"/>
      <c r="D430" s="8"/>
      <c r="E430" s="8"/>
      <c r="F430" s="8"/>
      <c r="G430" s="8"/>
      <c r="H430" s="8"/>
    </row>
    <row r="431" spans="1:8" x14ac:dyDescent="0.25">
      <c r="A431" s="11"/>
      <c r="B431" s="8"/>
      <c r="C431" s="8"/>
      <c r="D431" s="8"/>
      <c r="E431" s="8"/>
      <c r="F431" s="8"/>
      <c r="G431" s="8"/>
      <c r="H431" s="8"/>
    </row>
    <row r="432" spans="1:8" x14ac:dyDescent="0.25">
      <c r="A432" s="11"/>
      <c r="B432" s="8"/>
      <c r="C432" s="8"/>
      <c r="D432" s="8"/>
      <c r="E432" s="8"/>
      <c r="F432" s="8"/>
      <c r="G432" s="8"/>
      <c r="H432" s="8"/>
    </row>
    <row r="433" spans="1:8" x14ac:dyDescent="0.25">
      <c r="A433" s="11"/>
      <c r="B433" s="8"/>
      <c r="C433" s="8"/>
      <c r="D433" s="8"/>
      <c r="E433" s="8"/>
      <c r="F433" s="8"/>
      <c r="G433" s="8"/>
      <c r="H433" s="8"/>
    </row>
    <row r="434" spans="1:8" x14ac:dyDescent="0.25">
      <c r="A434" s="11"/>
      <c r="B434" s="8"/>
      <c r="C434" s="8"/>
      <c r="D434" s="8"/>
      <c r="E434" s="8"/>
      <c r="F434" s="8"/>
      <c r="G434" s="8"/>
      <c r="H434" s="8"/>
    </row>
    <row r="435" spans="1:8" x14ac:dyDescent="0.25">
      <c r="A435" s="11"/>
      <c r="B435" s="8"/>
      <c r="C435" s="8"/>
      <c r="D435" s="8"/>
      <c r="E435" s="8"/>
      <c r="F435" s="8"/>
      <c r="G435" s="8"/>
      <c r="H435" s="8"/>
    </row>
    <row r="436" spans="1:8" x14ac:dyDescent="0.25">
      <c r="A436" s="11"/>
      <c r="B436" s="8"/>
      <c r="C436" s="8"/>
      <c r="D436" s="8"/>
      <c r="E436" s="8"/>
      <c r="F436" s="8"/>
      <c r="G436" s="8"/>
      <c r="H436" s="8"/>
    </row>
    <row r="437" spans="1:8" x14ac:dyDescent="0.25">
      <c r="A437" s="11"/>
      <c r="B437" s="8"/>
      <c r="C437" s="8"/>
      <c r="D437" s="8"/>
      <c r="E437" s="8"/>
      <c r="F437" s="8"/>
      <c r="G437" s="8"/>
      <c r="H437" s="8"/>
    </row>
    <row r="438" spans="1:8" x14ac:dyDescent="0.25">
      <c r="A438" s="11"/>
      <c r="B438" s="8"/>
      <c r="C438" s="8"/>
      <c r="D438" s="8"/>
      <c r="E438" s="8"/>
      <c r="F438" s="8"/>
      <c r="G438" s="8"/>
      <c r="H438" s="8"/>
    </row>
    <row r="439" spans="1:8" x14ac:dyDescent="0.25">
      <c r="A439" s="11"/>
      <c r="B439" s="8"/>
      <c r="C439" s="8"/>
      <c r="D439" s="8"/>
      <c r="E439" s="8"/>
      <c r="F439" s="8"/>
      <c r="G439" s="8"/>
      <c r="H439" s="8"/>
    </row>
    <row r="440" spans="1:8" x14ac:dyDescent="0.25">
      <c r="A440" s="11"/>
      <c r="B440" s="8"/>
      <c r="C440" s="8"/>
      <c r="D440" s="8"/>
      <c r="E440" s="8"/>
      <c r="F440" s="8"/>
      <c r="G440" s="8"/>
      <c r="H440" s="8"/>
    </row>
    <row r="441" spans="1:8" x14ac:dyDescent="0.25">
      <c r="A441" s="11"/>
      <c r="B441" s="8"/>
      <c r="C441" s="8"/>
      <c r="D441" s="8"/>
      <c r="E441" s="8"/>
      <c r="F441" s="8"/>
      <c r="G441" s="8"/>
      <c r="H441" s="8"/>
    </row>
    <row r="442" spans="1:8" x14ac:dyDescent="0.25">
      <c r="A442" s="11"/>
      <c r="B442" s="8"/>
      <c r="C442" s="8"/>
      <c r="D442" s="8"/>
      <c r="E442" s="8"/>
      <c r="F442" s="8"/>
      <c r="G442" s="8"/>
      <c r="H442" s="8"/>
    </row>
    <row r="443" spans="1:8" x14ac:dyDescent="0.25">
      <c r="A443" s="11"/>
      <c r="B443" s="8"/>
      <c r="C443" s="8"/>
      <c r="D443" s="8"/>
      <c r="E443" s="8"/>
      <c r="F443" s="8"/>
      <c r="G443" s="8"/>
      <c r="H443" s="8"/>
    </row>
    <row r="444" spans="1:8" x14ac:dyDescent="0.25">
      <c r="A444" s="11"/>
      <c r="B444" s="8"/>
      <c r="C444" s="8"/>
      <c r="D444" s="8"/>
      <c r="E444" s="8"/>
      <c r="F444" s="8"/>
      <c r="G444" s="8"/>
      <c r="H444" s="8"/>
    </row>
    <row r="445" spans="1:8" x14ac:dyDescent="0.25">
      <c r="A445" s="11"/>
      <c r="B445" s="8"/>
      <c r="C445" s="8"/>
      <c r="D445" s="8"/>
      <c r="E445" s="8"/>
      <c r="F445" s="8"/>
      <c r="G445" s="8"/>
      <c r="H445" s="8"/>
    </row>
    <row r="446" spans="1:8" x14ac:dyDescent="0.25">
      <c r="A446" s="11"/>
      <c r="B446" s="8"/>
      <c r="C446" s="8"/>
      <c r="D446" s="8"/>
      <c r="E446" s="8"/>
      <c r="F446" s="8"/>
      <c r="G446" s="8"/>
      <c r="H446" s="8"/>
    </row>
    <row r="447" spans="1:8" x14ac:dyDescent="0.25">
      <c r="A447" s="11"/>
      <c r="B447" s="8"/>
      <c r="C447" s="8"/>
      <c r="D447" s="8"/>
      <c r="E447" s="8"/>
      <c r="F447" s="8"/>
      <c r="G447" s="8"/>
      <c r="H447" s="8"/>
    </row>
    <row r="448" spans="1:8" x14ac:dyDescent="0.25">
      <c r="A448" s="11"/>
      <c r="B448" s="8"/>
      <c r="C448" s="8"/>
      <c r="D448" s="8"/>
      <c r="E448" s="8"/>
      <c r="F448" s="8"/>
      <c r="G448" s="8"/>
      <c r="H448" s="8"/>
    </row>
    <row r="449" spans="1:8" x14ac:dyDescent="0.25">
      <c r="A449" s="11"/>
      <c r="B449" s="8"/>
      <c r="C449" s="8"/>
      <c r="D449" s="8"/>
      <c r="E449" s="8"/>
      <c r="F449" s="8"/>
      <c r="G449" s="8"/>
      <c r="H449" s="8"/>
    </row>
    <row r="450" spans="1:8" x14ac:dyDescent="0.25">
      <c r="A450" s="11"/>
      <c r="B450" s="8"/>
      <c r="C450" s="8"/>
      <c r="D450" s="8"/>
      <c r="E450" s="8"/>
      <c r="F450" s="8"/>
      <c r="G450" s="8"/>
      <c r="H450" s="8"/>
    </row>
    <row r="451" spans="1:8" x14ac:dyDescent="0.25">
      <c r="A451" s="11"/>
      <c r="B451" s="8"/>
      <c r="C451" s="8"/>
      <c r="D451" s="8"/>
      <c r="E451" s="8"/>
      <c r="F451" s="8"/>
      <c r="G451" s="8"/>
      <c r="H451" s="8"/>
    </row>
    <row r="452" spans="1:8" x14ac:dyDescent="0.25">
      <c r="A452" s="11"/>
      <c r="B452" s="8"/>
      <c r="C452" s="8"/>
      <c r="D452" s="8"/>
      <c r="E452" s="8"/>
      <c r="F452" s="8"/>
      <c r="G452" s="8"/>
      <c r="H452" s="8"/>
    </row>
    <row r="453" spans="1:8" x14ac:dyDescent="0.25">
      <c r="A453" s="11"/>
      <c r="B453" s="8"/>
      <c r="C453" s="8"/>
      <c r="D453" s="8"/>
      <c r="E453" s="8"/>
      <c r="F453" s="8"/>
      <c r="G453" s="8"/>
      <c r="H453" s="8"/>
    </row>
    <row r="454" spans="1:8" x14ac:dyDescent="0.25">
      <c r="A454" s="11"/>
      <c r="B454" s="8"/>
      <c r="C454" s="8"/>
      <c r="D454" s="8"/>
      <c r="E454" s="8"/>
      <c r="F454" s="8"/>
      <c r="G454" s="8"/>
      <c r="H454" s="8"/>
    </row>
    <row r="455" spans="1:8" x14ac:dyDescent="0.25">
      <c r="A455" s="11"/>
      <c r="B455" s="8"/>
      <c r="C455" s="8"/>
      <c r="D455" s="8"/>
      <c r="E455" s="8"/>
      <c r="F455" s="8"/>
      <c r="G455" s="8"/>
      <c r="H455" s="8"/>
    </row>
    <row r="456" spans="1:8" x14ac:dyDescent="0.25">
      <c r="A456" s="11"/>
      <c r="B456" s="8"/>
      <c r="C456" s="8"/>
      <c r="D456" s="8"/>
      <c r="E456" s="8"/>
      <c r="F456" s="8"/>
      <c r="G456" s="8"/>
      <c r="H456" s="8"/>
    </row>
    <row r="457" spans="1:8" x14ac:dyDescent="0.25">
      <c r="A457" s="11"/>
      <c r="B457" s="8"/>
      <c r="C457" s="8"/>
      <c r="D457" s="8"/>
      <c r="E457" s="8"/>
      <c r="F457" s="8"/>
      <c r="G457" s="8"/>
      <c r="H457" s="8"/>
    </row>
    <row r="458" spans="1:8" x14ac:dyDescent="0.25">
      <c r="A458" s="11"/>
      <c r="B458" s="8"/>
      <c r="C458" s="8"/>
      <c r="D458" s="8"/>
      <c r="E458" s="8"/>
      <c r="F458" s="8"/>
      <c r="G458" s="8"/>
      <c r="H458" s="8"/>
    </row>
    <row r="459" spans="1:8" x14ac:dyDescent="0.25">
      <c r="A459" s="11"/>
      <c r="B459" s="8"/>
      <c r="C459" s="8"/>
      <c r="D459" s="8"/>
      <c r="E459" s="8"/>
      <c r="F459" s="8"/>
      <c r="G459" s="8"/>
      <c r="H459" s="8"/>
    </row>
    <row r="460" spans="1:8" x14ac:dyDescent="0.25">
      <c r="A460" s="11"/>
      <c r="B460" s="8"/>
      <c r="C460" s="8"/>
      <c r="D460" s="8"/>
      <c r="E460" s="8"/>
      <c r="F460" s="8"/>
      <c r="G460" s="8"/>
      <c r="H460" s="8"/>
    </row>
    <row r="461" spans="1:8" x14ac:dyDescent="0.25">
      <c r="A461" s="11"/>
      <c r="B461" s="8"/>
      <c r="C461" s="8"/>
      <c r="D461" s="8"/>
      <c r="E461" s="8"/>
      <c r="F461" s="8"/>
      <c r="G461" s="8"/>
      <c r="H461" s="8"/>
    </row>
    <row r="462" spans="1:8" x14ac:dyDescent="0.25">
      <c r="A462" s="11"/>
      <c r="B462" s="8"/>
      <c r="C462" s="8"/>
      <c r="D462" s="8"/>
      <c r="E462" s="8"/>
      <c r="F462" s="8"/>
      <c r="G462" s="8"/>
      <c r="H462" s="8"/>
    </row>
    <row r="463" spans="1:8" x14ac:dyDescent="0.25">
      <c r="A463" s="11"/>
      <c r="B463" s="8"/>
      <c r="C463" s="8"/>
      <c r="D463" s="8"/>
      <c r="E463" s="8"/>
      <c r="F463" s="8"/>
      <c r="G463" s="8"/>
      <c r="H463" s="8"/>
    </row>
    <row r="464" spans="1:8" x14ac:dyDescent="0.25">
      <c r="A464" s="11"/>
      <c r="B464" s="8"/>
      <c r="C464" s="8"/>
      <c r="D464" s="8"/>
      <c r="E464" s="8"/>
      <c r="F464" s="8"/>
      <c r="G464" s="8"/>
      <c r="H464" s="8"/>
    </row>
    <row r="465" spans="1:8" x14ac:dyDescent="0.25">
      <c r="A465" s="11"/>
      <c r="B465" s="8"/>
      <c r="C465" s="8"/>
      <c r="D465" s="8"/>
      <c r="E465" s="8"/>
      <c r="F465" s="8"/>
      <c r="G465" s="8"/>
      <c r="H465" s="8"/>
    </row>
    <row r="466" spans="1:8" x14ac:dyDescent="0.25">
      <c r="A466" s="11"/>
      <c r="B466" s="8"/>
      <c r="C466" s="8"/>
      <c r="D466" s="8"/>
      <c r="E466" s="8"/>
      <c r="F466" s="8"/>
      <c r="G466" s="8"/>
      <c r="H466" s="8"/>
    </row>
    <row r="467" spans="1:8" x14ac:dyDescent="0.25">
      <c r="A467" s="11"/>
      <c r="B467" s="8"/>
      <c r="C467" s="8"/>
      <c r="D467" s="8"/>
      <c r="E467" s="8"/>
      <c r="F467" s="8"/>
      <c r="G467" s="8"/>
      <c r="H467" s="8"/>
    </row>
    <row r="468" spans="1:8" x14ac:dyDescent="0.25">
      <c r="A468" s="11"/>
      <c r="B468" s="8"/>
      <c r="C468" s="8"/>
      <c r="D468" s="8"/>
      <c r="E468" s="8"/>
      <c r="F468" s="8"/>
      <c r="G468" s="8"/>
      <c r="H468" s="8"/>
    </row>
    <row r="469" spans="1:8" x14ac:dyDescent="0.25">
      <c r="A469" s="11"/>
      <c r="B469" s="8"/>
      <c r="C469" s="8"/>
      <c r="D469" s="8"/>
      <c r="E469" s="8"/>
      <c r="F469" s="8"/>
      <c r="G469" s="8"/>
      <c r="H469" s="8"/>
    </row>
    <row r="470" spans="1:8" x14ac:dyDescent="0.25">
      <c r="A470" s="11"/>
      <c r="B470" s="8"/>
      <c r="C470" s="8"/>
      <c r="D470" s="8"/>
      <c r="E470" s="8"/>
      <c r="F470" s="8"/>
      <c r="G470" s="8"/>
      <c r="H470" s="8"/>
    </row>
    <row r="471" spans="1:8" x14ac:dyDescent="0.25">
      <c r="A471" s="11"/>
      <c r="B471" s="8"/>
      <c r="C471" s="8"/>
      <c r="D471" s="8"/>
      <c r="E471" s="8"/>
      <c r="F471" s="8"/>
      <c r="G471" s="8"/>
      <c r="H471" s="8"/>
    </row>
    <row r="472" spans="1:8" x14ac:dyDescent="0.25">
      <c r="A472" s="11"/>
      <c r="B472" s="8"/>
      <c r="C472" s="8"/>
      <c r="D472" s="8"/>
      <c r="E472" s="8"/>
      <c r="F472" s="8"/>
      <c r="G472" s="8"/>
      <c r="H472" s="8"/>
    </row>
    <row r="473" spans="1:8" x14ac:dyDescent="0.25">
      <c r="A473" s="11"/>
      <c r="B473" s="8"/>
      <c r="C473" s="8"/>
      <c r="D473" s="8"/>
      <c r="E473" s="8"/>
      <c r="F473" s="8"/>
      <c r="G473" s="8"/>
      <c r="H473" s="8"/>
    </row>
    <row r="474" spans="1:8" x14ac:dyDescent="0.25">
      <c r="A474" s="11"/>
      <c r="B474" s="8"/>
      <c r="C474" s="8"/>
      <c r="D474" s="8"/>
      <c r="E474" s="8"/>
      <c r="F474" s="8"/>
      <c r="G474" s="8"/>
      <c r="H474" s="8"/>
    </row>
    <row r="475" spans="1:8" x14ac:dyDescent="0.25">
      <c r="A475" s="11"/>
      <c r="B475" s="8"/>
      <c r="C475" s="8"/>
      <c r="D475" s="8"/>
      <c r="E475" s="8"/>
      <c r="F475" s="8"/>
      <c r="G475" s="8"/>
      <c r="H475" s="8"/>
    </row>
    <row r="476" spans="1:8" x14ac:dyDescent="0.25">
      <c r="A476" s="11"/>
      <c r="B476" s="8"/>
      <c r="C476" s="8"/>
      <c r="D476" s="8"/>
      <c r="E476" s="8"/>
      <c r="F476" s="8"/>
      <c r="G476" s="8"/>
      <c r="H476" s="8"/>
    </row>
    <row r="477" spans="1:8" x14ac:dyDescent="0.25">
      <c r="A477" s="11"/>
      <c r="B477" s="8"/>
      <c r="C477" s="8"/>
      <c r="D477" s="8"/>
      <c r="E477" s="8"/>
      <c r="F477" s="8"/>
      <c r="G477" s="8"/>
      <c r="H477" s="8"/>
    </row>
    <row r="478" spans="1:8" x14ac:dyDescent="0.25">
      <c r="A478" s="11"/>
      <c r="B478" s="8"/>
      <c r="C478" s="8"/>
      <c r="D478" s="8"/>
      <c r="E478" s="8"/>
      <c r="F478" s="8"/>
      <c r="G478" s="8"/>
      <c r="H478" s="8"/>
    </row>
    <row r="479" spans="1:8" x14ac:dyDescent="0.25">
      <c r="A479" s="11"/>
      <c r="B479" s="8"/>
      <c r="C479" s="8"/>
      <c r="D479" s="8"/>
      <c r="E479" s="8"/>
      <c r="F479" s="8"/>
      <c r="G479" s="8"/>
      <c r="H479" s="8"/>
    </row>
    <row r="480" spans="1:8" x14ac:dyDescent="0.25">
      <c r="A480" s="11"/>
      <c r="B480" s="8"/>
      <c r="C480" s="8"/>
      <c r="D480" s="8"/>
      <c r="E480" s="8"/>
      <c r="F480" s="8"/>
      <c r="G480" s="8"/>
      <c r="H480" s="8"/>
    </row>
    <row r="481" spans="1:8" x14ac:dyDescent="0.25">
      <c r="A481" s="11"/>
      <c r="B481" s="8"/>
      <c r="C481" s="8"/>
      <c r="D481" s="8"/>
      <c r="E481" s="8"/>
      <c r="F481" s="8"/>
      <c r="G481" s="8"/>
      <c r="H481" s="8"/>
    </row>
    <row r="482" spans="1:8" x14ac:dyDescent="0.25">
      <c r="A482" s="11"/>
      <c r="B482" s="8"/>
      <c r="C482" s="8"/>
      <c r="D482" s="8"/>
      <c r="E482" s="8"/>
      <c r="F482" s="8"/>
      <c r="G482" s="8"/>
      <c r="H482" s="8"/>
    </row>
    <row r="483" spans="1:8" x14ac:dyDescent="0.25">
      <c r="A483" s="11"/>
      <c r="B483" s="8"/>
      <c r="C483" s="8"/>
      <c r="D483" s="8"/>
      <c r="E483" s="8"/>
      <c r="F483" s="8"/>
      <c r="G483" s="8"/>
      <c r="H483" s="8"/>
    </row>
    <row r="484" spans="1:8" x14ac:dyDescent="0.25">
      <c r="A484" s="11"/>
      <c r="B484" s="8"/>
      <c r="C484" s="8"/>
      <c r="D484" s="8"/>
      <c r="E484" s="8"/>
      <c r="F484" s="8"/>
      <c r="G484" s="8"/>
      <c r="H484" s="8"/>
    </row>
    <row r="485" spans="1:8" x14ac:dyDescent="0.25">
      <c r="A485" s="11"/>
      <c r="B485" s="8"/>
      <c r="C485" s="8"/>
      <c r="D485" s="8"/>
      <c r="E485" s="8"/>
      <c r="F485" s="8"/>
      <c r="G485" s="8"/>
      <c r="H485" s="8"/>
    </row>
    <row r="486" spans="1:8" x14ac:dyDescent="0.25">
      <c r="A486" s="11"/>
      <c r="B486" s="8"/>
      <c r="C486" s="8"/>
      <c r="D486" s="8"/>
      <c r="E486" s="8"/>
      <c r="F486" s="8"/>
      <c r="G486" s="8"/>
      <c r="H486" s="8"/>
    </row>
    <row r="487" spans="1:8" x14ac:dyDescent="0.25">
      <c r="A487" s="11"/>
      <c r="B487" s="8"/>
      <c r="C487" s="8"/>
      <c r="D487" s="8"/>
      <c r="E487" s="8"/>
      <c r="F487" s="8"/>
      <c r="G487" s="8"/>
      <c r="H487" s="8"/>
    </row>
    <row r="488" spans="1:8" x14ac:dyDescent="0.25">
      <c r="A488" s="11"/>
      <c r="B488" s="8"/>
      <c r="C488" s="8"/>
      <c r="D488" s="8"/>
      <c r="E488" s="8"/>
      <c r="F488" s="8"/>
      <c r="G488" s="8"/>
      <c r="H488" s="8"/>
    </row>
    <row r="489" spans="1:8" x14ac:dyDescent="0.25">
      <c r="A489" s="11"/>
      <c r="B489" s="8"/>
      <c r="C489" s="8"/>
      <c r="D489" s="8"/>
      <c r="E489" s="8"/>
      <c r="F489" s="8"/>
      <c r="G489" s="8"/>
      <c r="H489" s="8"/>
    </row>
    <row r="490" spans="1:8" x14ac:dyDescent="0.25">
      <c r="A490" s="11"/>
      <c r="B490" s="8"/>
      <c r="C490" s="8"/>
      <c r="D490" s="8"/>
      <c r="E490" s="8"/>
      <c r="F490" s="8"/>
      <c r="G490" s="8"/>
      <c r="H490" s="8"/>
    </row>
    <row r="491" spans="1:8" x14ac:dyDescent="0.25">
      <c r="A491" s="11"/>
      <c r="B491" s="8"/>
      <c r="C491" s="8"/>
      <c r="D491" s="8"/>
      <c r="E491" s="8"/>
      <c r="F491" s="8"/>
      <c r="G491" s="8"/>
      <c r="H491" s="8"/>
    </row>
    <row r="492" spans="1:8" x14ac:dyDescent="0.25">
      <c r="A492" s="11"/>
      <c r="B492" s="8"/>
      <c r="C492" s="8"/>
      <c r="D492" s="8"/>
      <c r="E492" s="8"/>
      <c r="F492" s="8"/>
      <c r="G492" s="8"/>
      <c r="H492" s="8"/>
    </row>
    <row r="493" spans="1:8" x14ac:dyDescent="0.25">
      <c r="A493" s="11"/>
      <c r="B493" s="8"/>
      <c r="C493" s="8"/>
      <c r="D493" s="8"/>
      <c r="E493" s="8"/>
      <c r="F493" s="8"/>
      <c r="G493" s="8"/>
      <c r="H493" s="8"/>
    </row>
    <row r="494" spans="1:8" x14ac:dyDescent="0.25">
      <c r="A494" s="11"/>
      <c r="B494" s="8"/>
      <c r="C494" s="8"/>
      <c r="D494" s="8"/>
      <c r="E494" s="8"/>
      <c r="F494" s="8"/>
      <c r="G494" s="8"/>
      <c r="H494" s="8"/>
    </row>
    <row r="495" spans="1:8" x14ac:dyDescent="0.25">
      <c r="A495" s="11"/>
      <c r="B495" s="8"/>
      <c r="C495" s="8"/>
      <c r="D495" s="8"/>
      <c r="E495" s="8"/>
      <c r="F495" s="8"/>
      <c r="G495" s="8"/>
      <c r="H495" s="8"/>
    </row>
    <row r="496" spans="1:8" x14ac:dyDescent="0.25">
      <c r="A496" s="11"/>
      <c r="B496" s="8"/>
      <c r="C496" s="8"/>
      <c r="D496" s="8"/>
      <c r="E496" s="8"/>
      <c r="F496" s="8"/>
      <c r="G496" s="8"/>
      <c r="H496" s="8"/>
    </row>
    <row r="497" spans="1:8" x14ac:dyDescent="0.25">
      <c r="A497" s="11"/>
      <c r="B497" s="8"/>
      <c r="C497" s="8"/>
      <c r="D497" s="8"/>
      <c r="E497" s="8"/>
      <c r="F497" s="8"/>
      <c r="G497" s="8"/>
      <c r="H497" s="8"/>
    </row>
    <row r="498" spans="1:8" x14ac:dyDescent="0.25">
      <c r="A498" s="11"/>
      <c r="B498" s="8"/>
      <c r="C498" s="8"/>
      <c r="D498" s="8"/>
      <c r="E498" s="8"/>
      <c r="F498" s="8"/>
      <c r="G498" s="8"/>
      <c r="H498" s="8"/>
    </row>
    <row r="499" spans="1:8" x14ac:dyDescent="0.25">
      <c r="A499" s="11"/>
      <c r="B499" s="8"/>
      <c r="C499" s="8"/>
      <c r="D499" s="8"/>
      <c r="E499" s="8"/>
      <c r="F499" s="8"/>
      <c r="G499" s="8"/>
      <c r="H499" s="8"/>
    </row>
    <row r="500" spans="1:8" x14ac:dyDescent="0.25">
      <c r="A500" s="11"/>
      <c r="B500" s="8"/>
      <c r="C500" s="8"/>
      <c r="D500" s="8"/>
      <c r="E500" s="8"/>
      <c r="F500" s="8"/>
      <c r="G500" s="8"/>
      <c r="H500" s="8"/>
    </row>
    <row r="501" spans="1:8" x14ac:dyDescent="0.25">
      <c r="A501" s="11"/>
      <c r="B501" s="8"/>
      <c r="C501" s="8"/>
      <c r="D501" s="8"/>
      <c r="E501" s="8"/>
      <c r="F501" s="8"/>
      <c r="G501" s="8"/>
      <c r="H501" s="8"/>
    </row>
    <row r="502" spans="1:8" x14ac:dyDescent="0.25">
      <c r="A502" s="11"/>
      <c r="B502" s="8"/>
      <c r="C502" s="8"/>
      <c r="D502" s="8"/>
      <c r="E502" s="8"/>
      <c r="F502" s="8"/>
      <c r="G502" s="8"/>
      <c r="H502" s="8"/>
    </row>
    <row r="503" spans="1:8" x14ac:dyDescent="0.25">
      <c r="A503" s="11"/>
      <c r="B503" s="8"/>
      <c r="C503" s="8"/>
      <c r="D503" s="8"/>
      <c r="E503" s="8"/>
      <c r="F503" s="8"/>
      <c r="G503" s="8"/>
      <c r="H503" s="8"/>
    </row>
    <row r="504" spans="1:8" x14ac:dyDescent="0.25">
      <c r="A504" s="11"/>
      <c r="B504" s="8"/>
      <c r="C504" s="8"/>
      <c r="D504" s="8"/>
      <c r="E504" s="8"/>
      <c r="F504" s="8"/>
      <c r="G504" s="8"/>
      <c r="H504" s="8"/>
    </row>
    <row r="505" spans="1:8" x14ac:dyDescent="0.25">
      <c r="A505" s="11"/>
      <c r="B505" s="8"/>
      <c r="C505" s="8"/>
      <c r="D505" s="8"/>
      <c r="E505" s="8"/>
      <c r="F505" s="8"/>
      <c r="G505" s="8"/>
      <c r="H505" s="8"/>
    </row>
    <row r="506" spans="1:8" x14ac:dyDescent="0.25">
      <c r="A506" s="11"/>
      <c r="B506" s="8"/>
      <c r="C506" s="8"/>
      <c r="D506" s="8"/>
      <c r="E506" s="8"/>
      <c r="F506" s="8"/>
      <c r="G506" s="8"/>
      <c r="H506" s="8"/>
    </row>
    <row r="507" spans="1:8" x14ac:dyDescent="0.25">
      <c r="A507" s="11"/>
      <c r="B507" s="8"/>
      <c r="C507" s="8"/>
      <c r="D507" s="8"/>
      <c r="E507" s="8"/>
      <c r="F507" s="8"/>
      <c r="G507" s="8"/>
      <c r="H507" s="8"/>
    </row>
    <row r="508" spans="1:8" x14ac:dyDescent="0.25">
      <c r="A508" s="11"/>
      <c r="B508" s="8"/>
      <c r="C508" s="8"/>
      <c r="D508" s="8"/>
      <c r="E508" s="8"/>
      <c r="F508" s="8"/>
      <c r="G508" s="8"/>
      <c r="H508" s="8"/>
    </row>
    <row r="509" spans="1:8" x14ac:dyDescent="0.25">
      <c r="A509" s="11"/>
      <c r="B509" s="8"/>
      <c r="C509" s="8"/>
      <c r="D509" s="8"/>
      <c r="E509" s="8"/>
      <c r="F509" s="8"/>
      <c r="G509" s="8"/>
      <c r="H509" s="8"/>
    </row>
    <row r="510" spans="1:8" x14ac:dyDescent="0.25">
      <c r="A510" s="11"/>
      <c r="B510" s="8"/>
      <c r="C510" s="8"/>
      <c r="D510" s="8"/>
      <c r="E510" s="8"/>
      <c r="F510" s="8"/>
      <c r="G510" s="8"/>
      <c r="H510" s="8"/>
    </row>
    <row r="511" spans="1:8" x14ac:dyDescent="0.25">
      <c r="A511" s="11"/>
      <c r="B511" s="8"/>
      <c r="C511" s="8"/>
      <c r="D511" s="8"/>
      <c r="E511" s="8"/>
      <c r="F511" s="8"/>
      <c r="G511" s="8"/>
      <c r="H511" s="8"/>
    </row>
    <row r="512" spans="1:8" x14ac:dyDescent="0.25">
      <c r="A512" s="11"/>
      <c r="B512" s="8"/>
      <c r="C512" s="8"/>
      <c r="D512" s="8"/>
      <c r="E512" s="8"/>
      <c r="F512" s="8"/>
      <c r="G512" s="8"/>
      <c r="H512" s="8"/>
    </row>
    <row r="513" spans="1:8" x14ac:dyDescent="0.25">
      <c r="A513" s="11"/>
      <c r="B513" s="8"/>
      <c r="C513" s="8"/>
      <c r="D513" s="8"/>
      <c r="E513" s="8"/>
      <c r="F513" s="8"/>
      <c r="G513" s="8"/>
      <c r="H513" s="8"/>
    </row>
    <row r="514" spans="1:8" x14ac:dyDescent="0.25">
      <c r="A514" s="11"/>
      <c r="B514" s="8"/>
      <c r="C514" s="8"/>
      <c r="D514" s="8"/>
      <c r="E514" s="8"/>
      <c r="F514" s="8"/>
      <c r="G514" s="8"/>
      <c r="H514" s="8"/>
    </row>
    <row r="515" spans="1:8" x14ac:dyDescent="0.25">
      <c r="A515" s="11"/>
      <c r="B515" s="8"/>
      <c r="C515" s="8"/>
      <c r="D515" s="8"/>
      <c r="E515" s="8"/>
      <c r="F515" s="8"/>
      <c r="G515" s="8"/>
      <c r="H515" s="8"/>
    </row>
    <row r="516" spans="1:8" x14ac:dyDescent="0.25">
      <c r="A516" s="11"/>
      <c r="B516" s="8"/>
      <c r="C516" s="8"/>
      <c r="D516" s="8"/>
      <c r="E516" s="8"/>
      <c r="F516" s="8"/>
      <c r="G516" s="8"/>
      <c r="H516" s="8"/>
    </row>
    <row r="517" spans="1:8" x14ac:dyDescent="0.25">
      <c r="A517" s="11"/>
      <c r="B517" s="8"/>
      <c r="C517" s="8"/>
      <c r="D517" s="8"/>
      <c r="E517" s="8"/>
      <c r="F517" s="8"/>
      <c r="G517" s="8"/>
      <c r="H517" s="8"/>
    </row>
    <row r="518" spans="1:8" x14ac:dyDescent="0.25">
      <c r="A518" s="11"/>
      <c r="B518" s="8"/>
      <c r="C518" s="8"/>
      <c r="D518" s="8"/>
      <c r="E518" s="8"/>
      <c r="F518" s="8"/>
      <c r="G518" s="8"/>
      <c r="H518" s="8"/>
    </row>
    <row r="519" spans="1:8" x14ac:dyDescent="0.25">
      <c r="A519" s="11"/>
      <c r="B519" s="8"/>
      <c r="C519" s="8"/>
      <c r="D519" s="8"/>
      <c r="E519" s="8"/>
      <c r="F519" s="8"/>
      <c r="G519" s="8"/>
      <c r="H519" s="8"/>
    </row>
    <row r="520" spans="1:8" x14ac:dyDescent="0.25">
      <c r="A520" s="11"/>
      <c r="B520" s="8"/>
      <c r="C520" s="8"/>
      <c r="D520" s="8"/>
      <c r="E520" s="8"/>
      <c r="F520" s="8"/>
      <c r="G520" s="8"/>
      <c r="H520" s="8"/>
    </row>
    <row r="521" spans="1:8" x14ac:dyDescent="0.25">
      <c r="A521" s="11"/>
      <c r="B521" s="8"/>
      <c r="C521" s="8"/>
      <c r="D521" s="8"/>
      <c r="E521" s="8"/>
      <c r="F521" s="8"/>
      <c r="G521" s="8"/>
      <c r="H521" s="8"/>
    </row>
    <row r="522" spans="1:8" x14ac:dyDescent="0.25">
      <c r="A522" s="11"/>
      <c r="B522" s="8"/>
      <c r="C522" s="8"/>
      <c r="D522" s="8"/>
      <c r="E522" s="8"/>
      <c r="F522" s="8"/>
      <c r="G522" s="8"/>
      <c r="H522" s="8"/>
    </row>
    <row r="523" spans="1:8" x14ac:dyDescent="0.25">
      <c r="A523" s="11"/>
      <c r="B523" s="8"/>
      <c r="C523" s="8"/>
      <c r="D523" s="8"/>
      <c r="E523" s="8"/>
      <c r="F523" s="8"/>
      <c r="G523" s="8"/>
      <c r="H523" s="8"/>
    </row>
    <row r="524" spans="1:8" x14ac:dyDescent="0.25">
      <c r="A524" s="11"/>
      <c r="B524" s="8"/>
      <c r="C524" s="8"/>
      <c r="D524" s="8"/>
      <c r="E524" s="8"/>
      <c r="F524" s="8"/>
      <c r="G524" s="8"/>
      <c r="H524" s="8"/>
    </row>
    <row r="525" spans="1:8" x14ac:dyDescent="0.25">
      <c r="A525" s="11"/>
      <c r="B525" s="8"/>
      <c r="C525" s="8"/>
      <c r="D525" s="8"/>
      <c r="E525" s="8"/>
      <c r="F525" s="8"/>
      <c r="G525" s="8"/>
      <c r="H525" s="8"/>
    </row>
    <row r="526" spans="1:8" x14ac:dyDescent="0.25">
      <c r="A526" s="11"/>
      <c r="B526" s="8"/>
      <c r="C526" s="8"/>
      <c r="D526" s="8"/>
      <c r="E526" s="8"/>
      <c r="F526" s="8"/>
      <c r="G526" s="8"/>
      <c r="H526" s="8"/>
    </row>
    <row r="527" spans="1:8" x14ac:dyDescent="0.25">
      <c r="A527" s="11"/>
      <c r="B527" s="8"/>
      <c r="C527" s="8"/>
      <c r="D527" s="8"/>
      <c r="E527" s="8"/>
      <c r="F527" s="8"/>
      <c r="G527" s="8"/>
      <c r="H527" s="8"/>
    </row>
    <row r="528" spans="1:8" x14ac:dyDescent="0.25">
      <c r="A528" s="11"/>
      <c r="B528" s="8"/>
      <c r="C528" s="8"/>
      <c r="D528" s="8"/>
      <c r="E528" s="8"/>
      <c r="F528" s="8"/>
      <c r="G528" s="8"/>
      <c r="H528" s="8"/>
    </row>
    <row r="529" spans="1:8" x14ac:dyDescent="0.25">
      <c r="A529" s="11"/>
      <c r="B529" s="8"/>
      <c r="C529" s="8"/>
      <c r="D529" s="8"/>
      <c r="E529" s="8"/>
      <c r="F529" s="8"/>
      <c r="G529" s="8"/>
      <c r="H529" s="8"/>
    </row>
    <row r="530" spans="1:8" x14ac:dyDescent="0.25">
      <c r="A530" s="11"/>
      <c r="B530" s="8"/>
      <c r="C530" s="8"/>
      <c r="D530" s="8"/>
      <c r="E530" s="8"/>
      <c r="F530" s="8"/>
      <c r="G530" s="8"/>
      <c r="H530" s="8"/>
    </row>
    <row r="531" spans="1:8" x14ac:dyDescent="0.25">
      <c r="A531" s="11"/>
      <c r="B531" s="8"/>
      <c r="C531" s="8"/>
      <c r="D531" s="8"/>
      <c r="E531" s="8"/>
      <c r="F531" s="8"/>
      <c r="G531" s="8"/>
      <c r="H531" s="8"/>
    </row>
    <row r="532" spans="1:8" x14ac:dyDescent="0.25">
      <c r="A532" s="11"/>
      <c r="B532" s="8"/>
      <c r="C532" s="8"/>
      <c r="D532" s="8"/>
      <c r="E532" s="8"/>
      <c r="F532" s="8"/>
      <c r="G532" s="8"/>
      <c r="H532" s="8"/>
    </row>
    <row r="533" spans="1:8" x14ac:dyDescent="0.25">
      <c r="A533" s="11"/>
      <c r="B533" s="8"/>
      <c r="C533" s="8"/>
      <c r="D533" s="8"/>
      <c r="E533" s="8"/>
      <c r="F533" s="8"/>
      <c r="G533" s="8"/>
      <c r="H533" s="8"/>
    </row>
    <row r="534" spans="1:8" x14ac:dyDescent="0.25">
      <c r="A534" s="11"/>
      <c r="B534" s="8"/>
      <c r="C534" s="8"/>
      <c r="D534" s="8"/>
      <c r="E534" s="8"/>
      <c r="F534" s="8"/>
      <c r="G534" s="8"/>
      <c r="H534" s="8"/>
    </row>
    <row r="535" spans="1:8" x14ac:dyDescent="0.25">
      <c r="A535" s="11"/>
      <c r="B535" s="8"/>
      <c r="C535" s="8"/>
      <c r="D535" s="8"/>
      <c r="E535" s="8"/>
      <c r="F535" s="8"/>
      <c r="G535" s="8"/>
      <c r="H535" s="8"/>
    </row>
    <row r="536" spans="1:8" x14ac:dyDescent="0.25">
      <c r="A536" s="11"/>
      <c r="B536" s="8"/>
      <c r="C536" s="8"/>
      <c r="D536" s="8"/>
      <c r="E536" s="8"/>
      <c r="F536" s="8"/>
      <c r="G536" s="8"/>
      <c r="H536" s="8"/>
    </row>
    <row r="537" spans="1:8" x14ac:dyDescent="0.25">
      <c r="A537" s="11"/>
      <c r="B537" s="8"/>
      <c r="C537" s="8"/>
      <c r="D537" s="8"/>
      <c r="E537" s="8"/>
      <c r="F537" s="8"/>
      <c r="G537" s="8"/>
      <c r="H537" s="8"/>
    </row>
    <row r="538" spans="1:8" x14ac:dyDescent="0.25">
      <c r="A538" s="11"/>
      <c r="B538" s="8"/>
      <c r="C538" s="8"/>
      <c r="D538" s="8"/>
      <c r="E538" s="8"/>
      <c r="F538" s="8"/>
      <c r="G538" s="8"/>
      <c r="H538" s="8"/>
    </row>
    <row r="539" spans="1:8" x14ac:dyDescent="0.25">
      <c r="A539" s="11"/>
      <c r="B539" s="8"/>
      <c r="C539" s="8"/>
      <c r="D539" s="8"/>
      <c r="E539" s="8"/>
      <c r="F539" s="8"/>
      <c r="G539" s="8"/>
      <c r="H539" s="8"/>
    </row>
    <row r="540" spans="1:8" x14ac:dyDescent="0.25">
      <c r="A540" s="11"/>
      <c r="B540" s="8"/>
      <c r="C540" s="8"/>
      <c r="D540" s="8"/>
      <c r="E540" s="8"/>
      <c r="F540" s="8"/>
      <c r="G540" s="8"/>
      <c r="H540" s="8"/>
    </row>
    <row r="541" spans="1:8" x14ac:dyDescent="0.25">
      <c r="A541" s="11"/>
      <c r="B541" s="8"/>
      <c r="C541" s="8"/>
      <c r="D541" s="8"/>
      <c r="E541" s="8"/>
      <c r="F541" s="8"/>
      <c r="G541" s="8"/>
      <c r="H541" s="8"/>
    </row>
    <row r="542" spans="1:8" x14ac:dyDescent="0.25">
      <c r="A542" s="11"/>
      <c r="B542" s="8"/>
      <c r="C542" s="8"/>
      <c r="D542" s="8"/>
      <c r="E542" s="8"/>
      <c r="F542" s="8"/>
      <c r="G542" s="8"/>
      <c r="H542" s="8"/>
    </row>
    <row r="543" spans="1:8" x14ac:dyDescent="0.25">
      <c r="A543" s="11"/>
      <c r="B543" s="8"/>
      <c r="C543" s="8"/>
      <c r="D543" s="8"/>
      <c r="E543" s="8"/>
      <c r="F543" s="8"/>
      <c r="G543" s="8"/>
      <c r="H543" s="8"/>
    </row>
    <row r="544" spans="1:8" x14ac:dyDescent="0.25">
      <c r="A544" s="11"/>
      <c r="B544" s="8"/>
      <c r="C544" s="8"/>
      <c r="D544" s="8"/>
      <c r="E544" s="8"/>
      <c r="F544" s="8"/>
      <c r="G544" s="8"/>
      <c r="H544" s="8"/>
    </row>
    <row r="545" spans="1:8" x14ac:dyDescent="0.25">
      <c r="A545" s="11"/>
      <c r="B545" s="8"/>
      <c r="C545" s="8"/>
      <c r="D545" s="8"/>
      <c r="E545" s="8"/>
      <c r="F545" s="8"/>
      <c r="G545" s="8"/>
      <c r="H545" s="8"/>
    </row>
    <row r="546" spans="1:8" x14ac:dyDescent="0.25">
      <c r="A546" s="11"/>
      <c r="B546" s="8"/>
      <c r="C546" s="8"/>
      <c r="D546" s="8"/>
      <c r="E546" s="8"/>
      <c r="F546" s="8"/>
      <c r="G546" s="8"/>
      <c r="H546" s="8"/>
    </row>
    <row r="547" spans="1:8" x14ac:dyDescent="0.25">
      <c r="A547" s="11"/>
      <c r="B547" s="8"/>
      <c r="C547" s="8"/>
      <c r="D547" s="8"/>
      <c r="E547" s="8"/>
      <c r="F547" s="8"/>
      <c r="G547" s="8"/>
      <c r="H547" s="8"/>
    </row>
    <row r="548" spans="1:8" x14ac:dyDescent="0.25">
      <c r="A548" s="11"/>
      <c r="B548" s="8"/>
      <c r="C548" s="8"/>
      <c r="D548" s="8"/>
      <c r="E548" s="8"/>
      <c r="F548" s="8"/>
      <c r="G548" s="8"/>
      <c r="H548" s="8"/>
    </row>
    <row r="549" spans="1:8" x14ac:dyDescent="0.25">
      <c r="A549" s="11"/>
      <c r="B549" s="8"/>
      <c r="C549" s="8"/>
      <c r="D549" s="8"/>
      <c r="E549" s="8"/>
      <c r="F549" s="8"/>
      <c r="G549" s="8"/>
      <c r="H549" s="8"/>
    </row>
    <row r="550" spans="1:8" x14ac:dyDescent="0.25">
      <c r="A550" s="11"/>
      <c r="B550" s="8"/>
      <c r="C550" s="8"/>
      <c r="D550" s="8"/>
      <c r="E550" s="8"/>
      <c r="F550" s="8"/>
      <c r="G550" s="8"/>
      <c r="H550" s="8"/>
    </row>
    <row r="551" spans="1:8" x14ac:dyDescent="0.25">
      <c r="A551" s="11"/>
      <c r="B551" s="8"/>
      <c r="C551" s="8"/>
      <c r="D551" s="8"/>
      <c r="E551" s="8"/>
      <c r="F551" s="8"/>
      <c r="G551" s="8"/>
      <c r="H551" s="8"/>
    </row>
    <row r="552" spans="1:8" x14ac:dyDescent="0.25">
      <c r="A552" s="11"/>
      <c r="B552" s="8"/>
      <c r="C552" s="8"/>
      <c r="D552" s="8"/>
      <c r="E552" s="8"/>
      <c r="F552" s="8"/>
      <c r="G552" s="8"/>
      <c r="H552" s="8"/>
    </row>
    <row r="553" spans="1:8" x14ac:dyDescent="0.25">
      <c r="A553" s="11"/>
      <c r="B553" s="8"/>
      <c r="C553" s="8"/>
      <c r="D553" s="8"/>
      <c r="E553" s="8"/>
      <c r="F553" s="8"/>
      <c r="G553" s="8"/>
      <c r="H553" s="8"/>
    </row>
    <row r="554" spans="1:8" x14ac:dyDescent="0.25">
      <c r="A554" s="11"/>
      <c r="B554" s="8"/>
      <c r="C554" s="8"/>
      <c r="D554" s="8"/>
      <c r="E554" s="8"/>
      <c r="F554" s="8"/>
      <c r="G554" s="8"/>
      <c r="H554" s="8"/>
    </row>
    <row r="555" spans="1:8" x14ac:dyDescent="0.25">
      <c r="A555" s="11"/>
      <c r="B555" s="8"/>
      <c r="C555" s="8"/>
      <c r="D555" s="8"/>
      <c r="E555" s="8"/>
      <c r="F555" s="8"/>
      <c r="G555" s="8"/>
      <c r="H555" s="8"/>
    </row>
    <row r="556" spans="1:8" x14ac:dyDescent="0.25">
      <c r="A556" s="11"/>
      <c r="B556" s="8"/>
      <c r="C556" s="8"/>
      <c r="D556" s="8"/>
      <c r="E556" s="8"/>
      <c r="F556" s="8"/>
      <c r="G556" s="8"/>
      <c r="H556" s="8"/>
    </row>
    <row r="557" spans="1:8" x14ac:dyDescent="0.25">
      <c r="A557" s="11"/>
      <c r="B557" s="8"/>
      <c r="C557" s="8"/>
      <c r="D557" s="8"/>
      <c r="E557" s="8"/>
      <c r="F557" s="8"/>
      <c r="G557" s="8"/>
      <c r="H557" s="8"/>
    </row>
    <row r="558" spans="1:8" x14ac:dyDescent="0.25">
      <c r="A558" s="11"/>
      <c r="B558" s="8"/>
      <c r="C558" s="8"/>
      <c r="D558" s="8"/>
      <c r="E558" s="8"/>
      <c r="F558" s="8"/>
      <c r="G558" s="8"/>
      <c r="H558" s="8"/>
    </row>
    <row r="559" spans="1:8" x14ac:dyDescent="0.25">
      <c r="A559" s="11"/>
      <c r="B559" s="8"/>
      <c r="C559" s="8"/>
      <c r="D559" s="8"/>
      <c r="E559" s="8"/>
      <c r="F559" s="8"/>
      <c r="G559" s="8"/>
      <c r="H559" s="8"/>
    </row>
    <row r="560" spans="1:8" x14ac:dyDescent="0.25">
      <c r="A560" s="11"/>
      <c r="B560" s="8"/>
      <c r="C560" s="8"/>
      <c r="D560" s="8"/>
      <c r="E560" s="8"/>
      <c r="F560" s="8"/>
      <c r="G560" s="8"/>
      <c r="H560" s="8"/>
    </row>
    <row r="561" spans="1:8" x14ac:dyDescent="0.25">
      <c r="A561" s="11"/>
      <c r="B561" s="8"/>
      <c r="C561" s="8"/>
      <c r="D561" s="8"/>
      <c r="E561" s="8"/>
      <c r="F561" s="8"/>
      <c r="G561" s="8"/>
      <c r="H561" s="8"/>
    </row>
    <row r="562" spans="1:8" x14ac:dyDescent="0.25">
      <c r="A562" s="11"/>
      <c r="B562" s="8"/>
      <c r="C562" s="8"/>
      <c r="D562" s="8"/>
      <c r="E562" s="8"/>
      <c r="F562" s="8"/>
      <c r="G562" s="8"/>
      <c r="H562" s="8"/>
    </row>
    <row r="563" spans="1:8" x14ac:dyDescent="0.25">
      <c r="A563" s="11"/>
      <c r="B563" s="8"/>
      <c r="C563" s="8"/>
      <c r="D563" s="8"/>
      <c r="E563" s="8"/>
      <c r="F563" s="8"/>
      <c r="G563" s="8"/>
      <c r="H563" s="8"/>
    </row>
    <row r="564" spans="1:8" x14ac:dyDescent="0.25">
      <c r="A564" s="11"/>
      <c r="B564" s="8"/>
      <c r="C564" s="8"/>
      <c r="D564" s="8"/>
      <c r="E564" s="8"/>
      <c r="F564" s="8"/>
      <c r="G564" s="8"/>
      <c r="H564" s="8"/>
    </row>
    <row r="565" spans="1:8" x14ac:dyDescent="0.25">
      <c r="A565" s="11"/>
      <c r="B565" s="8"/>
      <c r="C565" s="8"/>
      <c r="D565" s="8"/>
      <c r="E565" s="8"/>
      <c r="F565" s="8"/>
      <c r="G565" s="8"/>
      <c r="H565" s="8"/>
    </row>
    <row r="566" spans="1:8" x14ac:dyDescent="0.25">
      <c r="A566" s="11"/>
      <c r="B566" s="8"/>
      <c r="C566" s="8"/>
      <c r="D566" s="8"/>
      <c r="E566" s="8"/>
      <c r="F566" s="8"/>
      <c r="G566" s="8"/>
      <c r="H566" s="8"/>
    </row>
    <row r="567" spans="1:8" x14ac:dyDescent="0.25">
      <c r="A567" s="11"/>
      <c r="B567" s="8"/>
      <c r="C567" s="8"/>
      <c r="D567" s="8"/>
      <c r="E567" s="8"/>
      <c r="F567" s="8"/>
      <c r="G567" s="8"/>
      <c r="H567" s="8"/>
    </row>
    <row r="568" spans="1:8" x14ac:dyDescent="0.25">
      <c r="A568" s="11"/>
      <c r="B568" s="8"/>
      <c r="C568" s="8"/>
      <c r="D568" s="8"/>
      <c r="E568" s="8"/>
      <c r="F568" s="8"/>
      <c r="G568" s="8"/>
      <c r="H568" s="8"/>
    </row>
    <row r="569" spans="1:8" x14ac:dyDescent="0.25">
      <c r="A569" s="11"/>
      <c r="B569" s="8"/>
      <c r="C569" s="8"/>
      <c r="D569" s="8"/>
      <c r="E569" s="8"/>
      <c r="F569" s="8"/>
      <c r="G569" s="8"/>
      <c r="H569" s="8"/>
    </row>
    <row r="570" spans="1:8" x14ac:dyDescent="0.25">
      <c r="A570" s="11"/>
      <c r="B570" s="8"/>
      <c r="C570" s="8"/>
      <c r="D570" s="8"/>
      <c r="E570" s="8"/>
      <c r="F570" s="8"/>
      <c r="G570" s="8"/>
      <c r="H570" s="8"/>
    </row>
    <row r="571" spans="1:8" x14ac:dyDescent="0.25">
      <c r="A571" s="11"/>
      <c r="B571" s="8"/>
      <c r="C571" s="8"/>
      <c r="D571" s="8"/>
      <c r="E571" s="8"/>
      <c r="F571" s="8"/>
      <c r="G571" s="8"/>
      <c r="H571" s="8"/>
    </row>
    <row r="572" spans="1:8" x14ac:dyDescent="0.25">
      <c r="A572" s="11"/>
      <c r="B572" s="8"/>
      <c r="C572" s="8"/>
      <c r="D572" s="8"/>
      <c r="E572" s="8"/>
      <c r="F572" s="8"/>
      <c r="G572" s="8"/>
      <c r="H572" s="8"/>
    </row>
    <row r="573" spans="1:8" x14ac:dyDescent="0.25">
      <c r="A573" s="11"/>
      <c r="B573" s="8"/>
      <c r="C573" s="8"/>
      <c r="D573" s="8"/>
      <c r="E573" s="8"/>
      <c r="F573" s="8"/>
      <c r="G573" s="8"/>
      <c r="H573" s="8"/>
    </row>
    <row r="574" spans="1:8" x14ac:dyDescent="0.25">
      <c r="A574" s="11"/>
      <c r="B574" s="8"/>
      <c r="C574" s="8"/>
      <c r="D574" s="8"/>
      <c r="E574" s="8"/>
      <c r="F574" s="8"/>
      <c r="G574" s="8"/>
      <c r="H574" s="8"/>
    </row>
    <row r="575" spans="1:8" x14ac:dyDescent="0.25">
      <c r="A575" s="11"/>
      <c r="B575" s="8"/>
      <c r="C575" s="8"/>
      <c r="D575" s="8"/>
      <c r="E575" s="8"/>
      <c r="F575" s="8"/>
      <c r="G575" s="8"/>
      <c r="H575" s="8"/>
    </row>
    <row r="576" spans="1:8" x14ac:dyDescent="0.25">
      <c r="A576" s="11"/>
      <c r="B576" s="8"/>
      <c r="C576" s="8"/>
      <c r="D576" s="8"/>
      <c r="E576" s="8"/>
      <c r="F576" s="8"/>
      <c r="G576" s="8"/>
      <c r="H576" s="8"/>
    </row>
    <row r="577" spans="1:8" x14ac:dyDescent="0.25">
      <c r="A577" s="11"/>
      <c r="B577" s="8"/>
      <c r="C577" s="8"/>
      <c r="D577" s="8"/>
      <c r="E577" s="8"/>
      <c r="F577" s="8"/>
      <c r="G577" s="8"/>
      <c r="H577" s="8"/>
    </row>
    <row r="578" spans="1:8" x14ac:dyDescent="0.25">
      <c r="A578" s="11"/>
      <c r="B578" s="8"/>
      <c r="C578" s="8"/>
      <c r="D578" s="8"/>
      <c r="E578" s="8"/>
      <c r="F578" s="8"/>
      <c r="G578" s="8"/>
      <c r="H578" s="8"/>
    </row>
    <row r="579" spans="1:8" x14ac:dyDescent="0.25">
      <c r="A579" s="11"/>
      <c r="B579" s="8"/>
      <c r="C579" s="8"/>
      <c r="D579" s="8"/>
      <c r="E579" s="8"/>
      <c r="F579" s="8"/>
      <c r="G579" s="8"/>
      <c r="H579" s="8"/>
    </row>
    <row r="580" spans="1:8" x14ac:dyDescent="0.25">
      <c r="A580" s="11"/>
      <c r="B580" s="8"/>
      <c r="C580" s="8"/>
      <c r="D580" s="8"/>
      <c r="E580" s="8"/>
      <c r="F580" s="8"/>
      <c r="G580" s="8"/>
      <c r="H580" s="8"/>
    </row>
    <row r="581" spans="1:8" x14ac:dyDescent="0.25">
      <c r="A581" s="11"/>
      <c r="B581" s="8"/>
      <c r="C581" s="8"/>
      <c r="D581" s="8"/>
      <c r="E581" s="8"/>
      <c r="F581" s="8"/>
      <c r="G581" s="8"/>
      <c r="H581" s="8"/>
    </row>
    <row r="582" spans="1:8" x14ac:dyDescent="0.25">
      <c r="A582" s="11"/>
      <c r="B582" s="8"/>
      <c r="C582" s="8"/>
      <c r="D582" s="8"/>
      <c r="E582" s="8"/>
      <c r="F582" s="8"/>
      <c r="G582" s="8"/>
      <c r="H582" s="8"/>
    </row>
    <row r="583" spans="1:8" x14ac:dyDescent="0.25">
      <c r="A583" s="11"/>
      <c r="B583" s="8"/>
      <c r="C583" s="8"/>
      <c r="D583" s="8"/>
      <c r="E583" s="8"/>
      <c r="F583" s="8"/>
      <c r="G583" s="8"/>
      <c r="H583" s="8"/>
    </row>
    <row r="584" spans="1:8" x14ac:dyDescent="0.25">
      <c r="A584" s="11"/>
      <c r="B584" s="8"/>
      <c r="C584" s="8"/>
      <c r="D584" s="8"/>
      <c r="E584" s="8"/>
      <c r="F584" s="8"/>
      <c r="G584" s="8"/>
      <c r="H584" s="8"/>
    </row>
    <row r="585" spans="1:8" x14ac:dyDescent="0.25">
      <c r="A585" s="11"/>
      <c r="B585" s="8"/>
      <c r="C585" s="8"/>
      <c r="D585" s="8"/>
      <c r="E585" s="8"/>
      <c r="F585" s="8"/>
      <c r="G585" s="8"/>
      <c r="H585" s="8"/>
    </row>
    <row r="586" spans="1:8" x14ac:dyDescent="0.25">
      <c r="A586" s="11"/>
      <c r="B586" s="8"/>
      <c r="C586" s="8"/>
      <c r="D586" s="8"/>
      <c r="E586" s="8"/>
      <c r="F586" s="8"/>
      <c r="G586" s="8"/>
      <c r="H586" s="8"/>
    </row>
    <row r="587" spans="1:8" x14ac:dyDescent="0.25">
      <c r="A587" s="11"/>
      <c r="B587" s="8"/>
      <c r="C587" s="8"/>
      <c r="D587" s="8"/>
      <c r="E587" s="8"/>
      <c r="F587" s="8"/>
      <c r="G587" s="8"/>
      <c r="H587" s="8"/>
    </row>
    <row r="588" spans="1:8" x14ac:dyDescent="0.25">
      <c r="A588" s="11"/>
      <c r="B588" s="8"/>
      <c r="C588" s="8"/>
      <c r="D588" s="8"/>
      <c r="E588" s="8"/>
      <c r="F588" s="8"/>
      <c r="G588" s="8"/>
      <c r="H588" s="8"/>
    </row>
    <row r="589" spans="1:8" x14ac:dyDescent="0.25">
      <c r="A589" s="11"/>
      <c r="B589" s="8"/>
      <c r="C589" s="8"/>
      <c r="D589" s="8"/>
      <c r="E589" s="8"/>
      <c r="F589" s="8"/>
      <c r="G589" s="8"/>
      <c r="H589" s="8"/>
    </row>
    <row r="590" spans="1:8" x14ac:dyDescent="0.25">
      <c r="A590" s="11"/>
      <c r="B590" s="8"/>
      <c r="C590" s="8"/>
      <c r="D590" s="8"/>
      <c r="E590" s="8"/>
      <c r="F590" s="8"/>
      <c r="G590" s="8"/>
      <c r="H590" s="8"/>
    </row>
    <row r="591" spans="1:8" x14ac:dyDescent="0.25">
      <c r="A591" s="11"/>
      <c r="B591" s="8"/>
      <c r="C591" s="8"/>
      <c r="D591" s="8"/>
      <c r="E591" s="8"/>
      <c r="F591" s="8"/>
      <c r="G591" s="8"/>
      <c r="H591" s="8"/>
    </row>
    <row r="592" spans="1:8" x14ac:dyDescent="0.25">
      <c r="A592" s="11"/>
      <c r="B592" s="8"/>
      <c r="C592" s="8"/>
      <c r="D592" s="8"/>
      <c r="E592" s="8"/>
      <c r="F592" s="8"/>
      <c r="G592" s="8"/>
      <c r="H592" s="8"/>
    </row>
    <row r="593" spans="1:8" x14ac:dyDescent="0.25">
      <c r="A593" s="11"/>
      <c r="B593" s="8"/>
      <c r="C593" s="8"/>
      <c r="D593" s="8"/>
      <c r="E593" s="8"/>
      <c r="F593" s="8"/>
      <c r="G593" s="8"/>
      <c r="H593" s="8"/>
    </row>
    <row r="594" spans="1:8" x14ac:dyDescent="0.25">
      <c r="A594" s="11"/>
      <c r="B594" s="8"/>
      <c r="C594" s="8"/>
      <c r="D594" s="8"/>
      <c r="E594" s="8"/>
      <c r="F594" s="8"/>
      <c r="G594" s="8"/>
      <c r="H594" s="8"/>
    </row>
    <row r="595" spans="1:8" x14ac:dyDescent="0.25">
      <c r="A595" s="11"/>
      <c r="B595" s="8"/>
      <c r="C595" s="8"/>
      <c r="D595" s="8"/>
      <c r="E595" s="8"/>
      <c r="F595" s="8"/>
      <c r="G595" s="8"/>
      <c r="H595" s="8"/>
    </row>
    <row r="596" spans="1:8" x14ac:dyDescent="0.25">
      <c r="A596" s="11"/>
      <c r="B596" s="8"/>
      <c r="C596" s="8"/>
      <c r="D596" s="8"/>
      <c r="E596" s="8"/>
      <c r="F596" s="8"/>
      <c r="G596" s="8"/>
      <c r="H596" s="8"/>
    </row>
    <row r="597" spans="1:8" x14ac:dyDescent="0.25">
      <c r="A597" s="11"/>
      <c r="B597" s="8"/>
      <c r="C597" s="8"/>
      <c r="D597" s="8"/>
      <c r="E597" s="8"/>
      <c r="F597" s="8"/>
      <c r="G597" s="8"/>
      <c r="H597" s="8"/>
    </row>
    <row r="598" spans="1:8" x14ac:dyDescent="0.25">
      <c r="A598" s="11"/>
      <c r="B598" s="8"/>
      <c r="C598" s="8"/>
      <c r="D598" s="8"/>
      <c r="E598" s="8"/>
      <c r="F598" s="8"/>
      <c r="G598" s="8"/>
      <c r="H598" s="8"/>
    </row>
    <row r="599" spans="1:8" x14ac:dyDescent="0.25">
      <c r="A599" s="11"/>
      <c r="B599" s="8"/>
      <c r="C599" s="8"/>
      <c r="D599" s="8"/>
      <c r="E599" s="8"/>
      <c r="F599" s="8"/>
      <c r="G599" s="8"/>
      <c r="H599" s="8"/>
    </row>
    <row r="600" spans="1:8" x14ac:dyDescent="0.25">
      <c r="A600" s="11"/>
      <c r="B600" s="8"/>
      <c r="C600" s="8"/>
      <c r="D600" s="8"/>
      <c r="E600" s="8"/>
      <c r="F600" s="8"/>
      <c r="G600" s="8"/>
      <c r="H600" s="8"/>
    </row>
    <row r="601" spans="1:8" x14ac:dyDescent="0.25">
      <c r="A601" s="11"/>
      <c r="B601" s="8"/>
      <c r="C601" s="8"/>
      <c r="D601" s="8"/>
      <c r="E601" s="8"/>
      <c r="F601" s="8"/>
      <c r="G601" s="8"/>
      <c r="H601" s="8"/>
    </row>
    <row r="602" spans="1:8" x14ac:dyDescent="0.25">
      <c r="A602" s="11"/>
      <c r="B602" s="8"/>
      <c r="C602" s="8"/>
      <c r="D602" s="8"/>
      <c r="E602" s="8"/>
      <c r="F602" s="8"/>
      <c r="G602" s="8"/>
      <c r="H602" s="8"/>
    </row>
    <row r="603" spans="1:8" x14ac:dyDescent="0.25">
      <c r="A603" s="11"/>
      <c r="B603" s="8"/>
      <c r="C603" s="8"/>
      <c r="D603" s="8"/>
      <c r="E603" s="8"/>
      <c r="F603" s="8"/>
      <c r="G603" s="8"/>
      <c r="H603" s="8"/>
    </row>
    <row r="604" spans="1:8" x14ac:dyDescent="0.25">
      <c r="A604" s="11"/>
      <c r="B604" s="8"/>
      <c r="C604" s="8"/>
      <c r="D604" s="8"/>
      <c r="E604" s="8"/>
      <c r="F604" s="8"/>
      <c r="G604" s="8"/>
      <c r="H604" s="8"/>
    </row>
    <row r="605" spans="1:8" x14ac:dyDescent="0.25">
      <c r="A605" s="11"/>
      <c r="B605" s="8"/>
      <c r="C605" s="8"/>
      <c r="D605" s="8"/>
      <c r="E605" s="8"/>
      <c r="F605" s="8"/>
      <c r="G605" s="8"/>
      <c r="H605" s="8"/>
    </row>
    <row r="606" spans="1:8" x14ac:dyDescent="0.25">
      <c r="A606" s="11"/>
      <c r="B606" s="8"/>
      <c r="C606" s="8"/>
      <c r="D606" s="8"/>
      <c r="E606" s="8"/>
      <c r="F606" s="8"/>
      <c r="G606" s="8"/>
      <c r="H606" s="8"/>
    </row>
    <row r="607" spans="1:8" x14ac:dyDescent="0.25">
      <c r="A607" s="11"/>
      <c r="B607" s="8"/>
      <c r="C607" s="8"/>
      <c r="D607" s="8"/>
      <c r="E607" s="8"/>
      <c r="F607" s="8"/>
      <c r="G607" s="8"/>
      <c r="H607" s="8"/>
    </row>
    <row r="608" spans="1:8" x14ac:dyDescent="0.25">
      <c r="A608" s="11"/>
      <c r="B608" s="8"/>
      <c r="C608" s="8"/>
      <c r="D608" s="8"/>
      <c r="E608" s="8"/>
      <c r="F608" s="8"/>
      <c r="G608" s="8"/>
      <c r="H608" s="8"/>
    </row>
    <row r="609" spans="1:8" x14ac:dyDescent="0.25">
      <c r="A609" s="11"/>
      <c r="B609" s="8"/>
      <c r="C609" s="8"/>
      <c r="D609" s="8"/>
      <c r="E609" s="8"/>
      <c r="F609" s="8"/>
      <c r="G609" s="8"/>
      <c r="H609" s="8"/>
    </row>
    <row r="610" spans="1:8" x14ac:dyDescent="0.25">
      <c r="A610" s="11"/>
      <c r="B610" s="8"/>
      <c r="C610" s="8"/>
      <c r="D610" s="8"/>
      <c r="E610" s="8"/>
      <c r="F610" s="8"/>
      <c r="G610" s="8"/>
      <c r="H610" s="8"/>
    </row>
    <row r="611" spans="1:8" x14ac:dyDescent="0.25">
      <c r="A611" s="11"/>
      <c r="B611" s="8"/>
      <c r="C611" s="8"/>
      <c r="D611" s="8"/>
      <c r="E611" s="8"/>
      <c r="F611" s="8"/>
      <c r="G611" s="8"/>
      <c r="H611" s="8"/>
    </row>
    <row r="612" spans="1:8" x14ac:dyDescent="0.25">
      <c r="A612" s="11"/>
      <c r="B612" s="8"/>
      <c r="C612" s="8"/>
      <c r="D612" s="8"/>
      <c r="E612" s="8"/>
      <c r="F612" s="8"/>
      <c r="G612" s="8"/>
      <c r="H612" s="8"/>
    </row>
    <row r="613" spans="1:8" x14ac:dyDescent="0.25">
      <c r="A613" s="11"/>
      <c r="B613" s="8"/>
      <c r="C613" s="8"/>
      <c r="D613" s="8"/>
      <c r="E613" s="8"/>
      <c r="F613" s="8"/>
      <c r="G613" s="8"/>
      <c r="H613" s="8"/>
    </row>
    <row r="614" spans="1:8" x14ac:dyDescent="0.25">
      <c r="A614" s="11"/>
      <c r="B614" s="8"/>
      <c r="C614" s="8"/>
      <c r="D614" s="8"/>
      <c r="E614" s="8"/>
      <c r="F614" s="8"/>
      <c r="G614" s="8"/>
      <c r="H614" s="8"/>
    </row>
    <row r="615" spans="1:8" x14ac:dyDescent="0.25">
      <c r="A615" s="11"/>
      <c r="B615" s="8"/>
      <c r="C615" s="8"/>
      <c r="D615" s="8"/>
      <c r="E615" s="8"/>
      <c r="F615" s="8"/>
      <c r="G615" s="8"/>
      <c r="H615" s="8"/>
    </row>
    <row r="616" spans="1:8" x14ac:dyDescent="0.25">
      <c r="A616" s="11"/>
      <c r="B616" s="8"/>
      <c r="C616" s="8"/>
      <c r="D616" s="8"/>
      <c r="E616" s="8"/>
      <c r="F616" s="8"/>
      <c r="G616" s="8"/>
      <c r="H616" s="8"/>
    </row>
    <row r="617" spans="1:8" x14ac:dyDescent="0.25">
      <c r="A617" s="11"/>
      <c r="B617" s="8"/>
      <c r="C617" s="8"/>
      <c r="D617" s="8"/>
      <c r="E617" s="8"/>
      <c r="F617" s="8"/>
      <c r="G617" s="8"/>
      <c r="H617" s="8"/>
    </row>
    <row r="618" spans="1:8" x14ac:dyDescent="0.25">
      <c r="A618" s="11"/>
      <c r="B618" s="8"/>
      <c r="C618" s="8"/>
      <c r="D618" s="8"/>
      <c r="E618" s="8"/>
      <c r="F618" s="8"/>
      <c r="G618" s="8"/>
      <c r="H618" s="8"/>
    </row>
    <row r="619" spans="1:8" x14ac:dyDescent="0.25">
      <c r="A619" s="11"/>
      <c r="B619" s="8"/>
      <c r="C619" s="8"/>
      <c r="D619" s="8"/>
      <c r="E619" s="8"/>
      <c r="F619" s="8"/>
      <c r="G619" s="8"/>
      <c r="H619" s="8"/>
    </row>
    <row r="620" spans="1:8" x14ac:dyDescent="0.25">
      <c r="A620" s="11"/>
      <c r="B620" s="8"/>
      <c r="C620" s="8"/>
      <c r="D620" s="8"/>
      <c r="E620" s="8"/>
      <c r="F620" s="8"/>
      <c r="G620" s="8"/>
      <c r="H620" s="8"/>
    </row>
    <row r="621" spans="1:8" x14ac:dyDescent="0.25">
      <c r="A621" s="11"/>
      <c r="B621" s="8"/>
      <c r="C621" s="8"/>
      <c r="D621" s="8"/>
      <c r="E621" s="8"/>
      <c r="F621" s="8"/>
      <c r="G621" s="8"/>
      <c r="H621" s="8"/>
    </row>
    <row r="622" spans="1:8" x14ac:dyDescent="0.25">
      <c r="A622" s="11"/>
      <c r="B622" s="8"/>
      <c r="C622" s="8"/>
      <c r="D622" s="8"/>
      <c r="E622" s="8"/>
      <c r="F622" s="8"/>
      <c r="G622" s="8"/>
      <c r="H622" s="8"/>
    </row>
    <row r="623" spans="1:8" x14ac:dyDescent="0.25">
      <c r="A623" s="11"/>
      <c r="B623" s="8"/>
      <c r="C623" s="8"/>
      <c r="D623" s="8"/>
      <c r="E623" s="8"/>
      <c r="F623" s="8"/>
      <c r="G623" s="8"/>
      <c r="H623" s="8"/>
    </row>
    <row r="624" spans="1:8" x14ac:dyDescent="0.25">
      <c r="A624" s="11"/>
      <c r="B624" s="8"/>
      <c r="C624" s="8"/>
      <c r="D624" s="8"/>
      <c r="E624" s="8"/>
      <c r="F624" s="8"/>
      <c r="G624" s="8"/>
      <c r="H624" s="8"/>
    </row>
    <row r="625" spans="1:8" x14ac:dyDescent="0.25">
      <c r="A625" s="11"/>
      <c r="B625" s="8"/>
      <c r="C625" s="8"/>
      <c r="D625" s="8"/>
      <c r="E625" s="8"/>
      <c r="F625" s="8"/>
      <c r="G625" s="8"/>
      <c r="H625" s="8"/>
    </row>
    <row r="626" spans="1:8" x14ac:dyDescent="0.25">
      <c r="A626" s="11"/>
      <c r="B626" s="8"/>
      <c r="C626" s="8"/>
      <c r="D626" s="8"/>
      <c r="E626" s="8"/>
      <c r="F626" s="8"/>
      <c r="G626" s="8"/>
      <c r="H626" s="8"/>
    </row>
    <row r="627" spans="1:8" x14ac:dyDescent="0.25">
      <c r="A627" s="11"/>
      <c r="B627" s="8"/>
      <c r="C627" s="8"/>
      <c r="D627" s="8"/>
      <c r="E627" s="8"/>
      <c r="F627" s="8"/>
      <c r="G627" s="8"/>
      <c r="H627" s="8"/>
    </row>
    <row r="628" spans="1:8" x14ac:dyDescent="0.25">
      <c r="A628" s="11"/>
      <c r="B628" s="8"/>
      <c r="C628" s="8"/>
      <c r="D628" s="8"/>
      <c r="E628" s="8"/>
      <c r="F628" s="8"/>
      <c r="G628" s="8"/>
      <c r="H628" s="8"/>
    </row>
    <row r="629" spans="1:8" x14ac:dyDescent="0.25">
      <c r="A629" s="11"/>
      <c r="B629" s="8"/>
      <c r="C629" s="8"/>
      <c r="D629" s="8"/>
      <c r="E629" s="8"/>
      <c r="F629" s="8"/>
      <c r="G629" s="8"/>
      <c r="H629" s="8"/>
    </row>
    <row r="630" spans="1:8" x14ac:dyDescent="0.25">
      <c r="A630" s="11"/>
      <c r="B630" s="8"/>
      <c r="C630" s="8"/>
      <c r="D630" s="8"/>
      <c r="E630" s="8"/>
      <c r="F630" s="8"/>
      <c r="G630" s="8"/>
      <c r="H630" s="8"/>
    </row>
    <row r="631" spans="1:8" x14ac:dyDescent="0.25">
      <c r="A631" s="11"/>
      <c r="B631" s="8"/>
      <c r="C631" s="8"/>
      <c r="D631" s="8"/>
      <c r="E631" s="8"/>
      <c r="F631" s="8"/>
      <c r="G631" s="8"/>
      <c r="H631" s="8"/>
    </row>
    <row r="632" spans="1:8" x14ac:dyDescent="0.25">
      <c r="A632" s="11"/>
      <c r="B632" s="8"/>
      <c r="C632" s="8"/>
      <c r="D632" s="8"/>
      <c r="E632" s="8"/>
      <c r="F632" s="8"/>
      <c r="G632" s="8"/>
      <c r="H632" s="8"/>
    </row>
    <row r="633" spans="1:8" x14ac:dyDescent="0.25">
      <c r="A633" s="11"/>
      <c r="B633" s="8"/>
      <c r="C633" s="8"/>
      <c r="D633" s="8"/>
      <c r="E633" s="8"/>
      <c r="F633" s="8"/>
      <c r="G633" s="8"/>
      <c r="H633" s="8"/>
    </row>
    <row r="634" spans="1:8" x14ac:dyDescent="0.25">
      <c r="A634" s="11"/>
      <c r="B634" s="8"/>
      <c r="C634" s="8"/>
      <c r="D634" s="8"/>
      <c r="E634" s="8"/>
      <c r="F634" s="8"/>
      <c r="G634" s="8"/>
      <c r="H634" s="8"/>
    </row>
    <row r="635" spans="1:8" x14ac:dyDescent="0.25">
      <c r="A635" s="11"/>
      <c r="B635" s="8"/>
      <c r="C635" s="8"/>
      <c r="D635" s="8"/>
      <c r="E635" s="8"/>
      <c r="F635" s="8"/>
      <c r="G635" s="8"/>
      <c r="H635" s="8"/>
    </row>
    <row r="636" spans="1:8" x14ac:dyDescent="0.25">
      <c r="A636" s="11"/>
      <c r="B636" s="8"/>
      <c r="C636" s="8"/>
      <c r="D636" s="8"/>
      <c r="E636" s="8"/>
      <c r="F636" s="8"/>
      <c r="G636" s="8"/>
      <c r="H636" s="8"/>
    </row>
    <row r="637" spans="1:8" x14ac:dyDescent="0.25">
      <c r="A637" s="11"/>
      <c r="B637" s="8"/>
      <c r="C637" s="8"/>
      <c r="D637" s="8"/>
      <c r="E637" s="8"/>
      <c r="F637" s="8"/>
      <c r="G637" s="8"/>
      <c r="H637" s="8"/>
    </row>
    <row r="638" spans="1:8" x14ac:dyDescent="0.25">
      <c r="A638" s="11"/>
      <c r="B638" s="8"/>
      <c r="C638" s="8"/>
      <c r="D638" s="8"/>
      <c r="E638" s="8"/>
      <c r="F638" s="8"/>
      <c r="G638" s="8"/>
      <c r="H638" s="8"/>
    </row>
    <row r="639" spans="1:8" x14ac:dyDescent="0.25">
      <c r="A639" s="11"/>
      <c r="B639" s="8"/>
      <c r="C639" s="8"/>
      <c r="D639" s="8"/>
      <c r="E639" s="8"/>
      <c r="F639" s="8"/>
      <c r="G639" s="8"/>
      <c r="H639" s="8"/>
    </row>
    <row r="640" spans="1:8" x14ac:dyDescent="0.25">
      <c r="A640" s="11"/>
      <c r="B640" s="8"/>
      <c r="C640" s="8"/>
      <c r="D640" s="8"/>
      <c r="E640" s="8"/>
      <c r="F640" s="8"/>
      <c r="G640" s="8"/>
      <c r="H640" s="8"/>
    </row>
    <row r="641" spans="1:8" x14ac:dyDescent="0.25">
      <c r="A641" s="11"/>
      <c r="B641" s="8"/>
      <c r="C641" s="8"/>
      <c r="D641" s="8"/>
      <c r="E641" s="8"/>
      <c r="F641" s="8"/>
      <c r="G641" s="8"/>
      <c r="H641" s="8"/>
    </row>
    <row r="642" spans="1:8" x14ac:dyDescent="0.25">
      <c r="A642" s="11"/>
      <c r="B642" s="8"/>
      <c r="C642" s="8"/>
      <c r="D642" s="8"/>
      <c r="E642" s="8"/>
      <c r="F642" s="8"/>
      <c r="G642" s="8"/>
      <c r="H642" s="8"/>
    </row>
    <row r="643" spans="1:8" x14ac:dyDescent="0.25">
      <c r="A643" s="11"/>
      <c r="B643" s="8"/>
      <c r="C643" s="8"/>
      <c r="D643" s="8"/>
      <c r="E643" s="8"/>
      <c r="F643" s="8"/>
      <c r="G643" s="8"/>
      <c r="H643" s="8"/>
    </row>
    <row r="644" spans="1:8" x14ac:dyDescent="0.25">
      <c r="A644" s="11"/>
      <c r="B644" s="8"/>
      <c r="C644" s="8"/>
      <c r="D644" s="8"/>
      <c r="E644" s="8"/>
      <c r="F644" s="8"/>
      <c r="G644" s="8"/>
      <c r="H644" s="8"/>
    </row>
    <row r="645" spans="1:8" x14ac:dyDescent="0.25">
      <c r="A645" s="11"/>
      <c r="B645" s="8"/>
      <c r="C645" s="8"/>
      <c r="D645" s="8"/>
      <c r="E645" s="8"/>
      <c r="F645" s="8"/>
      <c r="G645" s="8"/>
      <c r="H645" s="8"/>
    </row>
    <row r="646" spans="1:8" x14ac:dyDescent="0.25">
      <c r="A646" s="11"/>
      <c r="B646" s="8"/>
      <c r="C646" s="8"/>
      <c r="D646" s="8"/>
      <c r="E646" s="8"/>
      <c r="F646" s="8"/>
      <c r="G646" s="8"/>
      <c r="H646" s="8"/>
    </row>
    <row r="647" spans="1:8" x14ac:dyDescent="0.25">
      <c r="A647" s="11"/>
      <c r="B647" s="8"/>
      <c r="C647" s="8"/>
      <c r="D647" s="8"/>
      <c r="E647" s="8"/>
      <c r="F647" s="8"/>
      <c r="G647" s="8"/>
      <c r="H647" s="8"/>
    </row>
    <row r="648" spans="1:8" x14ac:dyDescent="0.25">
      <c r="A648" s="11"/>
      <c r="B648" s="8"/>
      <c r="C648" s="8"/>
      <c r="D648" s="8"/>
      <c r="E648" s="8"/>
      <c r="F648" s="8"/>
      <c r="G648" s="8"/>
      <c r="H648" s="8"/>
    </row>
    <row r="649" spans="1:8" x14ac:dyDescent="0.25">
      <c r="A649" s="11"/>
      <c r="B649" s="8"/>
      <c r="C649" s="8"/>
      <c r="D649" s="8"/>
      <c r="E649" s="8"/>
      <c r="F649" s="8"/>
      <c r="G649" s="8"/>
      <c r="H649" s="8"/>
    </row>
    <row r="650" spans="1:8" x14ac:dyDescent="0.25">
      <c r="A650" s="11"/>
      <c r="B650" s="8"/>
      <c r="C650" s="8"/>
      <c r="D650" s="8"/>
      <c r="E650" s="8"/>
      <c r="F650" s="8"/>
      <c r="G650" s="8"/>
      <c r="H650" s="8"/>
    </row>
    <row r="651" spans="1:8" x14ac:dyDescent="0.25">
      <c r="A651" s="11"/>
      <c r="B651" s="8"/>
      <c r="C651" s="8"/>
      <c r="D651" s="8"/>
      <c r="E651" s="8"/>
      <c r="F651" s="8"/>
      <c r="G651" s="8"/>
      <c r="H651" s="8"/>
    </row>
    <row r="652" spans="1:8" x14ac:dyDescent="0.25">
      <c r="A652" s="11"/>
      <c r="B652" s="8"/>
      <c r="C652" s="8"/>
      <c r="D652" s="8"/>
      <c r="E652" s="8"/>
      <c r="F652" s="8"/>
      <c r="G652" s="8"/>
      <c r="H652" s="8"/>
    </row>
    <row r="653" spans="1:8" x14ac:dyDescent="0.25">
      <c r="A653" s="11"/>
      <c r="B653" s="8"/>
      <c r="C653" s="8"/>
      <c r="D653" s="8"/>
      <c r="E653" s="8"/>
      <c r="F653" s="8"/>
      <c r="G653" s="8"/>
      <c r="H653" s="8"/>
    </row>
    <row r="654" spans="1:8" x14ac:dyDescent="0.25">
      <c r="A654" s="11"/>
      <c r="B654" s="8"/>
      <c r="C654" s="8"/>
      <c r="D654" s="8"/>
      <c r="E654" s="8"/>
      <c r="F654" s="8"/>
      <c r="G654" s="8"/>
      <c r="H654" s="8"/>
    </row>
    <row r="655" spans="1:8" x14ac:dyDescent="0.25">
      <c r="A655" s="11"/>
      <c r="B655" s="8"/>
      <c r="C655" s="8"/>
      <c r="D655" s="8"/>
      <c r="E655" s="8"/>
      <c r="F655" s="8"/>
      <c r="G655" s="8"/>
      <c r="H655" s="8"/>
    </row>
    <row r="656" spans="1:8" x14ac:dyDescent="0.25">
      <c r="A656" s="11"/>
      <c r="B656" s="8"/>
      <c r="C656" s="8"/>
      <c r="D656" s="8"/>
      <c r="E656" s="8"/>
      <c r="F656" s="8"/>
      <c r="G656" s="8"/>
      <c r="H656" s="8"/>
    </row>
    <row r="657" spans="1:8" x14ac:dyDescent="0.25">
      <c r="A657" s="11"/>
      <c r="B657" s="8"/>
      <c r="C657" s="8"/>
      <c r="D657" s="8"/>
      <c r="E657" s="8"/>
      <c r="F657" s="8"/>
      <c r="G657" s="8"/>
      <c r="H657" s="8"/>
    </row>
    <row r="658" spans="1:8" x14ac:dyDescent="0.25">
      <c r="A658" s="11"/>
      <c r="B658" s="8"/>
      <c r="C658" s="8"/>
      <c r="D658" s="8"/>
      <c r="E658" s="8"/>
      <c r="F658" s="8"/>
      <c r="G658" s="8"/>
      <c r="H658" s="8"/>
    </row>
    <row r="659" spans="1:8" x14ac:dyDescent="0.25">
      <c r="A659" s="11"/>
      <c r="B659" s="8"/>
      <c r="C659" s="8"/>
      <c r="D659" s="8"/>
      <c r="E659" s="8"/>
      <c r="F659" s="8"/>
      <c r="G659" s="8"/>
      <c r="H659" s="8"/>
    </row>
    <row r="660" spans="1:8" x14ac:dyDescent="0.25">
      <c r="A660" s="11"/>
      <c r="B660" s="8"/>
      <c r="C660" s="8"/>
      <c r="D660" s="8"/>
      <c r="E660" s="8"/>
      <c r="F660" s="8"/>
      <c r="G660" s="8"/>
      <c r="H660" s="8"/>
    </row>
    <row r="661" spans="1:8" x14ac:dyDescent="0.25">
      <c r="A661" s="11"/>
      <c r="B661" s="8"/>
      <c r="C661" s="8"/>
      <c r="D661" s="8"/>
      <c r="E661" s="8"/>
      <c r="F661" s="8"/>
      <c r="G661" s="8"/>
      <c r="H661" s="8"/>
    </row>
    <row r="662" spans="1:8" x14ac:dyDescent="0.25">
      <c r="A662" s="11"/>
      <c r="B662" s="8"/>
      <c r="C662" s="8"/>
      <c r="D662" s="8"/>
      <c r="E662" s="8"/>
      <c r="F662" s="8"/>
      <c r="G662" s="8"/>
      <c r="H662" s="8"/>
    </row>
    <row r="663" spans="1:8" x14ac:dyDescent="0.25">
      <c r="A663" s="11"/>
      <c r="B663" s="8"/>
      <c r="C663" s="8"/>
      <c r="D663" s="8"/>
      <c r="E663" s="8"/>
      <c r="F663" s="8"/>
      <c r="G663" s="8"/>
      <c r="H663" s="8"/>
    </row>
    <row r="664" spans="1:8" x14ac:dyDescent="0.25">
      <c r="A664" s="11"/>
      <c r="B664" s="8"/>
      <c r="C664" s="8"/>
      <c r="D664" s="8"/>
      <c r="E664" s="8"/>
      <c r="F664" s="8"/>
      <c r="G664" s="8"/>
      <c r="H664" s="8"/>
    </row>
    <row r="665" spans="1:8" x14ac:dyDescent="0.25">
      <c r="A665" s="11"/>
      <c r="B665" s="8"/>
      <c r="C665" s="8"/>
      <c r="D665" s="8"/>
      <c r="E665" s="8"/>
      <c r="F665" s="8"/>
      <c r="G665" s="8"/>
      <c r="H665" s="8"/>
    </row>
    <row r="666" spans="1:8" x14ac:dyDescent="0.25">
      <c r="A666" s="11"/>
      <c r="B666" s="8"/>
      <c r="C666" s="8"/>
      <c r="D666" s="8"/>
      <c r="E666" s="8"/>
      <c r="F666" s="8"/>
      <c r="G666" s="8"/>
      <c r="H666" s="8"/>
    </row>
    <row r="667" spans="1:8" x14ac:dyDescent="0.25">
      <c r="A667" s="11"/>
      <c r="B667" s="8"/>
      <c r="C667" s="8"/>
      <c r="D667" s="8"/>
      <c r="E667" s="8"/>
      <c r="F667" s="8"/>
      <c r="G667" s="8"/>
      <c r="H667" s="8"/>
    </row>
    <row r="668" spans="1:8" x14ac:dyDescent="0.25">
      <c r="A668" s="11"/>
      <c r="B668" s="8"/>
      <c r="C668" s="8"/>
      <c r="D668" s="8"/>
      <c r="E668" s="8"/>
      <c r="F668" s="8"/>
      <c r="G668" s="8"/>
      <c r="H668" s="8"/>
    </row>
    <row r="669" spans="1:8" x14ac:dyDescent="0.25">
      <c r="A669" s="11"/>
      <c r="B669" s="8"/>
      <c r="C669" s="8"/>
      <c r="D669" s="8"/>
      <c r="E669" s="8"/>
      <c r="F669" s="8"/>
      <c r="G669" s="8"/>
      <c r="H669" s="8"/>
    </row>
    <row r="670" spans="1:8" x14ac:dyDescent="0.25">
      <c r="A670" s="11"/>
      <c r="B670" s="8"/>
      <c r="C670" s="8"/>
      <c r="D670" s="8"/>
      <c r="E670" s="8"/>
      <c r="F670" s="8"/>
      <c r="G670" s="8"/>
      <c r="H670" s="8"/>
    </row>
    <row r="671" spans="1:8" x14ac:dyDescent="0.25">
      <c r="A671" s="11"/>
      <c r="B671" s="8"/>
      <c r="C671" s="8"/>
      <c r="D671" s="8"/>
      <c r="E671" s="8"/>
      <c r="F671" s="8"/>
      <c r="G671" s="8"/>
      <c r="H671" s="8"/>
    </row>
    <row r="672" spans="1:8" x14ac:dyDescent="0.25">
      <c r="A672" s="11"/>
      <c r="B672" s="8"/>
      <c r="C672" s="8"/>
      <c r="D672" s="8"/>
      <c r="E672" s="8"/>
      <c r="F672" s="8"/>
      <c r="G672" s="8"/>
      <c r="H672" s="8"/>
    </row>
    <row r="673" spans="1:8" x14ac:dyDescent="0.25">
      <c r="A673" s="11"/>
      <c r="B673" s="8"/>
      <c r="C673" s="8"/>
      <c r="D673" s="8"/>
      <c r="E673" s="8"/>
      <c r="F673" s="8"/>
      <c r="G673" s="8"/>
      <c r="H673" s="8"/>
    </row>
    <row r="674" spans="1:8" x14ac:dyDescent="0.25">
      <c r="A674" s="11"/>
      <c r="B674" s="8"/>
      <c r="C674" s="8"/>
      <c r="D674" s="8"/>
      <c r="E674" s="8"/>
      <c r="F674" s="8"/>
      <c r="G674" s="8"/>
      <c r="H674" s="8"/>
    </row>
    <row r="675" spans="1:8" x14ac:dyDescent="0.25">
      <c r="A675" s="11"/>
      <c r="B675" s="8"/>
      <c r="C675" s="8"/>
      <c r="D675" s="8"/>
      <c r="E675" s="8"/>
      <c r="F675" s="8"/>
      <c r="G675" s="8"/>
      <c r="H675" s="8"/>
    </row>
    <row r="676" spans="1:8" x14ac:dyDescent="0.25">
      <c r="A676" s="11"/>
      <c r="B676" s="8"/>
      <c r="C676" s="8"/>
      <c r="D676" s="8"/>
      <c r="E676" s="8"/>
      <c r="F676" s="8"/>
      <c r="G676" s="8"/>
      <c r="H676" s="8"/>
    </row>
    <row r="677" spans="1:8" x14ac:dyDescent="0.25">
      <c r="A677" s="11"/>
      <c r="B677" s="8"/>
      <c r="C677" s="8"/>
      <c r="D677" s="8"/>
      <c r="E677" s="8"/>
      <c r="F677" s="8"/>
      <c r="G677" s="8"/>
      <c r="H677" s="8"/>
    </row>
    <row r="678" spans="1:8" x14ac:dyDescent="0.25">
      <c r="A678" s="11"/>
      <c r="B678" s="8"/>
      <c r="C678" s="8"/>
      <c r="D678" s="8"/>
      <c r="E678" s="8"/>
      <c r="F678" s="8"/>
      <c r="G678" s="8"/>
      <c r="H678" s="8"/>
    </row>
    <row r="679" spans="1:8" x14ac:dyDescent="0.25">
      <c r="A679" s="11"/>
      <c r="B679" s="8"/>
      <c r="C679" s="8"/>
      <c r="D679" s="8"/>
      <c r="E679" s="8"/>
      <c r="F679" s="8"/>
      <c r="G679" s="8"/>
      <c r="H679" s="8"/>
    </row>
    <row r="680" spans="1:8" x14ac:dyDescent="0.25">
      <c r="A680" s="11"/>
      <c r="B680" s="8"/>
      <c r="C680" s="8"/>
      <c r="D680" s="8"/>
      <c r="E680" s="8"/>
      <c r="F680" s="8"/>
      <c r="G680" s="8"/>
      <c r="H680" s="8"/>
    </row>
    <row r="681" spans="1:8" x14ac:dyDescent="0.25">
      <c r="A681" s="11"/>
      <c r="B681" s="8"/>
      <c r="C681" s="8"/>
      <c r="D681" s="8"/>
      <c r="E681" s="8"/>
      <c r="F681" s="8"/>
      <c r="G681" s="8"/>
      <c r="H681" s="8"/>
    </row>
    <row r="682" spans="1:8" x14ac:dyDescent="0.25">
      <c r="A682" s="11"/>
      <c r="B682" s="8"/>
      <c r="C682" s="8"/>
      <c r="D682" s="8"/>
      <c r="E682" s="8"/>
      <c r="F682" s="8"/>
      <c r="G682" s="8"/>
      <c r="H682" s="8"/>
    </row>
    <row r="683" spans="1:8" x14ac:dyDescent="0.25">
      <c r="A683" s="11"/>
      <c r="B683" s="8"/>
      <c r="C683" s="8"/>
      <c r="D683" s="8"/>
      <c r="E683" s="8"/>
      <c r="F683" s="8"/>
      <c r="G683" s="8"/>
      <c r="H683" s="8"/>
    </row>
    <row r="684" spans="1:8" x14ac:dyDescent="0.25">
      <c r="A684" s="11"/>
      <c r="B684" s="8"/>
      <c r="C684" s="8"/>
      <c r="D684" s="8"/>
      <c r="E684" s="8"/>
      <c r="F684" s="8"/>
      <c r="G684" s="8"/>
      <c r="H684" s="8"/>
    </row>
    <row r="685" spans="1:8" x14ac:dyDescent="0.25">
      <c r="A685" s="11"/>
      <c r="B685" s="8"/>
      <c r="C685" s="8"/>
      <c r="D685" s="8"/>
      <c r="E685" s="8"/>
      <c r="F685" s="8"/>
      <c r="G685" s="8"/>
      <c r="H685" s="8"/>
    </row>
    <row r="686" spans="1:8" x14ac:dyDescent="0.25">
      <c r="A686" s="11"/>
      <c r="B686" s="8"/>
      <c r="C686" s="8"/>
      <c r="D686" s="8"/>
      <c r="E686" s="8"/>
      <c r="F686" s="8"/>
      <c r="G686" s="8"/>
      <c r="H686" s="8"/>
    </row>
    <row r="687" spans="1:8" x14ac:dyDescent="0.25">
      <c r="A687" s="11"/>
      <c r="B687" s="8"/>
      <c r="C687" s="8"/>
      <c r="D687" s="8"/>
      <c r="E687" s="8"/>
      <c r="F687" s="8"/>
      <c r="G687" s="8"/>
      <c r="H687" s="8"/>
    </row>
    <row r="688" spans="1:8" x14ac:dyDescent="0.25">
      <c r="A688" s="11"/>
      <c r="B688" s="8"/>
      <c r="C688" s="8"/>
      <c r="D688" s="8"/>
      <c r="E688" s="8"/>
      <c r="F688" s="8"/>
      <c r="G688" s="8"/>
      <c r="H688" s="8"/>
    </row>
    <row r="689" spans="1:8" x14ac:dyDescent="0.25">
      <c r="A689" s="11"/>
      <c r="B689" s="8"/>
      <c r="C689" s="8"/>
      <c r="D689" s="8"/>
      <c r="E689" s="8"/>
      <c r="F689" s="8"/>
      <c r="G689" s="8"/>
      <c r="H689" s="8"/>
    </row>
    <row r="690" spans="1:8" x14ac:dyDescent="0.25">
      <c r="A690" s="11"/>
      <c r="B690" s="8"/>
      <c r="C690" s="8"/>
      <c r="D690" s="8"/>
      <c r="E690" s="8"/>
      <c r="F690" s="8"/>
      <c r="G690" s="8"/>
      <c r="H690" s="8"/>
    </row>
    <row r="691" spans="1:8" x14ac:dyDescent="0.25">
      <c r="A691" s="11"/>
      <c r="B691" s="8"/>
      <c r="C691" s="8"/>
      <c r="D691" s="8"/>
      <c r="E691" s="8"/>
      <c r="F691" s="8"/>
      <c r="G691" s="8"/>
      <c r="H691" s="8"/>
    </row>
    <row r="692" spans="1:8" x14ac:dyDescent="0.25">
      <c r="A692" s="11"/>
      <c r="B692" s="8"/>
      <c r="C692" s="8"/>
      <c r="D692" s="8"/>
      <c r="E692" s="8"/>
      <c r="F692" s="8"/>
      <c r="G692" s="8"/>
      <c r="H692" s="8"/>
    </row>
    <row r="693" spans="1:8" x14ac:dyDescent="0.25">
      <c r="A693" s="11"/>
      <c r="B693" s="8"/>
      <c r="C693" s="8"/>
      <c r="D693" s="8"/>
      <c r="E693" s="8"/>
      <c r="F693" s="8"/>
      <c r="G693" s="8"/>
      <c r="H693" s="8"/>
    </row>
    <row r="694" spans="1:8" x14ac:dyDescent="0.25">
      <c r="A694" s="11"/>
      <c r="B694" s="8"/>
      <c r="C694" s="8"/>
      <c r="D694" s="8"/>
      <c r="E694" s="8"/>
      <c r="F694" s="8"/>
      <c r="G694" s="8"/>
      <c r="H694" s="8"/>
    </row>
    <row r="695" spans="1:8" x14ac:dyDescent="0.25">
      <c r="A695" s="11"/>
      <c r="B695" s="8"/>
      <c r="C695" s="8"/>
      <c r="D695" s="8"/>
      <c r="E695" s="8"/>
      <c r="F695" s="8"/>
      <c r="G695" s="8"/>
      <c r="H695" s="8"/>
    </row>
    <row r="696" spans="1:8" x14ac:dyDescent="0.25">
      <c r="A696" s="11"/>
      <c r="B696" s="8"/>
      <c r="C696" s="8"/>
      <c r="D696" s="8"/>
      <c r="E696" s="8"/>
      <c r="F696" s="8"/>
      <c r="G696" s="8"/>
      <c r="H696" s="8"/>
    </row>
    <row r="697" spans="1:8" x14ac:dyDescent="0.25">
      <c r="A697" s="11"/>
      <c r="B697" s="8"/>
      <c r="C697" s="8"/>
      <c r="D697" s="8"/>
      <c r="E697" s="8"/>
      <c r="F697" s="8"/>
      <c r="G697" s="8"/>
      <c r="H697" s="8"/>
    </row>
    <row r="698" spans="1:8" x14ac:dyDescent="0.25">
      <c r="A698" s="11"/>
      <c r="B698" s="8"/>
      <c r="C698" s="8"/>
      <c r="D698" s="8"/>
      <c r="E698" s="8"/>
      <c r="F698" s="8"/>
      <c r="G698" s="8"/>
      <c r="H698" s="8"/>
    </row>
    <row r="699" spans="1:8" x14ac:dyDescent="0.25">
      <c r="A699" s="11"/>
      <c r="B699" s="8"/>
      <c r="C699" s="8"/>
      <c r="D699" s="8"/>
      <c r="E699" s="8"/>
      <c r="F699" s="8"/>
      <c r="G699" s="8"/>
      <c r="H699" s="8"/>
    </row>
    <row r="700" spans="1:8" x14ac:dyDescent="0.25">
      <c r="A700" s="11"/>
      <c r="B700" s="8"/>
      <c r="C700" s="8"/>
      <c r="D700" s="8"/>
      <c r="E700" s="8"/>
      <c r="F700" s="8"/>
      <c r="G700" s="8"/>
      <c r="H700" s="8"/>
    </row>
    <row r="701" spans="1:8" x14ac:dyDescent="0.25">
      <c r="A701" s="11"/>
      <c r="B701" s="8"/>
      <c r="C701" s="8"/>
      <c r="D701" s="8"/>
      <c r="E701" s="8"/>
      <c r="F701" s="8"/>
      <c r="G701" s="8"/>
      <c r="H701" s="8"/>
    </row>
    <row r="702" spans="1:8" x14ac:dyDescent="0.25">
      <c r="A702" s="11"/>
      <c r="B702" s="8"/>
      <c r="C702" s="8"/>
      <c r="D702" s="8"/>
      <c r="E702" s="8"/>
      <c r="F702" s="8"/>
      <c r="G702" s="8"/>
      <c r="H702" s="8"/>
    </row>
    <row r="703" spans="1:8" x14ac:dyDescent="0.25">
      <c r="A703" s="11"/>
      <c r="B703" s="8"/>
      <c r="C703" s="8"/>
      <c r="D703" s="8"/>
      <c r="E703" s="8"/>
      <c r="F703" s="8"/>
      <c r="G703" s="8"/>
      <c r="H703" s="8"/>
    </row>
    <row r="704" spans="1:8" x14ac:dyDescent="0.25">
      <c r="A704" s="11"/>
      <c r="B704" s="8"/>
      <c r="C704" s="8"/>
      <c r="D704" s="8"/>
      <c r="E704" s="8"/>
      <c r="F704" s="8"/>
      <c r="G704" s="8"/>
      <c r="H704" s="8"/>
    </row>
    <row r="705" spans="1:8" x14ac:dyDescent="0.25">
      <c r="A705" s="11"/>
      <c r="B705" s="8"/>
      <c r="C705" s="8"/>
      <c r="D705" s="8"/>
      <c r="E705" s="8"/>
      <c r="F705" s="8"/>
      <c r="G705" s="8"/>
      <c r="H705" s="8"/>
    </row>
    <row r="706" spans="1:8" x14ac:dyDescent="0.25">
      <c r="A706" s="11"/>
      <c r="B706" s="8"/>
      <c r="C706" s="8"/>
      <c r="D706" s="8"/>
      <c r="E706" s="8"/>
      <c r="F706" s="8"/>
      <c r="G706" s="8"/>
      <c r="H706" s="8"/>
    </row>
    <row r="707" spans="1:8" x14ac:dyDescent="0.25">
      <c r="A707" s="11"/>
      <c r="B707" s="8"/>
      <c r="C707" s="8"/>
      <c r="D707" s="8"/>
      <c r="E707" s="8"/>
      <c r="F707" s="8"/>
      <c r="G707" s="8"/>
      <c r="H707" s="8"/>
    </row>
    <row r="708" spans="1:8" x14ac:dyDescent="0.25">
      <c r="A708" s="11"/>
      <c r="B708" s="8"/>
      <c r="C708" s="8"/>
      <c r="D708" s="8"/>
      <c r="E708" s="8"/>
      <c r="F708" s="8"/>
      <c r="G708" s="8"/>
      <c r="H708" s="8"/>
    </row>
    <row r="709" spans="1:8" x14ac:dyDescent="0.25">
      <c r="A709" s="11"/>
      <c r="B709" s="8"/>
      <c r="C709" s="8"/>
      <c r="D709" s="8"/>
      <c r="E709" s="8"/>
      <c r="F709" s="8"/>
      <c r="G709" s="8"/>
      <c r="H709" s="8"/>
    </row>
    <row r="710" spans="1:8" x14ac:dyDescent="0.25">
      <c r="A710" s="11"/>
      <c r="B710" s="8"/>
      <c r="C710" s="8"/>
      <c r="D710" s="8"/>
      <c r="E710" s="8"/>
      <c r="F710" s="8"/>
      <c r="G710" s="8"/>
      <c r="H710" s="8"/>
    </row>
    <row r="711" spans="1:8" x14ac:dyDescent="0.25">
      <c r="A711" s="11"/>
      <c r="B711" s="8"/>
      <c r="C711" s="8"/>
      <c r="D711" s="8"/>
      <c r="E711" s="8"/>
      <c r="F711" s="8"/>
      <c r="G711" s="8"/>
      <c r="H711" s="8"/>
    </row>
    <row r="712" spans="1:8" x14ac:dyDescent="0.25">
      <c r="A712" s="11"/>
      <c r="B712" s="8"/>
      <c r="C712" s="8"/>
      <c r="D712" s="8"/>
      <c r="E712" s="8"/>
      <c r="F712" s="8"/>
      <c r="G712" s="8"/>
      <c r="H712" s="8"/>
    </row>
    <row r="713" spans="1:8" x14ac:dyDescent="0.25">
      <c r="A713" s="11"/>
      <c r="B713" s="8"/>
      <c r="C713" s="8"/>
      <c r="D713" s="8"/>
      <c r="E713" s="8"/>
      <c r="F713" s="8"/>
      <c r="G713" s="8"/>
      <c r="H713" s="8"/>
    </row>
    <row r="714" spans="1:8" x14ac:dyDescent="0.25">
      <c r="A714" s="11"/>
      <c r="B714" s="8"/>
      <c r="C714" s="8"/>
      <c r="D714" s="8"/>
      <c r="E714" s="8"/>
      <c r="F714" s="8"/>
      <c r="G714" s="8"/>
      <c r="H714" s="8"/>
    </row>
    <row r="715" spans="1:8" x14ac:dyDescent="0.25">
      <c r="A715" s="11"/>
      <c r="B715" s="8"/>
      <c r="C715" s="8"/>
      <c r="D715" s="8"/>
      <c r="E715" s="8"/>
      <c r="F715" s="8"/>
      <c r="G715" s="8"/>
      <c r="H715" s="8"/>
    </row>
    <row r="716" spans="1:8" x14ac:dyDescent="0.25">
      <c r="A716" s="11"/>
      <c r="B716" s="8"/>
      <c r="C716" s="8"/>
      <c r="D716" s="8"/>
      <c r="E716" s="8"/>
      <c r="F716" s="8"/>
      <c r="G716" s="8"/>
      <c r="H716" s="8"/>
    </row>
    <row r="717" spans="1:8" x14ac:dyDescent="0.25">
      <c r="A717" s="11"/>
      <c r="B717" s="8"/>
      <c r="C717" s="8"/>
      <c r="D717" s="8"/>
      <c r="E717" s="8"/>
      <c r="F717" s="8"/>
      <c r="G717" s="8"/>
      <c r="H717" s="8"/>
    </row>
    <row r="718" spans="1:8" x14ac:dyDescent="0.25">
      <c r="A718" s="11"/>
      <c r="B718" s="8"/>
      <c r="C718" s="8"/>
      <c r="D718" s="8"/>
      <c r="E718" s="8"/>
      <c r="F718" s="8"/>
      <c r="G718" s="8"/>
      <c r="H718" s="8"/>
    </row>
    <row r="719" spans="1:8" x14ac:dyDescent="0.25">
      <c r="A719" s="11"/>
      <c r="B719" s="8"/>
      <c r="C719" s="8"/>
      <c r="D719" s="8"/>
      <c r="E719" s="8"/>
      <c r="F719" s="8"/>
      <c r="G719" s="8"/>
      <c r="H719" s="8"/>
    </row>
    <row r="720" spans="1:8" x14ac:dyDescent="0.25">
      <c r="A720" s="11"/>
      <c r="B720" s="8"/>
      <c r="C720" s="8"/>
      <c r="D720" s="8"/>
      <c r="E720" s="8"/>
      <c r="F720" s="8"/>
      <c r="G720" s="8"/>
      <c r="H720" s="8"/>
    </row>
    <row r="721" spans="1:8" x14ac:dyDescent="0.25">
      <c r="A721" s="11"/>
      <c r="B721" s="8"/>
      <c r="C721" s="8"/>
      <c r="D721" s="8"/>
      <c r="E721" s="8"/>
      <c r="F721" s="8"/>
      <c r="G721" s="8"/>
      <c r="H721" s="8"/>
    </row>
    <row r="722" spans="1:8" x14ac:dyDescent="0.25">
      <c r="A722" s="11"/>
      <c r="B722" s="8"/>
      <c r="C722" s="8"/>
      <c r="D722" s="8"/>
      <c r="E722" s="8"/>
      <c r="F722" s="8"/>
      <c r="G722" s="8"/>
      <c r="H722" s="8"/>
    </row>
    <row r="723" spans="1:8" x14ac:dyDescent="0.25">
      <c r="A723" s="11"/>
      <c r="B723" s="8"/>
      <c r="C723" s="8"/>
      <c r="D723" s="8"/>
      <c r="E723" s="8"/>
      <c r="F723" s="8"/>
      <c r="G723" s="8"/>
      <c r="H723" s="8"/>
    </row>
    <row r="724" spans="1:8" x14ac:dyDescent="0.25">
      <c r="A724" s="11"/>
      <c r="B724" s="8"/>
      <c r="C724" s="8"/>
      <c r="D724" s="8"/>
      <c r="E724" s="8"/>
      <c r="F724" s="8"/>
      <c r="G724" s="8"/>
      <c r="H724" s="8"/>
    </row>
    <row r="725" spans="1:8" x14ac:dyDescent="0.25">
      <c r="A725" s="11"/>
      <c r="B725" s="8"/>
      <c r="C725" s="8"/>
      <c r="D725" s="8"/>
      <c r="E725" s="8"/>
      <c r="F725" s="8"/>
      <c r="G725" s="8"/>
      <c r="H725" s="8"/>
    </row>
    <row r="726" spans="1:8" x14ac:dyDescent="0.25">
      <c r="A726" s="11"/>
      <c r="B726" s="8"/>
      <c r="C726" s="8"/>
      <c r="D726" s="8"/>
      <c r="E726" s="8"/>
      <c r="F726" s="8"/>
      <c r="G726" s="8"/>
      <c r="H726" s="8"/>
    </row>
    <row r="727" spans="1:8" x14ac:dyDescent="0.25">
      <c r="A727" s="11"/>
      <c r="B727" s="8"/>
      <c r="C727" s="8"/>
      <c r="D727" s="8"/>
      <c r="E727" s="8"/>
      <c r="F727" s="8"/>
      <c r="G727" s="8"/>
      <c r="H727" s="8"/>
    </row>
    <row r="728" spans="1:8" x14ac:dyDescent="0.25">
      <c r="A728" s="11"/>
      <c r="B728" s="8"/>
      <c r="C728" s="8"/>
      <c r="D728" s="8"/>
      <c r="E728" s="8"/>
      <c r="F728" s="8"/>
      <c r="G728" s="8"/>
      <c r="H728" s="8"/>
    </row>
    <row r="729" spans="1:8" x14ac:dyDescent="0.25">
      <c r="A729" s="11"/>
      <c r="B729" s="8"/>
      <c r="C729" s="8"/>
      <c r="D729" s="8"/>
      <c r="E729" s="8"/>
      <c r="F729" s="8"/>
      <c r="G729" s="8"/>
      <c r="H729" s="8"/>
    </row>
    <row r="730" spans="1:8" x14ac:dyDescent="0.25">
      <c r="A730" s="11"/>
      <c r="B730" s="8"/>
      <c r="C730" s="8"/>
      <c r="D730" s="8"/>
      <c r="E730" s="8"/>
      <c r="F730" s="8"/>
      <c r="G730" s="8"/>
      <c r="H730" s="8"/>
    </row>
    <row r="731" spans="1:8" x14ac:dyDescent="0.25">
      <c r="A731" s="11"/>
      <c r="B731" s="8"/>
      <c r="C731" s="8"/>
      <c r="D731" s="8"/>
      <c r="E731" s="8"/>
      <c r="F731" s="8"/>
      <c r="G731" s="8"/>
      <c r="H731" s="8"/>
    </row>
    <row r="732" spans="1:8" x14ac:dyDescent="0.25">
      <c r="A732" s="11"/>
      <c r="B732" s="8"/>
      <c r="C732" s="8"/>
      <c r="D732" s="8"/>
      <c r="E732" s="8"/>
      <c r="F732" s="8"/>
      <c r="G732" s="8"/>
      <c r="H732" s="8"/>
    </row>
    <row r="733" spans="1:8" x14ac:dyDescent="0.25">
      <c r="A733" s="11"/>
      <c r="B733" s="8"/>
      <c r="C733" s="8"/>
      <c r="D733" s="8"/>
      <c r="E733" s="8"/>
      <c r="F733" s="8"/>
      <c r="G733" s="8"/>
      <c r="H733" s="8"/>
    </row>
    <row r="734" spans="1:8" x14ac:dyDescent="0.25">
      <c r="A734" s="11"/>
      <c r="B734" s="8"/>
      <c r="C734" s="8"/>
      <c r="D734" s="8"/>
      <c r="E734" s="8"/>
      <c r="F734" s="8"/>
      <c r="G734" s="8"/>
      <c r="H734" s="8"/>
    </row>
    <row r="735" spans="1:8" x14ac:dyDescent="0.25">
      <c r="A735" s="11"/>
      <c r="B735" s="8"/>
      <c r="C735" s="8"/>
      <c r="D735" s="8"/>
      <c r="E735" s="8"/>
      <c r="F735" s="8"/>
      <c r="G735" s="8"/>
      <c r="H735" s="8"/>
    </row>
    <row r="736" spans="1:8" x14ac:dyDescent="0.25">
      <c r="A736" s="11"/>
      <c r="B736" s="8"/>
      <c r="C736" s="8"/>
      <c r="D736" s="8"/>
      <c r="E736" s="8"/>
      <c r="F736" s="8"/>
      <c r="G736" s="8"/>
      <c r="H736" s="8"/>
    </row>
    <row r="737" spans="1:8" x14ac:dyDescent="0.25">
      <c r="A737" s="11"/>
      <c r="B737" s="8"/>
      <c r="C737" s="8"/>
      <c r="D737" s="8"/>
      <c r="E737" s="8"/>
      <c r="F737" s="8"/>
      <c r="G737" s="8"/>
      <c r="H737" s="8"/>
    </row>
    <row r="738" spans="1:8" x14ac:dyDescent="0.25">
      <c r="A738" s="11"/>
      <c r="B738" s="8"/>
      <c r="C738" s="8"/>
      <c r="D738" s="8"/>
      <c r="E738" s="8"/>
      <c r="F738" s="8"/>
      <c r="G738" s="8"/>
      <c r="H738" s="8"/>
    </row>
    <row r="739" spans="1:8" x14ac:dyDescent="0.25">
      <c r="A739" s="11"/>
      <c r="B739" s="8"/>
      <c r="C739" s="8"/>
      <c r="D739" s="8"/>
      <c r="E739" s="8"/>
      <c r="F739" s="8"/>
      <c r="G739" s="8"/>
      <c r="H739" s="8"/>
    </row>
    <row r="740" spans="1:8" x14ac:dyDescent="0.25">
      <c r="A740" s="11"/>
      <c r="B740" s="8"/>
      <c r="C740" s="8"/>
      <c r="D740" s="8"/>
      <c r="E740" s="8"/>
      <c r="F740" s="8"/>
      <c r="G740" s="8"/>
      <c r="H740" s="8"/>
    </row>
    <row r="741" spans="1:8" x14ac:dyDescent="0.25">
      <c r="A741" s="11"/>
      <c r="B741" s="8"/>
      <c r="C741" s="8"/>
      <c r="D741" s="8"/>
      <c r="E741" s="8"/>
      <c r="F741" s="8"/>
      <c r="G741" s="8"/>
      <c r="H741" s="8"/>
    </row>
    <row r="742" spans="1:8" x14ac:dyDescent="0.25">
      <c r="A742" s="11"/>
      <c r="B742" s="8"/>
      <c r="C742" s="8"/>
      <c r="D742" s="8"/>
      <c r="E742" s="8"/>
      <c r="F742" s="8"/>
      <c r="G742" s="8"/>
      <c r="H742" s="8"/>
    </row>
    <row r="743" spans="1:8" x14ac:dyDescent="0.25">
      <c r="A743" s="11"/>
      <c r="B743" s="8"/>
      <c r="C743" s="8"/>
      <c r="D743" s="8"/>
      <c r="E743" s="8"/>
      <c r="F743" s="8"/>
      <c r="G743" s="8"/>
      <c r="H743" s="8"/>
    </row>
    <row r="744" spans="1:8" x14ac:dyDescent="0.25">
      <c r="A744" s="11"/>
      <c r="B744" s="8"/>
      <c r="C744" s="8"/>
      <c r="D744" s="8"/>
      <c r="E744" s="8"/>
      <c r="F744" s="8"/>
      <c r="G744" s="8"/>
      <c r="H744" s="8"/>
    </row>
    <row r="745" spans="1:8" x14ac:dyDescent="0.25">
      <c r="A745" s="11"/>
      <c r="B745" s="8"/>
      <c r="C745" s="8"/>
      <c r="D745" s="8"/>
      <c r="E745" s="8"/>
      <c r="F745" s="8"/>
      <c r="G745" s="8"/>
      <c r="H745" s="8"/>
    </row>
    <row r="746" spans="1:8" x14ac:dyDescent="0.25">
      <c r="A746" s="11"/>
      <c r="B746" s="8"/>
      <c r="C746" s="8"/>
      <c r="D746" s="8"/>
      <c r="E746" s="8"/>
      <c r="F746" s="8"/>
      <c r="G746" s="8"/>
      <c r="H746" s="8"/>
    </row>
    <row r="747" spans="1:8" x14ac:dyDescent="0.25">
      <c r="A747" s="11"/>
      <c r="B747" s="8"/>
      <c r="C747" s="8"/>
      <c r="D747" s="8"/>
      <c r="E747" s="8"/>
      <c r="F747" s="8"/>
      <c r="G747" s="8"/>
      <c r="H747" s="8"/>
    </row>
    <row r="748" spans="1:8" x14ac:dyDescent="0.25">
      <c r="A748" s="11"/>
      <c r="B748" s="8"/>
      <c r="C748" s="8"/>
      <c r="D748" s="8"/>
      <c r="E748" s="8"/>
      <c r="F748" s="8"/>
      <c r="G748" s="8"/>
      <c r="H748" s="8"/>
    </row>
    <row r="749" spans="1:8" x14ac:dyDescent="0.25">
      <c r="A749" s="11"/>
      <c r="B749" s="8"/>
      <c r="C749" s="8"/>
      <c r="D749" s="8"/>
      <c r="E749" s="8"/>
      <c r="F749" s="8"/>
      <c r="G749" s="8"/>
      <c r="H749" s="8"/>
    </row>
    <row r="750" spans="1:8" x14ac:dyDescent="0.25">
      <c r="A750" s="11"/>
      <c r="B750" s="8"/>
      <c r="C750" s="8"/>
      <c r="D750" s="8"/>
      <c r="E750" s="8"/>
      <c r="F750" s="8"/>
      <c r="G750" s="8"/>
      <c r="H750" s="8"/>
    </row>
    <row r="751" spans="1:8" x14ac:dyDescent="0.25">
      <c r="A751" s="11"/>
      <c r="B751" s="8"/>
      <c r="C751" s="8"/>
      <c r="D751" s="8"/>
      <c r="E751" s="8"/>
      <c r="F751" s="8"/>
      <c r="G751" s="8"/>
      <c r="H751" s="8"/>
    </row>
    <row r="752" spans="1:8" x14ac:dyDescent="0.25">
      <c r="A752" s="11"/>
      <c r="B752" s="8"/>
      <c r="C752" s="8"/>
      <c r="D752" s="8"/>
      <c r="E752" s="8"/>
      <c r="F752" s="8"/>
      <c r="G752" s="8"/>
      <c r="H752" s="8"/>
    </row>
    <row r="753" spans="1:8" x14ac:dyDescent="0.25">
      <c r="A753" s="11"/>
      <c r="B753" s="8"/>
      <c r="C753" s="8"/>
      <c r="D753" s="8"/>
      <c r="E753" s="8"/>
      <c r="F753" s="8"/>
      <c r="G753" s="8"/>
      <c r="H753" s="8"/>
    </row>
    <row r="754" spans="1:8" x14ac:dyDescent="0.25">
      <c r="A754" s="11"/>
      <c r="B754" s="8"/>
      <c r="C754" s="8"/>
      <c r="D754" s="8"/>
      <c r="E754" s="8"/>
      <c r="F754" s="8"/>
      <c r="G754" s="8"/>
      <c r="H754" s="8"/>
    </row>
    <row r="755" spans="1:8" x14ac:dyDescent="0.25">
      <c r="A755" s="11"/>
      <c r="B755" s="8"/>
      <c r="C755" s="8"/>
      <c r="D755" s="8"/>
      <c r="E755" s="8"/>
      <c r="F755" s="8"/>
      <c r="G755" s="8"/>
      <c r="H755" s="8"/>
    </row>
    <row r="756" spans="1:8" x14ac:dyDescent="0.25">
      <c r="A756" s="11"/>
      <c r="B756" s="8"/>
      <c r="C756" s="8"/>
      <c r="D756" s="8"/>
      <c r="E756" s="8"/>
      <c r="F756" s="8"/>
      <c r="G756" s="8"/>
      <c r="H756" s="8"/>
    </row>
    <row r="757" spans="1:8" x14ac:dyDescent="0.25">
      <c r="A757" s="11"/>
      <c r="B757" s="8"/>
      <c r="C757" s="8"/>
      <c r="D757" s="8"/>
      <c r="E757" s="8"/>
      <c r="F757" s="8"/>
      <c r="G757" s="8"/>
      <c r="H757" s="8"/>
    </row>
    <row r="758" spans="1:8" x14ac:dyDescent="0.25">
      <c r="A758" s="11"/>
      <c r="B758" s="8"/>
      <c r="C758" s="8"/>
      <c r="D758" s="8"/>
      <c r="E758" s="8"/>
      <c r="F758" s="8"/>
      <c r="G758" s="8"/>
      <c r="H758" s="8"/>
    </row>
    <row r="759" spans="1:8" x14ac:dyDescent="0.25">
      <c r="A759" s="11"/>
      <c r="B759" s="8"/>
      <c r="C759" s="8"/>
      <c r="D759" s="8"/>
      <c r="E759" s="8"/>
      <c r="F759" s="8"/>
      <c r="G759" s="8"/>
      <c r="H759" s="8"/>
    </row>
    <row r="760" spans="1:8" x14ac:dyDescent="0.25">
      <c r="A760" s="11"/>
      <c r="B760" s="8"/>
      <c r="C760" s="8"/>
      <c r="D760" s="8"/>
      <c r="E760" s="8"/>
      <c r="F760" s="8"/>
      <c r="G760" s="8"/>
      <c r="H760" s="8"/>
    </row>
    <row r="761" spans="1:8" x14ac:dyDescent="0.25">
      <c r="A761" s="11"/>
      <c r="B761" s="8"/>
      <c r="C761" s="8"/>
      <c r="D761" s="8"/>
      <c r="E761" s="8"/>
      <c r="F761" s="8"/>
      <c r="G761" s="8"/>
      <c r="H761" s="8"/>
    </row>
    <row r="762" spans="1:8" x14ac:dyDescent="0.25">
      <c r="A762" s="11"/>
      <c r="B762" s="8"/>
      <c r="C762" s="8"/>
      <c r="D762" s="8"/>
      <c r="E762" s="8"/>
      <c r="F762" s="8"/>
      <c r="G762" s="8"/>
      <c r="H762" s="8"/>
    </row>
    <row r="763" spans="1:8" x14ac:dyDescent="0.25">
      <c r="A763" s="11"/>
      <c r="B763" s="8"/>
      <c r="C763" s="8"/>
      <c r="D763" s="8"/>
      <c r="E763" s="8"/>
      <c r="F763" s="8"/>
      <c r="G763" s="8"/>
      <c r="H763" s="8"/>
    </row>
    <row r="764" spans="1:8" x14ac:dyDescent="0.25">
      <c r="A764" s="11"/>
      <c r="B764" s="8"/>
      <c r="C764" s="8"/>
      <c r="D764" s="8"/>
      <c r="E764" s="8"/>
      <c r="F764" s="8"/>
      <c r="G764" s="8"/>
      <c r="H764" s="8"/>
    </row>
    <row r="765" spans="1:8" x14ac:dyDescent="0.25">
      <c r="A765" s="11"/>
      <c r="B765" s="8"/>
      <c r="C765" s="8"/>
      <c r="D765" s="8"/>
      <c r="E765" s="8"/>
      <c r="F765" s="8"/>
      <c r="G765" s="8"/>
      <c r="H765" s="8"/>
    </row>
    <row r="766" spans="1:8" x14ac:dyDescent="0.25">
      <c r="A766" s="11"/>
      <c r="B766" s="8"/>
      <c r="C766" s="8"/>
      <c r="D766" s="8"/>
      <c r="E766" s="8"/>
      <c r="F766" s="8"/>
      <c r="G766" s="8"/>
      <c r="H766" s="8"/>
    </row>
    <row r="767" spans="1:8" x14ac:dyDescent="0.25">
      <c r="A767" s="11"/>
      <c r="B767" s="8"/>
      <c r="C767" s="8"/>
      <c r="D767" s="8"/>
      <c r="E767" s="8"/>
      <c r="F767" s="8"/>
      <c r="G767" s="8"/>
      <c r="H767" s="8"/>
    </row>
    <row r="768" spans="1:8" x14ac:dyDescent="0.25">
      <c r="A768" s="11"/>
      <c r="B768" s="8"/>
      <c r="C768" s="8"/>
      <c r="D768" s="8"/>
      <c r="E768" s="8"/>
      <c r="F768" s="8"/>
      <c r="G768" s="8"/>
      <c r="H768" s="8"/>
    </row>
    <row r="769" spans="1:8" x14ac:dyDescent="0.25">
      <c r="A769" s="11"/>
      <c r="B769" s="8"/>
      <c r="C769" s="8"/>
      <c r="D769" s="8"/>
      <c r="E769" s="8"/>
      <c r="F769" s="8"/>
      <c r="G769" s="8"/>
      <c r="H769" s="8"/>
    </row>
    <row r="770" spans="1:8" x14ac:dyDescent="0.25">
      <c r="A770" s="11"/>
      <c r="B770" s="8"/>
      <c r="C770" s="8"/>
      <c r="D770" s="8"/>
      <c r="E770" s="8"/>
      <c r="F770" s="8"/>
      <c r="G770" s="8"/>
      <c r="H770" s="8"/>
    </row>
    <row r="771" spans="1:8" x14ac:dyDescent="0.25">
      <c r="A771" s="11"/>
      <c r="B771" s="8"/>
      <c r="C771" s="8"/>
      <c r="D771" s="8"/>
      <c r="E771" s="8"/>
      <c r="F771" s="8"/>
      <c r="G771" s="8"/>
      <c r="H771" s="8"/>
    </row>
    <row r="772" spans="1:8" x14ac:dyDescent="0.25">
      <c r="A772" s="11"/>
      <c r="B772" s="8"/>
      <c r="C772" s="8"/>
      <c r="D772" s="8"/>
      <c r="E772" s="8"/>
      <c r="F772" s="8"/>
      <c r="G772" s="8"/>
      <c r="H772" s="8"/>
    </row>
    <row r="773" spans="1:8" x14ac:dyDescent="0.25">
      <c r="A773" s="11"/>
      <c r="B773" s="8"/>
      <c r="C773" s="8"/>
      <c r="D773" s="8"/>
      <c r="E773" s="8"/>
      <c r="F773" s="8"/>
      <c r="G773" s="8"/>
      <c r="H773" s="8"/>
    </row>
    <row r="774" spans="1:8" x14ac:dyDescent="0.25">
      <c r="A774" s="11"/>
      <c r="B774" s="8"/>
      <c r="C774" s="8"/>
      <c r="D774" s="8"/>
      <c r="E774" s="8"/>
      <c r="F774" s="8"/>
      <c r="G774" s="8"/>
      <c r="H774" s="8"/>
    </row>
    <row r="775" spans="1:8" x14ac:dyDescent="0.25">
      <c r="A775" s="11"/>
      <c r="B775" s="8"/>
      <c r="C775" s="8"/>
      <c r="D775" s="8"/>
      <c r="E775" s="8"/>
      <c r="F775" s="8"/>
      <c r="G775" s="8"/>
      <c r="H775" s="8"/>
    </row>
    <row r="776" spans="1:8" x14ac:dyDescent="0.25">
      <c r="A776" s="11"/>
      <c r="B776" s="8"/>
      <c r="C776" s="8"/>
      <c r="D776" s="8"/>
      <c r="E776" s="8"/>
      <c r="F776" s="8"/>
      <c r="G776" s="8"/>
      <c r="H776" s="8"/>
    </row>
    <row r="777" spans="1:8" x14ac:dyDescent="0.25">
      <c r="A777" s="11"/>
      <c r="B777" s="8"/>
      <c r="C777" s="8"/>
      <c r="D777" s="8"/>
      <c r="E777" s="8"/>
      <c r="F777" s="8"/>
      <c r="G777" s="8"/>
      <c r="H777" s="8"/>
    </row>
    <row r="778" spans="1:8" x14ac:dyDescent="0.25">
      <c r="A778" s="11"/>
      <c r="B778" s="8"/>
      <c r="C778" s="8"/>
      <c r="D778" s="8"/>
      <c r="E778" s="8"/>
      <c r="F778" s="8"/>
      <c r="G778" s="8"/>
      <c r="H778" s="8"/>
    </row>
    <row r="779" spans="1:8" x14ac:dyDescent="0.25">
      <c r="A779" s="11"/>
      <c r="B779" s="8"/>
      <c r="C779" s="8"/>
      <c r="D779" s="8"/>
      <c r="E779" s="8"/>
      <c r="F779" s="8"/>
      <c r="G779" s="8"/>
      <c r="H779" s="8"/>
    </row>
    <row r="780" spans="1:8" x14ac:dyDescent="0.25">
      <c r="A780" s="11"/>
      <c r="B780" s="8"/>
      <c r="C780" s="8"/>
      <c r="D780" s="8"/>
      <c r="E780" s="8"/>
      <c r="F780" s="8"/>
      <c r="G780" s="8"/>
      <c r="H780" s="8"/>
    </row>
    <row r="781" spans="1:8" x14ac:dyDescent="0.25">
      <c r="A781" s="11"/>
      <c r="B781" s="8"/>
      <c r="C781" s="8"/>
      <c r="D781" s="8"/>
      <c r="E781" s="8"/>
      <c r="F781" s="8"/>
      <c r="G781" s="8"/>
      <c r="H781" s="8"/>
    </row>
    <row r="782" spans="1:8" x14ac:dyDescent="0.25">
      <c r="A782" s="11"/>
      <c r="B782" s="8"/>
      <c r="C782" s="8"/>
      <c r="D782" s="8"/>
      <c r="E782" s="8"/>
      <c r="F782" s="8"/>
      <c r="G782" s="8"/>
      <c r="H782" s="8"/>
    </row>
    <row r="783" spans="1:8" x14ac:dyDescent="0.25">
      <c r="A783" s="11"/>
      <c r="B783" s="8"/>
      <c r="C783" s="8"/>
      <c r="D783" s="8"/>
      <c r="E783" s="8"/>
      <c r="F783" s="8"/>
      <c r="G783" s="8"/>
      <c r="H783" s="8"/>
    </row>
    <row r="784" spans="1:8" x14ac:dyDescent="0.25">
      <c r="A784" s="11"/>
      <c r="B784" s="8"/>
      <c r="C784" s="8"/>
      <c r="D784" s="8"/>
      <c r="E784" s="8"/>
      <c r="F784" s="8"/>
      <c r="G784" s="8"/>
      <c r="H784" s="8"/>
    </row>
    <row r="785" spans="1:8" x14ac:dyDescent="0.25">
      <c r="A785" s="11"/>
      <c r="B785" s="8"/>
      <c r="C785" s="8"/>
      <c r="D785" s="8"/>
      <c r="E785" s="8"/>
      <c r="F785" s="8"/>
      <c r="G785" s="8"/>
      <c r="H785" s="8"/>
    </row>
    <row r="786" spans="1:8" x14ac:dyDescent="0.25">
      <c r="A786" s="11"/>
      <c r="B786" s="8"/>
      <c r="C786" s="8"/>
      <c r="D786" s="8"/>
      <c r="E786" s="8"/>
      <c r="F786" s="8"/>
      <c r="G786" s="8"/>
      <c r="H786" s="8"/>
    </row>
    <row r="787" spans="1:8" x14ac:dyDescent="0.25">
      <c r="A787" s="11"/>
      <c r="B787" s="8"/>
      <c r="C787" s="8"/>
      <c r="D787" s="8"/>
      <c r="E787" s="8"/>
      <c r="F787" s="8"/>
      <c r="G787" s="8"/>
      <c r="H787" s="8"/>
    </row>
    <row r="788" spans="1:8" x14ac:dyDescent="0.25">
      <c r="A788" s="11"/>
      <c r="B788" s="8"/>
      <c r="C788" s="8"/>
      <c r="D788" s="8"/>
      <c r="E788" s="8"/>
      <c r="F788" s="8"/>
      <c r="G788" s="8"/>
      <c r="H788" s="8"/>
    </row>
    <row r="789" spans="1:8" x14ac:dyDescent="0.25">
      <c r="A789" s="11"/>
      <c r="B789" s="8"/>
      <c r="C789" s="8"/>
      <c r="D789" s="8"/>
      <c r="E789" s="8"/>
      <c r="F789" s="8"/>
      <c r="G789" s="8"/>
      <c r="H789" s="8"/>
    </row>
    <row r="790" spans="1:8" x14ac:dyDescent="0.25">
      <c r="A790" s="11"/>
      <c r="B790" s="8"/>
      <c r="C790" s="8"/>
      <c r="D790" s="8"/>
      <c r="E790" s="8"/>
      <c r="F790" s="8"/>
      <c r="G790" s="8"/>
      <c r="H790" s="8"/>
    </row>
    <row r="791" spans="1:8" x14ac:dyDescent="0.25">
      <c r="A791" s="11"/>
      <c r="B791" s="8"/>
      <c r="C791" s="8"/>
      <c r="D791" s="8"/>
      <c r="E791" s="8"/>
      <c r="F791" s="8"/>
      <c r="G791" s="8"/>
      <c r="H791" s="8"/>
    </row>
    <row r="792" spans="1:8" x14ac:dyDescent="0.25">
      <c r="A792" s="11"/>
      <c r="B792" s="8"/>
      <c r="C792" s="8"/>
      <c r="D792" s="8"/>
      <c r="E792" s="8"/>
      <c r="F792" s="8"/>
      <c r="G792" s="8"/>
      <c r="H792" s="8"/>
    </row>
    <row r="793" spans="1:8" x14ac:dyDescent="0.25">
      <c r="A793" s="11"/>
      <c r="B793" s="8"/>
      <c r="C793" s="8"/>
      <c r="D793" s="8"/>
      <c r="E793" s="8"/>
      <c r="F793" s="8"/>
      <c r="G793" s="8"/>
      <c r="H793" s="8"/>
    </row>
    <row r="794" spans="1:8" x14ac:dyDescent="0.25">
      <c r="A794" s="11"/>
      <c r="B794" s="8"/>
      <c r="C794" s="8"/>
      <c r="D794" s="8"/>
      <c r="E794" s="8"/>
      <c r="F794" s="8"/>
      <c r="G794" s="8"/>
      <c r="H794" s="8"/>
    </row>
    <row r="795" spans="1:8" x14ac:dyDescent="0.25">
      <c r="A795" s="11"/>
      <c r="B795" s="8"/>
      <c r="C795" s="8"/>
      <c r="D795" s="8"/>
      <c r="E795" s="8"/>
      <c r="F795" s="8"/>
      <c r="G795" s="8"/>
      <c r="H795" s="8"/>
    </row>
    <row r="796" spans="1:8" x14ac:dyDescent="0.25">
      <c r="A796" s="11"/>
      <c r="B796" s="8"/>
      <c r="C796" s="8"/>
      <c r="D796" s="8"/>
      <c r="E796" s="8"/>
      <c r="F796" s="8"/>
      <c r="G796" s="8"/>
      <c r="H796" s="8"/>
    </row>
    <row r="797" spans="1:8" x14ac:dyDescent="0.25">
      <c r="A797" s="11"/>
      <c r="B797" s="8"/>
      <c r="C797" s="8"/>
      <c r="D797" s="8"/>
      <c r="E797" s="8"/>
      <c r="F797" s="8"/>
      <c r="G797" s="8"/>
      <c r="H797" s="8"/>
    </row>
    <row r="798" spans="1:8" x14ac:dyDescent="0.25">
      <c r="A798" s="11"/>
      <c r="B798" s="8"/>
      <c r="C798" s="8"/>
      <c r="D798" s="8"/>
      <c r="E798" s="8"/>
      <c r="F798" s="8"/>
      <c r="G798" s="8"/>
      <c r="H798" s="8"/>
    </row>
    <row r="799" spans="1:8" x14ac:dyDescent="0.25">
      <c r="A799" s="11"/>
      <c r="B799" s="8"/>
      <c r="C799" s="8"/>
      <c r="D799" s="8"/>
      <c r="E799" s="8"/>
      <c r="F799" s="8"/>
      <c r="G799" s="8"/>
      <c r="H799" s="8"/>
    </row>
    <row r="800" spans="1:8" x14ac:dyDescent="0.25">
      <c r="A800" s="11"/>
      <c r="B800" s="8"/>
      <c r="C800" s="8"/>
      <c r="D800" s="8"/>
      <c r="E800" s="8"/>
      <c r="F800" s="8"/>
      <c r="G800" s="8"/>
      <c r="H800" s="8"/>
    </row>
    <row r="801" spans="1:8" x14ac:dyDescent="0.25">
      <c r="A801" s="11"/>
      <c r="B801" s="8"/>
      <c r="C801" s="8"/>
      <c r="D801" s="8"/>
      <c r="E801" s="8"/>
      <c r="F801" s="8"/>
      <c r="G801" s="8"/>
      <c r="H801" s="8"/>
    </row>
    <row r="802" spans="1:8" x14ac:dyDescent="0.25">
      <c r="A802" s="11"/>
      <c r="B802" s="8"/>
      <c r="C802" s="8"/>
      <c r="D802" s="8"/>
      <c r="E802" s="8"/>
      <c r="F802" s="8"/>
      <c r="G802" s="8"/>
      <c r="H802" s="8"/>
    </row>
    <row r="803" spans="1:8" x14ac:dyDescent="0.25">
      <c r="A803" s="11"/>
      <c r="B803" s="8"/>
      <c r="C803" s="8"/>
      <c r="D803" s="8"/>
      <c r="E803" s="8"/>
      <c r="F803" s="8"/>
      <c r="G803" s="8"/>
      <c r="H803" s="8"/>
    </row>
    <row r="804" spans="1:8" x14ac:dyDescent="0.25">
      <c r="A804" s="11"/>
      <c r="B804" s="8"/>
      <c r="C804" s="8"/>
      <c r="D804" s="8"/>
      <c r="E804" s="8"/>
      <c r="F804" s="8"/>
      <c r="G804" s="8"/>
      <c r="H804" s="8"/>
    </row>
    <row r="805" spans="1:8" x14ac:dyDescent="0.25">
      <c r="A805" s="11"/>
      <c r="B805" s="8"/>
      <c r="C805" s="8"/>
      <c r="D805" s="8"/>
      <c r="E805" s="8"/>
      <c r="F805" s="8"/>
      <c r="G805" s="8"/>
      <c r="H805" s="8"/>
    </row>
    <row r="806" spans="1:8" x14ac:dyDescent="0.25">
      <c r="A806" s="11"/>
      <c r="B806" s="8"/>
      <c r="C806" s="8"/>
      <c r="D806" s="8"/>
      <c r="E806" s="8"/>
      <c r="F806" s="8"/>
      <c r="G806" s="8"/>
      <c r="H806" s="8"/>
    </row>
    <row r="807" spans="1:8" x14ac:dyDescent="0.25">
      <c r="A807" s="11"/>
      <c r="B807" s="8"/>
      <c r="C807" s="8"/>
      <c r="D807" s="8"/>
      <c r="E807" s="8"/>
      <c r="F807" s="8"/>
      <c r="G807" s="8"/>
      <c r="H807" s="8"/>
    </row>
    <row r="808" spans="1:8" x14ac:dyDescent="0.25">
      <c r="A808" s="11"/>
      <c r="B808" s="8"/>
      <c r="C808" s="8"/>
      <c r="D808" s="8"/>
      <c r="E808" s="8"/>
      <c r="F808" s="8"/>
      <c r="G808" s="8"/>
      <c r="H808" s="8"/>
    </row>
    <row r="809" spans="1:8" x14ac:dyDescent="0.25">
      <c r="A809" s="11"/>
      <c r="B809" s="8"/>
      <c r="C809" s="8"/>
      <c r="D809" s="8"/>
      <c r="E809" s="8"/>
      <c r="F809" s="8"/>
      <c r="G809" s="8"/>
      <c r="H809" s="8"/>
    </row>
    <row r="810" spans="1:8" x14ac:dyDescent="0.25">
      <c r="A810" s="11"/>
      <c r="B810" s="8"/>
      <c r="C810" s="8"/>
      <c r="D810" s="8"/>
      <c r="E810" s="8"/>
      <c r="F810" s="8"/>
      <c r="G810" s="8"/>
      <c r="H810" s="8"/>
    </row>
    <row r="811" spans="1:8" x14ac:dyDescent="0.25">
      <c r="A811" s="11"/>
      <c r="B811" s="8"/>
      <c r="C811" s="8"/>
      <c r="D811" s="8"/>
      <c r="E811" s="8"/>
      <c r="F811" s="8"/>
      <c r="G811" s="8"/>
      <c r="H811" s="8"/>
    </row>
    <row r="812" spans="1:8" x14ac:dyDescent="0.25">
      <c r="A812" s="11"/>
      <c r="B812" s="8"/>
      <c r="C812" s="8"/>
      <c r="D812" s="8"/>
      <c r="E812" s="8"/>
      <c r="F812" s="8"/>
      <c r="G812" s="8"/>
      <c r="H812" s="8"/>
    </row>
    <row r="813" spans="1:8" x14ac:dyDescent="0.25">
      <c r="A813" s="11"/>
      <c r="B813" s="8"/>
      <c r="C813" s="8"/>
      <c r="D813" s="8"/>
      <c r="E813" s="8"/>
      <c r="F813" s="8"/>
      <c r="G813" s="8"/>
      <c r="H813" s="8"/>
    </row>
    <row r="814" spans="1:8" x14ac:dyDescent="0.25">
      <c r="A814" s="11"/>
      <c r="B814" s="8"/>
      <c r="C814" s="8"/>
      <c r="D814" s="8"/>
      <c r="E814" s="8"/>
      <c r="F814" s="8"/>
      <c r="G814" s="8"/>
      <c r="H814" s="8"/>
    </row>
    <row r="815" spans="1:8" x14ac:dyDescent="0.25">
      <c r="A815" s="11"/>
      <c r="B815" s="8"/>
      <c r="C815" s="8"/>
      <c r="D815" s="8"/>
      <c r="E815" s="8"/>
      <c r="F815" s="8"/>
      <c r="G815" s="8"/>
      <c r="H815" s="8"/>
    </row>
    <row r="816" spans="1:8" x14ac:dyDescent="0.25">
      <c r="A816" s="11"/>
      <c r="B816" s="8"/>
      <c r="C816" s="8"/>
      <c r="D816" s="8"/>
      <c r="E816" s="8"/>
      <c r="F816" s="8"/>
      <c r="G816" s="8"/>
      <c r="H816" s="8"/>
    </row>
    <row r="817" spans="1:8" x14ac:dyDescent="0.25">
      <c r="A817" s="11"/>
      <c r="B817" s="8"/>
      <c r="C817" s="8"/>
      <c r="D817" s="8"/>
      <c r="E817" s="8"/>
      <c r="F817" s="8"/>
      <c r="G817" s="8"/>
      <c r="H817" s="8"/>
    </row>
    <row r="818" spans="1:8" x14ac:dyDescent="0.25">
      <c r="A818" s="11"/>
      <c r="B818" s="8"/>
      <c r="C818" s="8"/>
      <c r="D818" s="8"/>
      <c r="E818" s="8"/>
      <c r="F818" s="8"/>
      <c r="G818" s="8"/>
      <c r="H818" s="8"/>
    </row>
    <row r="819" spans="1:8" x14ac:dyDescent="0.25">
      <c r="A819" s="11"/>
      <c r="B819" s="8"/>
      <c r="C819" s="8"/>
      <c r="D819" s="8"/>
      <c r="E819" s="8"/>
      <c r="F819" s="8"/>
      <c r="G819" s="8"/>
      <c r="H819" s="8"/>
    </row>
    <row r="820" spans="1:8" x14ac:dyDescent="0.25">
      <c r="A820" s="11"/>
      <c r="B820" s="8"/>
      <c r="C820" s="8"/>
      <c r="D820" s="8"/>
      <c r="E820" s="8"/>
      <c r="F820" s="8"/>
      <c r="G820" s="8"/>
      <c r="H820" s="8"/>
    </row>
    <row r="821" spans="1:8" x14ac:dyDescent="0.25">
      <c r="A821" s="11"/>
      <c r="B821" s="8"/>
      <c r="C821" s="8"/>
      <c r="D821" s="8"/>
      <c r="E821" s="8"/>
      <c r="F821" s="8"/>
      <c r="G821" s="8"/>
      <c r="H821" s="8"/>
    </row>
    <row r="822" spans="1:8" x14ac:dyDescent="0.25">
      <c r="A822" s="11"/>
      <c r="B822" s="8"/>
      <c r="C822" s="8"/>
      <c r="D822" s="8"/>
      <c r="E822" s="8"/>
      <c r="F822" s="8"/>
      <c r="G822" s="8"/>
      <c r="H822" s="8"/>
    </row>
    <row r="823" spans="1:8" x14ac:dyDescent="0.25">
      <c r="A823" s="11"/>
      <c r="B823" s="8"/>
      <c r="C823" s="8"/>
      <c r="D823" s="8"/>
      <c r="E823" s="8"/>
      <c r="F823" s="8"/>
      <c r="G823" s="8"/>
      <c r="H823" s="8"/>
    </row>
    <row r="824" spans="1:8" x14ac:dyDescent="0.25">
      <c r="A824" s="11"/>
      <c r="B824" s="8"/>
      <c r="C824" s="8"/>
      <c r="D824" s="8"/>
      <c r="E824" s="8"/>
      <c r="F824" s="8"/>
      <c r="G824" s="8"/>
      <c r="H824" s="8"/>
    </row>
    <row r="825" spans="1:8" x14ac:dyDescent="0.25">
      <c r="A825" s="11"/>
      <c r="B825" s="8"/>
      <c r="C825" s="8"/>
      <c r="D825" s="8"/>
      <c r="E825" s="8"/>
      <c r="F825" s="8"/>
      <c r="G825" s="8"/>
      <c r="H825" s="8"/>
    </row>
    <row r="826" spans="1:8" x14ac:dyDescent="0.25">
      <c r="A826" s="11"/>
      <c r="B826" s="8"/>
      <c r="C826" s="8"/>
      <c r="D826" s="8"/>
      <c r="E826" s="8"/>
      <c r="F826" s="8"/>
      <c r="G826" s="8"/>
      <c r="H826" s="8"/>
    </row>
    <row r="827" spans="1:8" x14ac:dyDescent="0.25">
      <c r="A827" s="11"/>
      <c r="B827" s="8"/>
      <c r="C827" s="8"/>
      <c r="D827" s="8"/>
      <c r="E827" s="8"/>
      <c r="F827" s="8"/>
      <c r="G827" s="8"/>
      <c r="H827" s="8"/>
    </row>
    <row r="828" spans="1:8" x14ac:dyDescent="0.25">
      <c r="A828" s="11"/>
      <c r="B828" s="8"/>
      <c r="C828" s="8"/>
      <c r="D828" s="8"/>
      <c r="E828" s="8"/>
      <c r="F828" s="8"/>
      <c r="G828" s="8"/>
      <c r="H828" s="8"/>
    </row>
    <row r="829" spans="1:8" x14ac:dyDescent="0.25">
      <c r="A829" s="11"/>
      <c r="B829" s="8"/>
      <c r="C829" s="8"/>
      <c r="D829" s="8"/>
      <c r="E829" s="8"/>
      <c r="F829" s="8"/>
      <c r="G829" s="8"/>
      <c r="H829" s="8"/>
    </row>
    <row r="830" spans="1:8" x14ac:dyDescent="0.25">
      <c r="A830" s="11"/>
      <c r="B830" s="8"/>
      <c r="C830" s="8"/>
      <c r="D830" s="8"/>
      <c r="E830" s="8"/>
      <c r="F830" s="8"/>
      <c r="G830" s="8"/>
      <c r="H830" s="8"/>
    </row>
    <row r="831" spans="1:8" x14ac:dyDescent="0.25">
      <c r="A831" s="11"/>
      <c r="B831" s="8"/>
      <c r="C831" s="8"/>
      <c r="D831" s="8"/>
      <c r="E831" s="8"/>
      <c r="F831" s="8"/>
      <c r="G831" s="8"/>
      <c r="H831" s="8"/>
    </row>
    <row r="832" spans="1:8" x14ac:dyDescent="0.25">
      <c r="A832" s="11"/>
      <c r="B832" s="8"/>
      <c r="C832" s="8"/>
      <c r="D832" s="8"/>
      <c r="E832" s="8"/>
      <c r="F832" s="8"/>
      <c r="G832" s="8"/>
      <c r="H832" s="8"/>
    </row>
    <row r="833" spans="1:8" x14ac:dyDescent="0.25">
      <c r="A833" s="11"/>
      <c r="B833" s="8"/>
      <c r="C833" s="8"/>
      <c r="D833" s="8"/>
      <c r="E833" s="8"/>
      <c r="F833" s="8"/>
      <c r="G833" s="8"/>
      <c r="H833" s="8"/>
    </row>
    <row r="834" spans="1:8" x14ac:dyDescent="0.25">
      <c r="A834" s="11"/>
      <c r="B834" s="8"/>
      <c r="C834" s="8"/>
      <c r="D834" s="8"/>
      <c r="E834" s="8"/>
      <c r="F834" s="8"/>
      <c r="G834" s="8"/>
      <c r="H834" s="8"/>
    </row>
    <row r="835" spans="1:8" x14ac:dyDescent="0.25">
      <c r="A835" s="11"/>
      <c r="B835" s="8"/>
      <c r="C835" s="8"/>
      <c r="D835" s="8"/>
      <c r="E835" s="8"/>
      <c r="F835" s="8"/>
      <c r="G835" s="8"/>
      <c r="H835" s="8"/>
    </row>
    <row r="836" spans="1:8" x14ac:dyDescent="0.25">
      <c r="A836" s="11"/>
      <c r="B836" s="8"/>
      <c r="C836" s="8"/>
      <c r="D836" s="8"/>
      <c r="E836" s="8"/>
      <c r="F836" s="8"/>
      <c r="G836" s="8"/>
      <c r="H836" s="8"/>
    </row>
    <row r="837" spans="1:8" x14ac:dyDescent="0.25">
      <c r="A837" s="11"/>
      <c r="B837" s="8"/>
      <c r="C837" s="8"/>
      <c r="D837" s="8"/>
      <c r="E837" s="8"/>
      <c r="F837" s="8"/>
      <c r="G837" s="8"/>
      <c r="H837" s="8"/>
    </row>
    <row r="838" spans="1:8" x14ac:dyDescent="0.25">
      <c r="A838" s="11"/>
      <c r="B838" s="8"/>
      <c r="C838" s="8"/>
      <c r="D838" s="8"/>
      <c r="E838" s="8"/>
      <c r="F838" s="8"/>
      <c r="G838" s="8"/>
      <c r="H838" s="8"/>
    </row>
    <row r="839" spans="1:8" x14ac:dyDescent="0.25">
      <c r="A839" s="11"/>
      <c r="B839" s="8"/>
      <c r="C839" s="8"/>
      <c r="D839" s="8"/>
      <c r="E839" s="8"/>
      <c r="F839" s="8"/>
      <c r="G839" s="8"/>
      <c r="H839" s="8"/>
    </row>
    <row r="840" spans="1:8" x14ac:dyDescent="0.25">
      <c r="A840" s="11"/>
      <c r="B840" s="8"/>
      <c r="C840" s="8"/>
      <c r="D840" s="8"/>
      <c r="E840" s="8"/>
      <c r="F840" s="8"/>
      <c r="G840" s="8"/>
      <c r="H840" s="8"/>
    </row>
    <row r="841" spans="1:8" x14ac:dyDescent="0.25">
      <c r="A841" s="11"/>
      <c r="B841" s="8"/>
      <c r="C841" s="8"/>
      <c r="D841" s="8"/>
      <c r="E841" s="8"/>
      <c r="F841" s="8"/>
      <c r="G841" s="8"/>
      <c r="H841" s="8"/>
    </row>
    <row r="842" spans="1:8" x14ac:dyDescent="0.25">
      <c r="A842" s="11"/>
      <c r="B842" s="8"/>
      <c r="C842" s="8"/>
      <c r="D842" s="8"/>
      <c r="E842" s="8"/>
      <c r="F842" s="8"/>
      <c r="G842" s="8"/>
      <c r="H842" s="8"/>
    </row>
    <row r="843" spans="1:8" x14ac:dyDescent="0.25">
      <c r="A843" s="11"/>
      <c r="B843" s="8"/>
      <c r="C843" s="8"/>
      <c r="D843" s="8"/>
      <c r="E843" s="8"/>
      <c r="F843" s="8"/>
      <c r="G843" s="8"/>
      <c r="H843" s="8"/>
    </row>
    <row r="844" spans="1:8" x14ac:dyDescent="0.25">
      <c r="A844" s="11"/>
      <c r="B844" s="8"/>
      <c r="C844" s="8"/>
      <c r="D844" s="8"/>
      <c r="E844" s="8"/>
      <c r="F844" s="8"/>
      <c r="G844" s="8"/>
      <c r="H844" s="8"/>
    </row>
    <row r="845" spans="1:8" x14ac:dyDescent="0.25">
      <c r="A845" s="11"/>
      <c r="B845" s="8"/>
      <c r="C845" s="8"/>
      <c r="D845" s="8"/>
      <c r="E845" s="8"/>
      <c r="F845" s="8"/>
      <c r="G845" s="8"/>
      <c r="H845" s="8"/>
    </row>
    <row r="846" spans="1:8" x14ac:dyDescent="0.25">
      <c r="A846" s="11"/>
      <c r="B846" s="8"/>
      <c r="C846" s="8"/>
      <c r="D846" s="8"/>
      <c r="E846" s="8"/>
      <c r="F846" s="8"/>
      <c r="G846" s="8"/>
      <c r="H846" s="8"/>
    </row>
    <row r="847" spans="1:8" x14ac:dyDescent="0.25">
      <c r="A847" s="11"/>
      <c r="B847" s="8"/>
      <c r="C847" s="8"/>
      <c r="D847" s="8"/>
      <c r="E847" s="8"/>
      <c r="F847" s="8"/>
      <c r="G847" s="8"/>
      <c r="H847" s="8"/>
    </row>
    <row r="848" spans="1:8" x14ac:dyDescent="0.25">
      <c r="A848" s="11"/>
      <c r="B848" s="8"/>
      <c r="C848" s="8"/>
      <c r="D848" s="8"/>
      <c r="E848" s="8"/>
      <c r="F848" s="8"/>
      <c r="G848" s="8"/>
      <c r="H848" s="8"/>
    </row>
    <row r="849" spans="1:8" x14ac:dyDescent="0.25">
      <c r="A849" s="11"/>
      <c r="B849" s="8"/>
      <c r="C849" s="8"/>
      <c r="D849" s="8"/>
      <c r="E849" s="8"/>
      <c r="F849" s="8"/>
      <c r="G849" s="8"/>
      <c r="H849" s="8"/>
    </row>
    <row r="850" spans="1:8" x14ac:dyDescent="0.25">
      <c r="A850" s="11"/>
      <c r="B850" s="8"/>
      <c r="C850" s="8"/>
      <c r="D850" s="8"/>
      <c r="E850" s="8"/>
      <c r="F850" s="8"/>
      <c r="G850" s="8"/>
      <c r="H850" s="8"/>
    </row>
    <row r="851" spans="1:8" x14ac:dyDescent="0.25">
      <c r="A851" s="11"/>
      <c r="B851" s="8"/>
      <c r="C851" s="8"/>
      <c r="D851" s="8"/>
      <c r="E851" s="8"/>
      <c r="F851" s="8"/>
      <c r="G851" s="8"/>
      <c r="H851" s="8"/>
    </row>
    <row r="852" spans="1:8" x14ac:dyDescent="0.25">
      <c r="A852" s="11"/>
      <c r="B852" s="8"/>
      <c r="C852" s="8"/>
      <c r="D852" s="8"/>
      <c r="E852" s="8"/>
      <c r="F852" s="8"/>
      <c r="G852" s="8"/>
      <c r="H852" s="8"/>
    </row>
    <row r="853" spans="1:8" x14ac:dyDescent="0.25">
      <c r="A853" s="11"/>
      <c r="B853" s="8"/>
      <c r="C853" s="8"/>
      <c r="D853" s="8"/>
      <c r="E853" s="8"/>
      <c r="F853" s="8"/>
      <c r="G853" s="8"/>
      <c r="H853" s="8"/>
    </row>
    <row r="854" spans="1:8" x14ac:dyDescent="0.25">
      <c r="A854" s="11"/>
      <c r="B854" s="8"/>
      <c r="C854" s="8"/>
      <c r="D854" s="8"/>
      <c r="E854" s="8"/>
      <c r="F854" s="8"/>
      <c r="G854" s="8"/>
      <c r="H854" s="8"/>
    </row>
    <row r="855" spans="1:8" x14ac:dyDescent="0.25">
      <c r="A855" s="11"/>
      <c r="B855" s="8"/>
      <c r="C855" s="8"/>
      <c r="D855" s="8"/>
      <c r="E855" s="8"/>
      <c r="F855" s="8"/>
      <c r="G855" s="8"/>
      <c r="H855" s="8"/>
    </row>
    <row r="856" spans="1:8" x14ac:dyDescent="0.25">
      <c r="A856" s="11"/>
      <c r="B856" s="8"/>
      <c r="C856" s="8"/>
      <c r="D856" s="8"/>
      <c r="E856" s="8"/>
      <c r="F856" s="8"/>
      <c r="G856" s="8"/>
      <c r="H856" s="8"/>
    </row>
    <row r="857" spans="1:8" x14ac:dyDescent="0.25">
      <c r="A857" s="11"/>
      <c r="B857" s="8"/>
      <c r="C857" s="8"/>
      <c r="D857" s="8"/>
      <c r="E857" s="8"/>
      <c r="F857" s="8"/>
      <c r="G857" s="8"/>
      <c r="H857" s="8"/>
    </row>
    <row r="858" spans="1:8" x14ac:dyDescent="0.25">
      <c r="A858" s="11"/>
      <c r="B858" s="8"/>
      <c r="C858" s="8"/>
      <c r="D858" s="8"/>
      <c r="E858" s="8"/>
      <c r="F858" s="8"/>
      <c r="G858" s="8"/>
      <c r="H858" s="8"/>
    </row>
    <row r="859" spans="1:8" x14ac:dyDescent="0.25">
      <c r="A859" s="11"/>
      <c r="B859" s="8"/>
      <c r="C859" s="8"/>
      <c r="D859" s="8"/>
      <c r="E859" s="8"/>
      <c r="F859" s="8"/>
      <c r="G859" s="8"/>
      <c r="H859" s="8"/>
    </row>
    <row r="860" spans="1:8" x14ac:dyDescent="0.25">
      <c r="A860" s="11"/>
      <c r="B860" s="8"/>
      <c r="C860" s="8"/>
      <c r="D860" s="8"/>
      <c r="E860" s="8"/>
      <c r="F860" s="8"/>
      <c r="G860" s="8"/>
      <c r="H860" s="8"/>
    </row>
    <row r="861" spans="1:8" x14ac:dyDescent="0.25">
      <c r="A861" s="11"/>
      <c r="B861" s="8"/>
      <c r="C861" s="8"/>
      <c r="D861" s="8"/>
      <c r="E861" s="8"/>
      <c r="F861" s="8"/>
      <c r="G861" s="8"/>
      <c r="H861" s="8"/>
    </row>
    <row r="862" spans="1:8" x14ac:dyDescent="0.25">
      <c r="A862" s="11"/>
      <c r="B862" s="8"/>
      <c r="C862" s="8"/>
      <c r="D862" s="8"/>
      <c r="E862" s="8"/>
      <c r="F862" s="8"/>
      <c r="G862" s="8"/>
      <c r="H862" s="8"/>
    </row>
    <row r="863" spans="1:8" x14ac:dyDescent="0.25">
      <c r="A863" s="11"/>
      <c r="B863" s="8"/>
      <c r="C863" s="8"/>
      <c r="D863" s="8"/>
      <c r="E863" s="8"/>
      <c r="F863" s="8"/>
      <c r="G863" s="8"/>
      <c r="H863" s="8"/>
    </row>
    <row r="864" spans="1:8" x14ac:dyDescent="0.25">
      <c r="A864" s="11"/>
      <c r="B864" s="8"/>
      <c r="C864" s="8"/>
      <c r="D864" s="8"/>
      <c r="E864" s="8"/>
      <c r="F864" s="8"/>
      <c r="G864" s="8"/>
      <c r="H864" s="8"/>
    </row>
    <row r="865" spans="1:8" x14ac:dyDescent="0.25">
      <c r="A865" s="11"/>
      <c r="B865" s="8"/>
      <c r="C865" s="8"/>
      <c r="D865" s="8"/>
      <c r="E865" s="8"/>
      <c r="F865" s="8"/>
      <c r="G865" s="8"/>
      <c r="H865" s="8"/>
    </row>
    <row r="866" spans="1:8" x14ac:dyDescent="0.25">
      <c r="A866" s="11"/>
      <c r="B866" s="8"/>
      <c r="C866" s="8"/>
      <c r="D866" s="8"/>
      <c r="E866" s="8"/>
      <c r="F866" s="8"/>
      <c r="G866" s="8"/>
      <c r="H866" s="8"/>
    </row>
    <row r="867" spans="1:8" x14ac:dyDescent="0.25">
      <c r="A867" s="11"/>
      <c r="B867" s="8"/>
      <c r="C867" s="8"/>
      <c r="D867" s="8"/>
      <c r="E867" s="8"/>
      <c r="F867" s="8"/>
      <c r="G867" s="8"/>
      <c r="H867" s="8"/>
    </row>
    <row r="868" spans="1:8" x14ac:dyDescent="0.25">
      <c r="A868" s="11"/>
      <c r="B868" s="8"/>
      <c r="C868" s="8"/>
      <c r="D868" s="8"/>
      <c r="E868" s="8"/>
      <c r="F868" s="8"/>
      <c r="G868" s="8"/>
      <c r="H868" s="8"/>
    </row>
    <row r="869" spans="1:8" x14ac:dyDescent="0.25">
      <c r="A869" s="11"/>
      <c r="B869" s="8"/>
      <c r="C869" s="8"/>
      <c r="D869" s="8"/>
      <c r="E869" s="8"/>
      <c r="F869" s="8"/>
      <c r="G869" s="8"/>
      <c r="H869" s="8"/>
    </row>
    <row r="870" spans="1:8" x14ac:dyDescent="0.25">
      <c r="A870" s="11"/>
      <c r="B870" s="8"/>
      <c r="C870" s="8"/>
      <c r="D870" s="8"/>
      <c r="E870" s="8"/>
      <c r="F870" s="8"/>
      <c r="G870" s="8"/>
      <c r="H870" s="8"/>
    </row>
    <row r="871" spans="1:8" x14ac:dyDescent="0.25">
      <c r="A871" s="11"/>
      <c r="B871" s="8"/>
      <c r="C871" s="8"/>
      <c r="D871" s="8"/>
      <c r="E871" s="8"/>
      <c r="F871" s="8"/>
      <c r="G871" s="8"/>
      <c r="H871" s="8"/>
    </row>
    <row r="872" spans="1:8" x14ac:dyDescent="0.25">
      <c r="A872" s="11"/>
      <c r="B872" s="8"/>
      <c r="C872" s="8"/>
      <c r="D872" s="8"/>
      <c r="E872" s="8"/>
      <c r="F872" s="8"/>
      <c r="G872" s="8"/>
      <c r="H872" s="8"/>
    </row>
    <row r="873" spans="1:8" x14ac:dyDescent="0.25">
      <c r="A873" s="11"/>
      <c r="B873" s="8"/>
      <c r="C873" s="8"/>
      <c r="D873" s="8"/>
      <c r="E873" s="8"/>
      <c r="F873" s="8"/>
      <c r="G873" s="8"/>
      <c r="H873" s="8"/>
    </row>
    <row r="874" spans="1:8" x14ac:dyDescent="0.25">
      <c r="A874" s="11"/>
      <c r="B874" s="8"/>
      <c r="C874" s="8"/>
      <c r="D874" s="8"/>
      <c r="E874" s="8"/>
      <c r="F874" s="8"/>
      <c r="G874" s="8"/>
      <c r="H874" s="8"/>
    </row>
    <row r="875" spans="1:8" x14ac:dyDescent="0.25">
      <c r="A875" s="11"/>
      <c r="B875" s="8"/>
      <c r="C875" s="8"/>
      <c r="D875" s="8"/>
      <c r="E875" s="8"/>
      <c r="F875" s="8"/>
      <c r="G875" s="8"/>
      <c r="H875" s="8"/>
    </row>
    <row r="876" spans="1:8" x14ac:dyDescent="0.25">
      <c r="A876" s="11"/>
      <c r="B876" s="8"/>
      <c r="C876" s="8"/>
      <c r="D876" s="8"/>
      <c r="E876" s="8"/>
      <c r="F876" s="8"/>
      <c r="G876" s="8"/>
      <c r="H876" s="8"/>
    </row>
    <row r="877" spans="1:8" x14ac:dyDescent="0.25">
      <c r="A877" s="11"/>
      <c r="B877" s="8"/>
      <c r="C877" s="8"/>
      <c r="D877" s="8"/>
      <c r="E877" s="8"/>
      <c r="F877" s="8"/>
      <c r="G877" s="8"/>
      <c r="H877" s="8"/>
    </row>
    <row r="878" spans="1:8" x14ac:dyDescent="0.25">
      <c r="A878" s="11"/>
      <c r="B878" s="8"/>
      <c r="C878" s="8"/>
      <c r="D878" s="8"/>
      <c r="E878" s="8"/>
      <c r="F878" s="8"/>
      <c r="G878" s="8"/>
      <c r="H878" s="8"/>
    </row>
    <row r="879" spans="1:8" x14ac:dyDescent="0.25">
      <c r="A879" s="11"/>
      <c r="B879" s="8"/>
      <c r="C879" s="8"/>
      <c r="D879" s="8"/>
      <c r="E879" s="8"/>
      <c r="F879" s="8"/>
      <c r="G879" s="8"/>
      <c r="H879" s="8"/>
    </row>
    <row r="880" spans="1:8" x14ac:dyDescent="0.25">
      <c r="A880" s="11"/>
      <c r="B880" s="8"/>
      <c r="C880" s="8"/>
      <c r="D880" s="8"/>
      <c r="E880" s="8"/>
      <c r="F880" s="8"/>
      <c r="G880" s="8"/>
      <c r="H880" s="8"/>
    </row>
    <row r="881" spans="1:8" x14ac:dyDescent="0.25">
      <c r="A881" s="11"/>
      <c r="B881" s="8"/>
      <c r="C881" s="8"/>
      <c r="D881" s="8"/>
      <c r="E881" s="8"/>
      <c r="F881" s="8"/>
      <c r="G881" s="8"/>
      <c r="H881" s="8"/>
    </row>
    <row r="882" spans="1:8" x14ac:dyDescent="0.25">
      <c r="A882" s="11"/>
      <c r="B882" s="8"/>
      <c r="C882" s="8"/>
      <c r="D882" s="8"/>
      <c r="E882" s="8"/>
      <c r="F882" s="8"/>
      <c r="G882" s="8"/>
      <c r="H882" s="8"/>
    </row>
    <row r="883" spans="1:8" x14ac:dyDescent="0.25">
      <c r="A883" s="11"/>
      <c r="B883" s="8"/>
      <c r="C883" s="8"/>
      <c r="D883" s="8"/>
      <c r="E883" s="8"/>
      <c r="F883" s="8"/>
      <c r="G883" s="8"/>
      <c r="H883" s="8"/>
    </row>
    <row r="884" spans="1:8" x14ac:dyDescent="0.25">
      <c r="A884" s="11"/>
      <c r="B884" s="8"/>
      <c r="C884" s="8"/>
      <c r="D884" s="8"/>
      <c r="E884" s="8"/>
      <c r="F884" s="8"/>
      <c r="G884" s="8"/>
      <c r="H884" s="8"/>
    </row>
    <row r="885" spans="1:8" x14ac:dyDescent="0.25">
      <c r="A885" s="11"/>
      <c r="B885" s="8"/>
      <c r="C885" s="8"/>
      <c r="D885" s="8"/>
      <c r="E885" s="8"/>
      <c r="F885" s="8"/>
      <c r="G885" s="8"/>
      <c r="H885" s="8"/>
    </row>
    <row r="886" spans="1:8" x14ac:dyDescent="0.25">
      <c r="A886" s="11"/>
      <c r="B886" s="8"/>
      <c r="C886" s="8"/>
      <c r="D886" s="8"/>
      <c r="E886" s="8"/>
      <c r="F886" s="8"/>
      <c r="G886" s="8"/>
      <c r="H886" s="8"/>
    </row>
    <row r="887" spans="1:8" x14ac:dyDescent="0.25">
      <c r="A887" s="11"/>
      <c r="B887" s="8"/>
      <c r="C887" s="8"/>
      <c r="D887" s="8"/>
      <c r="E887" s="8"/>
      <c r="F887" s="8"/>
      <c r="G887" s="8"/>
      <c r="H887" s="8"/>
    </row>
    <row r="888" spans="1:8" x14ac:dyDescent="0.25">
      <c r="A888" s="11"/>
      <c r="B888" s="8"/>
      <c r="C888" s="8"/>
      <c r="D888" s="8"/>
      <c r="E888" s="8"/>
      <c r="F888" s="8"/>
      <c r="G888" s="8"/>
      <c r="H888" s="8"/>
    </row>
    <row r="889" spans="1:8" x14ac:dyDescent="0.25">
      <c r="A889" s="11"/>
      <c r="B889" s="8"/>
      <c r="C889" s="8"/>
      <c r="D889" s="8"/>
      <c r="E889" s="8"/>
      <c r="F889" s="8"/>
      <c r="G889" s="8"/>
      <c r="H889" s="8"/>
    </row>
    <row r="890" spans="1:8" x14ac:dyDescent="0.25">
      <c r="A890" s="11"/>
      <c r="B890" s="8"/>
      <c r="C890" s="8"/>
      <c r="D890" s="8"/>
      <c r="E890" s="8"/>
      <c r="F890" s="8"/>
      <c r="G890" s="8"/>
      <c r="H890" s="8"/>
    </row>
    <row r="891" spans="1:8" x14ac:dyDescent="0.25">
      <c r="A891" s="11"/>
      <c r="B891" s="8"/>
      <c r="C891" s="8"/>
      <c r="D891" s="8"/>
      <c r="E891" s="8"/>
      <c r="F891" s="8"/>
      <c r="G891" s="8"/>
      <c r="H891" s="8"/>
    </row>
    <row r="892" spans="1:8" x14ac:dyDescent="0.25">
      <c r="A892" s="11"/>
      <c r="B892" s="8"/>
      <c r="C892" s="8"/>
      <c r="D892" s="8"/>
      <c r="E892" s="8"/>
      <c r="F892" s="8"/>
      <c r="G892" s="8"/>
      <c r="H892" s="8"/>
    </row>
    <row r="893" spans="1:8" x14ac:dyDescent="0.25">
      <c r="A893" s="11"/>
      <c r="B893" s="8"/>
      <c r="C893" s="8"/>
      <c r="D893" s="8"/>
      <c r="E893" s="8"/>
      <c r="F893" s="8"/>
      <c r="G893" s="8"/>
      <c r="H893" s="8"/>
    </row>
    <row r="894" spans="1:8" x14ac:dyDescent="0.25">
      <c r="A894" s="11"/>
      <c r="B894" s="8"/>
      <c r="C894" s="8"/>
      <c r="D894" s="8"/>
      <c r="E894" s="8"/>
      <c r="F894" s="8"/>
      <c r="G894" s="8"/>
      <c r="H894" s="8"/>
    </row>
    <row r="895" spans="1:8" x14ac:dyDescent="0.25">
      <c r="A895" s="11"/>
      <c r="B895" s="8"/>
      <c r="C895" s="8"/>
      <c r="D895" s="8"/>
      <c r="E895" s="8"/>
      <c r="F895" s="8"/>
      <c r="G895" s="8"/>
      <c r="H895" s="8"/>
    </row>
    <row r="896" spans="1:8" x14ac:dyDescent="0.25">
      <c r="A896" s="11"/>
      <c r="B896" s="8"/>
      <c r="C896" s="8"/>
      <c r="D896" s="8"/>
      <c r="E896" s="8"/>
      <c r="F896" s="8"/>
      <c r="G896" s="8"/>
      <c r="H896" s="8"/>
    </row>
    <row r="897" spans="1:8" x14ac:dyDescent="0.25">
      <c r="A897" s="11"/>
      <c r="B897" s="8"/>
      <c r="C897" s="8"/>
      <c r="D897" s="8"/>
      <c r="E897" s="8"/>
      <c r="F897" s="8"/>
      <c r="G897" s="8"/>
      <c r="H897" s="8"/>
    </row>
    <row r="898" spans="1:8" x14ac:dyDescent="0.25">
      <c r="A898" s="11"/>
      <c r="B898" s="8"/>
      <c r="C898" s="8"/>
      <c r="D898" s="8"/>
      <c r="E898" s="8"/>
      <c r="F898" s="8"/>
      <c r="G898" s="8"/>
      <c r="H898" s="8"/>
    </row>
    <row r="899" spans="1:8" x14ac:dyDescent="0.25">
      <c r="A899" s="11"/>
      <c r="B899" s="8"/>
      <c r="C899" s="8"/>
      <c r="D899" s="8"/>
      <c r="E899" s="8"/>
      <c r="F899" s="8"/>
      <c r="G899" s="8"/>
      <c r="H899" s="8"/>
    </row>
    <row r="900" spans="1:8" x14ac:dyDescent="0.25">
      <c r="A900" s="11"/>
      <c r="B900" s="8"/>
      <c r="C900" s="8"/>
      <c r="D900" s="8"/>
      <c r="E900" s="8"/>
      <c r="F900" s="8"/>
      <c r="G900" s="8"/>
      <c r="H900" s="8"/>
    </row>
    <row r="901" spans="1:8" x14ac:dyDescent="0.25">
      <c r="A901" s="11"/>
      <c r="B901" s="8"/>
      <c r="C901" s="8"/>
      <c r="D901" s="8"/>
      <c r="E901" s="8"/>
      <c r="F901" s="8"/>
      <c r="G901" s="8"/>
      <c r="H901" s="8"/>
    </row>
    <row r="902" spans="1:8" x14ac:dyDescent="0.25">
      <c r="A902" s="11"/>
      <c r="B902" s="8"/>
      <c r="C902" s="8"/>
      <c r="D902" s="8"/>
      <c r="E902" s="8"/>
      <c r="F902" s="8"/>
      <c r="G902" s="8"/>
      <c r="H902" s="8"/>
    </row>
    <row r="903" spans="1:8" x14ac:dyDescent="0.25">
      <c r="A903" s="11"/>
      <c r="B903" s="8"/>
      <c r="C903" s="8"/>
      <c r="D903" s="8"/>
      <c r="E903" s="8"/>
      <c r="F903" s="8"/>
      <c r="G903" s="8"/>
      <c r="H903" s="8"/>
    </row>
    <row r="904" spans="1:8" x14ac:dyDescent="0.25">
      <c r="A904" s="11"/>
      <c r="B904" s="8"/>
      <c r="C904" s="8"/>
      <c r="D904" s="8"/>
      <c r="E904" s="8"/>
      <c r="F904" s="8"/>
      <c r="G904" s="8"/>
      <c r="H904" s="8"/>
    </row>
    <row r="905" spans="1:8" x14ac:dyDescent="0.25">
      <c r="A905" s="11"/>
      <c r="B905" s="8"/>
      <c r="C905" s="8"/>
      <c r="D905" s="8"/>
      <c r="E905" s="8"/>
      <c r="F905" s="8"/>
      <c r="G905" s="8"/>
      <c r="H905" s="8"/>
    </row>
    <row r="906" spans="1:8" x14ac:dyDescent="0.25">
      <c r="A906" s="11"/>
      <c r="B906" s="8"/>
      <c r="C906" s="8"/>
      <c r="D906" s="8"/>
      <c r="E906" s="8"/>
      <c r="F906" s="8"/>
      <c r="G906" s="8"/>
      <c r="H906" s="8"/>
    </row>
    <row r="907" spans="1:8" x14ac:dyDescent="0.25">
      <c r="A907" s="11"/>
      <c r="B907" s="8"/>
      <c r="C907" s="8"/>
      <c r="D907" s="8"/>
      <c r="E907" s="8"/>
      <c r="F907" s="8"/>
      <c r="G907" s="8"/>
      <c r="H907" s="8"/>
    </row>
    <row r="908" spans="1:8" x14ac:dyDescent="0.25">
      <c r="A908" s="11"/>
      <c r="B908" s="8"/>
      <c r="C908" s="8"/>
      <c r="D908" s="8"/>
      <c r="E908" s="8"/>
      <c r="F908" s="8"/>
      <c r="G908" s="8"/>
      <c r="H908" s="8"/>
    </row>
    <row r="909" spans="1:8" x14ac:dyDescent="0.25">
      <c r="A909" s="11"/>
      <c r="B909" s="8"/>
      <c r="C909" s="8"/>
      <c r="D909" s="8"/>
      <c r="E909" s="8"/>
      <c r="F909" s="8"/>
      <c r="G909" s="8"/>
      <c r="H909" s="8"/>
    </row>
    <row r="910" spans="1:8" x14ac:dyDescent="0.25">
      <c r="A910" s="11"/>
      <c r="B910" s="8"/>
      <c r="C910" s="8"/>
      <c r="D910" s="8"/>
      <c r="E910" s="8"/>
      <c r="F910" s="8"/>
      <c r="G910" s="8"/>
      <c r="H910" s="8"/>
    </row>
    <row r="911" spans="1:8" x14ac:dyDescent="0.25">
      <c r="A911" s="11"/>
      <c r="B911" s="8"/>
      <c r="C911" s="8"/>
      <c r="D911" s="8"/>
      <c r="E911" s="8"/>
      <c r="F911" s="8"/>
      <c r="G911" s="8"/>
      <c r="H911" s="8"/>
    </row>
    <row r="912" spans="1:8" x14ac:dyDescent="0.25">
      <c r="A912" s="11"/>
      <c r="B912" s="8"/>
      <c r="C912" s="8"/>
      <c r="D912" s="8"/>
      <c r="E912" s="8"/>
      <c r="F912" s="8"/>
      <c r="G912" s="8"/>
      <c r="H912" s="8"/>
    </row>
    <row r="913" spans="1:8" x14ac:dyDescent="0.25">
      <c r="A913" s="11"/>
      <c r="B913" s="8"/>
      <c r="C913" s="8"/>
      <c r="D913" s="8"/>
      <c r="E913" s="8"/>
      <c r="F913" s="8"/>
      <c r="G913" s="8"/>
      <c r="H913" s="8"/>
    </row>
    <row r="914" spans="1:8" x14ac:dyDescent="0.25">
      <c r="A914" s="11"/>
      <c r="B914" s="8"/>
      <c r="C914" s="8"/>
      <c r="D914" s="8"/>
      <c r="E914" s="8"/>
      <c r="F914" s="8"/>
      <c r="G914" s="8"/>
      <c r="H914" s="8"/>
    </row>
    <row r="915" spans="1:8" x14ac:dyDescent="0.25">
      <c r="A915" s="11"/>
      <c r="B915" s="8"/>
      <c r="C915" s="8"/>
      <c r="D915" s="8"/>
      <c r="E915" s="8"/>
      <c r="F915" s="8"/>
      <c r="G915" s="8"/>
      <c r="H915" s="8"/>
    </row>
    <row r="916" spans="1:8" x14ac:dyDescent="0.25">
      <c r="A916" s="11"/>
      <c r="B916" s="8"/>
      <c r="C916" s="8"/>
      <c r="D916" s="8"/>
      <c r="E916" s="8"/>
      <c r="F916" s="8"/>
      <c r="G916" s="8"/>
      <c r="H916" s="8"/>
    </row>
    <row r="917" spans="1:8" x14ac:dyDescent="0.25">
      <c r="A917" s="11"/>
      <c r="B917" s="8"/>
      <c r="C917" s="8"/>
      <c r="D917" s="8"/>
      <c r="E917" s="8"/>
      <c r="F917" s="8"/>
      <c r="G917" s="8"/>
      <c r="H917" s="8"/>
    </row>
    <row r="918" spans="1:8" x14ac:dyDescent="0.25">
      <c r="A918" s="11"/>
      <c r="B918" s="8"/>
      <c r="C918" s="8"/>
      <c r="D918" s="8"/>
      <c r="E918" s="8"/>
      <c r="F918" s="8"/>
      <c r="G918" s="8"/>
      <c r="H918" s="8"/>
    </row>
    <row r="919" spans="1:8" x14ac:dyDescent="0.25">
      <c r="A919" s="11"/>
      <c r="B919" s="8"/>
      <c r="C919" s="8"/>
      <c r="D919" s="8"/>
      <c r="E919" s="8"/>
      <c r="F919" s="8"/>
      <c r="G919" s="8"/>
      <c r="H919" s="8"/>
    </row>
    <row r="920" spans="1:8" x14ac:dyDescent="0.25">
      <c r="A920" s="11"/>
      <c r="B920" s="8"/>
      <c r="C920" s="8"/>
      <c r="D920" s="8"/>
      <c r="E920" s="8"/>
      <c r="F920" s="8"/>
      <c r="G920" s="8"/>
      <c r="H920" s="8"/>
    </row>
    <row r="921" spans="1:8" x14ac:dyDescent="0.25">
      <c r="A921" s="11"/>
      <c r="B921" s="8"/>
      <c r="C921" s="8"/>
      <c r="D921" s="8"/>
      <c r="E921" s="8"/>
      <c r="F921" s="8"/>
      <c r="G921" s="8"/>
      <c r="H921" s="8"/>
    </row>
    <row r="922" spans="1:8" x14ac:dyDescent="0.25">
      <c r="A922" s="11"/>
      <c r="B922" s="8"/>
      <c r="C922" s="8"/>
      <c r="D922" s="8"/>
      <c r="E922" s="8"/>
      <c r="F922" s="8"/>
      <c r="G922" s="8"/>
      <c r="H922" s="8"/>
    </row>
    <row r="923" spans="1:8" x14ac:dyDescent="0.25">
      <c r="A923" s="11"/>
      <c r="B923" s="8"/>
      <c r="C923" s="8"/>
      <c r="D923" s="8"/>
      <c r="E923" s="8"/>
      <c r="F923" s="8"/>
      <c r="G923" s="8"/>
      <c r="H923" s="8"/>
    </row>
    <row r="924" spans="1:8" x14ac:dyDescent="0.25">
      <c r="A924" s="11"/>
      <c r="B924" s="8"/>
      <c r="C924" s="8"/>
      <c r="D924" s="8"/>
      <c r="E924" s="8"/>
      <c r="F924" s="8"/>
      <c r="G924" s="8"/>
      <c r="H924" s="8"/>
    </row>
    <row r="925" spans="1:8" x14ac:dyDescent="0.25">
      <c r="A925" s="11"/>
      <c r="B925" s="8"/>
      <c r="C925" s="8"/>
      <c r="D925" s="8"/>
      <c r="E925" s="8"/>
      <c r="F925" s="8"/>
      <c r="G925" s="8"/>
      <c r="H925" s="8"/>
    </row>
    <row r="926" spans="1:8" x14ac:dyDescent="0.25">
      <c r="A926" s="11"/>
      <c r="B926" s="8"/>
      <c r="C926" s="8"/>
      <c r="D926" s="8"/>
      <c r="E926" s="8"/>
      <c r="F926" s="8"/>
      <c r="G926" s="8"/>
      <c r="H926" s="8"/>
    </row>
    <row r="927" spans="1:8" x14ac:dyDescent="0.25">
      <c r="A927" s="11"/>
      <c r="B927" s="8"/>
      <c r="C927" s="8"/>
      <c r="D927" s="8"/>
      <c r="E927" s="8"/>
      <c r="F927" s="8"/>
      <c r="G927" s="8"/>
      <c r="H927" s="8"/>
    </row>
    <row r="928" spans="1:8" x14ac:dyDescent="0.25">
      <c r="A928" s="11"/>
      <c r="B928" s="8"/>
      <c r="C928" s="8"/>
      <c r="D928" s="8"/>
      <c r="E928" s="8"/>
      <c r="F928" s="8"/>
      <c r="G928" s="8"/>
      <c r="H928" s="8"/>
    </row>
    <row r="929" spans="1:8" x14ac:dyDescent="0.25">
      <c r="A929" s="11"/>
      <c r="B929" s="8"/>
      <c r="C929" s="8"/>
      <c r="D929" s="8"/>
      <c r="E929" s="8"/>
      <c r="F929" s="8"/>
      <c r="G929" s="8"/>
      <c r="H929" s="8"/>
    </row>
    <row r="930" spans="1:8" x14ac:dyDescent="0.25">
      <c r="A930" s="11"/>
      <c r="B930" s="8"/>
      <c r="C930" s="8"/>
      <c r="D930" s="8"/>
      <c r="E930" s="8"/>
      <c r="F930" s="8"/>
      <c r="G930" s="8"/>
      <c r="H930" s="8"/>
    </row>
    <row r="931" spans="1:8" x14ac:dyDescent="0.25">
      <c r="A931" s="11"/>
      <c r="B931" s="8"/>
      <c r="C931" s="8"/>
      <c r="D931" s="8"/>
      <c r="E931" s="8"/>
      <c r="F931" s="8"/>
      <c r="G931" s="8"/>
      <c r="H931" s="8"/>
    </row>
    <row r="932" spans="1:8" x14ac:dyDescent="0.25">
      <c r="A932" s="11"/>
      <c r="B932" s="8"/>
      <c r="C932" s="8"/>
      <c r="D932" s="8"/>
      <c r="E932" s="8"/>
      <c r="F932" s="8"/>
      <c r="G932" s="8"/>
      <c r="H932" s="8"/>
    </row>
    <row r="933" spans="1:8" x14ac:dyDescent="0.25">
      <c r="A933" s="11"/>
      <c r="B933" s="8"/>
      <c r="C933" s="8"/>
      <c r="D933" s="8"/>
      <c r="E933" s="8"/>
      <c r="F933" s="8"/>
      <c r="G933" s="8"/>
      <c r="H933" s="8"/>
    </row>
    <row r="934" spans="1:8" x14ac:dyDescent="0.25">
      <c r="A934" s="11"/>
      <c r="B934" s="8"/>
      <c r="C934" s="8"/>
      <c r="D934" s="8"/>
      <c r="E934" s="8"/>
      <c r="F934" s="8"/>
      <c r="G934" s="8"/>
      <c r="H934" s="8"/>
    </row>
    <row r="935" spans="1:8" x14ac:dyDescent="0.25">
      <c r="A935" s="11"/>
      <c r="B935" s="8"/>
      <c r="C935" s="8"/>
      <c r="D935" s="8"/>
      <c r="E935" s="8"/>
      <c r="F935" s="8"/>
      <c r="G935" s="8"/>
      <c r="H935" s="8"/>
    </row>
    <row r="936" spans="1:8" x14ac:dyDescent="0.25">
      <c r="A936" s="11"/>
      <c r="B936" s="8"/>
      <c r="C936" s="8"/>
      <c r="D936" s="8"/>
      <c r="E936" s="8"/>
      <c r="F936" s="8"/>
      <c r="G936" s="8"/>
      <c r="H936" s="8"/>
    </row>
    <row r="937" spans="1:8" x14ac:dyDescent="0.25">
      <c r="A937" s="11"/>
      <c r="B937" s="8"/>
      <c r="C937" s="8"/>
      <c r="D937" s="8"/>
      <c r="E937" s="8"/>
      <c r="F937" s="8"/>
      <c r="G937" s="8"/>
      <c r="H937" s="8"/>
    </row>
    <row r="938" spans="1:8" x14ac:dyDescent="0.25">
      <c r="A938" s="11"/>
      <c r="B938" s="8"/>
      <c r="C938" s="8"/>
      <c r="D938" s="8"/>
      <c r="E938" s="8"/>
      <c r="F938" s="8"/>
      <c r="G938" s="8"/>
      <c r="H938" s="8"/>
    </row>
    <row r="939" spans="1:8" x14ac:dyDescent="0.25">
      <c r="A939" s="11"/>
      <c r="B939" s="8"/>
      <c r="C939" s="8"/>
      <c r="D939" s="8"/>
      <c r="E939" s="8"/>
      <c r="F939" s="8"/>
      <c r="G939" s="8"/>
      <c r="H939" s="8"/>
    </row>
    <row r="940" spans="1:8" x14ac:dyDescent="0.25">
      <c r="A940" s="11"/>
      <c r="B940" s="8"/>
      <c r="C940" s="8"/>
      <c r="D940" s="8"/>
      <c r="E940" s="8"/>
      <c r="F940" s="8"/>
      <c r="G940" s="8"/>
      <c r="H940" s="8"/>
    </row>
    <row r="941" spans="1:8" x14ac:dyDescent="0.25">
      <c r="A941" s="11"/>
      <c r="B941" s="8"/>
      <c r="C941" s="8"/>
      <c r="D941" s="8"/>
      <c r="E941" s="8"/>
      <c r="F941" s="8"/>
      <c r="G941" s="8"/>
      <c r="H941" s="8"/>
    </row>
    <row r="942" spans="1:8" x14ac:dyDescent="0.25">
      <c r="A942" s="11"/>
      <c r="B942" s="8"/>
      <c r="C942" s="8"/>
      <c r="D942" s="8"/>
      <c r="E942" s="8"/>
      <c r="F942" s="8"/>
      <c r="G942" s="8"/>
      <c r="H942" s="8"/>
    </row>
    <row r="943" spans="1:8" x14ac:dyDescent="0.25">
      <c r="A943" s="11"/>
      <c r="B943" s="8"/>
      <c r="C943" s="8"/>
      <c r="D943" s="8"/>
      <c r="E943" s="8"/>
      <c r="F943" s="8"/>
      <c r="G943" s="8"/>
      <c r="H943" s="8"/>
    </row>
    <row r="944" spans="1:8" x14ac:dyDescent="0.25">
      <c r="A944" s="11"/>
      <c r="B944" s="8"/>
      <c r="C944" s="8"/>
      <c r="D944" s="8"/>
      <c r="E944" s="8"/>
      <c r="F944" s="8"/>
      <c r="G944" s="8"/>
      <c r="H944" s="8"/>
    </row>
    <row r="945" spans="1:8" x14ac:dyDescent="0.25">
      <c r="A945" s="11"/>
      <c r="B945" s="8"/>
      <c r="C945" s="8"/>
      <c r="D945" s="8"/>
      <c r="E945" s="8"/>
      <c r="F945" s="8"/>
      <c r="G945" s="8"/>
      <c r="H945" s="8"/>
    </row>
    <row r="946" spans="1:8" x14ac:dyDescent="0.25">
      <c r="A946" s="11"/>
      <c r="B946" s="8"/>
      <c r="C946" s="8"/>
      <c r="D946" s="8"/>
      <c r="E946" s="8"/>
      <c r="F946" s="8"/>
      <c r="G946" s="8"/>
      <c r="H946" s="8"/>
    </row>
    <row r="947" spans="1:8" x14ac:dyDescent="0.25">
      <c r="A947" s="11"/>
      <c r="B947" s="8"/>
      <c r="C947" s="8"/>
      <c r="D947" s="8"/>
      <c r="E947" s="8"/>
      <c r="F947" s="8"/>
      <c r="G947" s="8"/>
      <c r="H947" s="8"/>
    </row>
    <row r="948" spans="1:8" x14ac:dyDescent="0.25">
      <c r="A948" s="11"/>
      <c r="B948" s="8"/>
      <c r="C948" s="8"/>
      <c r="D948" s="8"/>
      <c r="E948" s="8"/>
      <c r="F948" s="8"/>
      <c r="G948" s="8"/>
      <c r="H948" s="8"/>
    </row>
    <row r="949" spans="1:8" x14ac:dyDescent="0.25">
      <c r="A949" s="11"/>
      <c r="B949" s="8"/>
      <c r="C949" s="8"/>
      <c r="D949" s="8"/>
      <c r="E949" s="8"/>
      <c r="F949" s="8"/>
      <c r="G949" s="8"/>
      <c r="H949" s="8"/>
    </row>
    <row r="950" spans="1:8" x14ac:dyDescent="0.25">
      <c r="A950" s="11"/>
      <c r="B950" s="8"/>
      <c r="C950" s="8"/>
      <c r="D950" s="8"/>
      <c r="E950" s="8"/>
      <c r="F950" s="8"/>
      <c r="G950" s="8"/>
      <c r="H950" s="8"/>
    </row>
    <row r="951" spans="1:8" x14ac:dyDescent="0.25">
      <c r="A951" s="11"/>
      <c r="B951" s="8"/>
      <c r="C951" s="8"/>
      <c r="D951" s="8"/>
      <c r="E951" s="8"/>
      <c r="F951" s="8"/>
      <c r="G951" s="8"/>
      <c r="H951" s="8"/>
    </row>
    <row r="952" spans="1:8" x14ac:dyDescent="0.25">
      <c r="A952" s="11"/>
      <c r="B952" s="8"/>
      <c r="C952" s="8"/>
      <c r="D952" s="8"/>
      <c r="E952" s="8"/>
      <c r="F952" s="8"/>
      <c r="G952" s="8"/>
      <c r="H952" s="8"/>
    </row>
    <row r="953" spans="1:8" x14ac:dyDescent="0.25">
      <c r="A953" s="11"/>
      <c r="B953" s="8"/>
      <c r="C953" s="8"/>
      <c r="D953" s="8"/>
      <c r="E953" s="8"/>
      <c r="F953" s="8"/>
      <c r="G953" s="8"/>
      <c r="H953" s="8"/>
    </row>
    <row r="954" spans="1:8" x14ac:dyDescent="0.25">
      <c r="A954" s="11"/>
      <c r="B954" s="8"/>
      <c r="C954" s="8"/>
      <c r="D954" s="8"/>
      <c r="E954" s="8"/>
      <c r="F954" s="8"/>
      <c r="G954" s="8"/>
      <c r="H954" s="8"/>
    </row>
    <row r="955" spans="1:8" x14ac:dyDescent="0.25">
      <c r="A955" s="11"/>
      <c r="B955" s="8"/>
      <c r="C955" s="8"/>
      <c r="D955" s="8"/>
      <c r="E955" s="8"/>
      <c r="F955" s="8"/>
      <c r="G955" s="8"/>
      <c r="H955" s="8"/>
    </row>
    <row r="956" spans="1:8" x14ac:dyDescent="0.25">
      <c r="A956" s="11"/>
      <c r="B956" s="8"/>
      <c r="C956" s="8"/>
      <c r="D956" s="8"/>
      <c r="E956" s="8"/>
      <c r="F956" s="8"/>
      <c r="G956" s="8"/>
      <c r="H956" s="8"/>
    </row>
    <row r="957" spans="1:8" x14ac:dyDescent="0.25">
      <c r="A957" s="11"/>
      <c r="B957" s="8"/>
      <c r="C957" s="8"/>
      <c r="D957" s="8"/>
      <c r="E957" s="8"/>
      <c r="F957" s="8"/>
      <c r="G957" s="8"/>
      <c r="H957" s="8"/>
    </row>
    <row r="958" spans="1:8" x14ac:dyDescent="0.25">
      <c r="A958" s="11"/>
      <c r="B958" s="8"/>
      <c r="C958" s="8"/>
      <c r="D958" s="8"/>
      <c r="E958" s="8"/>
      <c r="F958" s="8"/>
      <c r="G958" s="8"/>
      <c r="H958" s="8"/>
    </row>
    <row r="959" spans="1:8" x14ac:dyDescent="0.25">
      <c r="A959" s="11"/>
      <c r="B959" s="8"/>
      <c r="C959" s="8"/>
      <c r="D959" s="8"/>
      <c r="E959" s="8"/>
      <c r="F959" s="8"/>
      <c r="G959" s="8"/>
      <c r="H959" s="8"/>
    </row>
    <row r="960" spans="1:8" x14ac:dyDescent="0.25">
      <c r="A960" s="11"/>
      <c r="B960" s="8"/>
      <c r="C960" s="8"/>
      <c r="D960" s="8"/>
      <c r="E960" s="8"/>
      <c r="F960" s="8"/>
      <c r="G960" s="8"/>
      <c r="H960" s="8"/>
    </row>
    <row r="961" spans="1:8" x14ac:dyDescent="0.25">
      <c r="A961" s="11"/>
      <c r="B961" s="8"/>
      <c r="C961" s="8"/>
      <c r="D961" s="8"/>
      <c r="E961" s="8"/>
      <c r="F961" s="8"/>
      <c r="G961" s="8"/>
      <c r="H961" s="8"/>
    </row>
    <row r="962" spans="1:8" x14ac:dyDescent="0.25">
      <c r="A962" s="11"/>
      <c r="B962" s="8"/>
      <c r="C962" s="8"/>
      <c r="D962" s="8"/>
      <c r="E962" s="8"/>
      <c r="F962" s="8"/>
      <c r="G962" s="8"/>
      <c r="H962" s="8"/>
    </row>
    <row r="963" spans="1:8" x14ac:dyDescent="0.25">
      <c r="A963" s="11"/>
      <c r="B963" s="8"/>
      <c r="C963" s="8"/>
      <c r="D963" s="8"/>
      <c r="E963" s="8"/>
      <c r="F963" s="8"/>
      <c r="G963" s="8"/>
      <c r="H963" s="8"/>
    </row>
    <row r="964" spans="1:8" x14ac:dyDescent="0.25">
      <c r="A964" s="11"/>
      <c r="B964" s="8"/>
      <c r="C964" s="8"/>
      <c r="D964" s="8"/>
      <c r="E964" s="8"/>
      <c r="F964" s="8"/>
      <c r="G964" s="8"/>
      <c r="H964" s="8"/>
    </row>
    <row r="965" spans="1:8" x14ac:dyDescent="0.25">
      <c r="A965" s="11"/>
      <c r="B965" s="8"/>
      <c r="C965" s="8"/>
      <c r="D965" s="8"/>
      <c r="E965" s="8"/>
      <c r="F965" s="8"/>
      <c r="G965" s="8"/>
      <c r="H965" s="8"/>
    </row>
    <row r="966" spans="1:8" x14ac:dyDescent="0.25">
      <c r="A966" s="11"/>
      <c r="B966" s="8"/>
      <c r="C966" s="8"/>
      <c r="D966" s="8"/>
      <c r="E966" s="8"/>
      <c r="F966" s="8"/>
      <c r="G966" s="8"/>
      <c r="H966" s="8"/>
    </row>
    <row r="967" spans="1:8" x14ac:dyDescent="0.25">
      <c r="A967" s="11"/>
      <c r="B967" s="8"/>
      <c r="C967" s="8"/>
      <c r="D967" s="8"/>
      <c r="E967" s="8"/>
      <c r="F967" s="8"/>
      <c r="G967" s="8"/>
      <c r="H967" s="8"/>
    </row>
    <row r="968" spans="1:8" x14ac:dyDescent="0.25">
      <c r="A968" s="11"/>
      <c r="B968" s="8"/>
      <c r="C968" s="8"/>
      <c r="D968" s="8"/>
      <c r="E968" s="8"/>
      <c r="F968" s="8"/>
      <c r="G968" s="8"/>
      <c r="H968" s="8"/>
    </row>
    <row r="969" spans="1:8" x14ac:dyDescent="0.25">
      <c r="A969" s="11"/>
      <c r="B969" s="8"/>
      <c r="C969" s="8"/>
      <c r="D969" s="8"/>
      <c r="E969" s="8"/>
      <c r="F969" s="8"/>
      <c r="G969" s="8"/>
      <c r="H969" s="8"/>
    </row>
    <row r="970" spans="1:8" x14ac:dyDescent="0.25">
      <c r="A970" s="11"/>
      <c r="B970" s="8"/>
      <c r="C970" s="8"/>
      <c r="D970" s="8"/>
      <c r="E970" s="8"/>
      <c r="F970" s="8"/>
      <c r="G970" s="8"/>
      <c r="H970" s="8"/>
    </row>
    <row r="971" spans="1:8" x14ac:dyDescent="0.25">
      <c r="A971" s="11"/>
      <c r="B971" s="8"/>
      <c r="C971" s="8"/>
      <c r="D971" s="8"/>
      <c r="E971" s="8"/>
      <c r="F971" s="8"/>
      <c r="G971" s="8"/>
      <c r="H971" s="8"/>
    </row>
    <row r="972" spans="1:8" x14ac:dyDescent="0.25">
      <c r="A972" s="11"/>
      <c r="B972" s="8"/>
      <c r="C972" s="8"/>
      <c r="D972" s="8"/>
      <c r="E972" s="8"/>
      <c r="F972" s="8"/>
      <c r="G972" s="8"/>
      <c r="H972" s="8"/>
    </row>
    <row r="973" spans="1:8" x14ac:dyDescent="0.25">
      <c r="A973" s="11"/>
      <c r="B973" s="8"/>
      <c r="C973" s="8"/>
      <c r="D973" s="8"/>
      <c r="E973" s="8"/>
      <c r="F973" s="8"/>
      <c r="G973" s="8"/>
      <c r="H973" s="8"/>
    </row>
    <row r="974" spans="1:8" x14ac:dyDescent="0.25">
      <c r="A974" s="11"/>
      <c r="B974" s="8"/>
      <c r="C974" s="8"/>
      <c r="D974" s="8"/>
      <c r="E974" s="8"/>
      <c r="F974" s="8"/>
      <c r="G974" s="8"/>
      <c r="H974" s="8"/>
    </row>
    <row r="975" spans="1:8" x14ac:dyDescent="0.25">
      <c r="A975" s="11"/>
      <c r="B975" s="8"/>
      <c r="C975" s="8"/>
      <c r="D975" s="8"/>
      <c r="E975" s="8"/>
      <c r="F975" s="8"/>
      <c r="G975" s="8"/>
      <c r="H975" s="8"/>
    </row>
    <row r="976" spans="1:8" x14ac:dyDescent="0.25">
      <c r="A976" s="11"/>
      <c r="B976" s="8"/>
      <c r="C976" s="8"/>
      <c r="D976" s="8"/>
      <c r="E976" s="8"/>
      <c r="F976" s="8"/>
      <c r="G976" s="8"/>
      <c r="H976" s="8"/>
    </row>
    <row r="977" spans="1:8" x14ac:dyDescent="0.25">
      <c r="A977" s="11"/>
      <c r="B977" s="8"/>
      <c r="C977" s="8"/>
      <c r="D977" s="8"/>
      <c r="E977" s="8"/>
      <c r="F977" s="8"/>
      <c r="G977" s="8"/>
      <c r="H977" s="8"/>
    </row>
    <row r="978" spans="1:8" x14ac:dyDescent="0.25">
      <c r="A978" s="11"/>
      <c r="B978" s="8"/>
      <c r="C978" s="8"/>
      <c r="D978" s="8"/>
      <c r="E978" s="8"/>
      <c r="F978" s="8"/>
      <c r="G978" s="8"/>
      <c r="H978" s="8"/>
    </row>
    <row r="979" spans="1:8" x14ac:dyDescent="0.25">
      <c r="A979" s="11"/>
      <c r="B979" s="8"/>
      <c r="C979" s="8"/>
      <c r="D979" s="8"/>
      <c r="E979" s="8"/>
      <c r="F979" s="8"/>
      <c r="G979" s="8"/>
      <c r="H979" s="8"/>
    </row>
    <row r="980" spans="1:8" x14ac:dyDescent="0.25">
      <c r="A980" s="11"/>
      <c r="B980" s="8"/>
      <c r="C980" s="8"/>
      <c r="D980" s="8"/>
      <c r="E980" s="8"/>
      <c r="F980" s="8"/>
      <c r="G980" s="8"/>
      <c r="H980" s="8"/>
    </row>
    <row r="981" spans="1:8" x14ac:dyDescent="0.25">
      <c r="A981" s="11"/>
      <c r="B981" s="8"/>
      <c r="C981" s="8"/>
      <c r="D981" s="8"/>
      <c r="E981" s="8"/>
      <c r="F981" s="8"/>
      <c r="G981" s="8"/>
      <c r="H981" s="8"/>
    </row>
    <row r="982" spans="1:8" x14ac:dyDescent="0.25">
      <c r="A982" s="11"/>
      <c r="B982" s="8"/>
      <c r="C982" s="8"/>
      <c r="D982" s="8"/>
      <c r="E982" s="8"/>
      <c r="F982" s="8"/>
      <c r="G982" s="8"/>
      <c r="H982" s="8"/>
    </row>
    <row r="983" spans="1:8" x14ac:dyDescent="0.25">
      <c r="A983" s="11"/>
      <c r="B983" s="8"/>
      <c r="C983" s="8"/>
      <c r="D983" s="8"/>
      <c r="E983" s="8"/>
      <c r="F983" s="8"/>
      <c r="G983" s="8"/>
      <c r="H983" s="8"/>
    </row>
    <row r="984" spans="1:8" x14ac:dyDescent="0.25">
      <c r="A984" s="11"/>
      <c r="B984" s="8"/>
      <c r="C984" s="8"/>
      <c r="D984" s="8"/>
      <c r="E984" s="8"/>
      <c r="F984" s="8"/>
      <c r="G984" s="8"/>
      <c r="H984" s="8"/>
    </row>
    <row r="985" spans="1:8" x14ac:dyDescent="0.25">
      <c r="A985" s="11"/>
      <c r="B985" s="8"/>
      <c r="C985" s="8"/>
      <c r="D985" s="8"/>
      <c r="E985" s="8"/>
      <c r="F985" s="8"/>
      <c r="G985" s="8"/>
      <c r="H985" s="8"/>
    </row>
    <row r="986" spans="1:8" x14ac:dyDescent="0.25">
      <c r="A986" s="11"/>
      <c r="B986" s="8"/>
      <c r="C986" s="8"/>
      <c r="D986" s="8"/>
      <c r="E986" s="8"/>
      <c r="F986" s="8"/>
      <c r="G986" s="8"/>
      <c r="H986" s="8"/>
    </row>
    <row r="987" spans="1:8" x14ac:dyDescent="0.25">
      <c r="A987" s="11"/>
      <c r="B987" s="8"/>
      <c r="C987" s="8"/>
      <c r="D987" s="8"/>
      <c r="E987" s="8"/>
      <c r="F987" s="8"/>
      <c r="G987" s="8"/>
      <c r="H987" s="8"/>
    </row>
    <row r="988" spans="1:8" x14ac:dyDescent="0.25">
      <c r="A988" s="11"/>
      <c r="B988" s="8"/>
      <c r="C988" s="8"/>
      <c r="D988" s="8"/>
      <c r="E988" s="8"/>
      <c r="F988" s="8"/>
      <c r="G988" s="8"/>
      <c r="H988" s="8"/>
    </row>
    <row r="989" spans="1:8" x14ac:dyDescent="0.25">
      <c r="A989" s="11"/>
      <c r="B989" s="8"/>
      <c r="C989" s="8"/>
      <c r="D989" s="8"/>
      <c r="E989" s="8"/>
      <c r="F989" s="8"/>
      <c r="G989" s="8"/>
      <c r="H989" s="8"/>
    </row>
    <row r="990" spans="1:8" x14ac:dyDescent="0.25">
      <c r="A990" s="11"/>
      <c r="B990" s="8"/>
      <c r="C990" s="8"/>
      <c r="D990" s="8"/>
      <c r="E990" s="8"/>
      <c r="F990" s="8"/>
      <c r="G990" s="8"/>
      <c r="H990" s="8"/>
    </row>
    <row r="991" spans="1:8" x14ac:dyDescent="0.25">
      <c r="A991" s="11"/>
      <c r="B991" s="8"/>
      <c r="C991" s="8"/>
      <c r="D991" s="8"/>
      <c r="E991" s="8"/>
      <c r="F991" s="8"/>
      <c r="G991" s="8"/>
      <c r="H991" s="8"/>
    </row>
    <row r="992" spans="1:8" x14ac:dyDescent="0.25">
      <c r="A992" s="11"/>
      <c r="B992" s="8"/>
      <c r="C992" s="8"/>
      <c r="D992" s="8"/>
      <c r="E992" s="8"/>
      <c r="F992" s="8"/>
      <c r="G992" s="8"/>
      <c r="H992" s="8"/>
    </row>
    <row r="993" spans="1:8" x14ac:dyDescent="0.25">
      <c r="A993" s="11"/>
      <c r="B993" s="8"/>
      <c r="C993" s="8"/>
      <c r="D993" s="8"/>
      <c r="E993" s="8"/>
      <c r="F993" s="8"/>
      <c r="G993" s="8"/>
      <c r="H993" s="8"/>
    </row>
    <row r="994" spans="1:8" x14ac:dyDescent="0.25">
      <c r="A994" s="11"/>
      <c r="B994" s="8"/>
      <c r="C994" s="8"/>
      <c r="D994" s="8"/>
      <c r="E994" s="8"/>
      <c r="F994" s="8"/>
      <c r="G994" s="8"/>
      <c r="H994" s="8"/>
    </row>
    <row r="995" spans="1:8" x14ac:dyDescent="0.25">
      <c r="A995" s="11"/>
      <c r="B995" s="8"/>
      <c r="C995" s="8"/>
      <c r="D995" s="8"/>
      <c r="E995" s="8"/>
      <c r="F995" s="8"/>
      <c r="G995" s="8"/>
      <c r="H995" s="8"/>
    </row>
    <row r="996" spans="1:8" x14ac:dyDescent="0.25">
      <c r="A996" s="11"/>
      <c r="B996" s="8"/>
      <c r="C996" s="8"/>
      <c r="D996" s="8"/>
      <c r="E996" s="8"/>
      <c r="F996" s="8"/>
      <c r="G996" s="8"/>
      <c r="H996" s="8"/>
    </row>
    <row r="997" spans="1:8" x14ac:dyDescent="0.25">
      <c r="A997" s="11"/>
      <c r="B997" s="8"/>
      <c r="C997" s="8"/>
      <c r="D997" s="8"/>
      <c r="E997" s="8"/>
      <c r="F997" s="8"/>
      <c r="G997" s="8"/>
      <c r="H997" s="8"/>
    </row>
    <row r="998" spans="1:8" x14ac:dyDescent="0.25">
      <c r="A998" s="11"/>
      <c r="B998" s="8"/>
      <c r="C998" s="8"/>
      <c r="D998" s="8"/>
      <c r="E998" s="8"/>
      <c r="F998" s="8"/>
      <c r="G998" s="8"/>
      <c r="H998" s="8"/>
    </row>
    <row r="999" spans="1:8" x14ac:dyDescent="0.25">
      <c r="A999" s="11"/>
      <c r="B999" s="8"/>
      <c r="C999" s="8"/>
      <c r="D999" s="8"/>
      <c r="E999" s="8"/>
      <c r="F999" s="8"/>
      <c r="G999" s="8"/>
      <c r="H999" s="8"/>
    </row>
    <row r="1000" spans="1:8" x14ac:dyDescent="0.25">
      <c r="A1000" s="11"/>
      <c r="B1000" s="8"/>
      <c r="C1000" s="8"/>
      <c r="D1000" s="8"/>
      <c r="E1000" s="8"/>
      <c r="F1000" s="8"/>
      <c r="G1000" s="8"/>
      <c r="H1000" s="8"/>
    </row>
    <row r="1001" spans="1:8" x14ac:dyDescent="0.25">
      <c r="A1001" s="11"/>
      <c r="B1001" s="8"/>
      <c r="C1001" s="8"/>
      <c r="D1001" s="8"/>
      <c r="E1001" s="8"/>
      <c r="F1001" s="8"/>
      <c r="G1001" s="8"/>
      <c r="H1001" s="8"/>
    </row>
    <row r="1002" spans="1:8" x14ac:dyDescent="0.25">
      <c r="A1002" s="11"/>
      <c r="B1002" s="8"/>
      <c r="C1002" s="8"/>
      <c r="D1002" s="8"/>
      <c r="E1002" s="8"/>
      <c r="F1002" s="8"/>
      <c r="G1002" s="8"/>
      <c r="H1002" s="8"/>
    </row>
  </sheetData>
  <mergeCells count="15">
    <mergeCell ref="E167:F167"/>
    <mergeCell ref="E174:F174"/>
    <mergeCell ref="E175:F175"/>
    <mergeCell ref="E2:G2"/>
    <mergeCell ref="E47:F47"/>
    <mergeCell ref="E55:F55"/>
    <mergeCell ref="E64:F64"/>
    <mergeCell ref="E66:F66"/>
    <mergeCell ref="E75:F75"/>
    <mergeCell ref="E112:F112"/>
    <mergeCell ref="E124:F124"/>
    <mergeCell ref="E137:F137"/>
    <mergeCell ref="E140:F140"/>
    <mergeCell ref="E144:F144"/>
    <mergeCell ref="E157:F15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Y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44140625" customWidth="1"/>
  </cols>
  <sheetData>
    <row r="1" spans="1:25" x14ac:dyDescent="0.25">
      <c r="A1" s="38" t="s">
        <v>0</v>
      </c>
      <c r="B1" s="38" t="s">
        <v>4354</v>
      </c>
      <c r="C1" s="38" t="s">
        <v>4355</v>
      </c>
      <c r="D1" s="38" t="s">
        <v>6</v>
      </c>
      <c r="E1" s="38"/>
      <c r="F1" s="38"/>
      <c r="G1" s="38"/>
      <c r="H1" s="38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</row>
    <row r="2" spans="1:25" x14ac:dyDescent="0.25">
      <c r="A2" s="8" t="s">
        <v>3951</v>
      </c>
      <c r="B2" s="8">
        <v>734927248394.91016</v>
      </c>
      <c r="C2" s="8">
        <v>911561855804.25</v>
      </c>
      <c r="D2" s="8">
        <f t="shared" ref="D2:D182" si="0">((C2-B2)/B2)*100</f>
        <v>24.034298332945461</v>
      </c>
      <c r="E2" s="8"/>
      <c r="F2" s="8"/>
      <c r="G2" s="8"/>
      <c r="H2" s="8"/>
    </row>
    <row r="3" spans="1:25" x14ac:dyDescent="0.25">
      <c r="A3" s="8" t="s">
        <v>2825</v>
      </c>
      <c r="B3" s="8">
        <v>1319606137.9000001</v>
      </c>
      <c r="C3" s="8">
        <v>1571606978.05</v>
      </c>
      <c r="D3" s="8">
        <f t="shared" si="0"/>
        <v>19.096670810506378</v>
      </c>
      <c r="E3" s="8"/>
      <c r="F3" s="8"/>
      <c r="G3" s="8"/>
      <c r="H3" s="8"/>
    </row>
    <row r="4" spans="1:25" x14ac:dyDescent="0.25">
      <c r="A4" s="8" t="s">
        <v>3068</v>
      </c>
      <c r="B4" s="8">
        <v>2198963873.3099999</v>
      </c>
      <c r="C4" s="8">
        <v>2484555296.1000004</v>
      </c>
      <c r="D4" s="8">
        <f t="shared" si="0"/>
        <v>12.987545009555465</v>
      </c>
      <c r="E4" s="8"/>
      <c r="F4" s="8"/>
      <c r="G4" s="8"/>
      <c r="H4" s="8"/>
    </row>
    <row r="5" spans="1:25" x14ac:dyDescent="0.25">
      <c r="A5" s="8" t="s">
        <v>1672</v>
      </c>
      <c r="B5" s="8">
        <v>264329677933</v>
      </c>
      <c r="C5" s="8">
        <v>297030783620.20001</v>
      </c>
      <c r="D5" s="8">
        <f t="shared" si="0"/>
        <v>12.371333382961563</v>
      </c>
      <c r="E5" s="8"/>
      <c r="F5" s="8"/>
      <c r="G5" s="8"/>
      <c r="H5" s="8"/>
    </row>
    <row r="6" spans="1:25" x14ac:dyDescent="0.25">
      <c r="A6" s="59" t="s">
        <v>4191</v>
      </c>
      <c r="B6" s="8">
        <v>7157131699.749999</v>
      </c>
      <c r="C6" s="8">
        <v>8029830309.25</v>
      </c>
      <c r="D6" s="8">
        <f t="shared" si="0"/>
        <v>12.193412754029447</v>
      </c>
      <c r="E6" s="69" t="s">
        <v>4484</v>
      </c>
      <c r="F6" s="67"/>
      <c r="G6" s="67"/>
      <c r="H6" s="8"/>
    </row>
    <row r="7" spans="1:25" x14ac:dyDescent="0.25">
      <c r="A7" s="8" t="s">
        <v>3690</v>
      </c>
      <c r="B7" s="8">
        <v>72107726342.440002</v>
      </c>
      <c r="C7" s="8">
        <v>77562916773.720001</v>
      </c>
      <c r="D7" s="8">
        <f t="shared" si="0"/>
        <v>7.5653341299006831</v>
      </c>
      <c r="E7" s="8"/>
      <c r="F7" s="8"/>
      <c r="G7" s="8"/>
      <c r="H7" s="8"/>
    </row>
    <row r="8" spans="1:25" x14ac:dyDescent="0.25">
      <c r="A8" s="8" t="s">
        <v>56</v>
      </c>
      <c r="B8" s="8">
        <v>9841354070.6200008</v>
      </c>
      <c r="C8" s="8">
        <v>10561988837.190001</v>
      </c>
      <c r="D8" s="8">
        <f t="shared" si="0"/>
        <v>7.3225164077914338</v>
      </c>
      <c r="E8" s="8"/>
      <c r="F8" s="8"/>
      <c r="G8" s="8"/>
      <c r="H8" s="8"/>
    </row>
    <row r="9" spans="1:25" x14ac:dyDescent="0.25">
      <c r="A9" s="8" t="s">
        <v>3883</v>
      </c>
      <c r="B9" s="8">
        <v>392321922262.20001</v>
      </c>
      <c r="C9" s="8">
        <v>420369197006.90002</v>
      </c>
      <c r="D9" s="8">
        <f t="shared" si="0"/>
        <v>7.1490460137874257</v>
      </c>
      <c r="E9" s="8"/>
      <c r="F9" s="8"/>
      <c r="G9" s="8"/>
      <c r="H9" s="8"/>
    </row>
    <row r="10" spans="1:25" x14ac:dyDescent="0.25">
      <c r="A10" s="8" t="s">
        <v>4066</v>
      </c>
      <c r="B10" s="8">
        <v>56843459873.349998</v>
      </c>
      <c r="C10" s="8">
        <v>60883354757.790001</v>
      </c>
      <c r="D10" s="8">
        <f t="shared" si="0"/>
        <v>7.1070531129545689</v>
      </c>
      <c r="E10" s="8"/>
      <c r="F10" s="8"/>
      <c r="G10" s="8"/>
      <c r="H10" s="8"/>
    </row>
    <row r="11" spans="1:25" x14ac:dyDescent="0.25">
      <c r="A11" s="8" t="s">
        <v>4145</v>
      </c>
      <c r="B11" s="8">
        <v>9896654159899.5508</v>
      </c>
      <c r="C11" s="8">
        <v>10568177994716.352</v>
      </c>
      <c r="D11" s="8">
        <f t="shared" si="0"/>
        <v>6.7853622443205257</v>
      </c>
      <c r="E11" s="8"/>
      <c r="F11" s="8"/>
      <c r="G11" s="8"/>
      <c r="H11" s="8"/>
    </row>
    <row r="12" spans="1:25" x14ac:dyDescent="0.25">
      <c r="A12" s="8" t="s">
        <v>2247</v>
      </c>
      <c r="B12" s="8">
        <v>146498536325.72</v>
      </c>
      <c r="C12" s="8">
        <v>155776457973.39999</v>
      </c>
      <c r="D12" s="8">
        <f t="shared" si="0"/>
        <v>6.3331155930812635</v>
      </c>
      <c r="E12" s="8"/>
      <c r="F12" s="8"/>
      <c r="G12" s="8"/>
      <c r="H12" s="8"/>
    </row>
    <row r="13" spans="1:25" x14ac:dyDescent="0.25">
      <c r="A13" s="8" t="s">
        <v>3900</v>
      </c>
      <c r="B13" s="8">
        <v>200977246918.58002</v>
      </c>
      <c r="C13" s="8">
        <v>211948088314.41998</v>
      </c>
      <c r="D13" s="8">
        <f t="shared" si="0"/>
        <v>5.4587479747319243</v>
      </c>
      <c r="E13" s="8"/>
      <c r="F13" s="8"/>
      <c r="G13" s="8"/>
      <c r="H13" s="8"/>
    </row>
    <row r="14" spans="1:25" x14ac:dyDescent="0.25">
      <c r="A14" s="8" t="s">
        <v>4082</v>
      </c>
      <c r="B14" s="8">
        <v>1298248953707</v>
      </c>
      <c r="C14" s="8">
        <v>1361594580782</v>
      </c>
      <c r="D14" s="8">
        <f t="shared" si="0"/>
        <v>4.8793127769619131</v>
      </c>
      <c r="E14" s="8"/>
      <c r="F14" s="8"/>
      <c r="G14" s="8"/>
      <c r="H14" s="8"/>
    </row>
    <row r="15" spans="1:25" x14ac:dyDescent="0.25">
      <c r="A15" s="8" t="s">
        <v>758</v>
      </c>
      <c r="B15" s="8">
        <v>59046817432</v>
      </c>
      <c r="C15" s="8">
        <v>61908189608.699997</v>
      </c>
      <c r="D15" s="8">
        <f t="shared" si="0"/>
        <v>4.8459380219691521</v>
      </c>
      <c r="E15" s="8"/>
      <c r="F15" s="8"/>
      <c r="G15" s="8"/>
      <c r="H15" s="8"/>
    </row>
    <row r="16" spans="1:25" x14ac:dyDescent="0.25">
      <c r="A16" s="8" t="s">
        <v>3793</v>
      </c>
      <c r="B16" s="8">
        <v>821405883682.25</v>
      </c>
      <c r="C16" s="8">
        <v>860478209513.15002</v>
      </c>
      <c r="D16" s="8">
        <f t="shared" si="0"/>
        <v>4.7567623518526725</v>
      </c>
      <c r="E16" s="8"/>
      <c r="F16" s="8"/>
      <c r="G16" s="8"/>
      <c r="H16" s="8"/>
    </row>
    <row r="17" spans="1:8" x14ac:dyDescent="0.25">
      <c r="A17" s="8" t="s">
        <v>2422</v>
      </c>
      <c r="B17" s="8">
        <v>464939623721.81</v>
      </c>
      <c r="C17" s="8">
        <v>485740731261.2301</v>
      </c>
      <c r="D17" s="8">
        <f t="shared" si="0"/>
        <v>4.4739373626426282</v>
      </c>
      <c r="E17" s="8"/>
      <c r="F17" s="8"/>
      <c r="G17" s="8"/>
      <c r="H17" s="8"/>
    </row>
    <row r="18" spans="1:8" x14ac:dyDescent="0.25">
      <c r="A18" s="8" t="s">
        <v>3536</v>
      </c>
      <c r="B18" s="8">
        <v>2013537408431.75</v>
      </c>
      <c r="C18" s="8">
        <v>2098233447875.1001</v>
      </c>
      <c r="D18" s="8">
        <f t="shared" si="0"/>
        <v>4.2063305647405809</v>
      </c>
      <c r="E18" s="8"/>
      <c r="F18" s="8"/>
      <c r="G18" s="8"/>
      <c r="H18" s="8"/>
    </row>
    <row r="19" spans="1:8" x14ac:dyDescent="0.25">
      <c r="A19" s="8" t="s">
        <v>1315</v>
      </c>
      <c r="B19" s="8">
        <v>147066418503.10001</v>
      </c>
      <c r="C19" s="8">
        <v>153055443724.25</v>
      </c>
      <c r="D19" s="8">
        <f t="shared" si="0"/>
        <v>4.0723268317190655</v>
      </c>
      <c r="E19" s="8"/>
      <c r="F19" s="8"/>
      <c r="G19" s="8"/>
      <c r="H19" s="8"/>
    </row>
    <row r="20" spans="1:8" x14ac:dyDescent="0.25">
      <c r="A20" s="8" t="s">
        <v>642</v>
      </c>
      <c r="B20" s="8">
        <v>1400842033286.5</v>
      </c>
      <c r="C20" s="8">
        <v>1453577065098</v>
      </c>
      <c r="D20" s="8">
        <f t="shared" si="0"/>
        <v>3.7645238048560641</v>
      </c>
      <c r="E20" s="8"/>
      <c r="F20" s="8"/>
      <c r="G20" s="8"/>
      <c r="H20" s="8"/>
    </row>
    <row r="21" spans="1:8" x14ac:dyDescent="0.25">
      <c r="A21" s="8" t="s">
        <v>2297</v>
      </c>
      <c r="B21" s="8">
        <v>1047606608666.9095</v>
      </c>
      <c r="C21" s="8">
        <v>1086395144823.7196</v>
      </c>
      <c r="D21" s="8">
        <f t="shared" si="0"/>
        <v>3.7025860505184172</v>
      </c>
      <c r="E21" s="69" t="s">
        <v>4485</v>
      </c>
      <c r="F21" s="67"/>
      <c r="G21" s="8"/>
      <c r="H21" s="8"/>
    </row>
    <row r="22" spans="1:8" x14ac:dyDescent="0.25">
      <c r="A22" s="8" t="s">
        <v>2228</v>
      </c>
      <c r="B22" s="8">
        <v>4393089689298.6997</v>
      </c>
      <c r="C22" s="8">
        <v>4548780070128.3691</v>
      </c>
      <c r="D22" s="8">
        <f t="shared" si="0"/>
        <v>3.5439836616339009</v>
      </c>
      <c r="E22" s="8"/>
      <c r="F22" s="8"/>
      <c r="G22" s="8"/>
      <c r="H22" s="8"/>
    </row>
    <row r="23" spans="1:8" x14ac:dyDescent="0.25">
      <c r="A23" s="8" t="s">
        <v>2265</v>
      </c>
      <c r="B23" s="8">
        <v>15753974358.430002</v>
      </c>
      <c r="C23" s="8">
        <v>16269762995.530001</v>
      </c>
      <c r="D23" s="8">
        <f t="shared" si="0"/>
        <v>3.2740223220180518</v>
      </c>
      <c r="E23" s="8"/>
      <c r="F23" s="8"/>
      <c r="G23" s="8"/>
      <c r="H23" s="8"/>
    </row>
    <row r="24" spans="1:8" x14ac:dyDescent="0.25">
      <c r="A24" s="8" t="s">
        <v>4168</v>
      </c>
      <c r="B24" s="8">
        <v>68156969680</v>
      </c>
      <c r="C24" s="8">
        <v>70039716344</v>
      </c>
      <c r="D24" s="8">
        <f t="shared" si="0"/>
        <v>2.76236850440913</v>
      </c>
      <c r="E24" s="8"/>
      <c r="F24" s="8"/>
      <c r="G24" s="8"/>
      <c r="H24" s="8"/>
    </row>
    <row r="25" spans="1:8" x14ac:dyDescent="0.25">
      <c r="A25" s="8" t="s">
        <v>183</v>
      </c>
      <c r="B25" s="8">
        <v>785662658980.34998</v>
      </c>
      <c r="C25" s="8">
        <v>807313739482.75</v>
      </c>
      <c r="D25" s="8">
        <f t="shared" si="0"/>
        <v>2.755773136844669</v>
      </c>
      <c r="E25" s="8"/>
      <c r="F25" s="8"/>
      <c r="G25" s="8"/>
      <c r="H25" s="8"/>
    </row>
    <row r="26" spans="1:8" x14ac:dyDescent="0.25">
      <c r="A26" s="8" t="s">
        <v>3772</v>
      </c>
      <c r="B26" s="8">
        <v>555118156581.15002</v>
      </c>
      <c r="C26" s="8">
        <v>570236086069.30005</v>
      </c>
      <c r="D26" s="8">
        <f t="shared" si="0"/>
        <v>2.7233714676633909</v>
      </c>
      <c r="E26" s="8"/>
      <c r="F26" s="8"/>
      <c r="G26" s="8"/>
      <c r="H26" s="8"/>
    </row>
    <row r="27" spans="1:8" x14ac:dyDescent="0.25">
      <c r="A27" s="8" t="s">
        <v>3918</v>
      </c>
      <c r="B27" s="8">
        <v>53164793638.089996</v>
      </c>
      <c r="C27" s="8">
        <v>54605160287.629997</v>
      </c>
      <c r="D27" s="8">
        <f t="shared" si="0"/>
        <v>2.7092490179592232</v>
      </c>
      <c r="E27" s="8"/>
      <c r="F27" s="8"/>
      <c r="G27" s="8"/>
      <c r="H27" s="8"/>
    </row>
    <row r="28" spans="1:8" x14ac:dyDescent="0.25">
      <c r="A28" s="8" t="s">
        <v>815</v>
      </c>
      <c r="B28" s="8">
        <v>33000417875.800003</v>
      </c>
      <c r="C28" s="8">
        <v>33879580143.599998</v>
      </c>
      <c r="D28" s="8">
        <f t="shared" si="0"/>
        <v>2.6640943490740043</v>
      </c>
      <c r="E28" s="8"/>
      <c r="F28" s="8"/>
      <c r="G28" s="8"/>
      <c r="H28" s="8"/>
    </row>
    <row r="29" spans="1:8" x14ac:dyDescent="0.25">
      <c r="A29" s="8" t="s">
        <v>1907</v>
      </c>
      <c r="B29" s="8">
        <v>503573043015.70001</v>
      </c>
      <c r="C29" s="8">
        <v>516040366101.04999</v>
      </c>
      <c r="D29" s="8">
        <f t="shared" si="0"/>
        <v>2.4757725335510621</v>
      </c>
      <c r="E29" s="8"/>
      <c r="F29" s="8"/>
      <c r="G29" s="8"/>
      <c r="H29" s="8"/>
    </row>
    <row r="30" spans="1:8" x14ac:dyDescent="0.25">
      <c r="A30" s="8" t="s">
        <v>52</v>
      </c>
      <c r="B30" s="8">
        <v>532446024806.18005</v>
      </c>
      <c r="C30" s="8">
        <v>545418555017.50995</v>
      </c>
      <c r="D30" s="8">
        <f t="shared" si="0"/>
        <v>2.4364028665726503</v>
      </c>
      <c r="E30" s="8"/>
      <c r="F30" s="8"/>
      <c r="G30" s="8"/>
      <c r="H30" s="8"/>
    </row>
    <row r="31" spans="1:8" x14ac:dyDescent="0.25">
      <c r="A31" s="8" t="s">
        <v>3744</v>
      </c>
      <c r="B31" s="8">
        <v>1020197795169.5601</v>
      </c>
      <c r="C31" s="8">
        <v>1044150859024.6299</v>
      </c>
      <c r="D31" s="8">
        <f t="shared" si="0"/>
        <v>2.3478842993469464</v>
      </c>
      <c r="E31" s="8"/>
      <c r="F31" s="8"/>
      <c r="G31" s="8"/>
      <c r="H31" s="8"/>
    </row>
    <row r="32" spans="1:8" x14ac:dyDescent="0.25">
      <c r="A32" s="8" t="s">
        <v>1333</v>
      </c>
      <c r="B32" s="8">
        <v>74432217361.899994</v>
      </c>
      <c r="C32" s="8">
        <v>76098457931.550003</v>
      </c>
      <c r="D32" s="8">
        <f t="shared" si="0"/>
        <v>2.2386012787292247</v>
      </c>
      <c r="E32" s="8"/>
      <c r="F32" s="8"/>
      <c r="G32" s="8"/>
      <c r="H32" s="8"/>
    </row>
    <row r="33" spans="1:9" x14ac:dyDescent="0.25">
      <c r="A33" s="8" t="s">
        <v>204</v>
      </c>
      <c r="B33" s="8">
        <v>1173538458151.3398</v>
      </c>
      <c r="C33" s="8">
        <v>1199504373779.1699</v>
      </c>
      <c r="D33" s="8">
        <f t="shared" si="0"/>
        <v>2.2126173579972703</v>
      </c>
      <c r="E33" s="8"/>
      <c r="F33" s="8"/>
      <c r="G33" s="8"/>
      <c r="H33" s="8"/>
    </row>
    <row r="34" spans="1:9" x14ac:dyDescent="0.25">
      <c r="A34" s="8" t="s">
        <v>3814</v>
      </c>
      <c r="B34" s="8">
        <v>2732602891.3000002</v>
      </c>
      <c r="C34" s="8">
        <v>2790984761.8000002</v>
      </c>
      <c r="D34" s="8">
        <f t="shared" si="0"/>
        <v>2.1364930369456494</v>
      </c>
      <c r="E34" s="8"/>
      <c r="F34" s="8"/>
      <c r="G34" s="8"/>
      <c r="H34" s="8"/>
      <c r="I34" s="58"/>
    </row>
    <row r="35" spans="1:9" x14ac:dyDescent="0.25">
      <c r="A35" s="8" t="s">
        <v>831</v>
      </c>
      <c r="B35" s="8">
        <v>181870509357.80002</v>
      </c>
      <c r="C35" s="8">
        <v>185167423429.20001</v>
      </c>
      <c r="D35" s="8">
        <f t="shared" si="0"/>
        <v>1.8127810182319681</v>
      </c>
      <c r="E35" s="8"/>
      <c r="F35" s="8"/>
      <c r="G35" s="8"/>
      <c r="H35" s="8"/>
    </row>
    <row r="36" spans="1:9" x14ac:dyDescent="0.25">
      <c r="A36" s="8" t="s">
        <v>3262</v>
      </c>
      <c r="B36" s="8">
        <v>4690588373955.6504</v>
      </c>
      <c r="C36" s="8">
        <v>4767112352666.4502</v>
      </c>
      <c r="D36" s="8">
        <f t="shared" si="0"/>
        <v>1.6314366687065713</v>
      </c>
      <c r="E36" s="8"/>
      <c r="F36" s="8"/>
      <c r="G36" s="8"/>
      <c r="H36" s="8"/>
    </row>
    <row r="37" spans="1:9" x14ac:dyDescent="0.25">
      <c r="A37" s="8" t="s">
        <v>3906</v>
      </c>
      <c r="B37" s="8">
        <v>196762661253.75</v>
      </c>
      <c r="C37" s="8">
        <v>199494062879.70999</v>
      </c>
      <c r="D37" s="8">
        <f t="shared" si="0"/>
        <v>1.3881707070618996</v>
      </c>
      <c r="E37" s="8"/>
      <c r="F37" s="8"/>
      <c r="G37" s="8"/>
      <c r="H37" s="8"/>
    </row>
    <row r="38" spans="1:9" x14ac:dyDescent="0.25">
      <c r="A38" s="8" t="s">
        <v>1046</v>
      </c>
      <c r="B38" s="8">
        <v>767250367101.6001</v>
      </c>
      <c r="C38" s="8">
        <v>776945043753.74011</v>
      </c>
      <c r="D38" s="8">
        <f t="shared" si="0"/>
        <v>1.2635610314222547</v>
      </c>
      <c r="E38" s="8"/>
      <c r="F38" s="8"/>
      <c r="G38" s="8"/>
      <c r="H38" s="8"/>
    </row>
    <row r="39" spans="1:9" x14ac:dyDescent="0.25">
      <c r="A39" s="8" t="s">
        <v>4200</v>
      </c>
      <c r="B39" s="8">
        <v>42981751458</v>
      </c>
      <c r="C39" s="8">
        <v>43493404366.799995</v>
      </c>
      <c r="D39" s="8">
        <f t="shared" si="0"/>
        <v>1.1903956712884574</v>
      </c>
      <c r="E39" s="69" t="s">
        <v>4486</v>
      </c>
      <c r="F39" s="67"/>
      <c r="G39" s="67"/>
      <c r="H39" s="8"/>
    </row>
    <row r="40" spans="1:9" x14ac:dyDescent="0.25">
      <c r="A40" s="8" t="s">
        <v>1337</v>
      </c>
      <c r="B40" s="8">
        <v>956178600495.23987</v>
      </c>
      <c r="C40" s="8">
        <v>967322565794.83008</v>
      </c>
      <c r="D40" s="8">
        <f t="shared" si="0"/>
        <v>1.1654690131967338</v>
      </c>
      <c r="E40" s="8"/>
      <c r="F40" s="8"/>
      <c r="G40" s="8"/>
      <c r="H40" s="8"/>
    </row>
    <row r="41" spans="1:9" x14ac:dyDescent="0.25">
      <c r="A41" s="8" t="s">
        <v>3085</v>
      </c>
      <c r="B41" s="8">
        <v>7945397337163.1504</v>
      </c>
      <c r="C41" s="8">
        <v>7998593433909.8008</v>
      </c>
      <c r="D41" s="8">
        <f t="shared" si="0"/>
        <v>0.66952091241347145</v>
      </c>
      <c r="E41" s="8"/>
      <c r="F41" s="8"/>
      <c r="G41" s="8"/>
      <c r="H41" s="8"/>
    </row>
    <row r="42" spans="1:9" x14ac:dyDescent="0.25">
      <c r="A42" s="8" t="s">
        <v>3140</v>
      </c>
      <c r="B42" s="8">
        <v>2718318003861.4194</v>
      </c>
      <c r="C42" s="8">
        <v>2734176970740.6592</v>
      </c>
      <c r="D42" s="8">
        <f t="shared" si="0"/>
        <v>0.58341102316622995</v>
      </c>
      <c r="E42" s="8"/>
      <c r="F42" s="8"/>
      <c r="G42" s="8"/>
      <c r="H42" s="8"/>
    </row>
    <row r="43" spans="1:9" x14ac:dyDescent="0.25">
      <c r="A43" s="8" t="s">
        <v>262</v>
      </c>
      <c r="B43" s="8">
        <v>11361789624.67</v>
      </c>
      <c r="C43" s="8">
        <v>11389762766.27</v>
      </c>
      <c r="D43" s="8">
        <f t="shared" si="0"/>
        <v>0.24620365738212527</v>
      </c>
      <c r="E43" s="8"/>
      <c r="F43" s="8"/>
      <c r="G43" s="8"/>
      <c r="H43" s="8"/>
    </row>
    <row r="44" spans="1:9" x14ac:dyDescent="0.25">
      <c r="A44" s="8" t="s">
        <v>1606</v>
      </c>
      <c r="B44" s="8">
        <v>200079741253.20001</v>
      </c>
      <c r="C44" s="8">
        <v>200150023914.98001</v>
      </c>
      <c r="D44" s="8">
        <f t="shared" si="0"/>
        <v>3.5127325405252492E-2</v>
      </c>
      <c r="E44" s="8"/>
      <c r="F44" s="8"/>
      <c r="G44" s="8"/>
      <c r="H44" s="8"/>
    </row>
    <row r="45" spans="1:9" x14ac:dyDescent="0.25">
      <c r="A45" s="8" t="s">
        <v>342</v>
      </c>
      <c r="B45" s="8">
        <v>1113708004827.55</v>
      </c>
      <c r="C45" s="8">
        <v>1113881639749.3999</v>
      </c>
      <c r="D45" s="8">
        <f t="shared" si="0"/>
        <v>1.559070430464758E-2</v>
      </c>
      <c r="E45" s="8"/>
      <c r="F45" s="8"/>
      <c r="G45" s="8"/>
      <c r="H45" s="8"/>
    </row>
    <row r="46" spans="1:9" x14ac:dyDescent="0.25">
      <c r="A46" s="8" t="s">
        <v>11</v>
      </c>
      <c r="B46" s="8">
        <v>1248029872387.3501</v>
      </c>
      <c r="C46" s="8">
        <v>1247919825444.3501</v>
      </c>
      <c r="D46" s="8">
        <f t="shared" si="0"/>
        <v>-8.8176529612621971E-3</v>
      </c>
      <c r="E46" s="8"/>
      <c r="F46" s="8"/>
      <c r="G46" s="8"/>
      <c r="H46" s="8"/>
    </row>
    <row r="47" spans="1:9" x14ac:dyDescent="0.25">
      <c r="A47" s="8" t="s">
        <v>350</v>
      </c>
      <c r="B47" s="8">
        <v>862712158910.79004</v>
      </c>
      <c r="C47" s="8">
        <v>862618065150.19983</v>
      </c>
      <c r="D47" s="8">
        <f t="shared" si="0"/>
        <v>-1.0906738663450304E-2</v>
      </c>
      <c r="E47" s="8"/>
      <c r="F47" s="8"/>
      <c r="G47" s="8"/>
      <c r="H47" s="8"/>
    </row>
    <row r="48" spans="1:9" x14ac:dyDescent="0.25">
      <c r="A48" s="8" t="s">
        <v>1598</v>
      </c>
      <c r="B48" s="8">
        <v>1395242320637.3</v>
      </c>
      <c r="C48" s="8">
        <v>1389915404479.01</v>
      </c>
      <c r="D48" s="8">
        <f t="shared" si="0"/>
        <v>-0.38179146944574344</v>
      </c>
      <c r="E48" s="69" t="s">
        <v>4487</v>
      </c>
      <c r="F48" s="67"/>
      <c r="G48" s="8"/>
      <c r="H48" s="8"/>
    </row>
    <row r="49" spans="1:8" x14ac:dyDescent="0.25">
      <c r="A49" s="8" t="s">
        <v>1171</v>
      </c>
      <c r="B49" s="8">
        <v>670510684152.75012</v>
      </c>
      <c r="C49" s="8">
        <v>667606741103.14001</v>
      </c>
      <c r="D49" s="8">
        <f t="shared" si="0"/>
        <v>-0.43309422478174192</v>
      </c>
      <c r="E49" s="8"/>
      <c r="F49" s="8"/>
      <c r="G49" s="8"/>
      <c r="H49" s="8"/>
    </row>
    <row r="50" spans="1:8" x14ac:dyDescent="0.25">
      <c r="A50" s="8" t="s">
        <v>4128</v>
      </c>
      <c r="B50" s="8">
        <v>19133950000</v>
      </c>
      <c r="C50" s="8">
        <v>19042512500</v>
      </c>
      <c r="D50" s="8">
        <f t="shared" si="0"/>
        <v>-0.4778809393773894</v>
      </c>
      <c r="E50" s="8"/>
      <c r="F50" s="8"/>
      <c r="G50" s="8"/>
      <c r="H50" s="8"/>
    </row>
    <row r="51" spans="1:8" x14ac:dyDescent="0.25">
      <c r="A51" s="8" t="s">
        <v>1453</v>
      </c>
      <c r="B51" s="8">
        <v>424153043069.52997</v>
      </c>
      <c r="C51" s="8">
        <v>421727571580.57001</v>
      </c>
      <c r="D51" s="8">
        <f t="shared" si="0"/>
        <v>-0.57183875692773511</v>
      </c>
      <c r="E51" s="8"/>
      <c r="F51" s="8"/>
      <c r="G51" s="8"/>
      <c r="H51" s="8"/>
    </row>
    <row r="52" spans="1:8" x14ac:dyDescent="0.25">
      <c r="A52" s="8" t="s">
        <v>3131</v>
      </c>
      <c r="B52" s="8">
        <v>1151381530980.3</v>
      </c>
      <c r="C52" s="8">
        <v>1144037401912</v>
      </c>
      <c r="D52" s="8">
        <f t="shared" si="0"/>
        <v>-0.63785364544167822</v>
      </c>
      <c r="E52" s="8"/>
      <c r="F52" s="8"/>
      <c r="G52" s="8"/>
      <c r="H52" s="8"/>
    </row>
    <row r="53" spans="1:8" x14ac:dyDescent="0.25">
      <c r="A53" s="8" t="s">
        <v>1538</v>
      </c>
      <c r="B53" s="8">
        <v>995791935.01999998</v>
      </c>
      <c r="C53" s="8">
        <v>989188940.5</v>
      </c>
      <c r="D53" s="8">
        <f t="shared" si="0"/>
        <v>-0.66308977686863502</v>
      </c>
      <c r="E53" s="8"/>
      <c r="F53" s="8"/>
      <c r="G53" s="8"/>
      <c r="H53" s="8"/>
    </row>
    <row r="54" spans="1:8" x14ac:dyDescent="0.25">
      <c r="A54" s="8" t="s">
        <v>356</v>
      </c>
      <c r="B54" s="8">
        <v>2875606567146.6396</v>
      </c>
      <c r="C54" s="8">
        <v>2854755658766.8101</v>
      </c>
      <c r="D54" s="8">
        <f t="shared" si="0"/>
        <v>-0.72509600645818506</v>
      </c>
      <c r="E54" s="8"/>
      <c r="F54" s="8"/>
      <c r="G54" s="8"/>
      <c r="H54" s="8"/>
    </row>
    <row r="55" spans="1:8" x14ac:dyDescent="0.25">
      <c r="A55" s="8" t="s">
        <v>2905</v>
      </c>
      <c r="B55" s="8">
        <v>53934683728.259995</v>
      </c>
      <c r="C55" s="8">
        <v>53534915663.300003</v>
      </c>
      <c r="D55" s="8">
        <f t="shared" si="0"/>
        <v>-0.74120776710984249</v>
      </c>
      <c r="E55" s="8"/>
      <c r="F55" s="8"/>
      <c r="G55" s="8"/>
      <c r="H55" s="8"/>
    </row>
    <row r="56" spans="1:8" x14ac:dyDescent="0.25">
      <c r="A56" s="8" t="s">
        <v>680</v>
      </c>
      <c r="B56" s="8">
        <v>25578279888646.699</v>
      </c>
      <c r="C56" s="8">
        <v>25348417824097.746</v>
      </c>
      <c r="D56" s="8">
        <f t="shared" si="0"/>
        <v>-0.89866115137390779</v>
      </c>
      <c r="E56" s="8"/>
      <c r="F56" s="8"/>
      <c r="G56" s="8"/>
      <c r="H56" s="8"/>
    </row>
    <row r="57" spans="1:8" x14ac:dyDescent="0.25">
      <c r="A57" s="8" t="s">
        <v>96</v>
      </c>
      <c r="B57" s="8">
        <v>20561826936.599998</v>
      </c>
      <c r="C57" s="8">
        <v>20319564783.299999</v>
      </c>
      <c r="D57" s="8">
        <f t="shared" si="0"/>
        <v>-1.1782131716553514</v>
      </c>
      <c r="E57" s="8"/>
      <c r="F57" s="8"/>
      <c r="G57" s="8"/>
      <c r="H57" s="8"/>
    </row>
    <row r="58" spans="1:8" x14ac:dyDescent="0.25">
      <c r="A58" s="8" t="s">
        <v>1351</v>
      </c>
      <c r="B58" s="8">
        <v>38858109124.649994</v>
      </c>
      <c r="C58" s="8">
        <v>38392125343.649994</v>
      </c>
      <c r="D58" s="8">
        <f t="shared" si="0"/>
        <v>-1.1991931452588334</v>
      </c>
      <c r="E58" s="8"/>
      <c r="F58" s="8"/>
      <c r="G58" s="8"/>
      <c r="H58" s="8"/>
    </row>
    <row r="59" spans="1:8" x14ac:dyDescent="0.25">
      <c r="A59" s="8" t="s">
        <v>13</v>
      </c>
      <c r="B59" s="8">
        <v>8169964096743.0518</v>
      </c>
      <c r="C59" s="8">
        <v>8060194522796.5605</v>
      </c>
      <c r="D59" s="8">
        <f t="shared" si="0"/>
        <v>-1.3435747409251253</v>
      </c>
      <c r="E59" s="8"/>
      <c r="F59" s="8"/>
      <c r="G59" s="8"/>
      <c r="H59" s="8"/>
    </row>
    <row r="60" spans="1:8" x14ac:dyDescent="0.25">
      <c r="A60" s="8" t="s">
        <v>3672</v>
      </c>
      <c r="B60" s="8">
        <v>9543662433.7999992</v>
      </c>
      <c r="C60" s="8">
        <v>9410611503.3500004</v>
      </c>
      <c r="D60" s="8">
        <f t="shared" si="0"/>
        <v>-1.3941286311509027</v>
      </c>
      <c r="E60" s="8"/>
      <c r="F60" s="8"/>
      <c r="G60" s="8"/>
      <c r="H60" s="8"/>
    </row>
    <row r="61" spans="1:8" x14ac:dyDescent="0.25">
      <c r="A61" s="8" t="s">
        <v>3976</v>
      </c>
      <c r="B61" s="8">
        <v>1134874943678.5601</v>
      </c>
      <c r="C61" s="8">
        <v>1118890432306.53</v>
      </c>
      <c r="D61" s="8">
        <f t="shared" si="0"/>
        <v>-1.4084821822057474</v>
      </c>
      <c r="E61" s="8"/>
      <c r="F61" s="8"/>
      <c r="G61" s="8"/>
      <c r="H61" s="8"/>
    </row>
    <row r="62" spans="1:8" x14ac:dyDescent="0.25">
      <c r="A62" s="8" t="s">
        <v>2892</v>
      </c>
      <c r="B62" s="8">
        <v>4467027695441.1006</v>
      </c>
      <c r="C62" s="8">
        <v>4403846332880.3496</v>
      </c>
      <c r="D62" s="8">
        <f t="shared" si="0"/>
        <v>-1.4143937953469994</v>
      </c>
      <c r="E62" s="8"/>
      <c r="F62" s="8"/>
      <c r="G62" s="8"/>
      <c r="H62" s="8"/>
    </row>
    <row r="63" spans="1:8" x14ac:dyDescent="0.25">
      <c r="A63" s="8" t="s">
        <v>767</v>
      </c>
      <c r="B63" s="8">
        <v>676403671951.45007</v>
      </c>
      <c r="C63" s="8">
        <v>666719124692.90991</v>
      </c>
      <c r="D63" s="8">
        <f t="shared" si="0"/>
        <v>-1.4317703555038188</v>
      </c>
      <c r="E63" s="8"/>
      <c r="F63" s="8"/>
      <c r="G63" s="8"/>
      <c r="H63" s="8"/>
    </row>
    <row r="64" spans="1:8" x14ac:dyDescent="0.25">
      <c r="A64" s="8" t="s">
        <v>3683</v>
      </c>
      <c r="B64" s="8">
        <v>3815318056505.8994</v>
      </c>
      <c r="C64" s="8">
        <v>3758797718216.1411</v>
      </c>
      <c r="D64" s="8">
        <f t="shared" si="0"/>
        <v>-1.481405677132986</v>
      </c>
      <c r="E64" s="8"/>
      <c r="F64" s="8"/>
      <c r="G64" s="8"/>
      <c r="H64" s="8"/>
    </row>
    <row r="65" spans="1:8" x14ac:dyDescent="0.25">
      <c r="A65" s="8" t="s">
        <v>3431</v>
      </c>
      <c r="B65" s="8">
        <v>3890164178608.2002</v>
      </c>
      <c r="C65" s="8">
        <v>3829833737599.5503</v>
      </c>
      <c r="D65" s="8">
        <f t="shared" si="0"/>
        <v>-1.5508456260124881</v>
      </c>
      <c r="E65" s="8"/>
      <c r="F65" s="8"/>
      <c r="G65" s="8"/>
      <c r="H65" s="8"/>
    </row>
    <row r="66" spans="1:8" x14ac:dyDescent="0.25">
      <c r="A66" s="8" t="s">
        <v>3503</v>
      </c>
      <c r="B66" s="8">
        <v>1953103233233.5498</v>
      </c>
      <c r="C66" s="8">
        <v>1922581024044.2998</v>
      </c>
      <c r="D66" s="8">
        <f t="shared" si="0"/>
        <v>-1.5627545267393548</v>
      </c>
      <c r="E66" s="8"/>
      <c r="F66" s="8"/>
      <c r="G66" s="8"/>
      <c r="H66" s="8"/>
    </row>
    <row r="67" spans="1:8" x14ac:dyDescent="0.25">
      <c r="A67" s="8" t="s">
        <v>2522</v>
      </c>
      <c r="B67" s="8">
        <v>289090864554.04993</v>
      </c>
      <c r="C67" s="8">
        <v>284437116468.09998</v>
      </c>
      <c r="D67" s="8">
        <f t="shared" si="0"/>
        <v>-1.6097873217573992</v>
      </c>
      <c r="E67" s="8"/>
      <c r="F67" s="8"/>
      <c r="G67" s="8"/>
      <c r="H67" s="8"/>
    </row>
    <row r="68" spans="1:8" x14ac:dyDescent="0.25">
      <c r="A68" s="8" t="s">
        <v>1376</v>
      </c>
      <c r="B68" s="8">
        <v>5721362540835.46</v>
      </c>
      <c r="C68" s="8">
        <v>5626050068118.6211</v>
      </c>
      <c r="D68" s="8">
        <f t="shared" si="0"/>
        <v>-1.6659051412414236</v>
      </c>
      <c r="E68" s="8"/>
      <c r="F68" s="8"/>
      <c r="G68" s="8"/>
      <c r="H68" s="8"/>
    </row>
    <row r="69" spans="1:8" x14ac:dyDescent="0.25">
      <c r="A69" s="8" t="s">
        <v>1271</v>
      </c>
      <c r="B69" s="8">
        <v>1010206992188.65</v>
      </c>
      <c r="C69" s="8">
        <v>993313653467.69995</v>
      </c>
      <c r="D69" s="8">
        <f t="shared" si="0"/>
        <v>-1.672265075531703</v>
      </c>
      <c r="E69" s="8"/>
      <c r="F69" s="8"/>
      <c r="G69" s="8"/>
      <c r="H69" s="8"/>
    </row>
    <row r="70" spans="1:8" x14ac:dyDescent="0.25">
      <c r="A70" s="8" t="s">
        <v>4177</v>
      </c>
      <c r="B70" s="8">
        <v>37560421838.75</v>
      </c>
      <c r="C70" s="8">
        <v>36921416671.5</v>
      </c>
      <c r="D70" s="8">
        <f t="shared" si="0"/>
        <v>-1.7012726054922975</v>
      </c>
      <c r="E70" s="69" t="s">
        <v>4488</v>
      </c>
      <c r="F70" s="67"/>
      <c r="G70" s="67"/>
      <c r="H70" s="8"/>
    </row>
    <row r="71" spans="1:8" x14ac:dyDescent="0.25">
      <c r="A71" s="8" t="s">
        <v>807</v>
      </c>
      <c r="B71" s="8">
        <v>3185741316635.8311</v>
      </c>
      <c r="C71" s="8">
        <v>3129474637902.0601</v>
      </c>
      <c r="D71" s="8">
        <f t="shared" si="0"/>
        <v>-1.7662036286483256</v>
      </c>
      <c r="E71" s="8"/>
      <c r="F71" s="8"/>
      <c r="G71" s="8"/>
      <c r="H71" s="8"/>
    </row>
    <row r="72" spans="1:8" x14ac:dyDescent="0.25">
      <c r="A72" s="8" t="s">
        <v>1793</v>
      </c>
      <c r="B72" s="8">
        <v>1044521608374.16</v>
      </c>
      <c r="C72" s="8">
        <v>1025922788120.03</v>
      </c>
      <c r="D72" s="8">
        <f t="shared" si="0"/>
        <v>-1.7806065575876231</v>
      </c>
      <c r="E72" s="69" t="s">
        <v>4489</v>
      </c>
      <c r="F72" s="67"/>
      <c r="G72" s="8"/>
      <c r="H72" s="8"/>
    </row>
    <row r="73" spans="1:8" x14ac:dyDescent="0.25">
      <c r="A73" s="8" t="s">
        <v>2951</v>
      </c>
      <c r="B73" s="8">
        <v>328099836844.64001</v>
      </c>
      <c r="C73" s="8">
        <v>322240048592.2301</v>
      </c>
      <c r="D73" s="8">
        <f t="shared" si="0"/>
        <v>-1.7859771918096401</v>
      </c>
      <c r="E73" s="8"/>
      <c r="F73" s="8"/>
      <c r="G73" s="8"/>
      <c r="H73" s="8"/>
    </row>
    <row r="74" spans="1:8" x14ac:dyDescent="0.25">
      <c r="A74" s="8" t="s">
        <v>4094</v>
      </c>
      <c r="B74" s="8">
        <v>30388693283.700005</v>
      </c>
      <c r="C74" s="8">
        <v>29800926062.91</v>
      </c>
      <c r="D74" s="8">
        <f t="shared" si="0"/>
        <v>-1.9341641817329256</v>
      </c>
      <c r="E74" s="8"/>
      <c r="F74" s="8"/>
      <c r="G74" s="8"/>
      <c r="H74" s="8"/>
    </row>
    <row r="75" spans="1:8" x14ac:dyDescent="0.25">
      <c r="A75" s="8" t="s">
        <v>2755</v>
      </c>
      <c r="B75" s="8">
        <v>3453778106116.1396</v>
      </c>
      <c r="C75" s="8">
        <v>3384345233651.23</v>
      </c>
      <c r="D75" s="8">
        <f t="shared" si="0"/>
        <v>-2.0103454921424779</v>
      </c>
      <c r="E75" s="69" t="s">
        <v>4490</v>
      </c>
      <c r="F75" s="67"/>
      <c r="G75" s="8"/>
      <c r="H75" s="8"/>
    </row>
    <row r="76" spans="1:8" x14ac:dyDescent="0.25">
      <c r="A76" s="8" t="s">
        <v>4068</v>
      </c>
      <c r="B76" s="8">
        <v>23950616835.899998</v>
      </c>
      <c r="C76" s="8">
        <v>23459644528.799999</v>
      </c>
      <c r="D76" s="8">
        <f t="shared" si="0"/>
        <v>-2.0499359597456026</v>
      </c>
      <c r="E76" s="8"/>
      <c r="F76" s="8"/>
      <c r="G76" s="8"/>
      <c r="H76" s="8"/>
    </row>
    <row r="77" spans="1:8" x14ac:dyDescent="0.25">
      <c r="A77" s="8" t="s">
        <v>1695</v>
      </c>
      <c r="B77" s="8">
        <v>135528897130.89999</v>
      </c>
      <c r="C77" s="8">
        <v>132717224006.48</v>
      </c>
      <c r="D77" s="8">
        <f t="shared" si="0"/>
        <v>-2.0745930823183456</v>
      </c>
      <c r="E77" s="8"/>
      <c r="F77" s="8"/>
      <c r="G77" s="8"/>
      <c r="H77" s="8"/>
    </row>
    <row r="78" spans="1:8" x14ac:dyDescent="0.25">
      <c r="A78" s="8" t="s">
        <v>1064</v>
      </c>
      <c r="B78" s="8">
        <v>1021615907556.48</v>
      </c>
      <c r="C78" s="8">
        <v>1000258257632.0299</v>
      </c>
      <c r="D78" s="8">
        <f t="shared" si="0"/>
        <v>-2.0905753098083308</v>
      </c>
      <c r="E78" s="8"/>
      <c r="F78" s="8"/>
      <c r="G78" s="8"/>
      <c r="H78" s="8"/>
    </row>
    <row r="79" spans="1:8" x14ac:dyDescent="0.25">
      <c r="A79" s="59" t="s">
        <v>2567</v>
      </c>
      <c r="B79" s="8">
        <v>113996811396</v>
      </c>
      <c r="C79" s="8">
        <v>111561556170</v>
      </c>
      <c r="D79" s="8">
        <f t="shared" si="0"/>
        <v>-2.136248546058412</v>
      </c>
      <c r="E79" s="8"/>
      <c r="F79" s="8"/>
      <c r="G79" s="8"/>
      <c r="H79" s="8"/>
    </row>
    <row r="80" spans="1:8" x14ac:dyDescent="0.25">
      <c r="A80" s="8" t="s">
        <v>2321</v>
      </c>
      <c r="B80" s="8">
        <v>111825390101.00002</v>
      </c>
      <c r="C80" s="8">
        <v>109423861790.14999</v>
      </c>
      <c r="D80" s="8">
        <f t="shared" si="0"/>
        <v>-2.1475698038531101</v>
      </c>
      <c r="E80" s="8"/>
      <c r="F80" s="8"/>
      <c r="G80" s="8"/>
      <c r="H80" s="8"/>
    </row>
    <row r="81" spans="1:8" x14ac:dyDescent="0.25">
      <c r="A81" s="8" t="s">
        <v>376</v>
      </c>
      <c r="B81" s="8">
        <v>4273573981822.9092</v>
      </c>
      <c r="C81" s="8">
        <v>4178143727672.2788</v>
      </c>
      <c r="D81" s="8">
        <f t="shared" si="0"/>
        <v>-2.233031522480494</v>
      </c>
      <c r="E81" s="8"/>
      <c r="F81" s="8"/>
      <c r="G81" s="8"/>
      <c r="H81" s="8"/>
    </row>
    <row r="82" spans="1:8" x14ac:dyDescent="0.25">
      <c r="A82" s="8" t="s">
        <v>3611</v>
      </c>
      <c r="B82" s="8">
        <v>183449331021.04001</v>
      </c>
      <c r="C82" s="8">
        <v>179281393565.14999</v>
      </c>
      <c r="D82" s="8">
        <f t="shared" si="0"/>
        <v>-2.2719829135882699</v>
      </c>
      <c r="E82" s="8"/>
      <c r="F82" s="8"/>
      <c r="G82" s="8"/>
      <c r="H82" s="8"/>
    </row>
    <row r="83" spans="1:8" x14ac:dyDescent="0.25">
      <c r="A83" s="8" t="s">
        <v>1001</v>
      </c>
      <c r="B83" s="8">
        <v>641992876239.25</v>
      </c>
      <c r="C83" s="8">
        <v>627001781510.09998</v>
      </c>
      <c r="D83" s="8">
        <f t="shared" si="0"/>
        <v>-2.3350873948893054</v>
      </c>
      <c r="E83" s="8"/>
      <c r="F83" s="8"/>
      <c r="G83" s="8"/>
      <c r="H83" s="8"/>
    </row>
    <row r="84" spans="1:8" x14ac:dyDescent="0.25">
      <c r="A84" s="8" t="s">
        <v>677</v>
      </c>
      <c r="B84" s="8">
        <v>268016972113.95001</v>
      </c>
      <c r="C84" s="8">
        <v>261692387144.04999</v>
      </c>
      <c r="D84" s="8">
        <f t="shared" si="0"/>
        <v>-2.3597703235043883</v>
      </c>
      <c r="E84" s="8"/>
      <c r="F84" s="8"/>
      <c r="G84" s="8"/>
      <c r="H84" s="8"/>
    </row>
    <row r="85" spans="1:8" x14ac:dyDescent="0.25">
      <c r="A85" s="8" t="s">
        <v>67</v>
      </c>
      <c r="B85" s="8">
        <v>835519909597.1001</v>
      </c>
      <c r="C85" s="8">
        <v>815759138163.6001</v>
      </c>
      <c r="D85" s="8">
        <f t="shared" si="0"/>
        <v>-2.3650868407227943</v>
      </c>
      <c r="E85" s="8"/>
      <c r="F85" s="8"/>
      <c r="G85" s="8"/>
      <c r="H85" s="8"/>
    </row>
    <row r="86" spans="1:8" x14ac:dyDescent="0.25">
      <c r="A86" s="8" t="s">
        <v>3561</v>
      </c>
      <c r="B86" s="8">
        <v>380217106978.48004</v>
      </c>
      <c r="C86" s="8">
        <v>370992058089.99011</v>
      </c>
      <c r="D86" s="8">
        <f t="shared" si="0"/>
        <v>-2.4262582401406938</v>
      </c>
      <c r="E86" s="8"/>
      <c r="F86" s="8"/>
      <c r="G86" s="8"/>
      <c r="H86" s="8"/>
    </row>
    <row r="87" spans="1:8" x14ac:dyDescent="0.25">
      <c r="A87" s="8" t="s">
        <v>1970</v>
      </c>
      <c r="B87" s="8">
        <v>719902855101.84998</v>
      </c>
      <c r="C87" s="8">
        <v>702270495070.74988</v>
      </c>
      <c r="D87" s="8">
        <f t="shared" si="0"/>
        <v>-2.449269357128125</v>
      </c>
      <c r="E87" s="8"/>
      <c r="F87" s="8"/>
      <c r="G87" s="8"/>
      <c r="H87" s="8"/>
    </row>
    <row r="88" spans="1:8" x14ac:dyDescent="0.25">
      <c r="A88" s="8" t="s">
        <v>3501</v>
      </c>
      <c r="B88" s="8">
        <v>22582906380.199997</v>
      </c>
      <c r="C88" s="8">
        <v>22019305595.050003</v>
      </c>
      <c r="D88" s="8">
        <f t="shared" si="0"/>
        <v>-2.4956964159588502</v>
      </c>
      <c r="E88" s="8"/>
      <c r="F88" s="8"/>
      <c r="G88" s="8"/>
      <c r="H88" s="8"/>
    </row>
    <row r="89" spans="1:8" x14ac:dyDescent="0.25">
      <c r="A89" s="8" t="s">
        <v>3652</v>
      </c>
      <c r="B89" s="8">
        <v>103404617666.16</v>
      </c>
      <c r="C89" s="8">
        <v>100812735179.8</v>
      </c>
      <c r="D89" s="8">
        <f t="shared" si="0"/>
        <v>-2.506544238409012</v>
      </c>
      <c r="E89" s="8"/>
      <c r="F89" s="8"/>
      <c r="G89" s="8"/>
      <c r="H89" s="8"/>
    </row>
    <row r="90" spans="1:8" x14ac:dyDescent="0.25">
      <c r="A90" s="8" t="s">
        <v>1616</v>
      </c>
      <c r="B90" s="8">
        <v>484023453103.75</v>
      </c>
      <c r="C90" s="8">
        <v>471420180709.40002</v>
      </c>
      <c r="D90" s="8">
        <f t="shared" si="0"/>
        <v>-2.6038557250754697</v>
      </c>
      <c r="E90" s="8"/>
      <c r="F90" s="8"/>
      <c r="G90" s="8"/>
      <c r="H90" s="8"/>
    </row>
    <row r="91" spans="1:8" x14ac:dyDescent="0.25">
      <c r="A91" s="8" t="s">
        <v>3110</v>
      </c>
      <c r="B91" s="8">
        <v>1331090133671.4902</v>
      </c>
      <c r="C91" s="8">
        <v>1295347948362.7397</v>
      </c>
      <c r="D91" s="8">
        <f t="shared" si="0"/>
        <v>-2.6851814467412747</v>
      </c>
      <c r="E91" s="8"/>
      <c r="F91" s="8"/>
      <c r="G91" s="8"/>
      <c r="H91" s="8"/>
    </row>
    <row r="92" spans="1:8" x14ac:dyDescent="0.25">
      <c r="A92" s="8" t="s">
        <v>4111</v>
      </c>
      <c r="B92" s="8">
        <v>40536531729.220001</v>
      </c>
      <c r="C92" s="8">
        <v>39441026870.969994</v>
      </c>
      <c r="D92" s="8">
        <f t="shared" si="0"/>
        <v>-2.7025125523018869</v>
      </c>
      <c r="E92" s="8"/>
      <c r="F92" s="8"/>
      <c r="G92" s="8"/>
      <c r="H92" s="8"/>
    </row>
    <row r="93" spans="1:8" x14ac:dyDescent="0.25">
      <c r="A93" s="8" t="s">
        <v>2627</v>
      </c>
      <c r="B93" s="8">
        <v>441895380386.88</v>
      </c>
      <c r="C93" s="8">
        <v>429692418509.70001</v>
      </c>
      <c r="D93" s="8">
        <f t="shared" si="0"/>
        <v>-2.7615047404424735</v>
      </c>
      <c r="E93" s="8"/>
      <c r="F93" s="8"/>
      <c r="G93" s="8"/>
      <c r="H93" s="8"/>
    </row>
    <row r="94" spans="1:8" x14ac:dyDescent="0.25">
      <c r="A94" s="8" t="s">
        <v>985</v>
      </c>
      <c r="B94" s="8">
        <v>2038968985944</v>
      </c>
      <c r="C94" s="8">
        <v>1982576044944.3999</v>
      </c>
      <c r="D94" s="8">
        <f t="shared" si="0"/>
        <v>-2.7657576642094606</v>
      </c>
      <c r="E94" s="69" t="s">
        <v>4491</v>
      </c>
      <c r="F94" s="67"/>
      <c r="G94" s="8"/>
      <c r="H94" s="8"/>
    </row>
    <row r="95" spans="1:8" x14ac:dyDescent="0.25">
      <c r="A95" s="8" t="s">
        <v>2929</v>
      </c>
      <c r="B95" s="8">
        <v>397546876733.16003</v>
      </c>
      <c r="C95" s="8">
        <v>386391525706.18011</v>
      </c>
      <c r="D95" s="8">
        <f t="shared" si="0"/>
        <v>-2.8060467028816762</v>
      </c>
      <c r="E95" s="8"/>
      <c r="F95" s="8"/>
      <c r="G95" s="8"/>
      <c r="H95" s="8"/>
    </row>
    <row r="96" spans="1:8" x14ac:dyDescent="0.25">
      <c r="A96" s="8" t="s">
        <v>3618</v>
      </c>
      <c r="B96" s="8">
        <v>132108470075.35001</v>
      </c>
      <c r="C96" s="8">
        <v>128348960489.35001</v>
      </c>
      <c r="D96" s="8">
        <f t="shared" si="0"/>
        <v>-2.8457748271974599</v>
      </c>
      <c r="E96" s="8"/>
      <c r="F96" s="8"/>
      <c r="G96" s="8"/>
      <c r="H96" s="8"/>
    </row>
    <row r="97" spans="1:8" x14ac:dyDescent="0.25">
      <c r="A97" s="8" t="s">
        <v>2594</v>
      </c>
      <c r="B97" s="8">
        <v>4026952818.5500002</v>
      </c>
      <c r="C97" s="8">
        <v>3910164726</v>
      </c>
      <c r="D97" s="8">
        <f t="shared" si="0"/>
        <v>-2.9001604392288982</v>
      </c>
      <c r="E97" s="8"/>
      <c r="F97" s="8"/>
      <c r="G97" s="8"/>
      <c r="H97" s="8"/>
    </row>
    <row r="98" spans="1:8" x14ac:dyDescent="0.25">
      <c r="A98" s="8" t="s">
        <v>110</v>
      </c>
      <c r="B98" s="8">
        <v>432167060182.52997</v>
      </c>
      <c r="C98" s="8">
        <v>419190546863.15997</v>
      </c>
      <c r="D98" s="8">
        <f t="shared" si="0"/>
        <v>-3.00266135829261</v>
      </c>
      <c r="E98" s="8"/>
      <c r="F98" s="8"/>
      <c r="G98" s="8"/>
      <c r="H98" s="8"/>
    </row>
    <row r="99" spans="1:8" x14ac:dyDescent="0.25">
      <c r="A99" s="8" t="s">
        <v>2834</v>
      </c>
      <c r="B99" s="8">
        <v>27069840736.950001</v>
      </c>
      <c r="C99" s="8">
        <v>26252810851.5</v>
      </c>
      <c r="D99" s="8">
        <f t="shared" si="0"/>
        <v>-3.0182293770748529</v>
      </c>
      <c r="E99" s="8"/>
      <c r="F99" s="8"/>
      <c r="G99" s="8"/>
      <c r="H99" s="8"/>
    </row>
    <row r="100" spans="1:8" x14ac:dyDescent="0.25">
      <c r="A100" s="8" t="s">
        <v>9</v>
      </c>
      <c r="B100" s="8">
        <v>3030022952885.4097</v>
      </c>
      <c r="C100" s="8">
        <v>2938240226762.02</v>
      </c>
      <c r="D100" s="8">
        <f t="shared" si="0"/>
        <v>-3.0291099292164576</v>
      </c>
      <c r="E100" s="8"/>
      <c r="F100" s="8"/>
      <c r="G100" s="8"/>
      <c r="H100" s="8"/>
    </row>
    <row r="101" spans="1:8" x14ac:dyDescent="0.25">
      <c r="A101" s="8" t="s">
        <v>15</v>
      </c>
      <c r="B101" s="8">
        <v>11237523625703.76</v>
      </c>
      <c r="C101" s="8">
        <v>10873654640295.035</v>
      </c>
      <c r="D101" s="8">
        <f t="shared" si="0"/>
        <v>-3.2379819391564304</v>
      </c>
      <c r="E101" s="8"/>
      <c r="F101" s="8"/>
      <c r="G101" s="8"/>
      <c r="H101" s="8"/>
    </row>
    <row r="102" spans="1:8" x14ac:dyDescent="0.25">
      <c r="A102" s="8" t="s">
        <v>3183</v>
      </c>
      <c r="B102" s="8">
        <v>4046191288995.3999</v>
      </c>
      <c r="C102" s="8">
        <v>3914827540207.3501</v>
      </c>
      <c r="D102" s="8">
        <f t="shared" si="0"/>
        <v>-3.2466025307633242</v>
      </c>
      <c r="E102" s="8"/>
      <c r="F102" s="8"/>
      <c r="G102" s="8"/>
      <c r="H102" s="8"/>
    </row>
    <row r="103" spans="1:8" x14ac:dyDescent="0.25">
      <c r="A103" s="8" t="s">
        <v>3312</v>
      </c>
      <c r="B103" s="8">
        <v>200556497107.34003</v>
      </c>
      <c r="C103" s="8">
        <v>194030817916.91</v>
      </c>
      <c r="D103" s="8">
        <f t="shared" si="0"/>
        <v>-3.253785982778413</v>
      </c>
      <c r="E103" s="8"/>
      <c r="F103" s="8"/>
      <c r="G103" s="8"/>
      <c r="H103" s="8"/>
    </row>
    <row r="104" spans="1:8" x14ac:dyDescent="0.25">
      <c r="A104" s="8" t="s">
        <v>3118</v>
      </c>
      <c r="B104" s="8">
        <v>9867269496057.4004</v>
      </c>
      <c r="C104" s="8">
        <v>9543799692013.3008</v>
      </c>
      <c r="D104" s="8">
        <f t="shared" si="0"/>
        <v>-3.2782098854535828</v>
      </c>
      <c r="E104" s="8"/>
      <c r="F104" s="8"/>
      <c r="G104" s="8"/>
      <c r="H104" s="8"/>
    </row>
    <row r="105" spans="1:8" x14ac:dyDescent="0.25">
      <c r="A105" s="8" t="s">
        <v>893</v>
      </c>
      <c r="B105" s="8">
        <v>1340602583052.2</v>
      </c>
      <c r="C105" s="8">
        <v>1296398870695.95</v>
      </c>
      <c r="D105" s="8">
        <f t="shared" si="0"/>
        <v>-3.2973017443849582</v>
      </c>
      <c r="E105" s="8"/>
      <c r="F105" s="8"/>
      <c r="G105" s="8"/>
      <c r="H105" s="8"/>
    </row>
    <row r="106" spans="1:8" x14ac:dyDescent="0.25">
      <c r="A106" s="8" t="s">
        <v>41</v>
      </c>
      <c r="B106" s="8">
        <v>388639620917.29999</v>
      </c>
      <c r="C106" s="8">
        <v>375061987114</v>
      </c>
      <c r="D106" s="8">
        <f t="shared" si="0"/>
        <v>-3.4936308787181583</v>
      </c>
      <c r="E106" s="8"/>
      <c r="F106" s="8"/>
      <c r="G106" s="8"/>
      <c r="H106" s="8"/>
    </row>
    <row r="107" spans="1:8" x14ac:dyDescent="0.25">
      <c r="A107" s="8" t="s">
        <v>3190</v>
      </c>
      <c r="B107" s="8">
        <v>103004853260.85001</v>
      </c>
      <c r="C107" s="8">
        <v>99388852733.850006</v>
      </c>
      <c r="D107" s="8">
        <f t="shared" si="0"/>
        <v>-3.5105147112270738</v>
      </c>
      <c r="E107" s="8"/>
      <c r="F107" s="8"/>
      <c r="G107" s="8"/>
      <c r="H107" s="8"/>
    </row>
    <row r="108" spans="1:8" x14ac:dyDescent="0.25">
      <c r="A108" s="8" t="s">
        <v>3707</v>
      </c>
      <c r="B108" s="8">
        <v>177226412051</v>
      </c>
      <c r="C108" s="8">
        <v>170597984479.85004</v>
      </c>
      <c r="D108" s="8">
        <f t="shared" si="0"/>
        <v>-3.7400901448270121</v>
      </c>
      <c r="E108" s="69" t="s">
        <v>4492</v>
      </c>
      <c r="F108" s="67"/>
      <c r="G108" s="8"/>
      <c r="H108" s="8"/>
    </row>
    <row r="109" spans="1:8" x14ac:dyDescent="0.25">
      <c r="A109" s="8" t="s">
        <v>3874</v>
      </c>
      <c r="B109" s="8">
        <v>213120626730.25</v>
      </c>
      <c r="C109" s="8">
        <v>204926371635.65002</v>
      </c>
      <c r="D109" s="8">
        <f t="shared" si="0"/>
        <v>-3.8448906707521879</v>
      </c>
      <c r="E109" s="8"/>
      <c r="F109" s="8"/>
      <c r="G109" s="8"/>
      <c r="H109" s="8"/>
    </row>
    <row r="110" spans="1:8" x14ac:dyDescent="0.25">
      <c r="A110" s="8" t="s">
        <v>324</v>
      </c>
      <c r="B110" s="8">
        <v>301143289237.70001</v>
      </c>
      <c r="C110" s="8">
        <v>288906449256.59998</v>
      </c>
      <c r="D110" s="8">
        <f t="shared" si="0"/>
        <v>-4.0634609564356552</v>
      </c>
      <c r="E110" s="8"/>
      <c r="F110" s="8"/>
      <c r="G110" s="8"/>
      <c r="H110" s="8"/>
    </row>
    <row r="111" spans="1:8" x14ac:dyDescent="0.25">
      <c r="A111" s="8" t="s">
        <v>166</v>
      </c>
      <c r="B111" s="8">
        <v>486757733563.5</v>
      </c>
      <c r="C111" s="8">
        <v>466679480613.75</v>
      </c>
      <c r="D111" s="8">
        <f t="shared" si="0"/>
        <v>-4.1248965481779427</v>
      </c>
      <c r="E111" s="8"/>
      <c r="F111" s="8"/>
      <c r="G111" s="8"/>
      <c r="H111" s="8"/>
    </row>
    <row r="112" spans="1:8" x14ac:dyDescent="0.25">
      <c r="A112" s="8" t="s">
        <v>1999</v>
      </c>
      <c r="B112" s="8">
        <v>809054718871.19995</v>
      </c>
      <c r="C112" s="8">
        <v>775079923753.7301</v>
      </c>
      <c r="D112" s="8">
        <f t="shared" si="0"/>
        <v>-4.1993198142236627</v>
      </c>
      <c r="E112" s="8"/>
      <c r="F112" s="8"/>
      <c r="G112" s="8"/>
      <c r="H112" s="8"/>
    </row>
    <row r="113" spans="1:9" x14ac:dyDescent="0.25">
      <c r="A113" s="8" t="s">
        <v>3519</v>
      </c>
      <c r="B113" s="8">
        <v>6917069029.5</v>
      </c>
      <c r="C113" s="8">
        <v>6623891494.6000004</v>
      </c>
      <c r="D113" s="8">
        <f t="shared" si="0"/>
        <v>-4.2384647839952514</v>
      </c>
      <c r="E113" s="8"/>
      <c r="F113" s="8"/>
      <c r="G113" s="8"/>
      <c r="H113" s="8"/>
    </row>
    <row r="114" spans="1:9" x14ac:dyDescent="0.25">
      <c r="A114" s="8" t="s">
        <v>3831</v>
      </c>
      <c r="B114" s="8">
        <v>3564908296.5700002</v>
      </c>
      <c r="C114" s="8">
        <v>3410516269.5</v>
      </c>
      <c r="D114" s="8">
        <f t="shared" si="0"/>
        <v>-4.3308835522795768</v>
      </c>
      <c r="E114" s="8"/>
      <c r="F114" s="8"/>
      <c r="G114" s="8"/>
      <c r="H114" s="8"/>
    </row>
    <row r="115" spans="1:9" x14ac:dyDescent="0.25">
      <c r="A115" s="8" t="s">
        <v>2577</v>
      </c>
      <c r="B115" s="8">
        <v>496711263079</v>
      </c>
      <c r="C115" s="8">
        <v>474745881269.89996</v>
      </c>
      <c r="D115" s="8">
        <f t="shared" si="0"/>
        <v>-4.4221630234316889</v>
      </c>
      <c r="E115" s="8"/>
      <c r="F115" s="8"/>
      <c r="G115" s="8"/>
      <c r="H115" s="8"/>
    </row>
    <row r="116" spans="1:9" x14ac:dyDescent="0.25">
      <c r="A116" s="8" t="s">
        <v>3369</v>
      </c>
      <c r="B116" s="8">
        <v>84558954883.369995</v>
      </c>
      <c r="C116" s="8">
        <v>80810178147.25</v>
      </c>
      <c r="D116" s="8">
        <f t="shared" si="0"/>
        <v>-4.433329079445917</v>
      </c>
      <c r="E116" s="8"/>
      <c r="F116" s="8"/>
      <c r="G116" s="8"/>
      <c r="H116" s="8"/>
    </row>
    <row r="117" spans="1:9" x14ac:dyDescent="0.25">
      <c r="A117" s="8" t="s">
        <v>3232</v>
      </c>
      <c r="B117" s="8">
        <v>1369493124342.3699</v>
      </c>
      <c r="C117" s="8">
        <v>1308489365653.9697</v>
      </c>
      <c r="D117" s="8">
        <f t="shared" si="0"/>
        <v>-4.4544771787513815</v>
      </c>
      <c r="E117" s="8"/>
      <c r="F117" s="8"/>
      <c r="G117" s="8"/>
      <c r="H117" s="8"/>
    </row>
    <row r="118" spans="1:9" x14ac:dyDescent="0.25">
      <c r="A118" s="8" t="s">
        <v>3361</v>
      </c>
      <c r="B118" s="8">
        <v>140032455164.25</v>
      </c>
      <c r="C118" s="8">
        <v>133659963040.10001</v>
      </c>
      <c r="D118" s="8">
        <f t="shared" si="0"/>
        <v>-4.5507251277394429</v>
      </c>
      <c r="E118" s="8"/>
      <c r="F118" s="8"/>
      <c r="G118" s="8"/>
      <c r="H118" s="8"/>
      <c r="I118" s="58"/>
    </row>
    <row r="119" spans="1:9" x14ac:dyDescent="0.25">
      <c r="A119" s="8" t="s">
        <v>2575</v>
      </c>
      <c r="B119" s="8">
        <v>889632215954.09985</v>
      </c>
      <c r="C119" s="8">
        <v>848462431379.29993</v>
      </c>
      <c r="D119" s="8">
        <f t="shared" si="0"/>
        <v>-4.627730857368598</v>
      </c>
      <c r="E119" s="8"/>
      <c r="F119" s="8"/>
      <c r="G119" s="8"/>
      <c r="H119" s="8"/>
    </row>
    <row r="120" spans="1:9" x14ac:dyDescent="0.25">
      <c r="A120" s="8" t="s">
        <v>2721</v>
      </c>
      <c r="B120" s="8">
        <v>5846099838349.7197</v>
      </c>
      <c r="C120" s="8">
        <v>5566524009632.9209</v>
      </c>
      <c r="D120" s="8">
        <f t="shared" si="0"/>
        <v>-4.7822623021730601</v>
      </c>
      <c r="E120" s="8"/>
      <c r="F120" s="8"/>
      <c r="G120" s="8"/>
      <c r="H120" s="8"/>
    </row>
    <row r="121" spans="1:9" x14ac:dyDescent="0.25">
      <c r="A121" s="8" t="s">
        <v>1136</v>
      </c>
      <c r="B121" s="8">
        <v>7137043489423.4912</v>
      </c>
      <c r="C121" s="8">
        <v>6789846607717.6621</v>
      </c>
      <c r="D121" s="8">
        <f t="shared" si="0"/>
        <v>-4.8647157919150441</v>
      </c>
      <c r="E121" s="8"/>
      <c r="F121" s="8"/>
      <c r="G121" s="8"/>
      <c r="H121" s="8"/>
    </row>
    <row r="122" spans="1:9" x14ac:dyDescent="0.25">
      <c r="A122" s="8" t="s">
        <v>858</v>
      </c>
      <c r="B122" s="8">
        <v>3526372646379.8901</v>
      </c>
      <c r="C122" s="8">
        <v>3351855206218.3799</v>
      </c>
      <c r="D122" s="8">
        <f t="shared" si="0"/>
        <v>-4.9489222399869357</v>
      </c>
      <c r="E122" s="69" t="s">
        <v>4493</v>
      </c>
      <c r="F122" s="67"/>
      <c r="G122" s="8"/>
      <c r="H122" s="8"/>
    </row>
    <row r="123" spans="1:9" x14ac:dyDescent="0.25">
      <c r="A123" s="8" t="s">
        <v>1563</v>
      </c>
      <c r="B123" s="8">
        <v>40980393624.800003</v>
      </c>
      <c r="C123" s="8">
        <v>38901653435.300003</v>
      </c>
      <c r="D123" s="8">
        <f t="shared" si="0"/>
        <v>-5.0725237256921174</v>
      </c>
      <c r="E123" s="8"/>
      <c r="F123" s="8"/>
      <c r="G123" s="8"/>
      <c r="H123" s="8"/>
    </row>
    <row r="124" spans="1:9" x14ac:dyDescent="0.25">
      <c r="A124" s="8" t="s">
        <v>1685</v>
      </c>
      <c r="B124" s="8">
        <v>243915090725.55997</v>
      </c>
      <c r="C124" s="8">
        <v>231277327397.36002</v>
      </c>
      <c r="D124" s="8">
        <f t="shared" si="0"/>
        <v>-5.181214204749339</v>
      </c>
      <c r="E124" s="8"/>
      <c r="F124" s="8"/>
      <c r="G124" s="8"/>
      <c r="H124" s="8"/>
    </row>
    <row r="125" spans="1:9" x14ac:dyDescent="0.25">
      <c r="A125" s="8" t="s">
        <v>1501</v>
      </c>
      <c r="B125" s="8">
        <v>794925207617.5</v>
      </c>
      <c r="C125" s="8">
        <v>753639009795.65002</v>
      </c>
      <c r="D125" s="8">
        <f t="shared" si="0"/>
        <v>-5.1937210477436464</v>
      </c>
      <c r="E125" s="8"/>
      <c r="F125" s="8"/>
      <c r="G125" s="8"/>
      <c r="H125" s="8"/>
    </row>
    <row r="126" spans="1:9" x14ac:dyDescent="0.25">
      <c r="A126" s="8" t="s">
        <v>4053</v>
      </c>
      <c r="B126" s="8">
        <v>15538833541.5</v>
      </c>
      <c r="C126" s="8">
        <v>14730931418.950001</v>
      </c>
      <c r="D126" s="8">
        <f t="shared" si="0"/>
        <v>-5.1992456215732812</v>
      </c>
      <c r="E126" s="8"/>
      <c r="F126" s="8"/>
      <c r="G126" s="8"/>
      <c r="H126" s="8"/>
    </row>
    <row r="127" spans="1:9" x14ac:dyDescent="0.25">
      <c r="A127" s="8" t="s">
        <v>1645</v>
      </c>
      <c r="B127" s="8">
        <v>515151158260.05005</v>
      </c>
      <c r="C127" s="8">
        <v>488246016940.07996</v>
      </c>
      <c r="D127" s="8">
        <f t="shared" si="0"/>
        <v>-5.222766345094441</v>
      </c>
      <c r="E127" s="8"/>
      <c r="F127" s="8"/>
      <c r="G127" s="8"/>
      <c r="H127" s="8"/>
    </row>
    <row r="128" spans="1:9" x14ac:dyDescent="0.25">
      <c r="A128" s="8" t="s">
        <v>1807</v>
      </c>
      <c r="B128" s="8">
        <v>1334671855393.0999</v>
      </c>
      <c r="C128" s="8">
        <v>1261804369471.3501</v>
      </c>
      <c r="D128" s="8">
        <f t="shared" si="0"/>
        <v>-5.4595806173112233</v>
      </c>
      <c r="E128" s="8"/>
      <c r="F128" s="8"/>
      <c r="G128" s="8"/>
      <c r="H128" s="8"/>
    </row>
    <row r="129" spans="1:8" x14ac:dyDescent="0.25">
      <c r="A129" s="8" t="s">
        <v>3209</v>
      </c>
      <c r="B129" s="8">
        <v>328396293846.41003</v>
      </c>
      <c r="C129" s="8">
        <v>309579085533.46002</v>
      </c>
      <c r="D129" s="8">
        <f t="shared" si="0"/>
        <v>-5.7300306567256101</v>
      </c>
      <c r="E129" s="8"/>
      <c r="F129" s="8"/>
      <c r="G129" s="8"/>
      <c r="H129" s="8"/>
    </row>
    <row r="130" spans="1:8" x14ac:dyDescent="0.25">
      <c r="A130" s="8" t="s">
        <v>2757</v>
      </c>
      <c r="B130" s="8">
        <v>691638441370.28003</v>
      </c>
      <c r="C130" s="8">
        <v>651552119307.08008</v>
      </c>
      <c r="D130" s="8">
        <f t="shared" si="0"/>
        <v>-5.7958493434489533</v>
      </c>
      <c r="E130" s="8"/>
      <c r="F130" s="8"/>
      <c r="G130" s="8"/>
      <c r="H130" s="8"/>
    </row>
    <row r="131" spans="1:8" x14ac:dyDescent="0.25">
      <c r="A131" s="8" t="s">
        <v>788</v>
      </c>
      <c r="B131" s="8">
        <v>20537734188512.699</v>
      </c>
      <c r="C131" s="8">
        <v>19346423219134.301</v>
      </c>
      <c r="D131" s="8">
        <f t="shared" si="0"/>
        <v>-5.800595910159994</v>
      </c>
      <c r="E131" s="8"/>
      <c r="F131" s="8"/>
      <c r="G131" s="8"/>
      <c r="H131" s="8"/>
    </row>
    <row r="132" spans="1:8" x14ac:dyDescent="0.25">
      <c r="A132" s="8" t="s">
        <v>295</v>
      </c>
      <c r="B132" s="8">
        <v>90434582724.350006</v>
      </c>
      <c r="C132" s="8">
        <v>85179149815.099991</v>
      </c>
      <c r="D132" s="8">
        <f t="shared" si="0"/>
        <v>-5.8113088499218133</v>
      </c>
      <c r="E132" s="8"/>
      <c r="F132" s="8"/>
      <c r="G132" s="8"/>
      <c r="H132" s="8"/>
    </row>
    <row r="133" spans="1:8" x14ac:dyDescent="0.25">
      <c r="A133" s="8" t="s">
        <v>668</v>
      </c>
      <c r="B133" s="8">
        <v>71922040776.149994</v>
      </c>
      <c r="C133" s="8">
        <v>67723569857.449997</v>
      </c>
      <c r="D133" s="8">
        <f t="shared" si="0"/>
        <v>-5.8375302944577294</v>
      </c>
      <c r="E133" s="8"/>
      <c r="F133" s="8"/>
      <c r="G133" s="8"/>
      <c r="H133" s="8"/>
    </row>
    <row r="134" spans="1:8" x14ac:dyDescent="0.25">
      <c r="A134" s="8" t="s">
        <v>1633</v>
      </c>
      <c r="B134" s="8">
        <v>1267319475769.8701</v>
      </c>
      <c r="C134" s="8">
        <v>1192716138752.2502</v>
      </c>
      <c r="D134" s="8">
        <f t="shared" si="0"/>
        <v>-5.886703269694479</v>
      </c>
      <c r="E134" s="8"/>
      <c r="F134" s="8"/>
      <c r="G134" s="8"/>
      <c r="H134" s="8"/>
    </row>
    <row r="135" spans="1:8" x14ac:dyDescent="0.25">
      <c r="A135" s="8" t="s">
        <v>3287</v>
      </c>
      <c r="B135" s="8">
        <v>215846949866.44998</v>
      </c>
      <c r="C135" s="8">
        <v>203049711315.90002</v>
      </c>
      <c r="D135" s="8">
        <f t="shared" si="0"/>
        <v>-5.9288484541791924</v>
      </c>
      <c r="E135" s="8"/>
      <c r="F135" s="8"/>
      <c r="G135" s="8"/>
      <c r="H135" s="8"/>
    </row>
    <row r="136" spans="1:8" x14ac:dyDescent="0.25">
      <c r="A136" s="8" t="s">
        <v>206</v>
      </c>
      <c r="B136" s="8">
        <v>1116646243014.45</v>
      </c>
      <c r="C136" s="8">
        <v>1048791447276.8</v>
      </c>
      <c r="D136" s="8">
        <f t="shared" si="0"/>
        <v>-6.0766600131543926</v>
      </c>
      <c r="E136" s="8"/>
      <c r="F136" s="8"/>
      <c r="G136" s="8"/>
      <c r="H136" s="8"/>
    </row>
    <row r="137" spans="1:8" x14ac:dyDescent="0.25">
      <c r="A137" s="8" t="s">
        <v>2681</v>
      </c>
      <c r="B137" s="8">
        <v>360218283126.79004</v>
      </c>
      <c r="C137" s="8">
        <v>338226169511.84998</v>
      </c>
      <c r="D137" s="8">
        <f t="shared" si="0"/>
        <v>-6.1052185980241473</v>
      </c>
      <c r="E137" s="69" t="s">
        <v>4494</v>
      </c>
      <c r="F137" s="67"/>
      <c r="G137" s="67"/>
      <c r="H137" s="67"/>
    </row>
    <row r="138" spans="1:8" x14ac:dyDescent="0.25">
      <c r="A138" s="8" t="s">
        <v>108</v>
      </c>
      <c r="B138" s="8">
        <v>2195958434878.95</v>
      </c>
      <c r="C138" s="8">
        <v>2061648466498.1001</v>
      </c>
      <c r="D138" s="8">
        <f t="shared" si="0"/>
        <v>-6.1162345446785995</v>
      </c>
      <c r="E138" s="69" t="s">
        <v>4495</v>
      </c>
      <c r="F138" s="67"/>
      <c r="G138" s="8"/>
      <c r="H138" s="8"/>
    </row>
    <row r="139" spans="1:8" x14ac:dyDescent="0.25">
      <c r="A139" s="8" t="s">
        <v>1868</v>
      </c>
      <c r="B139" s="8">
        <v>5273523539273.3408</v>
      </c>
      <c r="C139" s="8">
        <v>4948539804426.541</v>
      </c>
      <c r="D139" s="8">
        <f t="shared" si="0"/>
        <v>-6.1625539817269992</v>
      </c>
      <c r="E139" s="69" t="s">
        <v>4496</v>
      </c>
      <c r="F139" s="67"/>
      <c r="G139" s="8"/>
      <c r="H139" s="8"/>
    </row>
    <row r="140" spans="1:8" x14ac:dyDescent="0.25">
      <c r="A140" s="8" t="s">
        <v>935</v>
      </c>
      <c r="B140" s="8">
        <v>3491849113315.4004</v>
      </c>
      <c r="C140" s="8">
        <v>3275407544174.9502</v>
      </c>
      <c r="D140" s="8">
        <f t="shared" si="0"/>
        <v>-6.1984800063409891</v>
      </c>
      <c r="E140" s="8"/>
      <c r="F140" s="8"/>
      <c r="G140" s="8"/>
      <c r="H140" s="8"/>
    </row>
    <row r="141" spans="1:8" x14ac:dyDescent="0.25">
      <c r="A141" s="8" t="s">
        <v>959</v>
      </c>
      <c r="B141" s="8">
        <v>216108735472.85001</v>
      </c>
      <c r="C141" s="8">
        <v>202521257574.29999</v>
      </c>
      <c r="D141" s="8">
        <f t="shared" si="0"/>
        <v>-6.2873339519665228</v>
      </c>
      <c r="E141" s="8"/>
      <c r="F141" s="8"/>
      <c r="G141" s="8"/>
      <c r="H141" s="8"/>
    </row>
    <row r="142" spans="1:8" x14ac:dyDescent="0.25">
      <c r="A142" s="8" t="s">
        <v>3872</v>
      </c>
      <c r="B142" s="8">
        <v>684031562736.96985</v>
      </c>
      <c r="C142" s="8">
        <v>640500996032.70007</v>
      </c>
      <c r="D142" s="8">
        <f t="shared" si="0"/>
        <v>-6.3638242846709909</v>
      </c>
      <c r="E142" s="8"/>
      <c r="F142" s="8"/>
      <c r="G142" s="8"/>
      <c r="H142" s="8"/>
    </row>
    <row r="143" spans="1:8" x14ac:dyDescent="0.25">
      <c r="A143" s="8" t="s">
        <v>2286</v>
      </c>
      <c r="B143" s="8">
        <v>551664066830.17017</v>
      </c>
      <c r="C143" s="8">
        <v>515647822928.81</v>
      </c>
      <c r="D143" s="8">
        <f t="shared" si="0"/>
        <v>-6.5286550397069405</v>
      </c>
      <c r="E143" s="8"/>
      <c r="F143" s="8"/>
      <c r="G143" s="8"/>
      <c r="H143" s="8"/>
    </row>
    <row r="144" spans="1:8" x14ac:dyDescent="0.25">
      <c r="A144" s="8" t="s">
        <v>4033</v>
      </c>
      <c r="B144" s="8">
        <v>4921062088714.5</v>
      </c>
      <c r="C144" s="8">
        <v>4596327328613</v>
      </c>
      <c r="D144" s="8">
        <f t="shared" si="0"/>
        <v>-6.5988754916589256</v>
      </c>
      <c r="E144" s="8"/>
      <c r="F144" s="8"/>
      <c r="G144" s="8"/>
      <c r="H144" s="8"/>
    </row>
    <row r="145" spans="1:8" x14ac:dyDescent="0.25">
      <c r="A145" s="8" t="s">
        <v>1760</v>
      </c>
      <c r="B145" s="8">
        <v>217614737872.37997</v>
      </c>
      <c r="C145" s="8">
        <v>203230285852.34003</v>
      </c>
      <c r="D145" s="8">
        <f t="shared" si="0"/>
        <v>-6.6100541538118156</v>
      </c>
      <c r="E145" s="8"/>
      <c r="F145" s="8"/>
      <c r="G145" s="8"/>
      <c r="H145" s="8"/>
    </row>
    <row r="146" spans="1:8" x14ac:dyDescent="0.25">
      <c r="A146" s="8" t="s">
        <v>3402</v>
      </c>
      <c r="B146" s="8">
        <v>5940399918372.4502</v>
      </c>
      <c r="C146" s="8">
        <v>5534770213191.7998</v>
      </c>
      <c r="D146" s="8">
        <f t="shared" si="0"/>
        <v>-6.8283231895906553</v>
      </c>
      <c r="E146" s="8"/>
      <c r="F146" s="8"/>
      <c r="G146" s="8"/>
      <c r="H146" s="8"/>
    </row>
    <row r="147" spans="1:8" x14ac:dyDescent="0.25">
      <c r="A147" s="8" t="s">
        <v>711</v>
      </c>
      <c r="B147" s="8">
        <v>389527479716.95007</v>
      </c>
      <c r="C147" s="8">
        <v>362549456247.70001</v>
      </c>
      <c r="D147" s="8">
        <f t="shared" si="0"/>
        <v>-6.9258331886760924</v>
      </c>
      <c r="E147" s="8"/>
      <c r="F147" s="8"/>
      <c r="G147" s="8"/>
      <c r="H147" s="8"/>
    </row>
    <row r="148" spans="1:8" x14ac:dyDescent="0.25">
      <c r="A148" s="8" t="s">
        <v>3475</v>
      </c>
      <c r="B148" s="8">
        <v>8782024335832.4209</v>
      </c>
      <c r="C148" s="8">
        <v>8167282861683.8594</v>
      </c>
      <c r="D148" s="8">
        <f t="shared" si="0"/>
        <v>-6.9999973883048021</v>
      </c>
      <c r="E148" s="8"/>
      <c r="F148" s="8"/>
      <c r="G148" s="8"/>
      <c r="H148" s="8"/>
    </row>
    <row r="149" spans="1:8" x14ac:dyDescent="0.25">
      <c r="A149" s="8" t="s">
        <v>833</v>
      </c>
      <c r="B149" s="8">
        <v>268272922319.55997</v>
      </c>
      <c r="C149" s="8">
        <v>248983903294.15997</v>
      </c>
      <c r="D149" s="8">
        <f t="shared" si="0"/>
        <v>-7.1900730266110866</v>
      </c>
      <c r="E149" s="8"/>
      <c r="F149" s="8"/>
      <c r="G149" s="8"/>
      <c r="H149" s="8"/>
    </row>
    <row r="150" spans="1:8" x14ac:dyDescent="0.25">
      <c r="A150" s="8" t="s">
        <v>1968</v>
      </c>
      <c r="B150" s="8">
        <v>29856771839687.211</v>
      </c>
      <c r="C150" s="8">
        <v>27683001013137.66</v>
      </c>
      <c r="D150" s="8">
        <f t="shared" si="0"/>
        <v>-7.2806626189240555</v>
      </c>
      <c r="E150" s="8"/>
      <c r="F150" s="8"/>
      <c r="G150" s="8"/>
      <c r="H150" s="8"/>
    </row>
    <row r="151" spans="1:8" x14ac:dyDescent="0.25">
      <c r="A151" s="8" t="s">
        <v>3974</v>
      </c>
      <c r="B151" s="8">
        <v>242681431817.24997</v>
      </c>
      <c r="C151" s="8">
        <v>224711897688.65002</v>
      </c>
      <c r="D151" s="8">
        <f t="shared" si="0"/>
        <v>-7.4045772657760702</v>
      </c>
      <c r="E151" s="8"/>
      <c r="F151" s="8"/>
      <c r="G151" s="8"/>
      <c r="H151" s="8"/>
    </row>
    <row r="152" spans="1:8" x14ac:dyDescent="0.25">
      <c r="A152" s="8" t="s">
        <v>4016</v>
      </c>
      <c r="B152" s="8">
        <v>1924781642027.3198</v>
      </c>
      <c r="C152" s="8">
        <v>1778774188376.8499</v>
      </c>
      <c r="D152" s="8">
        <f t="shared" si="0"/>
        <v>-7.5856632494002971</v>
      </c>
      <c r="E152" s="8"/>
      <c r="F152" s="8"/>
      <c r="G152" s="8"/>
      <c r="H152" s="8"/>
    </row>
    <row r="153" spans="1:8" x14ac:dyDescent="0.25">
      <c r="A153" s="8" t="s">
        <v>2867</v>
      </c>
      <c r="B153" s="8">
        <v>5088909625.8500004</v>
      </c>
      <c r="C153" s="8">
        <v>4695266689.8999996</v>
      </c>
      <c r="D153" s="8">
        <f t="shared" si="0"/>
        <v>-7.7353100151439733</v>
      </c>
      <c r="E153" s="8"/>
      <c r="F153" s="8"/>
      <c r="G153" s="8"/>
      <c r="H153" s="8"/>
    </row>
    <row r="154" spans="1:8" x14ac:dyDescent="0.25">
      <c r="A154" s="8" t="s">
        <v>1478</v>
      </c>
      <c r="B154" s="8">
        <v>385037313116.91992</v>
      </c>
      <c r="C154" s="8">
        <v>354433574148.56006</v>
      </c>
      <c r="D154" s="8">
        <f t="shared" si="0"/>
        <v>-7.9482527863648302</v>
      </c>
      <c r="E154" s="8"/>
      <c r="F154" s="8"/>
      <c r="G154" s="8"/>
      <c r="H154" s="8"/>
    </row>
    <row r="155" spans="1:8" x14ac:dyDescent="0.25">
      <c r="A155" s="8" t="s">
        <v>2501</v>
      </c>
      <c r="B155" s="8">
        <v>117674443573.09999</v>
      </c>
      <c r="C155" s="8">
        <v>108281759930.85001</v>
      </c>
      <c r="D155" s="8">
        <f t="shared" si="0"/>
        <v>-7.9819231406989406</v>
      </c>
      <c r="E155" s="8"/>
      <c r="F155" s="8"/>
      <c r="G155" s="8"/>
      <c r="H155" s="8"/>
    </row>
    <row r="156" spans="1:8" x14ac:dyDescent="0.25">
      <c r="A156" s="8" t="s">
        <v>2998</v>
      </c>
      <c r="B156" s="8">
        <v>13598971425.140001</v>
      </c>
      <c r="C156" s="8">
        <v>12492982852.49</v>
      </c>
      <c r="D156" s="8">
        <f t="shared" si="0"/>
        <v>-8.132884010664176</v>
      </c>
      <c r="E156" s="8"/>
      <c r="F156" s="8"/>
      <c r="G156" s="8"/>
      <c r="H156" s="8"/>
    </row>
    <row r="157" spans="1:8" x14ac:dyDescent="0.25">
      <c r="A157" s="8" t="s">
        <v>2778</v>
      </c>
      <c r="B157" s="8">
        <v>5137540602.8999996</v>
      </c>
      <c r="C157" s="8">
        <v>4710284260.0699997</v>
      </c>
      <c r="D157" s="8">
        <f t="shared" si="0"/>
        <v>-8.3163594383823565</v>
      </c>
      <c r="E157" s="8"/>
      <c r="F157" s="8"/>
      <c r="G157" s="8"/>
      <c r="H157" s="8"/>
    </row>
    <row r="158" spans="1:8" x14ac:dyDescent="0.25">
      <c r="A158" s="8" t="s">
        <v>2671</v>
      </c>
      <c r="B158" s="8">
        <v>247407961336.37997</v>
      </c>
      <c r="C158" s="8">
        <v>226759970698.61002</v>
      </c>
      <c r="D158" s="8">
        <f t="shared" si="0"/>
        <v>-8.3457260333254215</v>
      </c>
      <c r="E158" s="8"/>
      <c r="F158" s="8"/>
      <c r="G158" s="8"/>
      <c r="H158" s="8"/>
    </row>
    <row r="159" spans="1:8" x14ac:dyDescent="0.25">
      <c r="A159" s="8" t="s">
        <v>4051</v>
      </c>
      <c r="B159" s="8">
        <v>25397173492.799999</v>
      </c>
      <c r="C159" s="8">
        <v>23194941106.599998</v>
      </c>
      <c r="D159" s="8">
        <f t="shared" si="0"/>
        <v>-8.6711711711711743</v>
      </c>
      <c r="E159" s="8"/>
      <c r="F159" s="8"/>
      <c r="G159" s="8"/>
      <c r="H159" s="8"/>
    </row>
    <row r="160" spans="1:8" x14ac:dyDescent="0.25">
      <c r="A160" s="8" t="s">
        <v>2753</v>
      </c>
      <c r="B160" s="8">
        <v>1171654133775.28</v>
      </c>
      <c r="C160" s="8">
        <v>1068689894131.0001</v>
      </c>
      <c r="D160" s="8">
        <f t="shared" si="0"/>
        <v>-8.7879380677393808</v>
      </c>
      <c r="E160" s="8"/>
      <c r="F160" s="8"/>
      <c r="G160" s="8"/>
      <c r="H160" s="8"/>
    </row>
    <row r="161" spans="1:8" x14ac:dyDescent="0.25">
      <c r="A161" s="8" t="s">
        <v>2816</v>
      </c>
      <c r="B161" s="8">
        <v>327596610802.15002</v>
      </c>
      <c r="C161" s="8">
        <v>297994720446.15002</v>
      </c>
      <c r="D161" s="8">
        <f t="shared" si="0"/>
        <v>-9.0360795502484237</v>
      </c>
      <c r="E161" s="8"/>
      <c r="F161" s="8"/>
      <c r="G161" s="8"/>
      <c r="H161" s="8"/>
    </row>
    <row r="162" spans="1:8" x14ac:dyDescent="0.25">
      <c r="A162" s="8" t="s">
        <v>850</v>
      </c>
      <c r="B162" s="8">
        <v>517057416122.59998</v>
      </c>
      <c r="C162" s="8">
        <v>469999459320.70001</v>
      </c>
      <c r="D162" s="8">
        <f t="shared" si="0"/>
        <v>-9.1011085683261932</v>
      </c>
      <c r="E162" s="8"/>
      <c r="F162" s="8"/>
      <c r="G162" s="8"/>
      <c r="H162" s="8"/>
    </row>
    <row r="163" spans="1:8" x14ac:dyDescent="0.25">
      <c r="A163" s="8" t="s">
        <v>4036</v>
      </c>
      <c r="B163" s="8">
        <v>237765491586.52997</v>
      </c>
      <c r="C163" s="8">
        <v>216018315244.42999</v>
      </c>
      <c r="D163" s="8">
        <f t="shared" si="0"/>
        <v>-9.1464813489074075</v>
      </c>
      <c r="E163" s="8"/>
      <c r="F163" s="8"/>
      <c r="G163" s="8"/>
      <c r="H163" s="8"/>
    </row>
    <row r="164" spans="1:8" x14ac:dyDescent="0.25">
      <c r="A164" s="8" t="s">
        <v>659</v>
      </c>
      <c r="B164" s="8">
        <v>92019501759.799988</v>
      </c>
      <c r="C164" s="8">
        <v>83110003494</v>
      </c>
      <c r="D164" s="8">
        <f t="shared" si="0"/>
        <v>-9.6821848580060745</v>
      </c>
      <c r="E164" s="8"/>
      <c r="F164" s="8"/>
      <c r="G164" s="8"/>
      <c r="H164" s="8"/>
    </row>
    <row r="165" spans="1:8" x14ac:dyDescent="0.25">
      <c r="A165" s="8" t="s">
        <v>4133</v>
      </c>
      <c r="B165" s="8">
        <v>2876650736.4000001</v>
      </c>
      <c r="C165" s="8">
        <v>2594823512.4000001</v>
      </c>
      <c r="D165" s="8">
        <f t="shared" si="0"/>
        <v>-9.7970608817354794</v>
      </c>
      <c r="E165" s="8"/>
      <c r="F165" s="8"/>
      <c r="G165" s="8"/>
      <c r="H165" s="8"/>
    </row>
    <row r="166" spans="1:8" x14ac:dyDescent="0.25">
      <c r="A166" s="8" t="s">
        <v>3663</v>
      </c>
      <c r="B166" s="8">
        <v>80928555864</v>
      </c>
      <c r="C166" s="8">
        <v>72838429188.100006</v>
      </c>
      <c r="D166" s="8">
        <f t="shared" si="0"/>
        <v>-9.9966280004988697</v>
      </c>
      <c r="E166" s="8"/>
      <c r="F166" s="8"/>
      <c r="G166" s="8"/>
      <c r="H166" s="8"/>
    </row>
    <row r="167" spans="1:8" x14ac:dyDescent="0.25">
      <c r="A167" s="8" t="s">
        <v>3847</v>
      </c>
      <c r="B167" s="8">
        <v>946308596023.1001</v>
      </c>
      <c r="C167" s="8">
        <v>850940186983.19995</v>
      </c>
      <c r="D167" s="8">
        <f t="shared" si="0"/>
        <v>-10.077939632028041</v>
      </c>
      <c r="E167" s="8"/>
      <c r="F167" s="8"/>
      <c r="G167" s="8"/>
      <c r="H167" s="8"/>
    </row>
    <row r="168" spans="1:8" x14ac:dyDescent="0.25">
      <c r="A168" s="8" t="s">
        <v>2444</v>
      </c>
      <c r="B168" s="8">
        <v>1212457188787.7002</v>
      </c>
      <c r="C168" s="8">
        <v>1089575018666.2001</v>
      </c>
      <c r="D168" s="8">
        <f t="shared" si="0"/>
        <v>-10.13496981649029</v>
      </c>
      <c r="E168" s="8"/>
      <c r="F168" s="8"/>
      <c r="G168" s="8"/>
      <c r="H168" s="8"/>
    </row>
    <row r="169" spans="1:8" x14ac:dyDescent="0.25">
      <c r="A169" s="8" t="s">
        <v>1935</v>
      </c>
      <c r="B169" s="8">
        <v>376502263615.84998</v>
      </c>
      <c r="C169" s="8">
        <v>338266680341.90002</v>
      </c>
      <c r="D169" s="8">
        <f t="shared" si="0"/>
        <v>-10.155472348756501</v>
      </c>
      <c r="E169" s="8"/>
      <c r="F169" s="8"/>
      <c r="G169" s="8"/>
      <c r="H169" s="8"/>
    </row>
    <row r="170" spans="1:8" x14ac:dyDescent="0.25">
      <c r="A170" s="8" t="s">
        <v>4077</v>
      </c>
      <c r="B170" s="8">
        <v>4717814985</v>
      </c>
      <c r="C170" s="8">
        <v>4219141680</v>
      </c>
      <c r="D170" s="8">
        <f t="shared" si="0"/>
        <v>-10.570005534034312</v>
      </c>
      <c r="E170" s="8"/>
      <c r="F170" s="8"/>
      <c r="G170" s="8"/>
      <c r="H170" s="8"/>
    </row>
    <row r="171" spans="1:8" x14ac:dyDescent="0.25">
      <c r="A171" s="8" t="s">
        <v>4194</v>
      </c>
      <c r="B171" s="39">
        <v>210359685</v>
      </c>
      <c r="C171" s="39">
        <v>186296400</v>
      </c>
      <c r="D171" s="8">
        <f t="shared" si="0"/>
        <v>-11.439114391143912</v>
      </c>
      <c r="E171" s="69" t="s">
        <v>4497</v>
      </c>
      <c r="F171" s="67"/>
      <c r="G171" s="67"/>
      <c r="H171" s="8"/>
    </row>
    <row r="172" spans="1:8" x14ac:dyDescent="0.25">
      <c r="A172" s="8" t="s">
        <v>2787</v>
      </c>
      <c r="B172" s="8">
        <v>676411494841.69995</v>
      </c>
      <c r="C172" s="8">
        <v>592318068342.15002</v>
      </c>
      <c r="D172" s="8">
        <f t="shared" si="0"/>
        <v>-12.432288206342538</v>
      </c>
      <c r="E172" s="8"/>
      <c r="F172" s="8"/>
      <c r="G172" s="8"/>
      <c r="H172" s="8"/>
    </row>
    <row r="173" spans="1:8" x14ac:dyDescent="0.25">
      <c r="A173" s="8" t="s">
        <v>876</v>
      </c>
      <c r="B173" s="8">
        <v>1009836473</v>
      </c>
      <c r="C173" s="8">
        <v>877403436.29999995</v>
      </c>
      <c r="D173" s="8">
        <f t="shared" si="0"/>
        <v>-13.114305161366463</v>
      </c>
      <c r="E173" s="8"/>
      <c r="F173" s="8"/>
      <c r="G173" s="8"/>
      <c r="H173" s="8"/>
    </row>
    <row r="174" spans="1:8" x14ac:dyDescent="0.25">
      <c r="A174" s="8" t="s">
        <v>2261</v>
      </c>
      <c r="B174" s="8">
        <v>54018106374.200005</v>
      </c>
      <c r="C174" s="8">
        <v>46920940612.200005</v>
      </c>
      <c r="D174" s="8">
        <f t="shared" si="0"/>
        <v>-13.138494179776968</v>
      </c>
      <c r="E174" s="8"/>
      <c r="F174" s="8"/>
      <c r="G174" s="8"/>
      <c r="H174" s="8"/>
    </row>
    <row r="175" spans="1:8" x14ac:dyDescent="0.25">
      <c r="A175" s="8" t="s">
        <v>3023</v>
      </c>
      <c r="B175" s="8">
        <v>63731649663.769997</v>
      </c>
      <c r="C175" s="8">
        <v>54509036206.940002</v>
      </c>
      <c r="D175" s="8">
        <f t="shared" si="0"/>
        <v>-14.47101009543276</v>
      </c>
      <c r="E175" s="8"/>
      <c r="F175" s="8"/>
      <c r="G175" s="8"/>
      <c r="H175" s="8"/>
    </row>
    <row r="176" spans="1:8" x14ac:dyDescent="0.25">
      <c r="A176" s="8" t="s">
        <v>2346</v>
      </c>
      <c r="B176" s="8">
        <v>31477675112.000004</v>
      </c>
      <c r="C176" s="8">
        <v>26837057237.139999</v>
      </c>
      <c r="D176" s="8">
        <f t="shared" si="0"/>
        <v>-14.742568688279317</v>
      </c>
      <c r="E176" s="8"/>
      <c r="F176" s="8"/>
      <c r="G176" s="8"/>
      <c r="H176" s="8"/>
    </row>
    <row r="177" spans="1:8" x14ac:dyDescent="0.25">
      <c r="A177" s="8" t="s">
        <v>1584</v>
      </c>
      <c r="B177" s="8">
        <v>274727560705.84003</v>
      </c>
      <c r="C177" s="8">
        <v>232785585897.68002</v>
      </c>
      <c r="D177" s="8">
        <f t="shared" si="0"/>
        <v>-15.266751795997882</v>
      </c>
      <c r="E177" s="8"/>
      <c r="F177" s="8"/>
      <c r="G177" s="8"/>
      <c r="H177" s="8"/>
    </row>
    <row r="178" spans="1:8" x14ac:dyDescent="0.25">
      <c r="A178" s="8" t="s">
        <v>3454</v>
      </c>
      <c r="B178" s="8">
        <v>33808115988.689999</v>
      </c>
      <c r="C178" s="8">
        <v>28582395827.450001</v>
      </c>
      <c r="D178" s="8">
        <f t="shared" si="0"/>
        <v>-15.456999032386735</v>
      </c>
      <c r="E178" s="8"/>
      <c r="F178" s="8"/>
      <c r="G178" s="8"/>
      <c r="H178" s="8"/>
    </row>
    <row r="179" spans="1:8" x14ac:dyDescent="0.25">
      <c r="A179" s="8" t="s">
        <v>4057</v>
      </c>
      <c r="B179" s="8">
        <v>4447212475.0999994</v>
      </c>
      <c r="C179" s="8">
        <v>3598130483.4000001</v>
      </c>
      <c r="D179" s="8">
        <f t="shared" si="0"/>
        <v>-19.092453901270076</v>
      </c>
      <c r="E179" s="8"/>
      <c r="F179" s="8"/>
      <c r="G179" s="8"/>
      <c r="H179" s="8"/>
    </row>
    <row r="180" spans="1:8" x14ac:dyDescent="0.25">
      <c r="A180" s="8" t="s">
        <v>3639</v>
      </c>
      <c r="B180" s="8">
        <v>4483102455.3000002</v>
      </c>
      <c r="C180" s="8">
        <v>3565800967.5999999</v>
      </c>
      <c r="D180" s="8">
        <f t="shared" si="0"/>
        <v>-20.461309926467347</v>
      </c>
      <c r="E180" s="8"/>
      <c r="F180" s="8"/>
      <c r="G180" s="8"/>
      <c r="H180" s="8"/>
    </row>
    <row r="181" spans="1:8" x14ac:dyDescent="0.25">
      <c r="A181" s="8" t="s">
        <v>2749</v>
      </c>
      <c r="B181" s="8">
        <v>18023728273.599998</v>
      </c>
      <c r="C181" s="8">
        <v>14305413398.6</v>
      </c>
      <c r="D181" s="8">
        <f t="shared" si="0"/>
        <v>-20.630109478771644</v>
      </c>
      <c r="E181" s="69" t="s">
        <v>4498</v>
      </c>
      <c r="F181" s="67"/>
      <c r="G181" s="8"/>
      <c r="H181" s="8"/>
    </row>
    <row r="182" spans="1:8" x14ac:dyDescent="0.25">
      <c r="A182" s="8" t="s">
        <v>3867</v>
      </c>
      <c r="B182" s="8">
        <v>4760613031.8999996</v>
      </c>
      <c r="C182" s="8">
        <v>3703213360</v>
      </c>
      <c r="D182" s="8">
        <f t="shared" si="0"/>
        <v>-22.211418252535069</v>
      </c>
      <c r="E182" s="8"/>
      <c r="F182" s="8"/>
      <c r="G182" s="8"/>
      <c r="H182" s="8"/>
    </row>
    <row r="183" spans="1:8" x14ac:dyDescent="0.25">
      <c r="A183" s="8"/>
      <c r="B183" s="8"/>
      <c r="C183" s="8"/>
      <c r="D183" s="8"/>
      <c r="E183" s="8"/>
      <c r="F183" s="8"/>
      <c r="G183" s="8"/>
      <c r="H183" s="8"/>
    </row>
    <row r="184" spans="1:8" x14ac:dyDescent="0.25">
      <c r="A184" s="8"/>
      <c r="B184" s="8"/>
      <c r="C184" s="8"/>
      <c r="D184" s="8"/>
      <c r="E184" s="8"/>
      <c r="F184" s="8"/>
      <c r="G184" s="8"/>
      <c r="H184" s="8"/>
    </row>
    <row r="185" spans="1:8" x14ac:dyDescent="0.25">
      <c r="A185" s="8"/>
      <c r="B185" s="8"/>
      <c r="C185" s="8"/>
      <c r="D185" s="8"/>
      <c r="E185" s="8"/>
      <c r="F185" s="8"/>
      <c r="G185" s="8"/>
      <c r="H185" s="8"/>
    </row>
    <row r="186" spans="1:8" x14ac:dyDescent="0.25">
      <c r="A186" s="8"/>
      <c r="B186" s="8"/>
      <c r="C186" s="8"/>
      <c r="D186" s="8"/>
      <c r="E186" s="8"/>
      <c r="F186" s="8"/>
      <c r="G186" s="8"/>
      <c r="H186" s="8"/>
    </row>
    <row r="187" spans="1:8" x14ac:dyDescent="0.25">
      <c r="A187" s="8"/>
      <c r="B187" s="8"/>
      <c r="C187" s="8"/>
      <c r="D187" s="8"/>
      <c r="E187" s="8"/>
      <c r="F187" s="8"/>
      <c r="G187" s="8"/>
      <c r="H187" s="8"/>
    </row>
    <row r="188" spans="1:8" x14ac:dyDescent="0.25">
      <c r="A188" s="8"/>
      <c r="B188" s="8"/>
      <c r="C188" s="8"/>
      <c r="D188" s="8"/>
      <c r="E188" s="8"/>
      <c r="F188" s="8"/>
      <c r="G188" s="8"/>
      <c r="H188" s="8"/>
    </row>
    <row r="189" spans="1:8" x14ac:dyDescent="0.25">
      <c r="A189" s="8"/>
      <c r="B189" s="8"/>
      <c r="C189" s="8"/>
      <c r="D189" s="8"/>
      <c r="E189" s="8"/>
      <c r="F189" s="8"/>
      <c r="G189" s="8"/>
      <c r="H189" s="8"/>
    </row>
    <row r="190" spans="1:8" x14ac:dyDescent="0.25">
      <c r="A190" s="8"/>
      <c r="B190" s="8"/>
      <c r="C190" s="8"/>
      <c r="D190" s="8"/>
      <c r="E190" s="8"/>
      <c r="F190" s="8"/>
      <c r="G190" s="8"/>
      <c r="H190" s="8"/>
    </row>
    <row r="191" spans="1:8" x14ac:dyDescent="0.25">
      <c r="A191" s="8"/>
      <c r="B191" s="8"/>
      <c r="C191" s="8"/>
      <c r="D191" s="8"/>
      <c r="E191" s="8"/>
      <c r="F191" s="8"/>
      <c r="G191" s="8"/>
      <c r="H191" s="8"/>
    </row>
    <row r="192" spans="1:8" x14ac:dyDescent="0.25">
      <c r="A192" s="8"/>
      <c r="B192" s="8"/>
      <c r="C192" s="8"/>
      <c r="D192" s="8"/>
      <c r="E192" s="8"/>
      <c r="F192" s="8"/>
      <c r="G192" s="8"/>
      <c r="H192" s="8"/>
    </row>
    <row r="193" spans="1:8" x14ac:dyDescent="0.25">
      <c r="A193" s="8"/>
      <c r="B193" s="8"/>
      <c r="C193" s="8"/>
      <c r="D193" s="8"/>
      <c r="E193" s="8"/>
      <c r="F193" s="8"/>
      <c r="G193" s="8"/>
      <c r="H193" s="8"/>
    </row>
    <row r="194" spans="1:8" x14ac:dyDescent="0.25">
      <c r="A194" s="8"/>
      <c r="B194" s="8"/>
      <c r="C194" s="8"/>
      <c r="D194" s="8"/>
      <c r="E194" s="8"/>
      <c r="F194" s="8"/>
      <c r="G194" s="8"/>
      <c r="H194" s="8"/>
    </row>
    <row r="195" spans="1:8" x14ac:dyDescent="0.25">
      <c r="A195" s="8"/>
      <c r="B195" s="8"/>
      <c r="C195" s="8"/>
      <c r="D195" s="8"/>
      <c r="E195" s="8"/>
      <c r="F195" s="8"/>
      <c r="G195" s="8"/>
      <c r="H195" s="8"/>
    </row>
    <row r="196" spans="1:8" x14ac:dyDescent="0.25">
      <c r="A196" s="8"/>
      <c r="B196" s="8"/>
      <c r="C196" s="8"/>
      <c r="D196" s="8"/>
      <c r="E196" s="8"/>
      <c r="F196" s="8"/>
      <c r="G196" s="8"/>
      <c r="H196" s="8"/>
    </row>
    <row r="197" spans="1:8" x14ac:dyDescent="0.25">
      <c r="A197" s="8"/>
      <c r="B197" s="8"/>
      <c r="C197" s="8"/>
      <c r="D197" s="8"/>
      <c r="E197" s="8"/>
      <c r="F197" s="8"/>
      <c r="G197" s="8"/>
      <c r="H197" s="8"/>
    </row>
    <row r="198" spans="1:8" x14ac:dyDescent="0.25">
      <c r="A198" s="8"/>
      <c r="B198" s="8"/>
      <c r="C198" s="8"/>
      <c r="D198" s="8"/>
      <c r="E198" s="8"/>
      <c r="F198" s="8"/>
      <c r="G198" s="8"/>
      <c r="H198" s="8"/>
    </row>
    <row r="199" spans="1:8" x14ac:dyDescent="0.25">
      <c r="A199" s="8"/>
      <c r="B199" s="8"/>
      <c r="C199" s="8"/>
      <c r="D199" s="8"/>
      <c r="E199" s="8"/>
      <c r="F199" s="8"/>
      <c r="G199" s="8"/>
      <c r="H199" s="8"/>
    </row>
    <row r="200" spans="1:8" x14ac:dyDescent="0.25">
      <c r="A200" s="8"/>
      <c r="B200" s="8"/>
      <c r="C200" s="8"/>
      <c r="D200" s="8"/>
      <c r="E200" s="8"/>
      <c r="F200" s="8"/>
      <c r="G200" s="8"/>
      <c r="H200" s="8"/>
    </row>
    <row r="201" spans="1:8" x14ac:dyDescent="0.25">
      <c r="A201" s="8"/>
      <c r="B201" s="8"/>
      <c r="C201" s="8"/>
      <c r="D201" s="8"/>
      <c r="E201" s="8"/>
      <c r="F201" s="8"/>
      <c r="G201" s="8"/>
      <c r="H201" s="8"/>
    </row>
    <row r="202" spans="1:8" x14ac:dyDescent="0.25">
      <c r="A202" s="8"/>
      <c r="B202" s="8"/>
      <c r="C202" s="8"/>
      <c r="D202" s="8"/>
      <c r="E202" s="8"/>
      <c r="F202" s="8"/>
      <c r="G202" s="8"/>
      <c r="H202" s="8"/>
    </row>
    <row r="203" spans="1:8" x14ac:dyDescent="0.25">
      <c r="A203" s="8"/>
      <c r="B203" s="8"/>
      <c r="C203" s="8"/>
      <c r="D203" s="8"/>
      <c r="E203" s="8"/>
      <c r="F203" s="8"/>
      <c r="G203" s="8"/>
      <c r="H203" s="8"/>
    </row>
    <row r="204" spans="1:8" x14ac:dyDescent="0.25">
      <c r="A204" s="8"/>
      <c r="B204" s="8"/>
      <c r="C204" s="8"/>
      <c r="D204" s="8"/>
      <c r="E204" s="8"/>
      <c r="F204" s="8"/>
      <c r="G204" s="8"/>
      <c r="H204" s="8"/>
    </row>
    <row r="205" spans="1:8" x14ac:dyDescent="0.25">
      <c r="A205" s="8"/>
      <c r="B205" s="8"/>
      <c r="C205" s="8"/>
      <c r="D205" s="8"/>
      <c r="E205" s="8"/>
      <c r="F205" s="8"/>
      <c r="G205" s="8"/>
      <c r="H205" s="8"/>
    </row>
    <row r="206" spans="1:8" x14ac:dyDescent="0.25">
      <c r="A206" s="8"/>
      <c r="B206" s="8"/>
      <c r="C206" s="8"/>
      <c r="D206" s="8"/>
      <c r="E206" s="8"/>
      <c r="F206" s="8"/>
      <c r="G206" s="8"/>
      <c r="H206" s="8"/>
    </row>
    <row r="207" spans="1:8" x14ac:dyDescent="0.25">
      <c r="A207" s="8"/>
      <c r="B207" s="8"/>
      <c r="C207" s="8"/>
      <c r="D207" s="8"/>
      <c r="E207" s="8"/>
      <c r="F207" s="8"/>
      <c r="G207" s="8"/>
      <c r="H207" s="8"/>
    </row>
    <row r="208" spans="1:8" x14ac:dyDescent="0.25">
      <c r="A208" s="8"/>
      <c r="B208" s="8"/>
      <c r="C208" s="8"/>
      <c r="D208" s="8"/>
      <c r="E208" s="8"/>
      <c r="F208" s="8"/>
      <c r="G208" s="8"/>
      <c r="H208" s="8"/>
    </row>
    <row r="209" spans="1:8" x14ac:dyDescent="0.25">
      <c r="A209" s="8"/>
      <c r="B209" s="8"/>
      <c r="C209" s="8"/>
      <c r="D209" s="8"/>
      <c r="E209" s="8"/>
      <c r="F209" s="8"/>
      <c r="G209" s="8"/>
      <c r="H209" s="8"/>
    </row>
    <row r="210" spans="1:8" x14ac:dyDescent="0.25">
      <c r="A210" s="8"/>
      <c r="B210" s="8"/>
      <c r="C210" s="8"/>
      <c r="D210" s="8"/>
      <c r="E210" s="8"/>
      <c r="F210" s="8"/>
      <c r="G210" s="8"/>
      <c r="H210" s="8"/>
    </row>
    <row r="211" spans="1:8" x14ac:dyDescent="0.25">
      <c r="A211" s="8"/>
      <c r="B211" s="8"/>
      <c r="C211" s="8"/>
      <c r="D211" s="8"/>
      <c r="E211" s="8"/>
      <c r="F211" s="8"/>
      <c r="G211" s="8"/>
      <c r="H211" s="8"/>
    </row>
    <row r="212" spans="1:8" x14ac:dyDescent="0.25">
      <c r="A212" s="8"/>
      <c r="B212" s="8"/>
      <c r="C212" s="8"/>
      <c r="D212" s="8"/>
      <c r="E212" s="8"/>
      <c r="F212" s="8"/>
      <c r="G212" s="8"/>
      <c r="H212" s="8"/>
    </row>
    <row r="213" spans="1:8" x14ac:dyDescent="0.25">
      <c r="A213" s="8"/>
      <c r="B213" s="8"/>
      <c r="C213" s="8"/>
      <c r="D213" s="8"/>
      <c r="E213" s="8"/>
      <c r="F213" s="8"/>
      <c r="G213" s="8"/>
      <c r="H213" s="8"/>
    </row>
    <row r="214" spans="1:8" x14ac:dyDescent="0.25">
      <c r="A214" s="8"/>
      <c r="B214" s="8"/>
      <c r="C214" s="8"/>
      <c r="D214" s="8"/>
      <c r="E214" s="8"/>
      <c r="F214" s="8"/>
      <c r="G214" s="8"/>
      <c r="H214" s="8"/>
    </row>
    <row r="215" spans="1:8" x14ac:dyDescent="0.25">
      <c r="A215" s="8"/>
      <c r="B215" s="8"/>
      <c r="C215" s="8"/>
      <c r="D215" s="8"/>
      <c r="E215" s="8"/>
      <c r="F215" s="8"/>
      <c r="G215" s="8"/>
      <c r="H215" s="8"/>
    </row>
    <row r="216" spans="1:8" x14ac:dyDescent="0.25">
      <c r="A216" s="8"/>
      <c r="B216" s="8"/>
      <c r="C216" s="8"/>
      <c r="D216" s="8"/>
      <c r="E216" s="8"/>
      <c r="F216" s="8"/>
      <c r="G216" s="8"/>
      <c r="H216" s="8"/>
    </row>
    <row r="217" spans="1:8" x14ac:dyDescent="0.25">
      <c r="A217" s="8"/>
      <c r="B217" s="8"/>
      <c r="C217" s="8"/>
      <c r="D217" s="8"/>
      <c r="E217" s="8"/>
      <c r="F217" s="8"/>
      <c r="G217" s="8"/>
      <c r="H217" s="8"/>
    </row>
    <row r="218" spans="1:8" x14ac:dyDescent="0.25">
      <c r="A218" s="8"/>
      <c r="B218" s="8"/>
      <c r="C218" s="8"/>
      <c r="D218" s="8"/>
      <c r="E218" s="8"/>
      <c r="F218" s="8"/>
      <c r="G218" s="8"/>
      <c r="H218" s="8"/>
    </row>
    <row r="219" spans="1:8" x14ac:dyDescent="0.25">
      <c r="A219" s="8"/>
      <c r="B219" s="8"/>
      <c r="C219" s="8"/>
      <c r="D219" s="8"/>
      <c r="E219" s="8"/>
      <c r="F219" s="8"/>
      <c r="G219" s="8"/>
      <c r="H219" s="8"/>
    </row>
    <row r="220" spans="1:8" x14ac:dyDescent="0.25">
      <c r="A220" s="8"/>
      <c r="B220" s="8"/>
      <c r="C220" s="8"/>
      <c r="D220" s="8"/>
      <c r="E220" s="8"/>
      <c r="F220" s="8"/>
      <c r="G220" s="8"/>
      <c r="H220" s="8"/>
    </row>
    <row r="221" spans="1:8" x14ac:dyDescent="0.25">
      <c r="A221" s="8"/>
      <c r="B221" s="8"/>
      <c r="C221" s="8"/>
      <c r="D221" s="8"/>
      <c r="E221" s="8"/>
      <c r="F221" s="8"/>
      <c r="G221" s="8"/>
      <c r="H221" s="8"/>
    </row>
    <row r="222" spans="1:8" x14ac:dyDescent="0.25">
      <c r="A222" s="8"/>
      <c r="B222" s="8"/>
      <c r="C222" s="8"/>
      <c r="D222" s="8"/>
      <c r="E222" s="8"/>
      <c r="F222" s="8"/>
      <c r="G222" s="8"/>
      <c r="H222" s="8"/>
    </row>
    <row r="223" spans="1:8" x14ac:dyDescent="0.25">
      <c r="A223" s="8"/>
      <c r="B223" s="8"/>
      <c r="C223" s="8"/>
      <c r="D223" s="8"/>
      <c r="E223" s="8"/>
      <c r="F223" s="8"/>
      <c r="G223" s="8"/>
      <c r="H223" s="8"/>
    </row>
    <row r="224" spans="1:8" x14ac:dyDescent="0.25">
      <c r="A224" s="8"/>
      <c r="B224" s="8"/>
      <c r="C224" s="8"/>
      <c r="D224" s="8"/>
      <c r="E224" s="8"/>
      <c r="F224" s="8"/>
      <c r="G224" s="8"/>
      <c r="H224" s="8"/>
    </row>
    <row r="225" spans="1:8" x14ac:dyDescent="0.25">
      <c r="A225" s="8"/>
      <c r="B225" s="8"/>
      <c r="C225" s="8"/>
      <c r="D225" s="8"/>
      <c r="E225" s="8"/>
      <c r="F225" s="8"/>
      <c r="G225" s="8"/>
      <c r="H225" s="8"/>
    </row>
    <row r="226" spans="1:8" x14ac:dyDescent="0.25">
      <c r="A226" s="8"/>
      <c r="B226" s="8"/>
      <c r="C226" s="8"/>
      <c r="D226" s="8"/>
      <c r="E226" s="8"/>
      <c r="F226" s="8"/>
      <c r="G226" s="8"/>
      <c r="H226" s="8"/>
    </row>
    <row r="227" spans="1:8" x14ac:dyDescent="0.25">
      <c r="A227" s="8"/>
      <c r="B227" s="8"/>
      <c r="C227" s="8"/>
      <c r="D227" s="8"/>
      <c r="E227" s="8"/>
      <c r="F227" s="8"/>
      <c r="G227" s="8"/>
      <c r="H227" s="8"/>
    </row>
    <row r="228" spans="1:8" x14ac:dyDescent="0.25">
      <c r="A228" s="8"/>
      <c r="B228" s="8"/>
      <c r="C228" s="8"/>
      <c r="D228" s="8"/>
      <c r="E228" s="8"/>
      <c r="F228" s="8"/>
      <c r="G228" s="8"/>
      <c r="H228" s="8"/>
    </row>
    <row r="229" spans="1:8" x14ac:dyDescent="0.25">
      <c r="A229" s="8"/>
      <c r="B229" s="8"/>
      <c r="C229" s="8"/>
      <c r="D229" s="8"/>
      <c r="E229" s="8"/>
      <c r="F229" s="8"/>
      <c r="G229" s="8"/>
      <c r="H229" s="8"/>
    </row>
    <row r="230" spans="1:8" x14ac:dyDescent="0.25">
      <c r="A230" s="8"/>
      <c r="B230" s="8"/>
      <c r="C230" s="8"/>
      <c r="D230" s="8"/>
      <c r="E230" s="8"/>
      <c r="F230" s="8"/>
      <c r="G230" s="8"/>
      <c r="H230" s="8"/>
    </row>
    <row r="231" spans="1:8" x14ac:dyDescent="0.25">
      <c r="A231" s="8"/>
      <c r="B231" s="8"/>
      <c r="C231" s="8"/>
      <c r="D231" s="8"/>
      <c r="E231" s="8"/>
      <c r="F231" s="8"/>
      <c r="G231" s="8"/>
      <c r="H231" s="8"/>
    </row>
    <row r="232" spans="1:8" x14ac:dyDescent="0.25">
      <c r="A232" s="8"/>
      <c r="B232" s="8"/>
      <c r="C232" s="8"/>
      <c r="D232" s="8"/>
      <c r="E232" s="8"/>
      <c r="F232" s="8"/>
      <c r="G232" s="8"/>
      <c r="H232" s="8"/>
    </row>
    <row r="233" spans="1:8" x14ac:dyDescent="0.25">
      <c r="A233" s="8"/>
      <c r="B233" s="8"/>
      <c r="C233" s="8"/>
      <c r="D233" s="8"/>
      <c r="E233" s="8"/>
      <c r="F233" s="8"/>
      <c r="G233" s="8"/>
      <c r="H233" s="8"/>
    </row>
    <row r="234" spans="1:8" x14ac:dyDescent="0.25">
      <c r="A234" s="8"/>
      <c r="B234" s="8"/>
      <c r="C234" s="8"/>
      <c r="D234" s="8"/>
      <c r="E234" s="8"/>
      <c r="F234" s="8"/>
      <c r="G234" s="8"/>
      <c r="H234" s="8"/>
    </row>
    <row r="235" spans="1:8" x14ac:dyDescent="0.25">
      <c r="A235" s="8"/>
      <c r="B235" s="8"/>
      <c r="C235" s="8"/>
      <c r="D235" s="8"/>
      <c r="E235" s="8"/>
      <c r="F235" s="8"/>
      <c r="G235" s="8"/>
      <c r="H235" s="8"/>
    </row>
    <row r="236" spans="1:8" x14ac:dyDescent="0.25">
      <c r="A236" s="8"/>
      <c r="B236" s="8"/>
      <c r="C236" s="8"/>
      <c r="D236" s="8"/>
      <c r="E236" s="8"/>
      <c r="F236" s="8"/>
      <c r="G236" s="8"/>
      <c r="H236" s="8"/>
    </row>
    <row r="237" spans="1:8" x14ac:dyDescent="0.25">
      <c r="A237" s="8"/>
      <c r="B237" s="8"/>
      <c r="C237" s="8"/>
      <c r="D237" s="8"/>
      <c r="E237" s="8"/>
      <c r="F237" s="8"/>
      <c r="G237" s="8"/>
      <c r="H237" s="8"/>
    </row>
    <row r="238" spans="1:8" x14ac:dyDescent="0.25">
      <c r="A238" s="8"/>
      <c r="B238" s="8"/>
      <c r="C238" s="8"/>
      <c r="D238" s="8"/>
      <c r="E238" s="8"/>
      <c r="F238" s="8"/>
      <c r="G238" s="8"/>
      <c r="H238" s="8"/>
    </row>
    <row r="239" spans="1:8" x14ac:dyDescent="0.25">
      <c r="A239" s="8"/>
      <c r="B239" s="8"/>
      <c r="C239" s="8"/>
      <c r="D239" s="8"/>
      <c r="E239" s="8"/>
      <c r="F239" s="8"/>
      <c r="G239" s="8"/>
      <c r="H239" s="8"/>
    </row>
    <row r="240" spans="1:8" x14ac:dyDescent="0.25">
      <c r="A240" s="8"/>
      <c r="B240" s="8"/>
      <c r="C240" s="8"/>
      <c r="D240" s="8"/>
      <c r="E240" s="8"/>
      <c r="F240" s="8"/>
      <c r="G240" s="8"/>
      <c r="H240" s="8"/>
    </row>
    <row r="241" spans="1:8" x14ac:dyDescent="0.25">
      <c r="A241" s="8"/>
      <c r="B241" s="8"/>
      <c r="C241" s="8"/>
      <c r="D241" s="8"/>
      <c r="E241" s="8"/>
      <c r="F241" s="8"/>
      <c r="G241" s="8"/>
      <c r="H241" s="8"/>
    </row>
    <row r="242" spans="1:8" x14ac:dyDescent="0.25">
      <c r="A242" s="8"/>
      <c r="B242" s="8"/>
      <c r="C242" s="8"/>
      <c r="D242" s="8"/>
      <c r="E242" s="8"/>
      <c r="F242" s="8"/>
      <c r="G242" s="8"/>
      <c r="H242" s="8"/>
    </row>
    <row r="243" spans="1:8" x14ac:dyDescent="0.25">
      <c r="A243" s="8"/>
      <c r="B243" s="8"/>
      <c r="C243" s="8"/>
      <c r="D243" s="8"/>
      <c r="E243" s="8"/>
      <c r="F243" s="8"/>
      <c r="G243" s="8"/>
      <c r="H243" s="8"/>
    </row>
    <row r="244" spans="1:8" x14ac:dyDescent="0.25">
      <c r="A244" s="8"/>
      <c r="B244" s="8"/>
      <c r="C244" s="8"/>
      <c r="D244" s="8"/>
      <c r="E244" s="8"/>
      <c r="F244" s="8"/>
      <c r="G244" s="8"/>
      <c r="H244" s="8"/>
    </row>
    <row r="245" spans="1:8" x14ac:dyDescent="0.25">
      <c r="A245" s="8"/>
      <c r="B245" s="8"/>
      <c r="C245" s="8"/>
      <c r="D245" s="8"/>
      <c r="E245" s="8"/>
      <c r="F245" s="8"/>
      <c r="G245" s="8"/>
      <c r="H245" s="8"/>
    </row>
    <row r="246" spans="1:8" x14ac:dyDescent="0.25">
      <c r="A246" s="8"/>
      <c r="B246" s="8"/>
      <c r="C246" s="8"/>
      <c r="D246" s="8"/>
      <c r="E246" s="8"/>
      <c r="F246" s="8"/>
      <c r="G246" s="8"/>
      <c r="H246" s="8"/>
    </row>
    <row r="247" spans="1:8" x14ac:dyDescent="0.25">
      <c r="A247" s="8"/>
      <c r="B247" s="8"/>
      <c r="C247" s="8"/>
      <c r="D247" s="8"/>
      <c r="E247" s="8"/>
      <c r="F247" s="8"/>
      <c r="G247" s="8"/>
      <c r="H247" s="8"/>
    </row>
    <row r="248" spans="1:8" x14ac:dyDescent="0.25">
      <c r="A248" s="8"/>
      <c r="B248" s="8"/>
      <c r="C248" s="8"/>
      <c r="D248" s="8"/>
      <c r="E248" s="8"/>
      <c r="F248" s="8"/>
      <c r="G248" s="8"/>
      <c r="H248" s="8"/>
    </row>
    <row r="249" spans="1:8" x14ac:dyDescent="0.25">
      <c r="A249" s="8"/>
      <c r="B249" s="8"/>
      <c r="C249" s="8"/>
      <c r="D249" s="8"/>
      <c r="E249" s="8"/>
      <c r="F249" s="8"/>
      <c r="G249" s="8"/>
      <c r="H249" s="8"/>
    </row>
    <row r="250" spans="1:8" x14ac:dyDescent="0.25">
      <c r="A250" s="8"/>
      <c r="B250" s="8"/>
      <c r="C250" s="8"/>
      <c r="D250" s="8"/>
      <c r="E250" s="8"/>
      <c r="F250" s="8"/>
      <c r="G250" s="8"/>
      <c r="H250" s="8"/>
    </row>
    <row r="251" spans="1:8" x14ac:dyDescent="0.25">
      <c r="A251" s="8"/>
      <c r="B251" s="8"/>
      <c r="C251" s="8"/>
      <c r="D251" s="8"/>
      <c r="E251" s="8"/>
      <c r="F251" s="8"/>
      <c r="G251" s="8"/>
      <c r="H251" s="8"/>
    </row>
    <row r="252" spans="1:8" x14ac:dyDescent="0.25">
      <c r="A252" s="8"/>
      <c r="B252" s="8"/>
      <c r="C252" s="8"/>
      <c r="D252" s="8"/>
      <c r="E252" s="8"/>
      <c r="F252" s="8"/>
      <c r="G252" s="8"/>
      <c r="H252" s="8"/>
    </row>
    <row r="253" spans="1:8" x14ac:dyDescent="0.25">
      <c r="A253" s="8"/>
      <c r="B253" s="8"/>
      <c r="C253" s="8"/>
      <c r="D253" s="8"/>
      <c r="E253" s="8"/>
      <c r="F253" s="8"/>
      <c r="G253" s="8"/>
      <c r="H253" s="8"/>
    </row>
    <row r="254" spans="1:8" x14ac:dyDescent="0.25">
      <c r="A254" s="8"/>
      <c r="B254" s="8"/>
      <c r="C254" s="8"/>
      <c r="D254" s="8"/>
      <c r="E254" s="8"/>
      <c r="F254" s="8"/>
      <c r="G254" s="8"/>
      <c r="H254" s="8"/>
    </row>
    <row r="255" spans="1:8" x14ac:dyDescent="0.25">
      <c r="A255" s="8"/>
      <c r="B255" s="8"/>
      <c r="C255" s="8"/>
      <c r="D255" s="8"/>
      <c r="E255" s="8"/>
      <c r="F255" s="8"/>
      <c r="G255" s="8"/>
      <c r="H255" s="8"/>
    </row>
    <row r="256" spans="1:8" x14ac:dyDescent="0.25">
      <c r="A256" s="8"/>
      <c r="B256" s="8"/>
      <c r="C256" s="8"/>
      <c r="D256" s="8"/>
      <c r="E256" s="8"/>
      <c r="F256" s="8"/>
      <c r="G256" s="8"/>
      <c r="H256" s="8"/>
    </row>
    <row r="257" spans="1:8" x14ac:dyDescent="0.25">
      <c r="A257" s="8"/>
      <c r="B257" s="8"/>
      <c r="C257" s="8"/>
      <c r="D257" s="8"/>
      <c r="E257" s="8"/>
      <c r="F257" s="8"/>
      <c r="G257" s="8"/>
      <c r="H257" s="8"/>
    </row>
    <row r="258" spans="1:8" x14ac:dyDescent="0.25">
      <c r="A258" s="8"/>
      <c r="B258" s="8"/>
      <c r="C258" s="8"/>
      <c r="D258" s="8"/>
      <c r="E258" s="8"/>
      <c r="F258" s="8"/>
      <c r="G258" s="8"/>
      <c r="H258" s="8"/>
    </row>
    <row r="259" spans="1:8" x14ac:dyDescent="0.25">
      <c r="A259" s="8"/>
      <c r="B259" s="8"/>
      <c r="C259" s="8"/>
      <c r="D259" s="8"/>
      <c r="E259" s="8"/>
      <c r="F259" s="8"/>
      <c r="G259" s="8"/>
      <c r="H259" s="8"/>
    </row>
    <row r="260" spans="1:8" x14ac:dyDescent="0.25">
      <c r="A260" s="8"/>
      <c r="B260" s="8"/>
      <c r="C260" s="8"/>
      <c r="D260" s="8"/>
      <c r="E260" s="8"/>
      <c r="F260" s="8"/>
      <c r="G260" s="8"/>
      <c r="H260" s="8"/>
    </row>
    <row r="261" spans="1:8" x14ac:dyDescent="0.25">
      <c r="A261" s="8"/>
      <c r="B261" s="8"/>
      <c r="C261" s="8"/>
      <c r="D261" s="8"/>
      <c r="E261" s="8"/>
      <c r="F261" s="8"/>
      <c r="G261" s="8"/>
      <c r="H261" s="8"/>
    </row>
    <row r="262" spans="1:8" x14ac:dyDescent="0.25">
      <c r="A262" s="8"/>
      <c r="B262" s="8"/>
      <c r="C262" s="8"/>
      <c r="D262" s="8"/>
      <c r="E262" s="8"/>
      <c r="F262" s="8"/>
      <c r="G262" s="8"/>
      <c r="H262" s="8"/>
    </row>
    <row r="263" spans="1:8" x14ac:dyDescent="0.25">
      <c r="A263" s="8"/>
      <c r="B263" s="8"/>
      <c r="C263" s="8"/>
      <c r="D263" s="8"/>
      <c r="E263" s="8"/>
      <c r="F263" s="8"/>
      <c r="G263" s="8"/>
      <c r="H263" s="8"/>
    </row>
    <row r="264" spans="1:8" x14ac:dyDescent="0.25">
      <c r="A264" s="8"/>
      <c r="B264" s="8"/>
      <c r="C264" s="8"/>
      <c r="D264" s="8"/>
      <c r="E264" s="8"/>
      <c r="F264" s="8"/>
      <c r="G264" s="8"/>
      <c r="H264" s="8"/>
    </row>
    <row r="265" spans="1:8" x14ac:dyDescent="0.25">
      <c r="A265" s="8"/>
      <c r="B265" s="8"/>
      <c r="C265" s="8"/>
      <c r="D265" s="8"/>
      <c r="E265" s="8"/>
      <c r="F265" s="8"/>
      <c r="G265" s="8"/>
      <c r="H265" s="8"/>
    </row>
    <row r="266" spans="1:8" x14ac:dyDescent="0.25">
      <c r="A266" s="8"/>
      <c r="B266" s="8"/>
      <c r="C266" s="8"/>
      <c r="D266" s="8"/>
      <c r="E266" s="8"/>
      <c r="F266" s="8"/>
      <c r="G266" s="8"/>
      <c r="H266" s="8"/>
    </row>
    <row r="267" spans="1:8" x14ac:dyDescent="0.25">
      <c r="A267" s="8"/>
      <c r="B267" s="8"/>
      <c r="C267" s="8"/>
      <c r="D267" s="8"/>
      <c r="E267" s="8"/>
      <c r="F267" s="8"/>
      <c r="G267" s="8"/>
      <c r="H267" s="8"/>
    </row>
    <row r="268" spans="1:8" x14ac:dyDescent="0.25">
      <c r="A268" s="8"/>
      <c r="B268" s="8"/>
      <c r="C268" s="8"/>
      <c r="D268" s="8"/>
      <c r="E268" s="8"/>
      <c r="F268" s="8"/>
      <c r="G268" s="8"/>
      <c r="H268" s="8"/>
    </row>
    <row r="269" spans="1:8" x14ac:dyDescent="0.25">
      <c r="A269" s="8"/>
      <c r="B269" s="8"/>
      <c r="C269" s="8"/>
      <c r="D269" s="8"/>
      <c r="E269" s="8"/>
      <c r="F269" s="8"/>
      <c r="G269" s="8"/>
      <c r="H269" s="8"/>
    </row>
    <row r="270" spans="1:8" x14ac:dyDescent="0.25">
      <c r="A270" s="8"/>
      <c r="B270" s="8"/>
      <c r="C270" s="8"/>
      <c r="D270" s="8"/>
      <c r="E270" s="8"/>
      <c r="F270" s="8"/>
      <c r="G270" s="8"/>
      <c r="H270" s="8"/>
    </row>
    <row r="271" spans="1:8" x14ac:dyDescent="0.25">
      <c r="A271" s="8"/>
      <c r="B271" s="8"/>
      <c r="C271" s="8"/>
      <c r="D271" s="8"/>
      <c r="E271" s="8"/>
      <c r="F271" s="8"/>
      <c r="G271" s="8"/>
      <c r="H271" s="8"/>
    </row>
    <row r="272" spans="1:8" x14ac:dyDescent="0.25">
      <c r="A272" s="8"/>
      <c r="B272" s="8"/>
      <c r="C272" s="8"/>
      <c r="D272" s="8"/>
      <c r="E272" s="8"/>
      <c r="F272" s="8"/>
      <c r="G272" s="8"/>
      <c r="H272" s="8"/>
    </row>
    <row r="273" spans="1:8" x14ac:dyDescent="0.25">
      <c r="A273" s="8"/>
      <c r="B273" s="8"/>
      <c r="C273" s="8"/>
      <c r="D273" s="8"/>
      <c r="E273" s="8"/>
      <c r="F273" s="8"/>
      <c r="G273" s="8"/>
      <c r="H273" s="8"/>
    </row>
    <row r="274" spans="1:8" x14ac:dyDescent="0.25">
      <c r="A274" s="8"/>
      <c r="B274" s="8"/>
      <c r="C274" s="8"/>
      <c r="D274" s="8"/>
      <c r="E274" s="8"/>
      <c r="F274" s="8"/>
      <c r="G274" s="8"/>
      <c r="H274" s="8"/>
    </row>
    <row r="275" spans="1:8" x14ac:dyDescent="0.25">
      <c r="A275" s="8"/>
      <c r="B275" s="8"/>
      <c r="C275" s="8"/>
      <c r="D275" s="8"/>
      <c r="E275" s="8"/>
      <c r="F275" s="8"/>
      <c r="G275" s="8"/>
      <c r="H275" s="8"/>
    </row>
    <row r="276" spans="1:8" x14ac:dyDescent="0.25">
      <c r="A276" s="8"/>
      <c r="B276" s="8"/>
      <c r="C276" s="8"/>
      <c r="D276" s="8"/>
      <c r="E276" s="8"/>
      <c r="F276" s="8"/>
      <c r="G276" s="8"/>
      <c r="H276" s="8"/>
    </row>
    <row r="277" spans="1:8" x14ac:dyDescent="0.25">
      <c r="A277" s="8"/>
      <c r="B277" s="8"/>
      <c r="C277" s="8"/>
      <c r="D277" s="8"/>
      <c r="E277" s="8"/>
      <c r="F277" s="8"/>
      <c r="G277" s="8"/>
      <c r="H277" s="8"/>
    </row>
    <row r="278" spans="1:8" x14ac:dyDescent="0.25">
      <c r="A278" s="8"/>
      <c r="B278" s="8"/>
      <c r="C278" s="8"/>
      <c r="D278" s="8"/>
      <c r="E278" s="8"/>
      <c r="F278" s="8"/>
      <c r="G278" s="8"/>
      <c r="H278" s="8"/>
    </row>
    <row r="279" spans="1:8" x14ac:dyDescent="0.25">
      <c r="A279" s="8"/>
      <c r="B279" s="8"/>
      <c r="C279" s="8"/>
      <c r="D279" s="8"/>
      <c r="E279" s="8"/>
      <c r="F279" s="8"/>
      <c r="G279" s="8"/>
      <c r="H279" s="8"/>
    </row>
    <row r="280" spans="1:8" x14ac:dyDescent="0.25">
      <c r="A280" s="8"/>
      <c r="B280" s="8"/>
      <c r="C280" s="8"/>
      <c r="D280" s="8"/>
      <c r="E280" s="8"/>
      <c r="F280" s="8"/>
      <c r="G280" s="8"/>
      <c r="H280" s="8"/>
    </row>
    <row r="281" spans="1:8" x14ac:dyDescent="0.25">
      <c r="A281" s="8"/>
      <c r="B281" s="8"/>
      <c r="C281" s="8"/>
      <c r="D281" s="8"/>
      <c r="E281" s="8"/>
      <c r="F281" s="8"/>
      <c r="G281" s="8"/>
      <c r="H281" s="8"/>
    </row>
    <row r="282" spans="1:8" x14ac:dyDescent="0.25">
      <c r="A282" s="8"/>
      <c r="B282" s="8"/>
      <c r="C282" s="8"/>
      <c r="D282" s="8"/>
      <c r="E282" s="8"/>
      <c r="F282" s="8"/>
      <c r="G282" s="8"/>
      <c r="H282" s="8"/>
    </row>
    <row r="283" spans="1:8" x14ac:dyDescent="0.25">
      <c r="A283" s="8"/>
      <c r="B283" s="8"/>
      <c r="C283" s="8"/>
      <c r="D283" s="8"/>
      <c r="E283" s="8"/>
      <c r="F283" s="8"/>
      <c r="G283" s="8"/>
      <c r="H283" s="8"/>
    </row>
    <row r="284" spans="1:8" x14ac:dyDescent="0.25">
      <c r="A284" s="8"/>
      <c r="B284" s="8"/>
      <c r="C284" s="8"/>
      <c r="D284" s="8"/>
      <c r="E284" s="8"/>
      <c r="F284" s="8"/>
      <c r="G284" s="8"/>
      <c r="H284" s="8"/>
    </row>
    <row r="285" spans="1:8" x14ac:dyDescent="0.25">
      <c r="A285" s="8"/>
      <c r="B285" s="8"/>
      <c r="C285" s="8"/>
      <c r="D285" s="8"/>
      <c r="E285" s="8"/>
      <c r="F285" s="8"/>
      <c r="G285" s="8"/>
      <c r="H285" s="8"/>
    </row>
    <row r="286" spans="1:8" x14ac:dyDescent="0.25">
      <c r="A286" s="8"/>
      <c r="B286" s="8"/>
      <c r="C286" s="8"/>
      <c r="D286" s="8"/>
      <c r="E286" s="8"/>
      <c r="F286" s="8"/>
      <c r="G286" s="8"/>
      <c r="H286" s="8"/>
    </row>
    <row r="287" spans="1:8" x14ac:dyDescent="0.25">
      <c r="A287" s="8"/>
      <c r="B287" s="8"/>
      <c r="C287" s="8"/>
      <c r="D287" s="8"/>
      <c r="E287" s="8"/>
      <c r="F287" s="8"/>
      <c r="G287" s="8"/>
      <c r="H287" s="8"/>
    </row>
    <row r="288" spans="1:8" x14ac:dyDescent="0.25">
      <c r="A288" s="8"/>
      <c r="B288" s="8"/>
      <c r="C288" s="8"/>
      <c r="D288" s="8"/>
      <c r="E288" s="8"/>
      <c r="F288" s="8"/>
      <c r="G288" s="8"/>
      <c r="H288" s="8"/>
    </row>
    <row r="289" spans="1:8" x14ac:dyDescent="0.25">
      <c r="A289" s="8"/>
      <c r="B289" s="8"/>
      <c r="C289" s="8"/>
      <c r="D289" s="8"/>
      <c r="E289" s="8"/>
      <c r="F289" s="8"/>
      <c r="G289" s="8"/>
      <c r="H289" s="8"/>
    </row>
    <row r="290" spans="1:8" x14ac:dyDescent="0.25">
      <c r="A290" s="8"/>
      <c r="B290" s="8"/>
      <c r="C290" s="8"/>
      <c r="D290" s="8"/>
      <c r="E290" s="8"/>
      <c r="F290" s="8"/>
      <c r="G290" s="8"/>
      <c r="H290" s="8"/>
    </row>
    <row r="291" spans="1:8" x14ac:dyDescent="0.25">
      <c r="A291" s="8"/>
      <c r="B291" s="8"/>
      <c r="C291" s="8"/>
      <c r="D291" s="8"/>
      <c r="E291" s="8"/>
      <c r="F291" s="8"/>
      <c r="G291" s="8"/>
      <c r="H291" s="8"/>
    </row>
    <row r="292" spans="1:8" x14ac:dyDescent="0.25">
      <c r="A292" s="8"/>
      <c r="B292" s="8"/>
      <c r="C292" s="8"/>
      <c r="D292" s="8"/>
      <c r="E292" s="8"/>
      <c r="F292" s="8"/>
      <c r="G292" s="8"/>
      <c r="H292" s="8"/>
    </row>
    <row r="293" spans="1:8" x14ac:dyDescent="0.25">
      <c r="A293" s="8"/>
      <c r="B293" s="8"/>
      <c r="C293" s="8"/>
      <c r="D293" s="8"/>
      <c r="E293" s="8"/>
      <c r="F293" s="8"/>
      <c r="G293" s="8"/>
      <c r="H293" s="8"/>
    </row>
    <row r="294" spans="1:8" x14ac:dyDescent="0.25">
      <c r="A294" s="8"/>
      <c r="B294" s="8"/>
      <c r="C294" s="8"/>
      <c r="D294" s="8"/>
      <c r="E294" s="8"/>
      <c r="F294" s="8"/>
      <c r="G294" s="8"/>
      <c r="H294" s="8"/>
    </row>
    <row r="295" spans="1:8" x14ac:dyDescent="0.25">
      <c r="A295" s="8"/>
      <c r="B295" s="8"/>
      <c r="C295" s="8"/>
      <c r="D295" s="8"/>
      <c r="E295" s="8"/>
      <c r="F295" s="8"/>
      <c r="G295" s="8"/>
      <c r="H295" s="8"/>
    </row>
    <row r="296" spans="1:8" x14ac:dyDescent="0.25">
      <c r="A296" s="8"/>
      <c r="B296" s="8"/>
      <c r="C296" s="8"/>
      <c r="D296" s="8"/>
      <c r="E296" s="8"/>
      <c r="F296" s="8"/>
      <c r="G296" s="8"/>
      <c r="H296" s="8"/>
    </row>
    <row r="297" spans="1:8" x14ac:dyDescent="0.25">
      <c r="A297" s="8"/>
      <c r="B297" s="8"/>
      <c r="C297" s="8"/>
      <c r="D297" s="8"/>
      <c r="E297" s="8"/>
      <c r="F297" s="8"/>
      <c r="G297" s="8"/>
      <c r="H297" s="8"/>
    </row>
    <row r="298" spans="1:8" x14ac:dyDescent="0.25">
      <c r="A298" s="8"/>
      <c r="B298" s="8"/>
      <c r="C298" s="8"/>
      <c r="D298" s="8"/>
      <c r="E298" s="8"/>
      <c r="F298" s="8"/>
      <c r="G298" s="8"/>
      <c r="H298" s="8"/>
    </row>
    <row r="299" spans="1:8" x14ac:dyDescent="0.25">
      <c r="A299" s="8"/>
      <c r="B299" s="8"/>
      <c r="C299" s="8"/>
      <c r="D299" s="8"/>
      <c r="E299" s="8"/>
      <c r="F299" s="8"/>
      <c r="G299" s="8"/>
      <c r="H299" s="8"/>
    </row>
    <row r="300" spans="1:8" x14ac:dyDescent="0.25">
      <c r="A300" s="8"/>
      <c r="B300" s="8"/>
      <c r="C300" s="8"/>
      <c r="D300" s="8"/>
      <c r="E300" s="8"/>
      <c r="F300" s="8"/>
      <c r="G300" s="8"/>
      <c r="H300" s="8"/>
    </row>
    <row r="301" spans="1:8" x14ac:dyDescent="0.25">
      <c r="A301" s="8"/>
      <c r="B301" s="8"/>
      <c r="C301" s="8"/>
      <c r="D301" s="8"/>
      <c r="E301" s="8"/>
      <c r="F301" s="8"/>
      <c r="G301" s="8"/>
      <c r="H301" s="8"/>
    </row>
    <row r="302" spans="1:8" x14ac:dyDescent="0.25">
      <c r="A302" s="8"/>
      <c r="B302" s="8"/>
      <c r="C302" s="8"/>
      <c r="D302" s="8"/>
      <c r="E302" s="8"/>
      <c r="F302" s="8"/>
      <c r="G302" s="8"/>
      <c r="H302" s="8"/>
    </row>
    <row r="303" spans="1:8" x14ac:dyDescent="0.25">
      <c r="A303" s="8"/>
      <c r="B303" s="8"/>
      <c r="C303" s="8"/>
      <c r="D303" s="8"/>
      <c r="E303" s="8"/>
      <c r="F303" s="8"/>
      <c r="G303" s="8"/>
      <c r="H303" s="8"/>
    </row>
    <row r="304" spans="1:8" x14ac:dyDescent="0.25">
      <c r="A304" s="8"/>
      <c r="B304" s="8"/>
      <c r="C304" s="8"/>
      <c r="D304" s="8"/>
      <c r="E304" s="8"/>
      <c r="F304" s="8"/>
      <c r="G304" s="8"/>
      <c r="H304" s="8"/>
    </row>
    <row r="305" spans="1:8" x14ac:dyDescent="0.25">
      <c r="A305" s="8"/>
      <c r="B305" s="8"/>
      <c r="C305" s="8"/>
      <c r="D305" s="8"/>
      <c r="E305" s="8"/>
      <c r="F305" s="8"/>
      <c r="G305" s="8"/>
      <c r="H305" s="8"/>
    </row>
    <row r="306" spans="1:8" x14ac:dyDescent="0.25">
      <c r="A306" s="8"/>
      <c r="B306" s="8"/>
      <c r="C306" s="8"/>
      <c r="D306" s="8"/>
      <c r="E306" s="8"/>
      <c r="F306" s="8"/>
      <c r="G306" s="8"/>
      <c r="H306" s="8"/>
    </row>
    <row r="307" spans="1:8" x14ac:dyDescent="0.25">
      <c r="A307" s="8"/>
      <c r="B307" s="8"/>
      <c r="C307" s="8"/>
      <c r="D307" s="8"/>
      <c r="E307" s="8"/>
      <c r="F307" s="8"/>
      <c r="G307" s="8"/>
      <c r="H307" s="8"/>
    </row>
    <row r="308" spans="1:8" x14ac:dyDescent="0.25">
      <c r="A308" s="8"/>
      <c r="B308" s="8"/>
      <c r="C308" s="8"/>
      <c r="D308" s="8"/>
      <c r="E308" s="8"/>
      <c r="F308" s="8"/>
      <c r="G308" s="8"/>
      <c r="H308" s="8"/>
    </row>
    <row r="309" spans="1:8" x14ac:dyDescent="0.25">
      <c r="A309" s="8"/>
      <c r="B309" s="8"/>
      <c r="C309" s="8"/>
      <c r="D309" s="8"/>
      <c r="E309" s="8"/>
      <c r="F309" s="8"/>
      <c r="G309" s="8"/>
      <c r="H309" s="8"/>
    </row>
    <row r="310" spans="1:8" x14ac:dyDescent="0.25">
      <c r="A310" s="8"/>
      <c r="B310" s="8"/>
      <c r="C310" s="8"/>
      <c r="D310" s="8"/>
      <c r="E310" s="8"/>
      <c r="F310" s="8"/>
      <c r="G310" s="8"/>
      <c r="H310" s="8"/>
    </row>
    <row r="311" spans="1:8" x14ac:dyDescent="0.25">
      <c r="A311" s="8"/>
      <c r="B311" s="8"/>
      <c r="C311" s="8"/>
      <c r="D311" s="8"/>
      <c r="E311" s="8"/>
      <c r="F311" s="8"/>
      <c r="G311" s="8"/>
      <c r="H311" s="8"/>
    </row>
    <row r="312" spans="1:8" x14ac:dyDescent="0.25">
      <c r="A312" s="8"/>
      <c r="B312" s="8"/>
      <c r="C312" s="8"/>
      <c r="D312" s="8"/>
      <c r="E312" s="8"/>
      <c r="F312" s="8"/>
      <c r="G312" s="8"/>
      <c r="H312" s="8"/>
    </row>
    <row r="313" spans="1:8" x14ac:dyDescent="0.25">
      <c r="A313" s="8"/>
      <c r="B313" s="8"/>
      <c r="C313" s="8"/>
      <c r="D313" s="8"/>
      <c r="E313" s="8"/>
      <c r="F313" s="8"/>
      <c r="G313" s="8"/>
      <c r="H313" s="8"/>
    </row>
    <row r="314" spans="1:8" x14ac:dyDescent="0.25">
      <c r="A314" s="8"/>
      <c r="B314" s="8"/>
      <c r="C314" s="8"/>
      <c r="D314" s="8"/>
      <c r="E314" s="8"/>
      <c r="F314" s="8"/>
      <c r="G314" s="8"/>
      <c r="H314" s="8"/>
    </row>
    <row r="315" spans="1:8" x14ac:dyDescent="0.25">
      <c r="A315" s="8"/>
      <c r="B315" s="8"/>
      <c r="C315" s="8"/>
      <c r="D315" s="8"/>
      <c r="E315" s="8"/>
      <c r="F315" s="8"/>
      <c r="G315" s="8"/>
      <c r="H315" s="8"/>
    </row>
    <row r="316" spans="1:8" x14ac:dyDescent="0.25">
      <c r="A316" s="8"/>
      <c r="B316" s="8"/>
      <c r="C316" s="8"/>
      <c r="D316" s="8"/>
      <c r="E316" s="8"/>
      <c r="F316" s="8"/>
      <c r="G316" s="8"/>
      <c r="H316" s="8"/>
    </row>
    <row r="317" spans="1:8" x14ac:dyDescent="0.25">
      <c r="A317" s="8"/>
      <c r="B317" s="8"/>
      <c r="C317" s="8"/>
      <c r="D317" s="8"/>
      <c r="E317" s="8"/>
      <c r="F317" s="8"/>
      <c r="G317" s="8"/>
      <c r="H317" s="8"/>
    </row>
    <row r="318" spans="1:8" x14ac:dyDescent="0.25">
      <c r="A318" s="8"/>
      <c r="B318" s="8"/>
      <c r="C318" s="8"/>
      <c r="D318" s="8"/>
      <c r="E318" s="8"/>
      <c r="F318" s="8"/>
      <c r="G318" s="8"/>
      <c r="H318" s="8"/>
    </row>
    <row r="319" spans="1:8" x14ac:dyDescent="0.25">
      <c r="A319" s="8"/>
      <c r="B319" s="8"/>
      <c r="C319" s="8"/>
      <c r="D319" s="8"/>
      <c r="E319" s="8"/>
      <c r="F319" s="8"/>
      <c r="G319" s="8"/>
      <c r="H319" s="8"/>
    </row>
    <row r="320" spans="1:8" x14ac:dyDescent="0.25">
      <c r="A320" s="8"/>
      <c r="B320" s="8"/>
      <c r="C320" s="8"/>
      <c r="D320" s="8"/>
      <c r="E320" s="8"/>
      <c r="F320" s="8"/>
      <c r="G320" s="8"/>
      <c r="H320" s="8"/>
    </row>
    <row r="321" spans="1:8" x14ac:dyDescent="0.25">
      <c r="A321" s="8"/>
      <c r="B321" s="8"/>
      <c r="C321" s="8"/>
      <c r="D321" s="8"/>
      <c r="E321" s="8"/>
      <c r="F321" s="8"/>
      <c r="G321" s="8"/>
      <c r="H321" s="8"/>
    </row>
    <row r="322" spans="1:8" x14ac:dyDescent="0.25">
      <c r="A322" s="8"/>
      <c r="B322" s="8"/>
      <c r="C322" s="8"/>
      <c r="D322" s="8"/>
      <c r="E322" s="8"/>
      <c r="F322" s="8"/>
      <c r="G322" s="8"/>
      <c r="H322" s="8"/>
    </row>
    <row r="323" spans="1:8" x14ac:dyDescent="0.25">
      <c r="A323" s="8"/>
      <c r="B323" s="8"/>
      <c r="C323" s="8"/>
      <c r="D323" s="8"/>
      <c r="E323" s="8"/>
      <c r="F323" s="8"/>
      <c r="G323" s="8"/>
      <c r="H323" s="8"/>
    </row>
    <row r="324" spans="1:8" x14ac:dyDescent="0.25">
      <c r="A324" s="8"/>
      <c r="B324" s="8"/>
      <c r="C324" s="8"/>
      <c r="D324" s="8"/>
      <c r="E324" s="8"/>
      <c r="F324" s="8"/>
      <c r="G324" s="8"/>
      <c r="H324" s="8"/>
    </row>
    <row r="325" spans="1:8" x14ac:dyDescent="0.25">
      <c r="A325" s="8"/>
      <c r="B325" s="8"/>
      <c r="C325" s="8"/>
      <c r="D325" s="8"/>
      <c r="E325" s="8"/>
      <c r="F325" s="8"/>
      <c r="G325" s="8"/>
      <c r="H325" s="8"/>
    </row>
    <row r="326" spans="1:8" x14ac:dyDescent="0.25">
      <c r="A326" s="8"/>
      <c r="B326" s="8"/>
      <c r="C326" s="8"/>
      <c r="D326" s="8"/>
      <c r="E326" s="8"/>
      <c r="F326" s="8"/>
      <c r="G326" s="8"/>
      <c r="H326" s="8"/>
    </row>
    <row r="327" spans="1:8" x14ac:dyDescent="0.25">
      <c r="A327" s="8"/>
      <c r="B327" s="8"/>
      <c r="C327" s="8"/>
      <c r="D327" s="8"/>
      <c r="E327" s="8"/>
      <c r="F327" s="8"/>
      <c r="G327" s="8"/>
      <c r="H327" s="8"/>
    </row>
    <row r="328" spans="1:8" x14ac:dyDescent="0.25">
      <c r="A328" s="8"/>
      <c r="B328" s="8"/>
      <c r="C328" s="8"/>
      <c r="D328" s="8"/>
      <c r="E328" s="8"/>
      <c r="F328" s="8"/>
      <c r="G328" s="8"/>
      <c r="H328" s="8"/>
    </row>
    <row r="329" spans="1:8" x14ac:dyDescent="0.25">
      <c r="A329" s="8"/>
      <c r="B329" s="8"/>
      <c r="C329" s="8"/>
      <c r="D329" s="8"/>
      <c r="E329" s="8"/>
      <c r="F329" s="8"/>
      <c r="G329" s="8"/>
      <c r="H329" s="8"/>
    </row>
    <row r="330" spans="1:8" x14ac:dyDescent="0.25">
      <c r="A330" s="8"/>
      <c r="B330" s="8"/>
      <c r="C330" s="8"/>
      <c r="D330" s="8"/>
      <c r="E330" s="8"/>
      <c r="F330" s="8"/>
      <c r="G330" s="8"/>
      <c r="H330" s="8"/>
    </row>
    <row r="331" spans="1:8" x14ac:dyDescent="0.25">
      <c r="A331" s="8"/>
      <c r="B331" s="8"/>
      <c r="C331" s="8"/>
      <c r="D331" s="8"/>
      <c r="E331" s="8"/>
      <c r="F331" s="8"/>
      <c r="G331" s="8"/>
      <c r="H331" s="8"/>
    </row>
    <row r="332" spans="1:8" x14ac:dyDescent="0.25">
      <c r="A332" s="8"/>
      <c r="B332" s="8"/>
      <c r="C332" s="8"/>
      <c r="D332" s="8"/>
      <c r="E332" s="8"/>
      <c r="F332" s="8"/>
      <c r="G332" s="8"/>
      <c r="H332" s="8"/>
    </row>
    <row r="333" spans="1:8" x14ac:dyDescent="0.25">
      <c r="A333" s="8"/>
      <c r="B333" s="8"/>
      <c r="C333" s="8"/>
      <c r="D333" s="8"/>
      <c r="E333" s="8"/>
      <c r="F333" s="8"/>
      <c r="G333" s="8"/>
      <c r="H333" s="8"/>
    </row>
    <row r="334" spans="1:8" x14ac:dyDescent="0.25">
      <c r="A334" s="8"/>
      <c r="B334" s="8"/>
      <c r="C334" s="8"/>
      <c r="D334" s="8"/>
      <c r="E334" s="8"/>
      <c r="F334" s="8"/>
      <c r="G334" s="8"/>
      <c r="H334" s="8"/>
    </row>
    <row r="335" spans="1:8" x14ac:dyDescent="0.25">
      <c r="A335" s="8"/>
      <c r="B335" s="8"/>
      <c r="C335" s="8"/>
      <c r="D335" s="8"/>
      <c r="E335" s="8"/>
      <c r="F335" s="8"/>
      <c r="G335" s="8"/>
      <c r="H335" s="8"/>
    </row>
    <row r="336" spans="1:8" x14ac:dyDescent="0.25">
      <c r="A336" s="8"/>
      <c r="B336" s="8"/>
      <c r="C336" s="8"/>
      <c r="D336" s="8"/>
      <c r="E336" s="8"/>
      <c r="F336" s="8"/>
      <c r="G336" s="8"/>
      <c r="H336" s="8"/>
    </row>
    <row r="337" spans="1:8" x14ac:dyDescent="0.25">
      <c r="A337" s="8"/>
      <c r="B337" s="8"/>
      <c r="C337" s="8"/>
      <c r="D337" s="8"/>
      <c r="E337" s="8"/>
      <c r="F337" s="8"/>
      <c r="G337" s="8"/>
      <c r="H337" s="8"/>
    </row>
    <row r="338" spans="1:8" x14ac:dyDescent="0.25">
      <c r="A338" s="8"/>
      <c r="B338" s="8"/>
      <c r="C338" s="8"/>
      <c r="D338" s="8"/>
      <c r="E338" s="8"/>
      <c r="F338" s="8"/>
      <c r="G338" s="8"/>
      <c r="H338" s="8"/>
    </row>
    <row r="339" spans="1:8" x14ac:dyDescent="0.25">
      <c r="A339" s="8"/>
      <c r="B339" s="8"/>
      <c r="C339" s="8"/>
      <c r="D339" s="8"/>
      <c r="E339" s="8"/>
      <c r="F339" s="8"/>
      <c r="G339" s="8"/>
      <c r="H339" s="8"/>
    </row>
    <row r="340" spans="1:8" x14ac:dyDescent="0.25">
      <c r="A340" s="8"/>
      <c r="B340" s="8"/>
      <c r="C340" s="8"/>
      <c r="D340" s="8"/>
      <c r="E340" s="8"/>
      <c r="F340" s="8"/>
      <c r="G340" s="8"/>
      <c r="H340" s="8"/>
    </row>
    <row r="341" spans="1:8" x14ac:dyDescent="0.25">
      <c r="A341" s="8"/>
      <c r="B341" s="8"/>
      <c r="C341" s="8"/>
      <c r="D341" s="8"/>
      <c r="E341" s="8"/>
      <c r="F341" s="8"/>
      <c r="G341" s="8"/>
      <c r="H341" s="8"/>
    </row>
    <row r="342" spans="1:8" x14ac:dyDescent="0.25">
      <c r="A342" s="8"/>
      <c r="B342" s="8"/>
      <c r="C342" s="8"/>
      <c r="D342" s="8"/>
      <c r="E342" s="8"/>
      <c r="F342" s="8"/>
      <c r="G342" s="8"/>
      <c r="H342" s="8"/>
    </row>
    <row r="343" spans="1:8" x14ac:dyDescent="0.25">
      <c r="A343" s="8"/>
      <c r="B343" s="8"/>
      <c r="C343" s="8"/>
      <c r="D343" s="8"/>
      <c r="E343" s="8"/>
      <c r="F343" s="8"/>
      <c r="G343" s="8"/>
      <c r="H343" s="8"/>
    </row>
    <row r="344" spans="1:8" x14ac:dyDescent="0.25">
      <c r="A344" s="8"/>
      <c r="B344" s="8"/>
      <c r="C344" s="8"/>
      <c r="D344" s="8"/>
      <c r="E344" s="8"/>
      <c r="F344" s="8"/>
      <c r="G344" s="8"/>
      <c r="H344" s="8"/>
    </row>
    <row r="345" spans="1:8" x14ac:dyDescent="0.25">
      <c r="A345" s="8"/>
      <c r="B345" s="8"/>
      <c r="C345" s="8"/>
      <c r="D345" s="8"/>
      <c r="E345" s="8"/>
      <c r="F345" s="8"/>
      <c r="G345" s="8"/>
      <c r="H345" s="8"/>
    </row>
    <row r="346" spans="1:8" x14ac:dyDescent="0.25">
      <c r="A346" s="8"/>
      <c r="B346" s="8"/>
      <c r="C346" s="8"/>
      <c r="D346" s="8"/>
      <c r="E346" s="8"/>
      <c r="F346" s="8"/>
      <c r="G346" s="8"/>
      <c r="H346" s="8"/>
    </row>
    <row r="347" spans="1:8" x14ac:dyDescent="0.25">
      <c r="A347" s="8"/>
      <c r="B347" s="8"/>
      <c r="C347" s="8"/>
      <c r="D347" s="8"/>
      <c r="E347" s="8"/>
      <c r="F347" s="8"/>
      <c r="G347" s="8"/>
      <c r="H347" s="8"/>
    </row>
    <row r="348" spans="1:8" x14ac:dyDescent="0.25">
      <c r="A348" s="8"/>
      <c r="B348" s="8"/>
      <c r="C348" s="8"/>
      <c r="D348" s="8"/>
      <c r="E348" s="8"/>
      <c r="F348" s="8"/>
      <c r="G348" s="8"/>
      <c r="H348" s="8"/>
    </row>
    <row r="349" spans="1:8" x14ac:dyDescent="0.25">
      <c r="A349" s="8"/>
      <c r="B349" s="8"/>
      <c r="C349" s="8"/>
      <c r="D349" s="8"/>
      <c r="E349" s="8"/>
      <c r="F349" s="8"/>
      <c r="G349" s="8"/>
      <c r="H349" s="8"/>
    </row>
    <row r="350" spans="1:8" x14ac:dyDescent="0.25">
      <c r="A350" s="8"/>
      <c r="B350" s="8"/>
      <c r="C350" s="8"/>
      <c r="D350" s="8"/>
      <c r="E350" s="8"/>
      <c r="F350" s="8"/>
      <c r="G350" s="8"/>
      <c r="H350" s="8"/>
    </row>
    <row r="351" spans="1:8" x14ac:dyDescent="0.25">
      <c r="A351" s="8"/>
      <c r="B351" s="8"/>
      <c r="C351" s="8"/>
      <c r="D351" s="8"/>
      <c r="E351" s="8"/>
      <c r="F351" s="8"/>
      <c r="G351" s="8"/>
      <c r="H351" s="8"/>
    </row>
    <row r="352" spans="1:8" x14ac:dyDescent="0.25">
      <c r="A352" s="8"/>
      <c r="B352" s="8"/>
      <c r="C352" s="8"/>
      <c r="D352" s="8"/>
      <c r="E352" s="8"/>
      <c r="F352" s="8"/>
      <c r="G352" s="8"/>
      <c r="H352" s="8"/>
    </row>
    <row r="353" spans="1:8" x14ac:dyDescent="0.25">
      <c r="A353" s="8"/>
      <c r="B353" s="8"/>
      <c r="C353" s="8"/>
      <c r="D353" s="8"/>
      <c r="E353" s="8"/>
      <c r="F353" s="8"/>
      <c r="G353" s="8"/>
      <c r="H353" s="8"/>
    </row>
    <row r="354" spans="1:8" x14ac:dyDescent="0.25">
      <c r="A354" s="8"/>
      <c r="B354" s="8"/>
      <c r="C354" s="8"/>
      <c r="D354" s="8"/>
      <c r="E354" s="8"/>
      <c r="F354" s="8"/>
      <c r="G354" s="8"/>
      <c r="H354" s="8"/>
    </row>
    <row r="355" spans="1:8" x14ac:dyDescent="0.25">
      <c r="A355" s="8"/>
      <c r="B355" s="8"/>
      <c r="C355" s="8"/>
      <c r="D355" s="8"/>
      <c r="E355" s="8"/>
      <c r="F355" s="8"/>
      <c r="G355" s="8"/>
      <c r="H355" s="8"/>
    </row>
    <row r="356" spans="1:8" x14ac:dyDescent="0.25">
      <c r="A356" s="8"/>
      <c r="B356" s="8"/>
      <c r="C356" s="8"/>
      <c r="D356" s="8"/>
      <c r="E356" s="8"/>
      <c r="F356" s="8"/>
      <c r="G356" s="8"/>
      <c r="H356" s="8"/>
    </row>
    <row r="357" spans="1:8" x14ac:dyDescent="0.25">
      <c r="A357" s="8"/>
      <c r="B357" s="8"/>
      <c r="C357" s="8"/>
      <c r="D357" s="8"/>
      <c r="E357" s="8"/>
      <c r="F357" s="8"/>
      <c r="G357" s="8"/>
      <c r="H357" s="8"/>
    </row>
    <row r="358" spans="1:8" x14ac:dyDescent="0.25">
      <c r="A358" s="8"/>
      <c r="B358" s="8"/>
      <c r="C358" s="8"/>
      <c r="D358" s="8"/>
      <c r="E358" s="8"/>
      <c r="F358" s="8"/>
      <c r="G358" s="8"/>
      <c r="H358" s="8"/>
    </row>
    <row r="359" spans="1:8" x14ac:dyDescent="0.25">
      <c r="A359" s="8"/>
      <c r="B359" s="8"/>
      <c r="C359" s="8"/>
      <c r="D359" s="8"/>
      <c r="E359" s="8"/>
      <c r="F359" s="8"/>
      <c r="G359" s="8"/>
      <c r="H359" s="8"/>
    </row>
    <row r="360" spans="1:8" x14ac:dyDescent="0.25">
      <c r="A360" s="8"/>
      <c r="B360" s="8"/>
      <c r="C360" s="8"/>
      <c r="D360" s="8"/>
      <c r="E360" s="8"/>
      <c r="F360" s="8"/>
      <c r="G360" s="8"/>
      <c r="H360" s="8"/>
    </row>
    <row r="361" spans="1:8" x14ac:dyDescent="0.25">
      <c r="A361" s="8"/>
      <c r="B361" s="8"/>
      <c r="C361" s="8"/>
      <c r="D361" s="8"/>
      <c r="E361" s="8"/>
      <c r="F361" s="8"/>
      <c r="G361" s="8"/>
      <c r="H361" s="8"/>
    </row>
    <row r="362" spans="1:8" x14ac:dyDescent="0.25">
      <c r="A362" s="8"/>
      <c r="B362" s="8"/>
      <c r="C362" s="8"/>
      <c r="D362" s="8"/>
      <c r="E362" s="8"/>
      <c r="F362" s="8"/>
      <c r="G362" s="8"/>
      <c r="H362" s="8"/>
    </row>
    <row r="363" spans="1:8" x14ac:dyDescent="0.25">
      <c r="A363" s="8"/>
      <c r="B363" s="8"/>
      <c r="C363" s="8"/>
      <c r="D363" s="8"/>
      <c r="E363" s="8"/>
      <c r="F363" s="8"/>
      <c r="G363" s="8"/>
      <c r="H363" s="8"/>
    </row>
    <row r="364" spans="1:8" x14ac:dyDescent="0.25">
      <c r="A364" s="8"/>
      <c r="B364" s="8"/>
      <c r="C364" s="8"/>
      <c r="D364" s="8"/>
      <c r="E364" s="8"/>
      <c r="F364" s="8"/>
      <c r="G364" s="8"/>
      <c r="H364" s="8"/>
    </row>
    <row r="365" spans="1:8" x14ac:dyDescent="0.25">
      <c r="A365" s="8"/>
      <c r="B365" s="8"/>
      <c r="C365" s="8"/>
      <c r="D365" s="8"/>
      <c r="E365" s="8"/>
      <c r="F365" s="8"/>
      <c r="G365" s="8"/>
      <c r="H365" s="8"/>
    </row>
    <row r="366" spans="1:8" x14ac:dyDescent="0.25">
      <c r="A366" s="8"/>
      <c r="B366" s="8"/>
      <c r="C366" s="8"/>
      <c r="D366" s="8"/>
      <c r="E366" s="8"/>
      <c r="F366" s="8"/>
      <c r="G366" s="8"/>
      <c r="H366" s="8"/>
    </row>
    <row r="367" spans="1:8" x14ac:dyDescent="0.25">
      <c r="A367" s="8"/>
      <c r="B367" s="8"/>
      <c r="C367" s="8"/>
      <c r="D367" s="8"/>
      <c r="E367" s="8"/>
      <c r="F367" s="8"/>
      <c r="G367" s="8"/>
      <c r="H367" s="8"/>
    </row>
    <row r="368" spans="1:8" x14ac:dyDescent="0.25">
      <c r="A368" s="8"/>
      <c r="B368" s="8"/>
      <c r="C368" s="8"/>
      <c r="D368" s="8"/>
      <c r="E368" s="8"/>
      <c r="F368" s="8"/>
      <c r="G368" s="8"/>
      <c r="H368" s="8"/>
    </row>
    <row r="369" spans="1:8" x14ac:dyDescent="0.25">
      <c r="A369" s="8"/>
      <c r="B369" s="8"/>
      <c r="C369" s="8"/>
      <c r="D369" s="8"/>
      <c r="E369" s="8"/>
      <c r="F369" s="8"/>
      <c r="G369" s="8"/>
      <c r="H369" s="8"/>
    </row>
    <row r="370" spans="1:8" x14ac:dyDescent="0.25">
      <c r="A370" s="8"/>
      <c r="B370" s="8"/>
      <c r="C370" s="8"/>
      <c r="D370" s="8"/>
      <c r="E370" s="8"/>
      <c r="F370" s="8"/>
      <c r="G370" s="8"/>
      <c r="H370" s="8"/>
    </row>
    <row r="371" spans="1:8" x14ac:dyDescent="0.25">
      <c r="A371" s="8"/>
      <c r="B371" s="8"/>
      <c r="C371" s="8"/>
      <c r="D371" s="8"/>
      <c r="E371" s="8"/>
      <c r="F371" s="8"/>
      <c r="G371" s="8"/>
      <c r="H371" s="8"/>
    </row>
    <row r="372" spans="1:8" x14ac:dyDescent="0.25">
      <c r="A372" s="8"/>
      <c r="B372" s="8"/>
      <c r="C372" s="8"/>
      <c r="D372" s="8"/>
      <c r="E372" s="8"/>
      <c r="F372" s="8"/>
      <c r="G372" s="8"/>
      <c r="H372" s="8"/>
    </row>
    <row r="373" spans="1:8" x14ac:dyDescent="0.25">
      <c r="A373" s="8"/>
      <c r="B373" s="8"/>
      <c r="C373" s="8"/>
      <c r="D373" s="8"/>
      <c r="E373" s="8"/>
      <c r="F373" s="8"/>
      <c r="G373" s="8"/>
      <c r="H373" s="8"/>
    </row>
    <row r="374" spans="1:8" x14ac:dyDescent="0.25">
      <c r="A374" s="8"/>
      <c r="B374" s="8"/>
      <c r="C374" s="8"/>
      <c r="D374" s="8"/>
      <c r="E374" s="8"/>
      <c r="F374" s="8"/>
      <c r="G374" s="8"/>
      <c r="H374" s="8"/>
    </row>
    <row r="375" spans="1:8" x14ac:dyDescent="0.25">
      <c r="A375" s="8"/>
      <c r="B375" s="8"/>
      <c r="C375" s="8"/>
      <c r="D375" s="8"/>
      <c r="E375" s="8"/>
      <c r="F375" s="8"/>
      <c r="G375" s="8"/>
      <c r="H375" s="8"/>
    </row>
    <row r="376" spans="1:8" x14ac:dyDescent="0.25">
      <c r="A376" s="8"/>
      <c r="B376" s="8"/>
      <c r="C376" s="8"/>
      <c r="D376" s="8"/>
      <c r="E376" s="8"/>
      <c r="F376" s="8"/>
      <c r="G376" s="8"/>
      <c r="H376" s="8"/>
    </row>
    <row r="377" spans="1:8" x14ac:dyDescent="0.25">
      <c r="A377" s="8"/>
      <c r="B377" s="8"/>
      <c r="C377" s="8"/>
      <c r="D377" s="8"/>
      <c r="E377" s="8"/>
      <c r="F377" s="8"/>
      <c r="G377" s="8"/>
      <c r="H377" s="8"/>
    </row>
    <row r="378" spans="1:8" x14ac:dyDescent="0.25">
      <c r="A378" s="8"/>
      <c r="B378" s="8"/>
      <c r="C378" s="8"/>
      <c r="D378" s="8"/>
      <c r="E378" s="8"/>
      <c r="F378" s="8"/>
      <c r="G378" s="8"/>
      <c r="H378" s="8"/>
    </row>
    <row r="379" spans="1:8" x14ac:dyDescent="0.25">
      <c r="A379" s="8"/>
      <c r="B379" s="8"/>
      <c r="C379" s="8"/>
      <c r="D379" s="8"/>
      <c r="E379" s="8"/>
      <c r="F379" s="8"/>
      <c r="G379" s="8"/>
      <c r="H379" s="8"/>
    </row>
    <row r="380" spans="1:8" x14ac:dyDescent="0.25">
      <c r="A380" s="8"/>
      <c r="B380" s="8"/>
      <c r="C380" s="8"/>
      <c r="D380" s="8"/>
      <c r="E380" s="8"/>
      <c r="F380" s="8"/>
      <c r="G380" s="8"/>
      <c r="H380" s="8"/>
    </row>
    <row r="381" spans="1:8" x14ac:dyDescent="0.25">
      <c r="A381" s="8"/>
      <c r="B381" s="8"/>
      <c r="C381" s="8"/>
      <c r="D381" s="8"/>
      <c r="E381" s="8"/>
      <c r="F381" s="8"/>
      <c r="G381" s="8"/>
      <c r="H381" s="8"/>
    </row>
    <row r="382" spans="1:8" x14ac:dyDescent="0.25">
      <c r="A382" s="8"/>
      <c r="B382" s="8"/>
      <c r="C382" s="8"/>
      <c r="D382" s="8"/>
      <c r="E382" s="8"/>
      <c r="F382" s="8"/>
      <c r="G382" s="8"/>
      <c r="H382" s="8"/>
    </row>
    <row r="383" spans="1:8" x14ac:dyDescent="0.25">
      <c r="A383" s="8"/>
      <c r="B383" s="8"/>
      <c r="C383" s="8"/>
      <c r="D383" s="8"/>
      <c r="E383" s="8"/>
      <c r="F383" s="8"/>
      <c r="G383" s="8"/>
      <c r="H383" s="8"/>
    </row>
    <row r="384" spans="1:8" x14ac:dyDescent="0.25">
      <c r="A384" s="8"/>
      <c r="B384" s="8"/>
      <c r="C384" s="8"/>
      <c r="D384" s="8"/>
      <c r="E384" s="8"/>
      <c r="F384" s="8"/>
      <c r="G384" s="8"/>
      <c r="H384" s="8"/>
    </row>
    <row r="385" spans="1:8" x14ac:dyDescent="0.25">
      <c r="A385" s="8"/>
      <c r="B385" s="8"/>
      <c r="C385" s="8"/>
      <c r="D385" s="8"/>
      <c r="E385" s="8"/>
      <c r="F385" s="8"/>
      <c r="G385" s="8"/>
      <c r="H385" s="8"/>
    </row>
    <row r="386" spans="1:8" x14ac:dyDescent="0.25">
      <c r="A386" s="8"/>
      <c r="B386" s="8"/>
      <c r="C386" s="8"/>
      <c r="D386" s="8"/>
      <c r="E386" s="8"/>
      <c r="F386" s="8"/>
      <c r="G386" s="8"/>
      <c r="H386" s="8"/>
    </row>
    <row r="387" spans="1:8" x14ac:dyDescent="0.25">
      <c r="A387" s="8"/>
      <c r="B387" s="8"/>
      <c r="C387" s="8"/>
      <c r="D387" s="8"/>
      <c r="E387" s="8"/>
      <c r="F387" s="8"/>
      <c r="G387" s="8"/>
      <c r="H387" s="8"/>
    </row>
    <row r="388" spans="1:8" x14ac:dyDescent="0.25">
      <c r="A388" s="8"/>
      <c r="B388" s="8"/>
      <c r="C388" s="8"/>
      <c r="D388" s="8"/>
      <c r="E388" s="8"/>
      <c r="F388" s="8"/>
      <c r="G388" s="8"/>
      <c r="H388" s="8"/>
    </row>
    <row r="389" spans="1:8" x14ac:dyDescent="0.25">
      <c r="A389" s="8"/>
      <c r="B389" s="8"/>
      <c r="C389" s="8"/>
      <c r="D389" s="8"/>
      <c r="E389" s="8"/>
      <c r="F389" s="8"/>
      <c r="G389" s="8"/>
      <c r="H389" s="8"/>
    </row>
    <row r="390" spans="1:8" x14ac:dyDescent="0.25">
      <c r="A390" s="8"/>
      <c r="B390" s="8"/>
      <c r="C390" s="8"/>
      <c r="D390" s="8"/>
      <c r="E390" s="8"/>
      <c r="F390" s="8"/>
      <c r="G390" s="8"/>
      <c r="H390" s="8"/>
    </row>
    <row r="391" spans="1:8" x14ac:dyDescent="0.25">
      <c r="A391" s="8"/>
      <c r="B391" s="8"/>
      <c r="C391" s="8"/>
      <c r="D391" s="8"/>
      <c r="E391" s="8"/>
      <c r="F391" s="8"/>
      <c r="G391" s="8"/>
      <c r="H391" s="8"/>
    </row>
    <row r="392" spans="1:8" x14ac:dyDescent="0.25">
      <c r="A392" s="8"/>
      <c r="B392" s="8"/>
      <c r="C392" s="8"/>
      <c r="D392" s="8"/>
      <c r="E392" s="8"/>
      <c r="F392" s="8"/>
      <c r="G392" s="8"/>
      <c r="H392" s="8"/>
    </row>
    <row r="393" spans="1:8" x14ac:dyDescent="0.25">
      <c r="A393" s="8"/>
      <c r="B393" s="8"/>
      <c r="C393" s="8"/>
      <c r="D393" s="8"/>
      <c r="E393" s="8"/>
      <c r="F393" s="8"/>
      <c r="G393" s="8"/>
      <c r="H393" s="8"/>
    </row>
    <row r="394" spans="1:8" x14ac:dyDescent="0.25">
      <c r="A394" s="8"/>
      <c r="B394" s="8"/>
      <c r="C394" s="8"/>
      <c r="D394" s="8"/>
      <c r="E394" s="8"/>
      <c r="F394" s="8"/>
      <c r="G394" s="8"/>
      <c r="H394" s="8"/>
    </row>
    <row r="395" spans="1:8" x14ac:dyDescent="0.25">
      <c r="A395" s="8"/>
      <c r="B395" s="8"/>
      <c r="C395" s="8"/>
      <c r="D395" s="8"/>
      <c r="E395" s="8"/>
      <c r="F395" s="8"/>
      <c r="G395" s="8"/>
      <c r="H395" s="8"/>
    </row>
    <row r="396" spans="1:8" x14ac:dyDescent="0.25">
      <c r="A396" s="8"/>
      <c r="B396" s="8"/>
      <c r="C396" s="8"/>
      <c r="D396" s="8"/>
      <c r="E396" s="8"/>
      <c r="F396" s="8"/>
      <c r="G396" s="8"/>
      <c r="H396" s="8"/>
    </row>
    <row r="397" spans="1:8" x14ac:dyDescent="0.25">
      <c r="A397" s="8"/>
      <c r="B397" s="8"/>
      <c r="C397" s="8"/>
      <c r="D397" s="8"/>
      <c r="E397" s="8"/>
      <c r="F397" s="8"/>
      <c r="G397" s="8"/>
      <c r="H397" s="8"/>
    </row>
    <row r="398" spans="1:8" x14ac:dyDescent="0.25">
      <c r="A398" s="8"/>
      <c r="B398" s="8"/>
      <c r="C398" s="8"/>
      <c r="D398" s="8"/>
      <c r="E398" s="8"/>
      <c r="F398" s="8"/>
      <c r="G398" s="8"/>
      <c r="H398" s="8"/>
    </row>
    <row r="399" spans="1:8" x14ac:dyDescent="0.25">
      <c r="A399" s="8"/>
      <c r="B399" s="8"/>
      <c r="C399" s="8"/>
      <c r="D399" s="8"/>
      <c r="E399" s="8"/>
      <c r="F399" s="8"/>
      <c r="G399" s="8"/>
      <c r="H399" s="8"/>
    </row>
    <row r="400" spans="1:8" x14ac:dyDescent="0.25">
      <c r="A400" s="8"/>
      <c r="B400" s="8"/>
      <c r="C400" s="8"/>
      <c r="D400" s="8"/>
      <c r="E400" s="8"/>
      <c r="F400" s="8"/>
      <c r="G400" s="8"/>
      <c r="H400" s="8"/>
    </row>
    <row r="401" spans="1:8" x14ac:dyDescent="0.25">
      <c r="A401" s="8"/>
      <c r="B401" s="8"/>
      <c r="C401" s="8"/>
      <c r="D401" s="8"/>
      <c r="E401" s="8"/>
      <c r="F401" s="8"/>
      <c r="G401" s="8"/>
      <c r="H401" s="8"/>
    </row>
    <row r="402" spans="1:8" x14ac:dyDescent="0.25">
      <c r="A402" s="8"/>
      <c r="B402" s="8"/>
      <c r="C402" s="8"/>
      <c r="D402" s="8"/>
      <c r="E402" s="8"/>
      <c r="F402" s="8"/>
      <c r="G402" s="8"/>
      <c r="H402" s="8"/>
    </row>
    <row r="403" spans="1:8" x14ac:dyDescent="0.25">
      <c r="A403" s="8"/>
      <c r="B403" s="8"/>
      <c r="C403" s="8"/>
      <c r="D403" s="8"/>
      <c r="E403" s="8"/>
      <c r="F403" s="8"/>
      <c r="G403" s="8"/>
      <c r="H403" s="8"/>
    </row>
    <row r="404" spans="1:8" x14ac:dyDescent="0.25">
      <c r="A404" s="8"/>
      <c r="B404" s="8"/>
      <c r="C404" s="8"/>
      <c r="D404" s="8"/>
      <c r="E404" s="8"/>
      <c r="F404" s="8"/>
      <c r="G404" s="8"/>
      <c r="H404" s="8"/>
    </row>
    <row r="405" spans="1:8" x14ac:dyDescent="0.25">
      <c r="A405" s="8"/>
      <c r="B405" s="8"/>
      <c r="C405" s="8"/>
      <c r="D405" s="8"/>
      <c r="E405" s="8"/>
      <c r="F405" s="8"/>
      <c r="G405" s="8"/>
      <c r="H405" s="8"/>
    </row>
    <row r="406" spans="1:8" x14ac:dyDescent="0.25">
      <c r="A406" s="8"/>
      <c r="B406" s="8"/>
      <c r="C406" s="8"/>
      <c r="D406" s="8"/>
      <c r="E406" s="8"/>
      <c r="F406" s="8"/>
      <c r="G406" s="8"/>
      <c r="H406" s="8"/>
    </row>
    <row r="407" spans="1:8" x14ac:dyDescent="0.25">
      <c r="A407" s="8"/>
      <c r="B407" s="8"/>
      <c r="C407" s="8"/>
      <c r="D407" s="8"/>
      <c r="E407" s="8"/>
      <c r="F407" s="8"/>
      <c r="G407" s="8"/>
      <c r="H407" s="8"/>
    </row>
    <row r="408" spans="1:8" x14ac:dyDescent="0.25">
      <c r="A408" s="8"/>
      <c r="B408" s="8"/>
      <c r="C408" s="8"/>
      <c r="D408" s="8"/>
      <c r="E408" s="8"/>
      <c r="F408" s="8"/>
      <c r="G408" s="8"/>
      <c r="H408" s="8"/>
    </row>
    <row r="409" spans="1:8" x14ac:dyDescent="0.25">
      <c r="A409" s="8"/>
      <c r="B409" s="8"/>
      <c r="C409" s="8"/>
      <c r="D409" s="8"/>
      <c r="E409" s="8"/>
      <c r="F409" s="8"/>
      <c r="G409" s="8"/>
      <c r="H409" s="8"/>
    </row>
    <row r="410" spans="1:8" x14ac:dyDescent="0.25">
      <c r="A410" s="8"/>
      <c r="B410" s="8"/>
      <c r="C410" s="8"/>
      <c r="D410" s="8"/>
      <c r="E410" s="8"/>
      <c r="F410" s="8"/>
      <c r="G410" s="8"/>
      <c r="H410" s="8"/>
    </row>
    <row r="411" spans="1:8" x14ac:dyDescent="0.25">
      <c r="A411" s="8"/>
      <c r="B411" s="8"/>
      <c r="C411" s="8"/>
      <c r="D411" s="8"/>
      <c r="E411" s="8"/>
      <c r="F411" s="8"/>
      <c r="G411" s="8"/>
      <c r="H411" s="8"/>
    </row>
    <row r="412" spans="1:8" x14ac:dyDescent="0.25">
      <c r="A412" s="8"/>
      <c r="B412" s="8"/>
      <c r="C412" s="8"/>
      <c r="D412" s="8"/>
      <c r="E412" s="8"/>
      <c r="F412" s="8"/>
      <c r="G412" s="8"/>
      <c r="H412" s="8"/>
    </row>
    <row r="413" spans="1:8" x14ac:dyDescent="0.25">
      <c r="A413" s="8"/>
      <c r="B413" s="8"/>
      <c r="C413" s="8"/>
      <c r="D413" s="8"/>
      <c r="E413" s="8"/>
      <c r="F413" s="8"/>
      <c r="G413" s="8"/>
      <c r="H413" s="8"/>
    </row>
    <row r="414" spans="1:8" x14ac:dyDescent="0.25">
      <c r="A414" s="8"/>
      <c r="B414" s="8"/>
      <c r="C414" s="8"/>
      <c r="D414" s="8"/>
      <c r="E414" s="8"/>
      <c r="F414" s="8"/>
      <c r="G414" s="8"/>
      <c r="H414" s="8"/>
    </row>
    <row r="415" spans="1:8" x14ac:dyDescent="0.25">
      <c r="A415" s="8"/>
      <c r="B415" s="8"/>
      <c r="C415" s="8"/>
      <c r="D415" s="8"/>
      <c r="E415" s="8"/>
      <c r="F415" s="8"/>
      <c r="G415" s="8"/>
      <c r="H415" s="8"/>
    </row>
    <row r="416" spans="1:8" x14ac:dyDescent="0.25">
      <c r="A416" s="8"/>
      <c r="B416" s="8"/>
      <c r="C416" s="8"/>
      <c r="D416" s="8"/>
      <c r="E416" s="8"/>
      <c r="F416" s="8"/>
      <c r="G416" s="8"/>
      <c r="H416" s="8"/>
    </row>
    <row r="417" spans="1:8" x14ac:dyDescent="0.25">
      <c r="A417" s="8"/>
      <c r="B417" s="8"/>
      <c r="C417" s="8"/>
      <c r="D417" s="8"/>
      <c r="E417" s="8"/>
      <c r="F417" s="8"/>
      <c r="G417" s="8"/>
      <c r="H417" s="8"/>
    </row>
    <row r="418" spans="1:8" x14ac:dyDescent="0.25">
      <c r="A418" s="8"/>
      <c r="B418" s="8"/>
      <c r="C418" s="8"/>
      <c r="D418" s="8"/>
      <c r="E418" s="8"/>
      <c r="F418" s="8"/>
      <c r="G418" s="8"/>
      <c r="H418" s="8"/>
    </row>
    <row r="419" spans="1:8" x14ac:dyDescent="0.25">
      <c r="A419" s="8"/>
      <c r="B419" s="8"/>
      <c r="C419" s="8"/>
      <c r="D419" s="8"/>
      <c r="E419" s="8"/>
      <c r="F419" s="8"/>
      <c r="G419" s="8"/>
      <c r="H419" s="8"/>
    </row>
    <row r="420" spans="1:8" x14ac:dyDescent="0.25">
      <c r="A420" s="8"/>
      <c r="B420" s="8"/>
      <c r="C420" s="8"/>
      <c r="D420" s="8"/>
      <c r="E420" s="8"/>
      <c r="F420" s="8"/>
      <c r="G420" s="8"/>
      <c r="H420" s="8"/>
    </row>
    <row r="421" spans="1:8" x14ac:dyDescent="0.25">
      <c r="A421" s="8"/>
      <c r="B421" s="8"/>
      <c r="C421" s="8"/>
      <c r="D421" s="8"/>
      <c r="E421" s="8"/>
      <c r="F421" s="8"/>
      <c r="G421" s="8"/>
      <c r="H421" s="8"/>
    </row>
    <row r="422" spans="1:8" x14ac:dyDescent="0.25">
      <c r="A422" s="8"/>
      <c r="B422" s="8"/>
      <c r="C422" s="8"/>
      <c r="D422" s="8"/>
      <c r="E422" s="8"/>
      <c r="F422" s="8"/>
      <c r="G422" s="8"/>
      <c r="H422" s="8"/>
    </row>
    <row r="423" spans="1:8" x14ac:dyDescent="0.25">
      <c r="A423" s="8"/>
      <c r="B423" s="8"/>
      <c r="C423" s="8"/>
      <c r="D423" s="8"/>
      <c r="E423" s="8"/>
      <c r="F423" s="8"/>
      <c r="G423" s="8"/>
      <c r="H423" s="8"/>
    </row>
    <row r="424" spans="1:8" x14ac:dyDescent="0.25">
      <c r="A424" s="8"/>
      <c r="B424" s="8"/>
      <c r="C424" s="8"/>
      <c r="D424" s="8"/>
      <c r="E424" s="8"/>
      <c r="F424" s="8"/>
      <c r="G424" s="8"/>
      <c r="H424" s="8"/>
    </row>
    <row r="425" spans="1:8" x14ac:dyDescent="0.25">
      <c r="A425" s="8"/>
      <c r="B425" s="8"/>
      <c r="C425" s="8"/>
      <c r="D425" s="8"/>
      <c r="E425" s="8"/>
      <c r="F425" s="8"/>
      <c r="G425" s="8"/>
      <c r="H425" s="8"/>
    </row>
    <row r="426" spans="1:8" x14ac:dyDescent="0.25">
      <c r="A426" s="8"/>
      <c r="B426" s="8"/>
      <c r="C426" s="8"/>
      <c r="D426" s="8"/>
      <c r="E426" s="8"/>
      <c r="F426" s="8"/>
      <c r="G426" s="8"/>
      <c r="H426" s="8"/>
    </row>
    <row r="427" spans="1:8" x14ac:dyDescent="0.25">
      <c r="A427" s="8"/>
      <c r="B427" s="8"/>
      <c r="C427" s="8"/>
      <c r="D427" s="8"/>
      <c r="E427" s="8"/>
      <c r="F427" s="8"/>
      <c r="G427" s="8"/>
      <c r="H427" s="8"/>
    </row>
    <row r="428" spans="1:8" x14ac:dyDescent="0.25">
      <c r="A428" s="8"/>
      <c r="B428" s="8"/>
      <c r="C428" s="8"/>
      <c r="D428" s="8"/>
      <c r="E428" s="8"/>
      <c r="F428" s="8"/>
      <c r="G428" s="8"/>
      <c r="H428" s="8"/>
    </row>
    <row r="429" spans="1:8" x14ac:dyDescent="0.25">
      <c r="A429" s="8"/>
      <c r="B429" s="8"/>
      <c r="C429" s="8"/>
      <c r="D429" s="8"/>
      <c r="E429" s="8"/>
      <c r="F429" s="8"/>
      <c r="G429" s="8"/>
      <c r="H429" s="8"/>
    </row>
    <row r="430" spans="1:8" x14ac:dyDescent="0.25">
      <c r="A430" s="8"/>
      <c r="B430" s="8"/>
      <c r="C430" s="8"/>
      <c r="D430" s="8"/>
      <c r="E430" s="8"/>
      <c r="F430" s="8"/>
      <c r="G430" s="8"/>
      <c r="H430" s="8"/>
    </row>
    <row r="431" spans="1:8" x14ac:dyDescent="0.25">
      <c r="A431" s="8"/>
      <c r="B431" s="8"/>
      <c r="C431" s="8"/>
      <c r="D431" s="8"/>
      <c r="E431" s="8"/>
      <c r="F431" s="8"/>
      <c r="G431" s="8"/>
      <c r="H431" s="8"/>
    </row>
    <row r="432" spans="1:8" x14ac:dyDescent="0.25">
      <c r="A432" s="8"/>
      <c r="B432" s="8"/>
      <c r="C432" s="8"/>
      <c r="D432" s="8"/>
      <c r="E432" s="8"/>
      <c r="F432" s="8"/>
      <c r="G432" s="8"/>
      <c r="H432" s="8"/>
    </row>
    <row r="433" spans="1:8" x14ac:dyDescent="0.25">
      <c r="A433" s="8"/>
      <c r="B433" s="8"/>
      <c r="C433" s="8"/>
      <c r="D433" s="8"/>
      <c r="E433" s="8"/>
      <c r="F433" s="8"/>
      <c r="G433" s="8"/>
      <c r="H433" s="8"/>
    </row>
    <row r="434" spans="1:8" x14ac:dyDescent="0.25">
      <c r="A434" s="8"/>
      <c r="B434" s="8"/>
      <c r="C434" s="8"/>
      <c r="D434" s="8"/>
      <c r="E434" s="8"/>
      <c r="F434" s="8"/>
      <c r="G434" s="8"/>
      <c r="H434" s="8"/>
    </row>
    <row r="435" spans="1:8" x14ac:dyDescent="0.25">
      <c r="A435" s="8"/>
      <c r="B435" s="8"/>
      <c r="C435" s="8"/>
      <c r="D435" s="8"/>
      <c r="E435" s="8"/>
      <c r="F435" s="8"/>
      <c r="G435" s="8"/>
      <c r="H435" s="8"/>
    </row>
    <row r="436" spans="1:8" x14ac:dyDescent="0.25">
      <c r="A436" s="8"/>
      <c r="B436" s="8"/>
      <c r="C436" s="8"/>
      <c r="D436" s="8"/>
      <c r="E436" s="8"/>
      <c r="F436" s="8"/>
      <c r="G436" s="8"/>
      <c r="H436" s="8"/>
    </row>
    <row r="437" spans="1:8" x14ac:dyDescent="0.25">
      <c r="A437" s="8"/>
      <c r="B437" s="8"/>
      <c r="C437" s="8"/>
      <c r="D437" s="8"/>
      <c r="E437" s="8"/>
      <c r="F437" s="8"/>
      <c r="G437" s="8"/>
      <c r="H437" s="8"/>
    </row>
    <row r="438" spans="1:8" x14ac:dyDescent="0.25">
      <c r="A438" s="8"/>
      <c r="B438" s="8"/>
      <c r="C438" s="8"/>
      <c r="D438" s="8"/>
      <c r="E438" s="8"/>
      <c r="F438" s="8"/>
      <c r="G438" s="8"/>
      <c r="H438" s="8"/>
    </row>
    <row r="439" spans="1:8" x14ac:dyDescent="0.25">
      <c r="A439" s="8"/>
      <c r="B439" s="8"/>
      <c r="C439" s="8"/>
      <c r="D439" s="8"/>
      <c r="E439" s="8"/>
      <c r="F439" s="8"/>
      <c r="G439" s="8"/>
      <c r="H439" s="8"/>
    </row>
    <row r="440" spans="1:8" x14ac:dyDescent="0.25">
      <c r="A440" s="8"/>
      <c r="B440" s="8"/>
      <c r="C440" s="8"/>
      <c r="D440" s="8"/>
      <c r="E440" s="8"/>
      <c r="F440" s="8"/>
      <c r="G440" s="8"/>
      <c r="H440" s="8"/>
    </row>
    <row r="441" spans="1:8" x14ac:dyDescent="0.25">
      <c r="A441" s="8"/>
      <c r="B441" s="8"/>
      <c r="C441" s="8"/>
      <c r="D441" s="8"/>
      <c r="E441" s="8"/>
      <c r="F441" s="8"/>
      <c r="G441" s="8"/>
      <c r="H441" s="8"/>
    </row>
    <row r="442" spans="1:8" x14ac:dyDescent="0.25">
      <c r="A442" s="8"/>
      <c r="B442" s="8"/>
      <c r="C442" s="8"/>
      <c r="D442" s="8"/>
      <c r="E442" s="8"/>
      <c r="F442" s="8"/>
      <c r="G442" s="8"/>
      <c r="H442" s="8"/>
    </row>
    <row r="443" spans="1:8" x14ac:dyDescent="0.25">
      <c r="A443" s="8"/>
      <c r="B443" s="8"/>
      <c r="C443" s="8"/>
      <c r="D443" s="8"/>
      <c r="E443" s="8"/>
      <c r="F443" s="8"/>
      <c r="G443" s="8"/>
      <c r="H443" s="8"/>
    </row>
    <row r="444" spans="1:8" x14ac:dyDescent="0.25">
      <c r="A444" s="8"/>
      <c r="B444" s="8"/>
      <c r="C444" s="8"/>
      <c r="D444" s="8"/>
      <c r="E444" s="8"/>
      <c r="F444" s="8"/>
      <c r="G444" s="8"/>
      <c r="H444" s="8"/>
    </row>
    <row r="445" spans="1:8" x14ac:dyDescent="0.25">
      <c r="A445" s="8"/>
      <c r="B445" s="8"/>
      <c r="C445" s="8"/>
      <c r="D445" s="8"/>
      <c r="E445" s="8"/>
      <c r="F445" s="8"/>
      <c r="G445" s="8"/>
      <c r="H445" s="8"/>
    </row>
    <row r="446" spans="1:8" x14ac:dyDescent="0.25">
      <c r="A446" s="8"/>
      <c r="B446" s="8"/>
      <c r="C446" s="8"/>
      <c r="D446" s="8"/>
      <c r="E446" s="8"/>
      <c r="F446" s="8"/>
      <c r="G446" s="8"/>
      <c r="H446" s="8"/>
    </row>
    <row r="447" spans="1:8" x14ac:dyDescent="0.25">
      <c r="A447" s="8"/>
      <c r="B447" s="8"/>
      <c r="C447" s="8"/>
      <c r="D447" s="8"/>
      <c r="E447" s="8"/>
      <c r="F447" s="8"/>
      <c r="G447" s="8"/>
      <c r="H447" s="8"/>
    </row>
    <row r="448" spans="1:8" x14ac:dyDescent="0.25">
      <c r="A448" s="8"/>
      <c r="B448" s="8"/>
      <c r="C448" s="8"/>
      <c r="D448" s="8"/>
      <c r="E448" s="8"/>
      <c r="F448" s="8"/>
      <c r="G448" s="8"/>
      <c r="H448" s="8"/>
    </row>
    <row r="449" spans="1:8" x14ac:dyDescent="0.25">
      <c r="A449" s="8"/>
      <c r="B449" s="8"/>
      <c r="C449" s="8"/>
      <c r="D449" s="8"/>
      <c r="E449" s="8"/>
      <c r="F449" s="8"/>
      <c r="G449" s="8"/>
      <c r="H449" s="8"/>
    </row>
    <row r="450" spans="1:8" x14ac:dyDescent="0.25">
      <c r="A450" s="8"/>
      <c r="B450" s="8"/>
      <c r="C450" s="8"/>
      <c r="D450" s="8"/>
      <c r="E450" s="8"/>
      <c r="F450" s="8"/>
      <c r="G450" s="8"/>
      <c r="H450" s="8"/>
    </row>
    <row r="451" spans="1:8" x14ac:dyDescent="0.25">
      <c r="A451" s="8"/>
      <c r="B451" s="8"/>
      <c r="C451" s="8"/>
      <c r="D451" s="8"/>
      <c r="E451" s="8"/>
      <c r="F451" s="8"/>
      <c r="G451" s="8"/>
      <c r="H451" s="8"/>
    </row>
    <row r="452" spans="1:8" x14ac:dyDescent="0.25">
      <c r="A452" s="8"/>
      <c r="B452" s="8"/>
      <c r="C452" s="8"/>
      <c r="D452" s="8"/>
      <c r="E452" s="8"/>
      <c r="F452" s="8"/>
      <c r="G452" s="8"/>
      <c r="H452" s="8"/>
    </row>
    <row r="453" spans="1:8" x14ac:dyDescent="0.25">
      <c r="A453" s="8"/>
      <c r="B453" s="8"/>
      <c r="C453" s="8"/>
      <c r="D453" s="8"/>
      <c r="E453" s="8"/>
      <c r="F453" s="8"/>
      <c r="G453" s="8"/>
      <c r="H453" s="8"/>
    </row>
    <row r="454" spans="1:8" x14ac:dyDescent="0.25">
      <c r="A454" s="8"/>
      <c r="B454" s="8"/>
      <c r="C454" s="8"/>
      <c r="D454" s="8"/>
      <c r="E454" s="8"/>
      <c r="F454" s="8"/>
      <c r="G454" s="8"/>
      <c r="H454" s="8"/>
    </row>
    <row r="455" spans="1:8" x14ac:dyDescent="0.25">
      <c r="A455" s="8"/>
      <c r="B455" s="8"/>
      <c r="C455" s="8"/>
      <c r="D455" s="8"/>
      <c r="E455" s="8"/>
      <c r="F455" s="8"/>
      <c r="G455" s="8"/>
      <c r="H455" s="8"/>
    </row>
    <row r="456" spans="1:8" x14ac:dyDescent="0.25">
      <c r="A456" s="8"/>
      <c r="B456" s="8"/>
      <c r="C456" s="8"/>
      <c r="D456" s="8"/>
      <c r="E456" s="8"/>
      <c r="F456" s="8"/>
      <c r="G456" s="8"/>
      <c r="H456" s="8"/>
    </row>
    <row r="457" spans="1:8" x14ac:dyDescent="0.25">
      <c r="A457" s="8"/>
      <c r="B457" s="8"/>
      <c r="C457" s="8"/>
      <c r="D457" s="8"/>
      <c r="E457" s="8"/>
      <c r="F457" s="8"/>
      <c r="G457" s="8"/>
      <c r="H457" s="8"/>
    </row>
    <row r="458" spans="1:8" x14ac:dyDescent="0.25">
      <c r="A458" s="8"/>
      <c r="B458" s="8"/>
      <c r="C458" s="8"/>
      <c r="D458" s="8"/>
      <c r="E458" s="8"/>
      <c r="F458" s="8"/>
      <c r="G458" s="8"/>
      <c r="H458" s="8"/>
    </row>
    <row r="459" spans="1:8" x14ac:dyDescent="0.25">
      <c r="A459" s="8"/>
      <c r="B459" s="8"/>
      <c r="C459" s="8"/>
      <c r="D459" s="8"/>
      <c r="E459" s="8"/>
      <c r="F459" s="8"/>
      <c r="G459" s="8"/>
      <c r="H459" s="8"/>
    </row>
    <row r="460" spans="1:8" x14ac:dyDescent="0.25">
      <c r="A460" s="8"/>
      <c r="B460" s="8"/>
      <c r="C460" s="8"/>
      <c r="D460" s="8"/>
      <c r="E460" s="8"/>
      <c r="F460" s="8"/>
      <c r="G460" s="8"/>
      <c r="H460" s="8"/>
    </row>
    <row r="461" spans="1:8" x14ac:dyDescent="0.25">
      <c r="A461" s="8"/>
      <c r="B461" s="8"/>
      <c r="C461" s="8"/>
      <c r="D461" s="8"/>
      <c r="E461" s="8"/>
      <c r="F461" s="8"/>
      <c r="G461" s="8"/>
      <c r="H461" s="8"/>
    </row>
    <row r="462" spans="1:8" x14ac:dyDescent="0.25">
      <c r="A462" s="8"/>
      <c r="B462" s="8"/>
      <c r="C462" s="8"/>
      <c r="D462" s="8"/>
      <c r="E462" s="8"/>
      <c r="F462" s="8"/>
      <c r="G462" s="8"/>
      <c r="H462" s="8"/>
    </row>
    <row r="463" spans="1:8" x14ac:dyDescent="0.25">
      <c r="A463" s="8"/>
      <c r="B463" s="8"/>
      <c r="C463" s="8"/>
      <c r="D463" s="8"/>
      <c r="E463" s="8"/>
      <c r="F463" s="8"/>
      <c r="G463" s="8"/>
      <c r="H463" s="8"/>
    </row>
    <row r="464" spans="1:8" x14ac:dyDescent="0.25">
      <c r="A464" s="8"/>
      <c r="B464" s="8"/>
      <c r="C464" s="8"/>
      <c r="D464" s="8"/>
      <c r="E464" s="8"/>
      <c r="F464" s="8"/>
      <c r="G464" s="8"/>
      <c r="H464" s="8"/>
    </row>
    <row r="465" spans="1:8" x14ac:dyDescent="0.25">
      <c r="A465" s="8"/>
      <c r="B465" s="8"/>
      <c r="C465" s="8"/>
      <c r="D465" s="8"/>
      <c r="E465" s="8"/>
      <c r="F465" s="8"/>
      <c r="G465" s="8"/>
      <c r="H465" s="8"/>
    </row>
    <row r="466" spans="1:8" x14ac:dyDescent="0.25">
      <c r="A466" s="8"/>
      <c r="B466" s="8"/>
      <c r="C466" s="8"/>
      <c r="D466" s="8"/>
      <c r="E466" s="8"/>
      <c r="F466" s="8"/>
      <c r="G466" s="8"/>
      <c r="H466" s="8"/>
    </row>
    <row r="467" spans="1:8" x14ac:dyDescent="0.25">
      <c r="A467" s="8"/>
      <c r="B467" s="8"/>
      <c r="C467" s="8"/>
      <c r="D467" s="8"/>
      <c r="E467" s="8"/>
      <c r="F467" s="8"/>
      <c r="G467" s="8"/>
      <c r="H467" s="8"/>
    </row>
    <row r="468" spans="1:8" x14ac:dyDescent="0.25">
      <c r="A468" s="8"/>
      <c r="B468" s="8"/>
      <c r="C468" s="8"/>
      <c r="D468" s="8"/>
      <c r="E468" s="8"/>
      <c r="F468" s="8"/>
      <c r="G468" s="8"/>
      <c r="H468" s="8"/>
    </row>
    <row r="469" spans="1:8" x14ac:dyDescent="0.25">
      <c r="A469" s="8"/>
      <c r="B469" s="8"/>
      <c r="C469" s="8"/>
      <c r="D469" s="8"/>
      <c r="E469" s="8"/>
      <c r="F469" s="8"/>
      <c r="G469" s="8"/>
      <c r="H469" s="8"/>
    </row>
    <row r="470" spans="1:8" x14ac:dyDescent="0.25">
      <c r="A470" s="8"/>
      <c r="B470" s="8"/>
      <c r="C470" s="8"/>
      <c r="D470" s="8"/>
      <c r="E470" s="8"/>
      <c r="F470" s="8"/>
      <c r="G470" s="8"/>
      <c r="H470" s="8"/>
    </row>
    <row r="471" spans="1:8" x14ac:dyDescent="0.25">
      <c r="A471" s="8"/>
      <c r="B471" s="8"/>
      <c r="C471" s="8"/>
      <c r="D471" s="8"/>
      <c r="E471" s="8"/>
      <c r="F471" s="8"/>
      <c r="G471" s="8"/>
      <c r="H471" s="8"/>
    </row>
    <row r="472" spans="1:8" x14ac:dyDescent="0.25">
      <c r="A472" s="8"/>
      <c r="B472" s="8"/>
      <c r="C472" s="8"/>
      <c r="D472" s="8"/>
      <c r="E472" s="8"/>
      <c r="F472" s="8"/>
      <c r="G472" s="8"/>
      <c r="H472" s="8"/>
    </row>
    <row r="473" spans="1:8" x14ac:dyDescent="0.25">
      <c r="A473" s="8"/>
      <c r="B473" s="8"/>
      <c r="C473" s="8"/>
      <c r="D473" s="8"/>
      <c r="E473" s="8"/>
      <c r="F473" s="8"/>
      <c r="G473" s="8"/>
      <c r="H473" s="8"/>
    </row>
    <row r="474" spans="1:8" x14ac:dyDescent="0.25">
      <c r="A474" s="8"/>
      <c r="B474" s="8"/>
      <c r="C474" s="8"/>
      <c r="D474" s="8"/>
      <c r="E474" s="8"/>
      <c r="F474" s="8"/>
      <c r="G474" s="8"/>
      <c r="H474" s="8"/>
    </row>
    <row r="475" spans="1:8" x14ac:dyDescent="0.25">
      <c r="A475" s="8"/>
      <c r="B475" s="8"/>
      <c r="C475" s="8"/>
      <c r="D475" s="8"/>
      <c r="E475" s="8"/>
      <c r="F475" s="8"/>
      <c r="G475" s="8"/>
      <c r="H475" s="8"/>
    </row>
    <row r="476" spans="1:8" x14ac:dyDescent="0.25">
      <c r="A476" s="8"/>
      <c r="B476" s="8"/>
      <c r="C476" s="8"/>
      <c r="D476" s="8"/>
      <c r="E476" s="8"/>
      <c r="F476" s="8"/>
      <c r="G476" s="8"/>
      <c r="H476" s="8"/>
    </row>
    <row r="477" spans="1:8" x14ac:dyDescent="0.25">
      <c r="A477" s="8"/>
      <c r="B477" s="8"/>
      <c r="C477" s="8"/>
      <c r="D477" s="8"/>
      <c r="E477" s="8"/>
      <c r="F477" s="8"/>
      <c r="G477" s="8"/>
      <c r="H477" s="8"/>
    </row>
    <row r="478" spans="1:8" x14ac:dyDescent="0.25">
      <c r="A478" s="8"/>
      <c r="B478" s="8"/>
      <c r="C478" s="8"/>
      <c r="D478" s="8"/>
      <c r="E478" s="8"/>
      <c r="F478" s="8"/>
      <c r="G478" s="8"/>
      <c r="H478" s="8"/>
    </row>
    <row r="479" spans="1:8" x14ac:dyDescent="0.25">
      <c r="A479" s="8"/>
      <c r="B479" s="8"/>
      <c r="C479" s="8"/>
      <c r="D479" s="8"/>
      <c r="E479" s="8"/>
      <c r="F479" s="8"/>
      <c r="G479" s="8"/>
      <c r="H479" s="8"/>
    </row>
    <row r="480" spans="1:8" x14ac:dyDescent="0.25">
      <c r="A480" s="8"/>
      <c r="B480" s="8"/>
      <c r="C480" s="8"/>
      <c r="D480" s="8"/>
      <c r="E480" s="8"/>
      <c r="F480" s="8"/>
      <c r="G480" s="8"/>
      <c r="H480" s="8"/>
    </row>
    <row r="481" spans="1:8" x14ac:dyDescent="0.25">
      <c r="A481" s="8"/>
      <c r="B481" s="8"/>
      <c r="C481" s="8"/>
      <c r="D481" s="8"/>
      <c r="E481" s="8"/>
      <c r="F481" s="8"/>
      <c r="G481" s="8"/>
      <c r="H481" s="8"/>
    </row>
    <row r="482" spans="1:8" x14ac:dyDescent="0.25">
      <c r="A482" s="8"/>
      <c r="B482" s="8"/>
      <c r="C482" s="8"/>
      <c r="D482" s="8"/>
      <c r="E482" s="8"/>
      <c r="F482" s="8"/>
      <c r="G482" s="8"/>
      <c r="H482" s="8"/>
    </row>
    <row r="483" spans="1:8" x14ac:dyDescent="0.25">
      <c r="A483" s="8"/>
      <c r="B483" s="8"/>
      <c r="C483" s="8"/>
      <c r="D483" s="8"/>
      <c r="E483" s="8"/>
      <c r="F483" s="8"/>
      <c r="G483" s="8"/>
      <c r="H483" s="8"/>
    </row>
    <row r="484" spans="1:8" x14ac:dyDescent="0.25">
      <c r="A484" s="8"/>
      <c r="B484" s="8"/>
      <c r="C484" s="8"/>
      <c r="D484" s="8"/>
      <c r="E484" s="8"/>
      <c r="F484" s="8"/>
      <c r="G484" s="8"/>
      <c r="H484" s="8"/>
    </row>
    <row r="485" spans="1:8" x14ac:dyDescent="0.25">
      <c r="A485" s="8"/>
      <c r="B485" s="8"/>
      <c r="C485" s="8"/>
      <c r="D485" s="8"/>
      <c r="E485" s="8"/>
      <c r="F485" s="8"/>
      <c r="G485" s="8"/>
      <c r="H485" s="8"/>
    </row>
    <row r="486" spans="1:8" x14ac:dyDescent="0.25">
      <c r="A486" s="8"/>
      <c r="B486" s="8"/>
      <c r="C486" s="8"/>
      <c r="D486" s="8"/>
      <c r="E486" s="8"/>
      <c r="F486" s="8"/>
      <c r="G486" s="8"/>
      <c r="H486" s="8"/>
    </row>
    <row r="487" spans="1:8" x14ac:dyDescent="0.25">
      <c r="A487" s="8"/>
      <c r="B487" s="8"/>
      <c r="C487" s="8"/>
      <c r="D487" s="8"/>
      <c r="E487" s="8"/>
      <c r="F487" s="8"/>
      <c r="G487" s="8"/>
      <c r="H487" s="8"/>
    </row>
    <row r="488" spans="1:8" x14ac:dyDescent="0.25">
      <c r="A488" s="8"/>
      <c r="B488" s="8"/>
      <c r="C488" s="8"/>
      <c r="D488" s="8"/>
      <c r="E488" s="8"/>
      <c r="F488" s="8"/>
      <c r="G488" s="8"/>
      <c r="H488" s="8"/>
    </row>
    <row r="489" spans="1:8" x14ac:dyDescent="0.25">
      <c r="A489" s="8"/>
      <c r="B489" s="8"/>
      <c r="C489" s="8"/>
      <c r="D489" s="8"/>
      <c r="E489" s="8"/>
      <c r="F489" s="8"/>
      <c r="G489" s="8"/>
      <c r="H489" s="8"/>
    </row>
    <row r="490" spans="1:8" x14ac:dyDescent="0.25">
      <c r="A490" s="8"/>
      <c r="B490" s="8"/>
      <c r="C490" s="8"/>
      <c r="D490" s="8"/>
      <c r="E490" s="8"/>
      <c r="F490" s="8"/>
      <c r="G490" s="8"/>
      <c r="H490" s="8"/>
    </row>
    <row r="491" spans="1:8" x14ac:dyDescent="0.25">
      <c r="A491" s="8"/>
      <c r="B491" s="8"/>
      <c r="C491" s="8"/>
      <c r="D491" s="8"/>
      <c r="E491" s="8"/>
      <c r="F491" s="8"/>
      <c r="G491" s="8"/>
      <c r="H491" s="8"/>
    </row>
    <row r="492" spans="1:8" x14ac:dyDescent="0.25">
      <c r="A492" s="8"/>
      <c r="B492" s="8"/>
      <c r="C492" s="8"/>
      <c r="D492" s="8"/>
      <c r="E492" s="8"/>
      <c r="F492" s="8"/>
      <c r="G492" s="8"/>
      <c r="H492" s="8"/>
    </row>
    <row r="493" spans="1:8" x14ac:dyDescent="0.25">
      <c r="A493" s="8"/>
      <c r="B493" s="8"/>
      <c r="C493" s="8"/>
      <c r="D493" s="8"/>
      <c r="E493" s="8"/>
      <c r="F493" s="8"/>
      <c r="G493" s="8"/>
      <c r="H493" s="8"/>
    </row>
    <row r="494" spans="1:8" x14ac:dyDescent="0.25">
      <c r="A494" s="8"/>
      <c r="B494" s="8"/>
      <c r="C494" s="8"/>
      <c r="D494" s="8"/>
      <c r="E494" s="8"/>
      <c r="F494" s="8"/>
      <c r="G494" s="8"/>
      <c r="H494" s="8"/>
    </row>
    <row r="495" spans="1:8" x14ac:dyDescent="0.25">
      <c r="A495" s="8"/>
      <c r="B495" s="8"/>
      <c r="C495" s="8"/>
      <c r="D495" s="8"/>
      <c r="E495" s="8"/>
      <c r="F495" s="8"/>
      <c r="G495" s="8"/>
      <c r="H495" s="8"/>
    </row>
    <row r="496" spans="1:8" x14ac:dyDescent="0.25">
      <c r="A496" s="8"/>
      <c r="B496" s="8"/>
      <c r="C496" s="8"/>
      <c r="D496" s="8"/>
      <c r="E496" s="8"/>
      <c r="F496" s="8"/>
      <c r="G496" s="8"/>
      <c r="H496" s="8"/>
    </row>
    <row r="497" spans="1:8" x14ac:dyDescent="0.25">
      <c r="A497" s="8"/>
      <c r="B497" s="8"/>
      <c r="C497" s="8"/>
      <c r="D497" s="8"/>
      <c r="E497" s="8"/>
      <c r="F497" s="8"/>
      <c r="G497" s="8"/>
      <c r="H497" s="8"/>
    </row>
    <row r="498" spans="1:8" x14ac:dyDescent="0.25">
      <c r="A498" s="8"/>
      <c r="B498" s="8"/>
      <c r="C498" s="8"/>
      <c r="D498" s="8"/>
      <c r="E498" s="8"/>
      <c r="F498" s="8"/>
      <c r="G498" s="8"/>
      <c r="H498" s="8"/>
    </row>
    <row r="499" spans="1:8" x14ac:dyDescent="0.25">
      <c r="A499" s="8"/>
      <c r="B499" s="8"/>
      <c r="C499" s="8"/>
      <c r="D499" s="8"/>
      <c r="E499" s="8"/>
      <c r="F499" s="8"/>
      <c r="G499" s="8"/>
      <c r="H499" s="8"/>
    </row>
    <row r="500" spans="1:8" x14ac:dyDescent="0.25">
      <c r="A500" s="8"/>
      <c r="B500" s="8"/>
      <c r="C500" s="8"/>
      <c r="D500" s="8"/>
      <c r="E500" s="8"/>
      <c r="F500" s="8"/>
      <c r="G500" s="8"/>
      <c r="H500" s="8"/>
    </row>
    <row r="501" spans="1:8" x14ac:dyDescent="0.25">
      <c r="A501" s="8"/>
      <c r="B501" s="8"/>
      <c r="C501" s="8"/>
      <c r="D501" s="8"/>
      <c r="E501" s="8"/>
      <c r="F501" s="8"/>
      <c r="G501" s="8"/>
      <c r="H501" s="8"/>
    </row>
    <row r="502" spans="1:8" x14ac:dyDescent="0.25">
      <c r="A502" s="8"/>
      <c r="B502" s="8"/>
      <c r="C502" s="8"/>
      <c r="D502" s="8"/>
      <c r="E502" s="8"/>
      <c r="F502" s="8"/>
      <c r="G502" s="8"/>
      <c r="H502" s="8"/>
    </row>
    <row r="503" spans="1:8" x14ac:dyDescent="0.25">
      <c r="A503" s="8"/>
      <c r="B503" s="8"/>
      <c r="C503" s="8"/>
      <c r="D503" s="8"/>
      <c r="E503" s="8"/>
      <c r="F503" s="8"/>
      <c r="G503" s="8"/>
      <c r="H503" s="8"/>
    </row>
    <row r="504" spans="1:8" x14ac:dyDescent="0.25">
      <c r="A504" s="8"/>
      <c r="B504" s="8"/>
      <c r="C504" s="8"/>
      <c r="D504" s="8"/>
      <c r="E504" s="8"/>
      <c r="F504" s="8"/>
      <c r="G504" s="8"/>
      <c r="H504" s="8"/>
    </row>
    <row r="505" spans="1:8" x14ac:dyDescent="0.25">
      <c r="A505" s="8"/>
      <c r="B505" s="8"/>
      <c r="C505" s="8"/>
      <c r="D505" s="8"/>
      <c r="E505" s="8"/>
      <c r="F505" s="8"/>
      <c r="G505" s="8"/>
      <c r="H505" s="8"/>
    </row>
    <row r="506" spans="1:8" x14ac:dyDescent="0.25">
      <c r="A506" s="8"/>
      <c r="B506" s="8"/>
      <c r="C506" s="8"/>
      <c r="D506" s="8"/>
      <c r="E506" s="8"/>
      <c r="F506" s="8"/>
      <c r="G506" s="8"/>
      <c r="H506" s="8"/>
    </row>
    <row r="507" spans="1:8" x14ac:dyDescent="0.25">
      <c r="A507" s="8"/>
      <c r="B507" s="8"/>
      <c r="C507" s="8"/>
      <c r="D507" s="8"/>
      <c r="E507" s="8"/>
      <c r="F507" s="8"/>
      <c r="G507" s="8"/>
      <c r="H507" s="8"/>
    </row>
    <row r="508" spans="1:8" x14ac:dyDescent="0.25">
      <c r="A508" s="8"/>
      <c r="B508" s="8"/>
      <c r="C508" s="8"/>
      <c r="D508" s="8"/>
      <c r="E508" s="8"/>
      <c r="F508" s="8"/>
      <c r="G508" s="8"/>
      <c r="H508" s="8"/>
    </row>
    <row r="509" spans="1:8" x14ac:dyDescent="0.25">
      <c r="A509" s="8"/>
      <c r="B509" s="8"/>
      <c r="C509" s="8"/>
      <c r="D509" s="8"/>
      <c r="E509" s="8"/>
      <c r="F509" s="8"/>
      <c r="G509" s="8"/>
      <c r="H509" s="8"/>
    </row>
    <row r="510" spans="1:8" x14ac:dyDescent="0.25">
      <c r="A510" s="8"/>
      <c r="B510" s="8"/>
      <c r="C510" s="8"/>
      <c r="D510" s="8"/>
      <c r="E510" s="8"/>
      <c r="F510" s="8"/>
      <c r="G510" s="8"/>
      <c r="H510" s="8"/>
    </row>
    <row r="511" spans="1:8" x14ac:dyDescent="0.25">
      <c r="A511" s="8"/>
      <c r="B511" s="8"/>
      <c r="C511" s="8"/>
      <c r="D511" s="8"/>
      <c r="E511" s="8"/>
      <c r="F511" s="8"/>
      <c r="G511" s="8"/>
      <c r="H511" s="8"/>
    </row>
    <row r="512" spans="1:8" x14ac:dyDescent="0.25">
      <c r="A512" s="8"/>
      <c r="B512" s="8"/>
      <c r="C512" s="8"/>
      <c r="D512" s="8"/>
      <c r="E512" s="8"/>
      <c r="F512" s="8"/>
      <c r="G512" s="8"/>
      <c r="H512" s="8"/>
    </row>
    <row r="513" spans="1:8" x14ac:dyDescent="0.25">
      <c r="A513" s="8"/>
      <c r="B513" s="8"/>
      <c r="C513" s="8"/>
      <c r="D513" s="8"/>
      <c r="E513" s="8"/>
      <c r="F513" s="8"/>
      <c r="G513" s="8"/>
      <c r="H513" s="8"/>
    </row>
    <row r="514" spans="1:8" x14ac:dyDescent="0.25">
      <c r="A514" s="8"/>
      <c r="B514" s="8"/>
      <c r="C514" s="8"/>
      <c r="D514" s="8"/>
      <c r="E514" s="8"/>
      <c r="F514" s="8"/>
      <c r="G514" s="8"/>
      <c r="H514" s="8"/>
    </row>
    <row r="515" spans="1:8" x14ac:dyDescent="0.25">
      <c r="A515" s="8"/>
      <c r="B515" s="8"/>
      <c r="C515" s="8"/>
      <c r="D515" s="8"/>
      <c r="E515" s="8"/>
      <c r="F515" s="8"/>
      <c r="G515" s="8"/>
      <c r="H515" s="8"/>
    </row>
    <row r="516" spans="1:8" x14ac:dyDescent="0.25">
      <c r="A516" s="8"/>
      <c r="B516" s="8"/>
      <c r="C516" s="8"/>
      <c r="D516" s="8"/>
      <c r="E516" s="8"/>
      <c r="F516" s="8"/>
      <c r="G516" s="8"/>
      <c r="H516" s="8"/>
    </row>
    <row r="517" spans="1:8" x14ac:dyDescent="0.25">
      <c r="A517" s="8"/>
      <c r="B517" s="8"/>
      <c r="C517" s="8"/>
      <c r="D517" s="8"/>
      <c r="E517" s="8"/>
      <c r="F517" s="8"/>
      <c r="G517" s="8"/>
      <c r="H517" s="8"/>
    </row>
    <row r="518" spans="1:8" x14ac:dyDescent="0.25">
      <c r="A518" s="8"/>
      <c r="B518" s="8"/>
      <c r="C518" s="8"/>
      <c r="D518" s="8"/>
      <c r="E518" s="8"/>
      <c r="F518" s="8"/>
      <c r="G518" s="8"/>
      <c r="H518" s="8"/>
    </row>
    <row r="519" spans="1:8" x14ac:dyDescent="0.25">
      <c r="A519" s="8"/>
      <c r="B519" s="8"/>
      <c r="C519" s="8"/>
      <c r="D519" s="8"/>
      <c r="E519" s="8"/>
      <c r="F519" s="8"/>
      <c r="G519" s="8"/>
      <c r="H519" s="8"/>
    </row>
    <row r="520" spans="1:8" x14ac:dyDescent="0.25">
      <c r="A520" s="8"/>
      <c r="B520" s="8"/>
      <c r="C520" s="8"/>
      <c r="D520" s="8"/>
      <c r="E520" s="8"/>
      <c r="F520" s="8"/>
      <c r="G520" s="8"/>
      <c r="H520" s="8"/>
    </row>
    <row r="521" spans="1:8" x14ac:dyDescent="0.25">
      <c r="A521" s="8"/>
      <c r="B521" s="8"/>
      <c r="C521" s="8"/>
      <c r="D521" s="8"/>
      <c r="E521" s="8"/>
      <c r="F521" s="8"/>
      <c r="G521" s="8"/>
      <c r="H521" s="8"/>
    </row>
    <row r="522" spans="1:8" x14ac:dyDescent="0.25">
      <c r="A522" s="8"/>
      <c r="B522" s="8"/>
      <c r="C522" s="8"/>
      <c r="D522" s="8"/>
      <c r="E522" s="8"/>
      <c r="F522" s="8"/>
      <c r="G522" s="8"/>
      <c r="H522" s="8"/>
    </row>
    <row r="523" spans="1:8" x14ac:dyDescent="0.25">
      <c r="A523" s="8"/>
      <c r="B523" s="8"/>
      <c r="C523" s="8"/>
      <c r="D523" s="8"/>
      <c r="E523" s="8"/>
      <c r="F523" s="8"/>
      <c r="G523" s="8"/>
      <c r="H523" s="8"/>
    </row>
    <row r="524" spans="1:8" x14ac:dyDescent="0.25">
      <c r="A524" s="8"/>
      <c r="B524" s="8"/>
      <c r="C524" s="8"/>
      <c r="D524" s="8"/>
      <c r="E524" s="8"/>
      <c r="F524" s="8"/>
      <c r="G524" s="8"/>
      <c r="H524" s="8"/>
    </row>
    <row r="525" spans="1:8" x14ac:dyDescent="0.25">
      <c r="A525" s="8"/>
      <c r="B525" s="8"/>
      <c r="C525" s="8"/>
      <c r="D525" s="8"/>
      <c r="E525" s="8"/>
      <c r="F525" s="8"/>
      <c r="G525" s="8"/>
      <c r="H525" s="8"/>
    </row>
    <row r="526" spans="1:8" x14ac:dyDescent="0.25">
      <c r="A526" s="8"/>
      <c r="B526" s="8"/>
      <c r="C526" s="8"/>
      <c r="D526" s="8"/>
      <c r="E526" s="8"/>
      <c r="F526" s="8"/>
      <c r="G526" s="8"/>
      <c r="H526" s="8"/>
    </row>
    <row r="527" spans="1:8" x14ac:dyDescent="0.25">
      <c r="A527" s="8"/>
      <c r="B527" s="8"/>
      <c r="C527" s="8"/>
      <c r="D527" s="8"/>
      <c r="E527" s="8"/>
      <c r="F527" s="8"/>
      <c r="G527" s="8"/>
      <c r="H527" s="8"/>
    </row>
    <row r="528" spans="1:8" x14ac:dyDescent="0.25">
      <c r="A528" s="8"/>
      <c r="B528" s="8"/>
      <c r="C528" s="8"/>
      <c r="D528" s="8"/>
      <c r="E528" s="8"/>
      <c r="F528" s="8"/>
      <c r="G528" s="8"/>
      <c r="H528" s="8"/>
    </row>
    <row r="529" spans="1:8" x14ac:dyDescent="0.25">
      <c r="A529" s="8"/>
      <c r="B529" s="8"/>
      <c r="C529" s="8"/>
      <c r="D529" s="8"/>
      <c r="E529" s="8"/>
      <c r="F529" s="8"/>
      <c r="G529" s="8"/>
      <c r="H529" s="8"/>
    </row>
    <row r="530" spans="1:8" x14ac:dyDescent="0.25">
      <c r="A530" s="8"/>
      <c r="B530" s="8"/>
      <c r="C530" s="8"/>
      <c r="D530" s="8"/>
      <c r="E530" s="8"/>
      <c r="F530" s="8"/>
      <c r="G530" s="8"/>
      <c r="H530" s="8"/>
    </row>
    <row r="531" spans="1:8" x14ac:dyDescent="0.25">
      <c r="A531" s="8"/>
      <c r="B531" s="8"/>
      <c r="C531" s="8"/>
      <c r="D531" s="8"/>
      <c r="E531" s="8"/>
      <c r="F531" s="8"/>
      <c r="G531" s="8"/>
      <c r="H531" s="8"/>
    </row>
    <row r="532" spans="1:8" x14ac:dyDescent="0.25">
      <c r="A532" s="8"/>
      <c r="B532" s="8"/>
      <c r="C532" s="8"/>
      <c r="D532" s="8"/>
      <c r="E532" s="8"/>
      <c r="F532" s="8"/>
      <c r="G532" s="8"/>
      <c r="H532" s="8"/>
    </row>
    <row r="533" spans="1:8" x14ac:dyDescent="0.25">
      <c r="A533" s="8"/>
      <c r="B533" s="8"/>
      <c r="C533" s="8"/>
      <c r="D533" s="8"/>
      <c r="E533" s="8"/>
      <c r="F533" s="8"/>
      <c r="G533" s="8"/>
      <c r="H533" s="8"/>
    </row>
    <row r="534" spans="1:8" x14ac:dyDescent="0.25">
      <c r="A534" s="8"/>
      <c r="B534" s="8"/>
      <c r="C534" s="8"/>
      <c r="D534" s="8"/>
      <c r="E534" s="8"/>
      <c r="F534" s="8"/>
      <c r="G534" s="8"/>
      <c r="H534" s="8"/>
    </row>
    <row r="535" spans="1:8" x14ac:dyDescent="0.25">
      <c r="A535" s="8"/>
      <c r="B535" s="8"/>
      <c r="C535" s="8"/>
      <c r="D535" s="8"/>
      <c r="E535" s="8"/>
      <c r="F535" s="8"/>
      <c r="G535" s="8"/>
      <c r="H535" s="8"/>
    </row>
    <row r="536" spans="1:8" x14ac:dyDescent="0.25">
      <c r="A536" s="8"/>
      <c r="B536" s="8"/>
      <c r="C536" s="8"/>
      <c r="D536" s="8"/>
      <c r="E536" s="8"/>
      <c r="F536" s="8"/>
      <c r="G536" s="8"/>
      <c r="H536" s="8"/>
    </row>
    <row r="537" spans="1:8" x14ac:dyDescent="0.25">
      <c r="A537" s="8"/>
      <c r="B537" s="8"/>
      <c r="C537" s="8"/>
      <c r="D537" s="8"/>
      <c r="E537" s="8"/>
      <c r="F537" s="8"/>
      <c r="G537" s="8"/>
      <c r="H537" s="8"/>
    </row>
    <row r="538" spans="1:8" x14ac:dyDescent="0.25">
      <c r="A538" s="8"/>
      <c r="B538" s="8"/>
      <c r="C538" s="8"/>
      <c r="D538" s="8"/>
      <c r="E538" s="8"/>
      <c r="F538" s="8"/>
      <c r="G538" s="8"/>
      <c r="H538" s="8"/>
    </row>
    <row r="539" spans="1:8" x14ac:dyDescent="0.25">
      <c r="A539" s="8"/>
      <c r="B539" s="8"/>
      <c r="C539" s="8"/>
      <c r="D539" s="8"/>
      <c r="E539" s="8"/>
      <c r="F539" s="8"/>
      <c r="G539" s="8"/>
      <c r="H539" s="8"/>
    </row>
    <row r="540" spans="1:8" x14ac:dyDescent="0.25">
      <c r="A540" s="8"/>
      <c r="B540" s="8"/>
      <c r="C540" s="8"/>
      <c r="D540" s="8"/>
      <c r="E540" s="8"/>
      <c r="F540" s="8"/>
      <c r="G540" s="8"/>
      <c r="H540" s="8"/>
    </row>
    <row r="541" spans="1:8" x14ac:dyDescent="0.25">
      <c r="A541" s="8"/>
      <c r="B541" s="8"/>
      <c r="C541" s="8"/>
      <c r="D541" s="8"/>
      <c r="E541" s="8"/>
      <c r="F541" s="8"/>
      <c r="G541" s="8"/>
      <c r="H541" s="8"/>
    </row>
    <row r="542" spans="1:8" x14ac:dyDescent="0.25">
      <c r="A542" s="8"/>
      <c r="B542" s="8"/>
      <c r="C542" s="8"/>
      <c r="D542" s="8"/>
      <c r="E542" s="8"/>
      <c r="F542" s="8"/>
      <c r="G542" s="8"/>
      <c r="H542" s="8"/>
    </row>
    <row r="543" spans="1:8" x14ac:dyDescent="0.25">
      <c r="A543" s="8"/>
      <c r="B543" s="8"/>
      <c r="C543" s="8"/>
      <c r="D543" s="8"/>
      <c r="E543" s="8"/>
      <c r="F543" s="8"/>
      <c r="G543" s="8"/>
      <c r="H543" s="8"/>
    </row>
    <row r="544" spans="1:8" x14ac:dyDescent="0.25">
      <c r="A544" s="8"/>
      <c r="B544" s="8"/>
      <c r="C544" s="8"/>
      <c r="D544" s="8"/>
      <c r="E544" s="8"/>
      <c r="F544" s="8"/>
      <c r="G544" s="8"/>
      <c r="H544" s="8"/>
    </row>
    <row r="545" spans="1:8" x14ac:dyDescent="0.25">
      <c r="A545" s="8"/>
      <c r="B545" s="8"/>
      <c r="C545" s="8"/>
      <c r="D545" s="8"/>
      <c r="E545" s="8"/>
      <c r="F545" s="8"/>
      <c r="G545" s="8"/>
      <c r="H545" s="8"/>
    </row>
    <row r="546" spans="1:8" x14ac:dyDescent="0.25">
      <c r="A546" s="8"/>
      <c r="B546" s="8"/>
      <c r="C546" s="8"/>
      <c r="D546" s="8"/>
      <c r="E546" s="8"/>
      <c r="F546" s="8"/>
      <c r="G546" s="8"/>
      <c r="H546" s="8"/>
    </row>
    <row r="547" spans="1:8" x14ac:dyDescent="0.25">
      <c r="A547" s="8"/>
      <c r="B547" s="8"/>
      <c r="C547" s="8"/>
      <c r="D547" s="8"/>
      <c r="E547" s="8"/>
      <c r="F547" s="8"/>
      <c r="G547" s="8"/>
      <c r="H547" s="8"/>
    </row>
    <row r="548" spans="1:8" x14ac:dyDescent="0.25">
      <c r="A548" s="8"/>
      <c r="B548" s="8"/>
      <c r="C548" s="8"/>
      <c r="D548" s="8"/>
      <c r="E548" s="8"/>
      <c r="F548" s="8"/>
      <c r="G548" s="8"/>
      <c r="H548" s="8"/>
    </row>
    <row r="549" spans="1:8" x14ac:dyDescent="0.25">
      <c r="A549" s="8"/>
      <c r="B549" s="8"/>
      <c r="C549" s="8"/>
      <c r="D549" s="8"/>
      <c r="E549" s="8"/>
      <c r="F549" s="8"/>
      <c r="G549" s="8"/>
      <c r="H549" s="8"/>
    </row>
    <row r="550" spans="1:8" x14ac:dyDescent="0.25">
      <c r="A550" s="8"/>
      <c r="B550" s="8"/>
      <c r="C550" s="8"/>
      <c r="D550" s="8"/>
      <c r="E550" s="8"/>
      <c r="F550" s="8"/>
      <c r="G550" s="8"/>
      <c r="H550" s="8"/>
    </row>
    <row r="551" spans="1:8" x14ac:dyDescent="0.25">
      <c r="A551" s="8"/>
      <c r="B551" s="8"/>
      <c r="C551" s="8"/>
      <c r="D551" s="8"/>
      <c r="E551" s="8"/>
      <c r="F551" s="8"/>
      <c r="G551" s="8"/>
      <c r="H551" s="8"/>
    </row>
    <row r="552" spans="1:8" x14ac:dyDescent="0.25">
      <c r="A552" s="8"/>
      <c r="B552" s="8"/>
      <c r="C552" s="8"/>
      <c r="D552" s="8"/>
      <c r="E552" s="8"/>
      <c r="F552" s="8"/>
      <c r="G552" s="8"/>
      <c r="H552" s="8"/>
    </row>
    <row r="553" spans="1:8" x14ac:dyDescent="0.25">
      <c r="A553" s="8"/>
      <c r="B553" s="8"/>
      <c r="C553" s="8"/>
      <c r="D553" s="8"/>
      <c r="E553" s="8"/>
      <c r="F553" s="8"/>
      <c r="G553" s="8"/>
      <c r="H553" s="8"/>
    </row>
    <row r="554" spans="1:8" x14ac:dyDescent="0.25">
      <c r="A554" s="8"/>
      <c r="B554" s="8"/>
      <c r="C554" s="8"/>
      <c r="D554" s="8"/>
      <c r="E554" s="8"/>
      <c r="F554" s="8"/>
      <c r="G554" s="8"/>
      <c r="H554" s="8"/>
    </row>
    <row r="555" spans="1:8" x14ac:dyDescent="0.25">
      <c r="A555" s="8"/>
      <c r="B555" s="8"/>
      <c r="C555" s="8"/>
      <c r="D555" s="8"/>
      <c r="E555" s="8"/>
      <c r="F555" s="8"/>
      <c r="G555" s="8"/>
      <c r="H555" s="8"/>
    </row>
    <row r="556" spans="1:8" x14ac:dyDescent="0.25">
      <c r="A556" s="8"/>
      <c r="B556" s="8"/>
      <c r="C556" s="8"/>
      <c r="D556" s="8"/>
      <c r="E556" s="8"/>
      <c r="F556" s="8"/>
      <c r="G556" s="8"/>
      <c r="H556" s="8"/>
    </row>
    <row r="557" spans="1:8" x14ac:dyDescent="0.25">
      <c r="A557" s="8"/>
      <c r="B557" s="8"/>
      <c r="C557" s="8"/>
      <c r="D557" s="8"/>
      <c r="E557" s="8"/>
      <c r="F557" s="8"/>
      <c r="G557" s="8"/>
      <c r="H557" s="8"/>
    </row>
    <row r="558" spans="1:8" x14ac:dyDescent="0.25">
      <c r="A558" s="8"/>
      <c r="B558" s="8"/>
      <c r="C558" s="8"/>
      <c r="D558" s="8"/>
      <c r="E558" s="8"/>
      <c r="F558" s="8"/>
      <c r="G558" s="8"/>
      <c r="H558" s="8"/>
    </row>
    <row r="559" spans="1:8" x14ac:dyDescent="0.25">
      <c r="A559" s="8"/>
      <c r="B559" s="8"/>
      <c r="C559" s="8"/>
      <c r="D559" s="8"/>
      <c r="E559" s="8"/>
      <c r="F559" s="8"/>
      <c r="G559" s="8"/>
      <c r="H559" s="8"/>
    </row>
    <row r="560" spans="1:8" x14ac:dyDescent="0.25">
      <c r="A560" s="8"/>
      <c r="B560" s="8"/>
      <c r="C560" s="8"/>
      <c r="D560" s="8"/>
      <c r="E560" s="8"/>
      <c r="F560" s="8"/>
      <c r="G560" s="8"/>
      <c r="H560" s="8"/>
    </row>
    <row r="561" spans="1:8" x14ac:dyDescent="0.25">
      <c r="A561" s="8"/>
      <c r="B561" s="8"/>
      <c r="C561" s="8"/>
      <c r="D561" s="8"/>
      <c r="E561" s="8"/>
      <c r="F561" s="8"/>
      <c r="G561" s="8"/>
      <c r="H561" s="8"/>
    </row>
    <row r="562" spans="1:8" x14ac:dyDescent="0.25">
      <c r="A562" s="8"/>
      <c r="B562" s="8"/>
      <c r="C562" s="8"/>
      <c r="D562" s="8"/>
      <c r="E562" s="8"/>
      <c r="F562" s="8"/>
      <c r="G562" s="8"/>
      <c r="H562" s="8"/>
    </row>
    <row r="563" spans="1:8" x14ac:dyDescent="0.25">
      <c r="A563" s="8"/>
      <c r="B563" s="8"/>
      <c r="C563" s="8"/>
      <c r="D563" s="8"/>
      <c r="E563" s="8"/>
      <c r="F563" s="8"/>
      <c r="G563" s="8"/>
      <c r="H563" s="8"/>
    </row>
    <row r="564" spans="1:8" x14ac:dyDescent="0.25">
      <c r="A564" s="8"/>
      <c r="B564" s="8"/>
      <c r="C564" s="8"/>
      <c r="D564" s="8"/>
      <c r="E564" s="8"/>
      <c r="F564" s="8"/>
      <c r="G564" s="8"/>
      <c r="H564" s="8"/>
    </row>
    <row r="565" spans="1:8" x14ac:dyDescent="0.25">
      <c r="A565" s="8"/>
      <c r="B565" s="8"/>
      <c r="C565" s="8"/>
      <c r="D565" s="8"/>
      <c r="E565" s="8"/>
      <c r="F565" s="8"/>
      <c r="G565" s="8"/>
      <c r="H565" s="8"/>
    </row>
    <row r="566" spans="1:8" x14ac:dyDescent="0.25">
      <c r="A566" s="8"/>
      <c r="B566" s="8"/>
      <c r="C566" s="8"/>
      <c r="D566" s="8"/>
      <c r="E566" s="8"/>
      <c r="F566" s="8"/>
      <c r="G566" s="8"/>
      <c r="H566" s="8"/>
    </row>
    <row r="567" spans="1:8" x14ac:dyDescent="0.25">
      <c r="A567" s="8"/>
      <c r="B567" s="8"/>
      <c r="C567" s="8"/>
      <c r="D567" s="8"/>
      <c r="E567" s="8"/>
      <c r="F567" s="8"/>
      <c r="G567" s="8"/>
      <c r="H567" s="8"/>
    </row>
    <row r="568" spans="1:8" x14ac:dyDescent="0.25">
      <c r="A568" s="8"/>
      <c r="B568" s="8"/>
      <c r="C568" s="8"/>
      <c r="D568" s="8"/>
      <c r="E568" s="8"/>
      <c r="F568" s="8"/>
      <c r="G568" s="8"/>
      <c r="H568" s="8"/>
    </row>
    <row r="569" spans="1:8" x14ac:dyDescent="0.25">
      <c r="A569" s="8"/>
      <c r="B569" s="8"/>
      <c r="C569" s="8"/>
      <c r="D569" s="8"/>
      <c r="E569" s="8"/>
      <c r="F569" s="8"/>
      <c r="G569" s="8"/>
      <c r="H569" s="8"/>
    </row>
    <row r="570" spans="1:8" x14ac:dyDescent="0.25">
      <c r="A570" s="8"/>
      <c r="B570" s="8"/>
      <c r="C570" s="8"/>
      <c r="D570" s="8"/>
      <c r="E570" s="8"/>
      <c r="F570" s="8"/>
      <c r="G570" s="8"/>
      <c r="H570" s="8"/>
    </row>
    <row r="571" spans="1:8" x14ac:dyDescent="0.25">
      <c r="A571" s="8"/>
      <c r="B571" s="8"/>
      <c r="C571" s="8"/>
      <c r="D571" s="8"/>
      <c r="E571" s="8"/>
      <c r="F571" s="8"/>
      <c r="G571" s="8"/>
      <c r="H571" s="8"/>
    </row>
    <row r="572" spans="1:8" x14ac:dyDescent="0.25">
      <c r="A572" s="8"/>
      <c r="B572" s="8"/>
      <c r="C572" s="8"/>
      <c r="D572" s="8"/>
      <c r="E572" s="8"/>
      <c r="F572" s="8"/>
      <c r="G572" s="8"/>
      <c r="H572" s="8"/>
    </row>
    <row r="573" spans="1:8" x14ac:dyDescent="0.25">
      <c r="A573" s="8"/>
      <c r="B573" s="8"/>
      <c r="C573" s="8"/>
      <c r="D573" s="8"/>
      <c r="E573" s="8"/>
      <c r="F573" s="8"/>
      <c r="G573" s="8"/>
      <c r="H573" s="8"/>
    </row>
    <row r="574" spans="1:8" x14ac:dyDescent="0.25">
      <c r="A574" s="8"/>
      <c r="B574" s="8"/>
      <c r="C574" s="8"/>
      <c r="D574" s="8"/>
      <c r="E574" s="8"/>
      <c r="F574" s="8"/>
      <c r="G574" s="8"/>
      <c r="H574" s="8"/>
    </row>
    <row r="575" spans="1:8" x14ac:dyDescent="0.25">
      <c r="A575" s="8"/>
      <c r="B575" s="8"/>
      <c r="C575" s="8"/>
      <c r="D575" s="8"/>
      <c r="E575" s="8"/>
      <c r="F575" s="8"/>
      <c r="G575" s="8"/>
      <c r="H575" s="8"/>
    </row>
    <row r="576" spans="1:8" x14ac:dyDescent="0.25">
      <c r="A576" s="8"/>
      <c r="B576" s="8"/>
      <c r="C576" s="8"/>
      <c r="D576" s="8"/>
      <c r="E576" s="8"/>
      <c r="F576" s="8"/>
      <c r="G576" s="8"/>
      <c r="H576" s="8"/>
    </row>
    <row r="577" spans="1:8" x14ac:dyDescent="0.25">
      <c r="A577" s="8"/>
      <c r="B577" s="8"/>
      <c r="C577" s="8"/>
      <c r="D577" s="8"/>
      <c r="E577" s="8"/>
      <c r="F577" s="8"/>
      <c r="G577" s="8"/>
      <c r="H577" s="8"/>
    </row>
    <row r="578" spans="1:8" x14ac:dyDescent="0.25">
      <c r="A578" s="8"/>
      <c r="B578" s="8"/>
      <c r="C578" s="8"/>
      <c r="D578" s="8"/>
      <c r="E578" s="8"/>
      <c r="F578" s="8"/>
      <c r="G578" s="8"/>
      <c r="H578" s="8"/>
    </row>
    <row r="579" spans="1:8" x14ac:dyDescent="0.25">
      <c r="A579" s="8"/>
      <c r="B579" s="8"/>
      <c r="C579" s="8"/>
      <c r="D579" s="8"/>
      <c r="E579" s="8"/>
      <c r="F579" s="8"/>
      <c r="G579" s="8"/>
      <c r="H579" s="8"/>
    </row>
    <row r="580" spans="1:8" x14ac:dyDescent="0.25">
      <c r="A580" s="8"/>
      <c r="B580" s="8"/>
      <c r="C580" s="8"/>
      <c r="D580" s="8"/>
      <c r="E580" s="8"/>
      <c r="F580" s="8"/>
      <c r="G580" s="8"/>
      <c r="H580" s="8"/>
    </row>
    <row r="581" spans="1:8" x14ac:dyDescent="0.25">
      <c r="A581" s="8"/>
      <c r="B581" s="8"/>
      <c r="C581" s="8"/>
      <c r="D581" s="8"/>
      <c r="E581" s="8"/>
      <c r="F581" s="8"/>
      <c r="G581" s="8"/>
      <c r="H581" s="8"/>
    </row>
    <row r="582" spans="1:8" x14ac:dyDescent="0.25">
      <c r="A582" s="8"/>
      <c r="B582" s="8"/>
      <c r="C582" s="8"/>
      <c r="D582" s="8"/>
      <c r="E582" s="8"/>
      <c r="F582" s="8"/>
      <c r="G582" s="8"/>
      <c r="H582" s="8"/>
    </row>
    <row r="583" spans="1:8" x14ac:dyDescent="0.25">
      <c r="A583" s="8"/>
      <c r="B583" s="8"/>
      <c r="C583" s="8"/>
      <c r="D583" s="8"/>
      <c r="E583" s="8"/>
      <c r="F583" s="8"/>
      <c r="G583" s="8"/>
      <c r="H583" s="8"/>
    </row>
    <row r="584" spans="1:8" x14ac:dyDescent="0.25">
      <c r="A584" s="8"/>
      <c r="B584" s="8"/>
      <c r="C584" s="8"/>
      <c r="D584" s="8"/>
      <c r="E584" s="8"/>
      <c r="F584" s="8"/>
      <c r="G584" s="8"/>
      <c r="H584" s="8"/>
    </row>
    <row r="585" spans="1:8" x14ac:dyDescent="0.25">
      <c r="A585" s="8"/>
      <c r="B585" s="8"/>
      <c r="C585" s="8"/>
      <c r="D585" s="8"/>
      <c r="E585" s="8"/>
      <c r="F585" s="8"/>
      <c r="G585" s="8"/>
      <c r="H585" s="8"/>
    </row>
    <row r="586" spans="1:8" x14ac:dyDescent="0.25">
      <c r="A586" s="8"/>
      <c r="B586" s="8"/>
      <c r="C586" s="8"/>
      <c r="D586" s="8"/>
      <c r="E586" s="8"/>
      <c r="F586" s="8"/>
      <c r="G586" s="8"/>
      <c r="H586" s="8"/>
    </row>
    <row r="587" spans="1:8" x14ac:dyDescent="0.25">
      <c r="A587" s="8"/>
      <c r="B587" s="8"/>
      <c r="C587" s="8"/>
      <c r="D587" s="8"/>
      <c r="E587" s="8"/>
      <c r="F587" s="8"/>
      <c r="G587" s="8"/>
      <c r="H587" s="8"/>
    </row>
    <row r="588" spans="1:8" x14ac:dyDescent="0.25">
      <c r="A588" s="8"/>
      <c r="B588" s="8"/>
      <c r="C588" s="8"/>
      <c r="D588" s="8"/>
      <c r="E588" s="8"/>
      <c r="F588" s="8"/>
      <c r="G588" s="8"/>
      <c r="H588" s="8"/>
    </row>
    <row r="589" spans="1:8" x14ac:dyDescent="0.25">
      <c r="A589" s="8"/>
      <c r="B589" s="8"/>
      <c r="C589" s="8"/>
      <c r="D589" s="8"/>
      <c r="E589" s="8"/>
      <c r="F589" s="8"/>
      <c r="G589" s="8"/>
      <c r="H589" s="8"/>
    </row>
    <row r="590" spans="1:8" x14ac:dyDescent="0.25">
      <c r="A590" s="8"/>
      <c r="B590" s="8"/>
      <c r="C590" s="8"/>
      <c r="D590" s="8"/>
      <c r="E590" s="8"/>
      <c r="F590" s="8"/>
      <c r="G590" s="8"/>
      <c r="H590" s="8"/>
    </row>
    <row r="591" spans="1:8" x14ac:dyDescent="0.25">
      <c r="A591" s="8"/>
      <c r="B591" s="8"/>
      <c r="C591" s="8"/>
      <c r="D591" s="8"/>
      <c r="E591" s="8"/>
      <c r="F591" s="8"/>
      <c r="G591" s="8"/>
      <c r="H591" s="8"/>
    </row>
    <row r="592" spans="1:8" x14ac:dyDescent="0.25">
      <c r="A592" s="8"/>
      <c r="B592" s="8"/>
      <c r="C592" s="8"/>
      <c r="D592" s="8"/>
      <c r="E592" s="8"/>
      <c r="F592" s="8"/>
      <c r="G592" s="8"/>
      <c r="H592" s="8"/>
    </row>
    <row r="593" spans="1:8" x14ac:dyDescent="0.25">
      <c r="A593" s="8"/>
      <c r="B593" s="8"/>
      <c r="C593" s="8"/>
      <c r="D593" s="8"/>
      <c r="E593" s="8"/>
      <c r="F593" s="8"/>
      <c r="G593" s="8"/>
      <c r="H593" s="8"/>
    </row>
    <row r="594" spans="1:8" x14ac:dyDescent="0.25">
      <c r="A594" s="8"/>
      <c r="B594" s="8"/>
      <c r="C594" s="8"/>
      <c r="D594" s="8"/>
      <c r="E594" s="8"/>
      <c r="F594" s="8"/>
      <c r="G594" s="8"/>
      <c r="H594" s="8"/>
    </row>
    <row r="595" spans="1:8" x14ac:dyDescent="0.25">
      <c r="A595" s="8"/>
      <c r="B595" s="8"/>
      <c r="C595" s="8"/>
      <c r="D595" s="8"/>
      <c r="E595" s="8"/>
      <c r="F595" s="8"/>
      <c r="G595" s="8"/>
      <c r="H595" s="8"/>
    </row>
    <row r="596" spans="1:8" x14ac:dyDescent="0.25">
      <c r="A596" s="8"/>
      <c r="B596" s="8"/>
      <c r="C596" s="8"/>
      <c r="D596" s="8"/>
      <c r="E596" s="8"/>
      <c r="F596" s="8"/>
      <c r="G596" s="8"/>
      <c r="H596" s="8"/>
    </row>
    <row r="597" spans="1:8" x14ac:dyDescent="0.25">
      <c r="A597" s="8"/>
      <c r="B597" s="8"/>
      <c r="C597" s="8"/>
      <c r="D597" s="8"/>
      <c r="E597" s="8"/>
      <c r="F597" s="8"/>
      <c r="G597" s="8"/>
      <c r="H597" s="8"/>
    </row>
    <row r="598" spans="1:8" x14ac:dyDescent="0.25">
      <c r="A598" s="8"/>
      <c r="B598" s="8"/>
      <c r="C598" s="8"/>
      <c r="D598" s="8"/>
      <c r="E598" s="8"/>
      <c r="F598" s="8"/>
      <c r="G598" s="8"/>
      <c r="H598" s="8"/>
    </row>
    <row r="599" spans="1:8" x14ac:dyDescent="0.25">
      <c r="A599" s="8"/>
      <c r="B599" s="8"/>
      <c r="C599" s="8"/>
      <c r="D599" s="8"/>
      <c r="E599" s="8"/>
      <c r="F599" s="8"/>
      <c r="G599" s="8"/>
      <c r="H599" s="8"/>
    </row>
    <row r="600" spans="1:8" x14ac:dyDescent="0.25">
      <c r="A600" s="8"/>
      <c r="B600" s="8"/>
      <c r="C600" s="8"/>
      <c r="D600" s="8"/>
      <c r="E600" s="8"/>
      <c r="F600" s="8"/>
      <c r="G600" s="8"/>
      <c r="H600" s="8"/>
    </row>
    <row r="601" spans="1:8" x14ac:dyDescent="0.25">
      <c r="A601" s="8"/>
      <c r="B601" s="8"/>
      <c r="C601" s="8"/>
      <c r="D601" s="8"/>
      <c r="E601" s="8"/>
      <c r="F601" s="8"/>
      <c r="G601" s="8"/>
      <c r="H601" s="8"/>
    </row>
    <row r="602" spans="1:8" x14ac:dyDescent="0.25">
      <c r="A602" s="8"/>
      <c r="B602" s="8"/>
      <c r="C602" s="8"/>
      <c r="D602" s="8"/>
      <c r="E602" s="8"/>
      <c r="F602" s="8"/>
      <c r="G602" s="8"/>
      <c r="H602" s="8"/>
    </row>
    <row r="603" spans="1:8" x14ac:dyDescent="0.25">
      <c r="A603" s="8"/>
      <c r="B603" s="8"/>
      <c r="C603" s="8"/>
      <c r="D603" s="8"/>
      <c r="E603" s="8"/>
      <c r="F603" s="8"/>
      <c r="G603" s="8"/>
      <c r="H603" s="8"/>
    </row>
    <row r="604" spans="1:8" x14ac:dyDescent="0.25">
      <c r="A604" s="8"/>
      <c r="B604" s="8"/>
      <c r="C604" s="8"/>
      <c r="D604" s="8"/>
      <c r="E604" s="8"/>
      <c r="F604" s="8"/>
      <c r="G604" s="8"/>
      <c r="H604" s="8"/>
    </row>
    <row r="605" spans="1:8" x14ac:dyDescent="0.25">
      <c r="A605" s="8"/>
      <c r="B605" s="8"/>
      <c r="C605" s="8"/>
      <c r="D605" s="8"/>
      <c r="E605" s="8"/>
      <c r="F605" s="8"/>
      <c r="G605" s="8"/>
      <c r="H605" s="8"/>
    </row>
    <row r="606" spans="1:8" x14ac:dyDescent="0.25">
      <c r="A606" s="8"/>
      <c r="B606" s="8"/>
      <c r="C606" s="8"/>
      <c r="D606" s="8"/>
      <c r="E606" s="8"/>
      <c r="F606" s="8"/>
      <c r="G606" s="8"/>
      <c r="H606" s="8"/>
    </row>
    <row r="607" spans="1:8" x14ac:dyDescent="0.25">
      <c r="A607" s="8"/>
      <c r="B607" s="8"/>
      <c r="C607" s="8"/>
      <c r="D607" s="8"/>
      <c r="E607" s="8"/>
      <c r="F607" s="8"/>
      <c r="G607" s="8"/>
      <c r="H607" s="8"/>
    </row>
    <row r="608" spans="1:8" x14ac:dyDescent="0.25">
      <c r="A608" s="8"/>
      <c r="B608" s="8"/>
      <c r="C608" s="8"/>
      <c r="D608" s="8"/>
      <c r="E608" s="8"/>
      <c r="F608" s="8"/>
      <c r="G608" s="8"/>
      <c r="H608" s="8"/>
    </row>
    <row r="609" spans="1:8" x14ac:dyDescent="0.25">
      <c r="A609" s="8"/>
      <c r="B609" s="8"/>
      <c r="C609" s="8"/>
      <c r="D609" s="8"/>
      <c r="E609" s="8"/>
      <c r="F609" s="8"/>
      <c r="G609" s="8"/>
      <c r="H609" s="8"/>
    </row>
    <row r="610" spans="1:8" x14ac:dyDescent="0.25">
      <c r="A610" s="8"/>
      <c r="B610" s="8"/>
      <c r="C610" s="8"/>
      <c r="D610" s="8"/>
      <c r="E610" s="8"/>
      <c r="F610" s="8"/>
      <c r="G610" s="8"/>
      <c r="H610" s="8"/>
    </row>
    <row r="611" spans="1:8" x14ac:dyDescent="0.25">
      <c r="A611" s="8"/>
      <c r="B611" s="8"/>
      <c r="C611" s="8"/>
      <c r="D611" s="8"/>
      <c r="E611" s="8"/>
      <c r="F611" s="8"/>
      <c r="G611" s="8"/>
      <c r="H611" s="8"/>
    </row>
    <row r="612" spans="1:8" x14ac:dyDescent="0.25">
      <c r="A612" s="8"/>
      <c r="B612" s="8"/>
      <c r="C612" s="8"/>
      <c r="D612" s="8"/>
      <c r="E612" s="8"/>
      <c r="F612" s="8"/>
      <c r="G612" s="8"/>
      <c r="H612" s="8"/>
    </row>
    <row r="613" spans="1:8" x14ac:dyDescent="0.25">
      <c r="A613" s="8"/>
      <c r="B613" s="8"/>
      <c r="C613" s="8"/>
      <c r="D613" s="8"/>
      <c r="E613" s="8"/>
      <c r="F613" s="8"/>
      <c r="G613" s="8"/>
      <c r="H613" s="8"/>
    </row>
    <row r="614" spans="1:8" x14ac:dyDescent="0.25">
      <c r="A614" s="8"/>
      <c r="B614" s="8"/>
      <c r="C614" s="8"/>
      <c r="D614" s="8"/>
      <c r="E614" s="8"/>
      <c r="F614" s="8"/>
      <c r="G614" s="8"/>
      <c r="H614" s="8"/>
    </row>
    <row r="615" spans="1:8" x14ac:dyDescent="0.25">
      <c r="A615" s="8"/>
      <c r="B615" s="8"/>
      <c r="C615" s="8"/>
      <c r="D615" s="8"/>
      <c r="E615" s="8"/>
      <c r="F615" s="8"/>
      <c r="G615" s="8"/>
      <c r="H615" s="8"/>
    </row>
    <row r="616" spans="1:8" x14ac:dyDescent="0.25">
      <c r="A616" s="8"/>
      <c r="B616" s="8"/>
      <c r="C616" s="8"/>
      <c r="D616" s="8"/>
      <c r="E616" s="8"/>
      <c r="F616" s="8"/>
      <c r="G616" s="8"/>
      <c r="H616" s="8"/>
    </row>
    <row r="617" spans="1:8" x14ac:dyDescent="0.25">
      <c r="A617" s="8"/>
      <c r="B617" s="8"/>
      <c r="C617" s="8"/>
      <c r="D617" s="8"/>
      <c r="E617" s="8"/>
      <c r="F617" s="8"/>
      <c r="G617" s="8"/>
      <c r="H617" s="8"/>
    </row>
    <row r="618" spans="1:8" x14ac:dyDescent="0.25">
      <c r="A618" s="8"/>
      <c r="B618" s="8"/>
      <c r="C618" s="8"/>
      <c r="D618" s="8"/>
      <c r="E618" s="8"/>
      <c r="F618" s="8"/>
      <c r="G618" s="8"/>
      <c r="H618" s="8"/>
    </row>
    <row r="619" spans="1:8" x14ac:dyDescent="0.25">
      <c r="A619" s="8"/>
      <c r="B619" s="8"/>
      <c r="C619" s="8"/>
      <c r="D619" s="8"/>
      <c r="E619" s="8"/>
      <c r="F619" s="8"/>
      <c r="G619" s="8"/>
      <c r="H619" s="8"/>
    </row>
    <row r="620" spans="1:8" x14ac:dyDescent="0.25">
      <c r="A620" s="8"/>
      <c r="B620" s="8"/>
      <c r="C620" s="8"/>
      <c r="D620" s="8"/>
      <c r="E620" s="8"/>
      <c r="F620" s="8"/>
      <c r="G620" s="8"/>
      <c r="H620" s="8"/>
    </row>
    <row r="621" spans="1:8" x14ac:dyDescent="0.25">
      <c r="A621" s="8"/>
      <c r="B621" s="8"/>
      <c r="C621" s="8"/>
      <c r="D621" s="8"/>
      <c r="E621" s="8"/>
      <c r="F621" s="8"/>
      <c r="G621" s="8"/>
      <c r="H621" s="8"/>
    </row>
    <row r="622" spans="1:8" x14ac:dyDescent="0.25">
      <c r="A622" s="8"/>
      <c r="B622" s="8"/>
      <c r="C622" s="8"/>
      <c r="D622" s="8"/>
      <c r="E622" s="8"/>
      <c r="F622" s="8"/>
      <c r="G622" s="8"/>
      <c r="H622" s="8"/>
    </row>
    <row r="623" spans="1:8" x14ac:dyDescent="0.25">
      <c r="A623" s="8"/>
      <c r="B623" s="8"/>
      <c r="C623" s="8"/>
      <c r="D623" s="8"/>
      <c r="E623" s="8"/>
      <c r="F623" s="8"/>
      <c r="G623" s="8"/>
      <c r="H623" s="8"/>
    </row>
    <row r="624" spans="1:8" x14ac:dyDescent="0.25">
      <c r="A624" s="8"/>
      <c r="B624" s="8"/>
      <c r="C624" s="8"/>
      <c r="D624" s="8"/>
      <c r="E624" s="8"/>
      <c r="F624" s="8"/>
      <c r="G624" s="8"/>
      <c r="H624" s="8"/>
    </row>
    <row r="625" spans="1:8" x14ac:dyDescent="0.25">
      <c r="A625" s="8"/>
      <c r="B625" s="8"/>
      <c r="C625" s="8"/>
      <c r="D625" s="8"/>
      <c r="E625" s="8"/>
      <c r="F625" s="8"/>
      <c r="G625" s="8"/>
      <c r="H625" s="8"/>
    </row>
    <row r="626" spans="1:8" x14ac:dyDescent="0.25">
      <c r="A626" s="8"/>
      <c r="B626" s="8"/>
      <c r="C626" s="8"/>
      <c r="D626" s="8"/>
      <c r="E626" s="8"/>
      <c r="F626" s="8"/>
      <c r="G626" s="8"/>
      <c r="H626" s="8"/>
    </row>
    <row r="627" spans="1:8" x14ac:dyDescent="0.25">
      <c r="A627" s="8"/>
      <c r="B627" s="8"/>
      <c r="C627" s="8"/>
      <c r="D627" s="8"/>
      <c r="E627" s="8"/>
      <c r="F627" s="8"/>
      <c r="G627" s="8"/>
      <c r="H627" s="8"/>
    </row>
    <row r="628" spans="1:8" x14ac:dyDescent="0.25">
      <c r="A628" s="8"/>
      <c r="B628" s="8"/>
      <c r="C628" s="8"/>
      <c r="D628" s="8"/>
      <c r="E628" s="8"/>
      <c r="F628" s="8"/>
      <c r="G628" s="8"/>
      <c r="H628" s="8"/>
    </row>
    <row r="629" spans="1:8" x14ac:dyDescent="0.25">
      <c r="A629" s="8"/>
      <c r="B629" s="8"/>
      <c r="C629" s="8"/>
      <c r="D629" s="8"/>
      <c r="E629" s="8"/>
      <c r="F629" s="8"/>
      <c r="G629" s="8"/>
      <c r="H629" s="8"/>
    </row>
    <row r="630" spans="1:8" x14ac:dyDescent="0.25">
      <c r="A630" s="8"/>
      <c r="B630" s="8"/>
      <c r="C630" s="8"/>
      <c r="D630" s="8"/>
      <c r="E630" s="8"/>
      <c r="F630" s="8"/>
      <c r="G630" s="8"/>
      <c r="H630" s="8"/>
    </row>
    <row r="631" spans="1:8" x14ac:dyDescent="0.25">
      <c r="A631" s="8"/>
      <c r="B631" s="8"/>
      <c r="C631" s="8"/>
      <c r="D631" s="8"/>
      <c r="E631" s="8"/>
      <c r="F631" s="8"/>
      <c r="G631" s="8"/>
      <c r="H631" s="8"/>
    </row>
    <row r="632" spans="1:8" x14ac:dyDescent="0.25">
      <c r="A632" s="8"/>
      <c r="B632" s="8"/>
      <c r="C632" s="8"/>
      <c r="D632" s="8"/>
      <c r="E632" s="8"/>
      <c r="F632" s="8"/>
      <c r="G632" s="8"/>
      <c r="H632" s="8"/>
    </row>
    <row r="633" spans="1:8" x14ac:dyDescent="0.25">
      <c r="A633" s="8"/>
      <c r="B633" s="8"/>
      <c r="C633" s="8"/>
      <c r="D633" s="8"/>
      <c r="E633" s="8"/>
      <c r="F633" s="8"/>
      <c r="G633" s="8"/>
      <c r="H633" s="8"/>
    </row>
    <row r="634" spans="1:8" x14ac:dyDescent="0.25">
      <c r="A634" s="8"/>
      <c r="B634" s="8"/>
      <c r="C634" s="8"/>
      <c r="D634" s="8"/>
      <c r="E634" s="8"/>
      <c r="F634" s="8"/>
      <c r="G634" s="8"/>
      <c r="H634" s="8"/>
    </row>
    <row r="635" spans="1:8" x14ac:dyDescent="0.25">
      <c r="A635" s="8"/>
      <c r="B635" s="8"/>
      <c r="C635" s="8"/>
      <c r="D635" s="8"/>
      <c r="E635" s="8"/>
      <c r="F635" s="8"/>
      <c r="G635" s="8"/>
      <c r="H635" s="8"/>
    </row>
    <row r="636" spans="1:8" x14ac:dyDescent="0.25">
      <c r="A636" s="8"/>
      <c r="B636" s="8"/>
      <c r="C636" s="8"/>
      <c r="D636" s="8"/>
      <c r="E636" s="8"/>
      <c r="F636" s="8"/>
      <c r="G636" s="8"/>
      <c r="H636" s="8"/>
    </row>
    <row r="637" spans="1:8" x14ac:dyDescent="0.25">
      <c r="A637" s="8"/>
      <c r="B637" s="8"/>
      <c r="C637" s="8"/>
      <c r="D637" s="8"/>
      <c r="E637" s="8"/>
      <c r="F637" s="8"/>
      <c r="G637" s="8"/>
      <c r="H637" s="8"/>
    </row>
    <row r="638" spans="1:8" x14ac:dyDescent="0.25">
      <c r="A638" s="8"/>
      <c r="B638" s="8"/>
      <c r="C638" s="8"/>
      <c r="D638" s="8"/>
      <c r="E638" s="8"/>
      <c r="F638" s="8"/>
      <c r="G638" s="8"/>
      <c r="H638" s="8"/>
    </row>
    <row r="639" spans="1:8" x14ac:dyDescent="0.25">
      <c r="A639" s="8"/>
      <c r="B639" s="8"/>
      <c r="C639" s="8"/>
      <c r="D639" s="8"/>
      <c r="E639" s="8"/>
      <c r="F639" s="8"/>
      <c r="G639" s="8"/>
      <c r="H639" s="8"/>
    </row>
    <row r="640" spans="1:8" x14ac:dyDescent="0.25">
      <c r="A640" s="8"/>
      <c r="B640" s="8"/>
      <c r="C640" s="8"/>
      <c r="D640" s="8"/>
      <c r="E640" s="8"/>
      <c r="F640" s="8"/>
      <c r="G640" s="8"/>
      <c r="H640" s="8"/>
    </row>
    <row r="641" spans="1:8" x14ac:dyDescent="0.25">
      <c r="A641" s="8"/>
      <c r="B641" s="8"/>
      <c r="C641" s="8"/>
      <c r="D641" s="8"/>
      <c r="E641" s="8"/>
      <c r="F641" s="8"/>
      <c r="G641" s="8"/>
      <c r="H641" s="8"/>
    </row>
    <row r="642" spans="1:8" x14ac:dyDescent="0.25">
      <c r="A642" s="8"/>
      <c r="B642" s="8"/>
      <c r="C642" s="8"/>
      <c r="D642" s="8"/>
      <c r="E642" s="8"/>
      <c r="F642" s="8"/>
      <c r="G642" s="8"/>
      <c r="H642" s="8"/>
    </row>
    <row r="643" spans="1:8" x14ac:dyDescent="0.25">
      <c r="A643" s="8"/>
      <c r="B643" s="8"/>
      <c r="C643" s="8"/>
      <c r="D643" s="8"/>
      <c r="E643" s="8"/>
      <c r="F643" s="8"/>
      <c r="G643" s="8"/>
      <c r="H643" s="8"/>
    </row>
    <row r="644" spans="1:8" x14ac:dyDescent="0.25">
      <c r="A644" s="8"/>
      <c r="B644" s="8"/>
      <c r="C644" s="8"/>
      <c r="D644" s="8"/>
      <c r="E644" s="8"/>
      <c r="F644" s="8"/>
      <c r="G644" s="8"/>
      <c r="H644" s="8"/>
    </row>
    <row r="645" spans="1:8" x14ac:dyDescent="0.25">
      <c r="A645" s="8"/>
      <c r="B645" s="8"/>
      <c r="C645" s="8"/>
      <c r="D645" s="8"/>
      <c r="E645" s="8"/>
      <c r="F645" s="8"/>
      <c r="G645" s="8"/>
      <c r="H645" s="8"/>
    </row>
    <row r="646" spans="1:8" x14ac:dyDescent="0.25">
      <c r="A646" s="8"/>
      <c r="B646" s="8"/>
      <c r="C646" s="8"/>
      <c r="D646" s="8"/>
      <c r="E646" s="8"/>
      <c r="F646" s="8"/>
      <c r="G646" s="8"/>
      <c r="H646" s="8"/>
    </row>
    <row r="647" spans="1:8" x14ac:dyDescent="0.25">
      <c r="A647" s="8"/>
      <c r="B647" s="8"/>
      <c r="C647" s="8"/>
      <c r="D647" s="8"/>
      <c r="E647" s="8"/>
      <c r="F647" s="8"/>
      <c r="G647" s="8"/>
      <c r="H647" s="8"/>
    </row>
    <row r="648" spans="1:8" x14ac:dyDescent="0.25">
      <c r="A648" s="8"/>
      <c r="B648" s="8"/>
      <c r="C648" s="8"/>
      <c r="D648" s="8"/>
      <c r="E648" s="8"/>
      <c r="F648" s="8"/>
      <c r="G648" s="8"/>
      <c r="H648" s="8"/>
    </row>
    <row r="649" spans="1:8" x14ac:dyDescent="0.25">
      <c r="A649" s="8"/>
      <c r="B649" s="8"/>
      <c r="C649" s="8"/>
      <c r="D649" s="8"/>
      <c r="E649" s="8"/>
      <c r="F649" s="8"/>
      <c r="G649" s="8"/>
      <c r="H649" s="8"/>
    </row>
    <row r="650" spans="1:8" x14ac:dyDescent="0.25">
      <c r="A650" s="8"/>
      <c r="B650" s="8"/>
      <c r="C650" s="8"/>
      <c r="D650" s="8"/>
      <c r="E650" s="8"/>
      <c r="F650" s="8"/>
      <c r="G650" s="8"/>
      <c r="H650" s="8"/>
    </row>
    <row r="651" spans="1:8" x14ac:dyDescent="0.25">
      <c r="A651" s="8"/>
      <c r="B651" s="8"/>
      <c r="C651" s="8"/>
      <c r="D651" s="8"/>
      <c r="E651" s="8"/>
      <c r="F651" s="8"/>
      <c r="G651" s="8"/>
      <c r="H651" s="8"/>
    </row>
    <row r="652" spans="1:8" x14ac:dyDescent="0.25">
      <c r="A652" s="8"/>
      <c r="B652" s="8"/>
      <c r="C652" s="8"/>
      <c r="D652" s="8"/>
      <c r="E652" s="8"/>
      <c r="F652" s="8"/>
      <c r="G652" s="8"/>
      <c r="H652" s="8"/>
    </row>
    <row r="653" spans="1:8" x14ac:dyDescent="0.25">
      <c r="A653" s="8"/>
      <c r="B653" s="8"/>
      <c r="C653" s="8"/>
      <c r="D653" s="8"/>
      <c r="E653" s="8"/>
      <c r="F653" s="8"/>
      <c r="G653" s="8"/>
      <c r="H653" s="8"/>
    </row>
    <row r="654" spans="1:8" x14ac:dyDescent="0.25">
      <c r="A654" s="8"/>
      <c r="B654" s="8"/>
      <c r="C654" s="8"/>
      <c r="D654" s="8"/>
      <c r="E654" s="8"/>
      <c r="F654" s="8"/>
      <c r="G654" s="8"/>
      <c r="H654" s="8"/>
    </row>
    <row r="655" spans="1:8" x14ac:dyDescent="0.25">
      <c r="A655" s="8"/>
      <c r="B655" s="8"/>
      <c r="C655" s="8"/>
      <c r="D655" s="8"/>
      <c r="E655" s="8"/>
      <c r="F655" s="8"/>
      <c r="G655" s="8"/>
      <c r="H655" s="8"/>
    </row>
    <row r="656" spans="1:8" x14ac:dyDescent="0.25">
      <c r="A656" s="8"/>
      <c r="B656" s="8"/>
      <c r="C656" s="8"/>
      <c r="D656" s="8"/>
      <c r="E656" s="8"/>
      <c r="F656" s="8"/>
      <c r="G656" s="8"/>
      <c r="H656" s="8"/>
    </row>
    <row r="657" spans="1:8" x14ac:dyDescent="0.25">
      <c r="A657" s="8"/>
      <c r="B657" s="8"/>
      <c r="C657" s="8"/>
      <c r="D657" s="8"/>
      <c r="E657" s="8"/>
      <c r="F657" s="8"/>
      <c r="G657" s="8"/>
      <c r="H657" s="8"/>
    </row>
    <row r="658" spans="1:8" x14ac:dyDescent="0.25">
      <c r="A658" s="8"/>
      <c r="B658" s="8"/>
      <c r="C658" s="8"/>
      <c r="D658" s="8"/>
      <c r="E658" s="8"/>
      <c r="F658" s="8"/>
      <c r="G658" s="8"/>
      <c r="H658" s="8"/>
    </row>
    <row r="659" spans="1:8" x14ac:dyDescent="0.25">
      <c r="A659" s="8"/>
      <c r="B659" s="8"/>
      <c r="C659" s="8"/>
      <c r="D659" s="8"/>
      <c r="E659" s="8"/>
      <c r="F659" s="8"/>
      <c r="G659" s="8"/>
      <c r="H659" s="8"/>
    </row>
    <row r="660" spans="1:8" x14ac:dyDescent="0.25">
      <c r="A660" s="8"/>
      <c r="B660" s="8"/>
      <c r="C660" s="8"/>
      <c r="D660" s="8"/>
      <c r="E660" s="8"/>
      <c r="F660" s="8"/>
      <c r="G660" s="8"/>
      <c r="H660" s="8"/>
    </row>
    <row r="661" spans="1:8" x14ac:dyDescent="0.25">
      <c r="A661" s="8"/>
      <c r="B661" s="8"/>
      <c r="C661" s="8"/>
      <c r="D661" s="8"/>
      <c r="E661" s="8"/>
      <c r="F661" s="8"/>
      <c r="G661" s="8"/>
      <c r="H661" s="8"/>
    </row>
    <row r="662" spans="1:8" x14ac:dyDescent="0.25">
      <c r="A662" s="8"/>
      <c r="B662" s="8"/>
      <c r="C662" s="8"/>
      <c r="D662" s="8"/>
      <c r="E662" s="8"/>
      <c r="F662" s="8"/>
      <c r="G662" s="8"/>
      <c r="H662" s="8"/>
    </row>
    <row r="663" spans="1:8" x14ac:dyDescent="0.25">
      <c r="A663" s="8"/>
      <c r="B663" s="8"/>
      <c r="C663" s="8"/>
      <c r="D663" s="8"/>
      <c r="E663" s="8"/>
      <c r="F663" s="8"/>
      <c r="G663" s="8"/>
      <c r="H663" s="8"/>
    </row>
    <row r="664" spans="1:8" x14ac:dyDescent="0.25">
      <c r="A664" s="8"/>
      <c r="B664" s="8"/>
      <c r="C664" s="8"/>
      <c r="D664" s="8"/>
      <c r="E664" s="8"/>
      <c r="F664" s="8"/>
      <c r="G664" s="8"/>
      <c r="H664" s="8"/>
    </row>
    <row r="665" spans="1:8" x14ac:dyDescent="0.25">
      <c r="A665" s="8"/>
      <c r="B665" s="8"/>
      <c r="C665" s="8"/>
      <c r="D665" s="8"/>
      <c r="E665" s="8"/>
      <c r="F665" s="8"/>
      <c r="G665" s="8"/>
      <c r="H665" s="8"/>
    </row>
    <row r="666" spans="1:8" x14ac:dyDescent="0.25">
      <c r="A666" s="8"/>
      <c r="B666" s="8"/>
      <c r="C666" s="8"/>
      <c r="D666" s="8"/>
      <c r="E666" s="8"/>
      <c r="F666" s="8"/>
      <c r="G666" s="8"/>
      <c r="H666" s="8"/>
    </row>
    <row r="667" spans="1:8" x14ac:dyDescent="0.25">
      <c r="A667" s="8"/>
      <c r="B667" s="8"/>
      <c r="C667" s="8"/>
      <c r="D667" s="8"/>
      <c r="E667" s="8"/>
      <c r="F667" s="8"/>
      <c r="G667" s="8"/>
      <c r="H667" s="8"/>
    </row>
    <row r="668" spans="1:8" x14ac:dyDescent="0.25">
      <c r="A668" s="8"/>
      <c r="B668" s="8"/>
      <c r="C668" s="8"/>
      <c r="D668" s="8"/>
      <c r="E668" s="8"/>
      <c r="F668" s="8"/>
      <c r="G668" s="8"/>
      <c r="H668" s="8"/>
    </row>
    <row r="669" spans="1:8" x14ac:dyDescent="0.25">
      <c r="A669" s="8"/>
      <c r="B669" s="8"/>
      <c r="C669" s="8"/>
      <c r="D669" s="8"/>
      <c r="E669" s="8"/>
      <c r="F669" s="8"/>
      <c r="G669" s="8"/>
      <c r="H669" s="8"/>
    </row>
    <row r="670" spans="1:8" x14ac:dyDescent="0.25">
      <c r="A670" s="8"/>
      <c r="B670" s="8"/>
      <c r="C670" s="8"/>
      <c r="D670" s="8"/>
      <c r="E670" s="8"/>
      <c r="F670" s="8"/>
      <c r="G670" s="8"/>
      <c r="H670" s="8"/>
    </row>
    <row r="671" spans="1:8" x14ac:dyDescent="0.25">
      <c r="A671" s="8"/>
      <c r="B671" s="8"/>
      <c r="C671" s="8"/>
      <c r="D671" s="8"/>
      <c r="E671" s="8"/>
      <c r="F671" s="8"/>
      <c r="G671" s="8"/>
      <c r="H671" s="8"/>
    </row>
    <row r="672" spans="1:8" x14ac:dyDescent="0.25">
      <c r="A672" s="8"/>
      <c r="B672" s="8"/>
      <c r="C672" s="8"/>
      <c r="D672" s="8"/>
      <c r="E672" s="8"/>
      <c r="F672" s="8"/>
      <c r="G672" s="8"/>
      <c r="H672" s="8"/>
    </row>
    <row r="673" spans="1:8" x14ac:dyDescent="0.25">
      <c r="A673" s="8"/>
      <c r="B673" s="8"/>
      <c r="C673" s="8"/>
      <c r="D673" s="8"/>
      <c r="E673" s="8"/>
      <c r="F673" s="8"/>
      <c r="G673" s="8"/>
      <c r="H673" s="8"/>
    </row>
    <row r="674" spans="1:8" x14ac:dyDescent="0.25">
      <c r="A674" s="8"/>
      <c r="B674" s="8"/>
      <c r="C674" s="8"/>
      <c r="D674" s="8"/>
      <c r="E674" s="8"/>
      <c r="F674" s="8"/>
      <c r="G674" s="8"/>
      <c r="H674" s="8"/>
    </row>
    <row r="675" spans="1:8" x14ac:dyDescent="0.25">
      <c r="A675" s="8"/>
      <c r="B675" s="8"/>
      <c r="C675" s="8"/>
      <c r="D675" s="8"/>
      <c r="E675" s="8"/>
      <c r="F675" s="8"/>
      <c r="G675" s="8"/>
      <c r="H675" s="8"/>
    </row>
    <row r="676" spans="1:8" x14ac:dyDescent="0.25">
      <c r="A676" s="8"/>
      <c r="B676" s="8"/>
      <c r="C676" s="8"/>
      <c r="D676" s="8"/>
      <c r="E676" s="8"/>
      <c r="F676" s="8"/>
      <c r="G676" s="8"/>
      <c r="H676" s="8"/>
    </row>
    <row r="677" spans="1:8" x14ac:dyDescent="0.25">
      <c r="A677" s="8"/>
      <c r="B677" s="8"/>
      <c r="C677" s="8"/>
      <c r="D677" s="8"/>
      <c r="E677" s="8"/>
      <c r="F677" s="8"/>
      <c r="G677" s="8"/>
      <c r="H677" s="8"/>
    </row>
    <row r="678" spans="1:8" x14ac:dyDescent="0.25">
      <c r="A678" s="8"/>
      <c r="B678" s="8"/>
      <c r="C678" s="8"/>
      <c r="D678" s="8"/>
      <c r="E678" s="8"/>
      <c r="F678" s="8"/>
      <c r="G678" s="8"/>
      <c r="H678" s="8"/>
    </row>
    <row r="679" spans="1:8" x14ac:dyDescent="0.25">
      <c r="A679" s="8"/>
      <c r="B679" s="8"/>
      <c r="C679" s="8"/>
      <c r="D679" s="8"/>
      <c r="E679" s="8"/>
      <c r="F679" s="8"/>
      <c r="G679" s="8"/>
      <c r="H679" s="8"/>
    </row>
    <row r="680" spans="1:8" x14ac:dyDescent="0.25">
      <c r="A680" s="8"/>
      <c r="B680" s="8"/>
      <c r="C680" s="8"/>
      <c r="D680" s="8"/>
      <c r="E680" s="8"/>
      <c r="F680" s="8"/>
      <c r="G680" s="8"/>
      <c r="H680" s="8"/>
    </row>
    <row r="681" spans="1:8" x14ac:dyDescent="0.25">
      <c r="A681" s="8"/>
      <c r="B681" s="8"/>
      <c r="C681" s="8"/>
      <c r="D681" s="8"/>
      <c r="E681" s="8"/>
      <c r="F681" s="8"/>
      <c r="G681" s="8"/>
      <c r="H681" s="8"/>
    </row>
    <row r="682" spans="1:8" x14ac:dyDescent="0.25">
      <c r="A682" s="8"/>
      <c r="B682" s="8"/>
      <c r="C682" s="8"/>
      <c r="D682" s="8"/>
      <c r="E682" s="8"/>
      <c r="F682" s="8"/>
      <c r="G682" s="8"/>
      <c r="H682" s="8"/>
    </row>
    <row r="683" spans="1:8" x14ac:dyDescent="0.25">
      <c r="A683" s="8"/>
      <c r="B683" s="8"/>
      <c r="C683" s="8"/>
      <c r="D683" s="8"/>
      <c r="E683" s="8"/>
      <c r="F683" s="8"/>
      <c r="G683" s="8"/>
      <c r="H683" s="8"/>
    </row>
    <row r="684" spans="1:8" x14ac:dyDescent="0.25">
      <c r="A684" s="8"/>
      <c r="B684" s="8"/>
      <c r="C684" s="8"/>
      <c r="D684" s="8"/>
      <c r="E684" s="8"/>
      <c r="F684" s="8"/>
      <c r="G684" s="8"/>
      <c r="H684" s="8"/>
    </row>
    <row r="685" spans="1:8" x14ac:dyDescent="0.25">
      <c r="A685" s="8"/>
      <c r="B685" s="8"/>
      <c r="C685" s="8"/>
      <c r="D685" s="8"/>
      <c r="E685" s="8"/>
      <c r="F685" s="8"/>
      <c r="G685" s="8"/>
      <c r="H685" s="8"/>
    </row>
    <row r="686" spans="1:8" x14ac:dyDescent="0.25">
      <c r="A686" s="8"/>
      <c r="B686" s="8"/>
      <c r="C686" s="8"/>
      <c r="D686" s="8"/>
      <c r="E686" s="8"/>
      <c r="F686" s="8"/>
      <c r="G686" s="8"/>
      <c r="H686" s="8"/>
    </row>
    <row r="687" spans="1:8" x14ac:dyDescent="0.25">
      <c r="A687" s="8"/>
      <c r="B687" s="8"/>
      <c r="C687" s="8"/>
      <c r="D687" s="8"/>
      <c r="E687" s="8"/>
      <c r="F687" s="8"/>
      <c r="G687" s="8"/>
      <c r="H687" s="8"/>
    </row>
    <row r="688" spans="1:8" x14ac:dyDescent="0.25">
      <c r="A688" s="8"/>
      <c r="B688" s="8"/>
      <c r="C688" s="8"/>
      <c r="D688" s="8"/>
      <c r="E688" s="8"/>
      <c r="F688" s="8"/>
      <c r="G688" s="8"/>
      <c r="H688" s="8"/>
    </row>
    <row r="689" spans="1:8" x14ac:dyDescent="0.25">
      <c r="A689" s="8"/>
      <c r="B689" s="8"/>
      <c r="C689" s="8"/>
      <c r="D689" s="8"/>
      <c r="E689" s="8"/>
      <c r="F689" s="8"/>
      <c r="G689" s="8"/>
      <c r="H689" s="8"/>
    </row>
    <row r="690" spans="1:8" x14ac:dyDescent="0.25">
      <c r="A690" s="8"/>
      <c r="B690" s="8"/>
      <c r="C690" s="8"/>
      <c r="D690" s="8"/>
      <c r="E690" s="8"/>
      <c r="F690" s="8"/>
      <c r="G690" s="8"/>
      <c r="H690" s="8"/>
    </row>
    <row r="691" spans="1:8" x14ac:dyDescent="0.25">
      <c r="A691" s="8"/>
      <c r="B691" s="8"/>
      <c r="C691" s="8"/>
      <c r="D691" s="8"/>
      <c r="E691" s="8"/>
      <c r="F691" s="8"/>
      <c r="G691" s="8"/>
      <c r="H691" s="8"/>
    </row>
    <row r="692" spans="1:8" x14ac:dyDescent="0.25">
      <c r="A692" s="8"/>
      <c r="B692" s="8"/>
      <c r="C692" s="8"/>
      <c r="D692" s="8"/>
      <c r="E692" s="8"/>
      <c r="F692" s="8"/>
      <c r="G692" s="8"/>
      <c r="H692" s="8"/>
    </row>
    <row r="693" spans="1:8" x14ac:dyDescent="0.25">
      <c r="A693" s="8"/>
      <c r="B693" s="8"/>
      <c r="C693" s="8"/>
      <c r="D693" s="8"/>
      <c r="E693" s="8"/>
      <c r="F693" s="8"/>
      <c r="G693" s="8"/>
      <c r="H693" s="8"/>
    </row>
    <row r="694" spans="1:8" x14ac:dyDescent="0.25">
      <c r="A694" s="8"/>
      <c r="B694" s="8"/>
      <c r="C694" s="8"/>
      <c r="D694" s="8"/>
      <c r="E694" s="8"/>
      <c r="F694" s="8"/>
      <c r="G694" s="8"/>
      <c r="H694" s="8"/>
    </row>
    <row r="695" spans="1:8" x14ac:dyDescent="0.25">
      <c r="A695" s="8"/>
      <c r="B695" s="8"/>
      <c r="C695" s="8"/>
      <c r="D695" s="8"/>
      <c r="E695" s="8"/>
      <c r="F695" s="8"/>
      <c r="G695" s="8"/>
      <c r="H695" s="8"/>
    </row>
    <row r="696" spans="1:8" x14ac:dyDescent="0.25">
      <c r="A696" s="8"/>
      <c r="B696" s="8"/>
      <c r="C696" s="8"/>
      <c r="D696" s="8"/>
      <c r="E696" s="8"/>
      <c r="F696" s="8"/>
      <c r="G696" s="8"/>
      <c r="H696" s="8"/>
    </row>
    <row r="697" spans="1:8" x14ac:dyDescent="0.25">
      <c r="A697" s="8"/>
      <c r="B697" s="8"/>
      <c r="C697" s="8"/>
      <c r="D697" s="8"/>
      <c r="E697" s="8"/>
      <c r="F697" s="8"/>
      <c r="G697" s="8"/>
      <c r="H697" s="8"/>
    </row>
    <row r="698" spans="1:8" x14ac:dyDescent="0.25">
      <c r="A698" s="8"/>
      <c r="B698" s="8"/>
      <c r="C698" s="8"/>
      <c r="D698" s="8"/>
      <c r="E698" s="8"/>
      <c r="F698" s="8"/>
      <c r="G698" s="8"/>
      <c r="H698" s="8"/>
    </row>
    <row r="699" spans="1:8" x14ac:dyDescent="0.25">
      <c r="A699" s="8"/>
      <c r="B699" s="8"/>
      <c r="C699" s="8"/>
      <c r="D699" s="8"/>
      <c r="E699" s="8"/>
      <c r="F699" s="8"/>
      <c r="G699" s="8"/>
      <c r="H699" s="8"/>
    </row>
    <row r="700" spans="1:8" x14ac:dyDescent="0.25">
      <c r="A700" s="8"/>
      <c r="B700" s="8"/>
      <c r="C700" s="8"/>
      <c r="D700" s="8"/>
      <c r="E700" s="8"/>
      <c r="F700" s="8"/>
      <c r="G700" s="8"/>
      <c r="H700" s="8"/>
    </row>
    <row r="701" spans="1:8" x14ac:dyDescent="0.25">
      <c r="A701" s="8"/>
      <c r="B701" s="8"/>
      <c r="C701" s="8"/>
      <c r="D701" s="8"/>
      <c r="E701" s="8"/>
      <c r="F701" s="8"/>
      <c r="G701" s="8"/>
      <c r="H701" s="8"/>
    </row>
    <row r="702" spans="1:8" x14ac:dyDescent="0.25">
      <c r="A702" s="8"/>
      <c r="B702" s="8"/>
      <c r="C702" s="8"/>
      <c r="D702" s="8"/>
      <c r="E702" s="8"/>
      <c r="F702" s="8"/>
      <c r="G702" s="8"/>
      <c r="H702" s="8"/>
    </row>
    <row r="703" spans="1:8" x14ac:dyDescent="0.25">
      <c r="A703" s="8"/>
      <c r="B703" s="8"/>
      <c r="C703" s="8"/>
      <c r="D703" s="8"/>
      <c r="E703" s="8"/>
      <c r="F703" s="8"/>
      <c r="G703" s="8"/>
      <c r="H703" s="8"/>
    </row>
    <row r="704" spans="1:8" x14ac:dyDescent="0.25">
      <c r="A704" s="8"/>
      <c r="B704" s="8"/>
      <c r="C704" s="8"/>
      <c r="D704" s="8"/>
      <c r="E704" s="8"/>
      <c r="F704" s="8"/>
      <c r="G704" s="8"/>
      <c r="H704" s="8"/>
    </row>
    <row r="705" spans="1:8" x14ac:dyDescent="0.25">
      <c r="A705" s="8"/>
      <c r="B705" s="8"/>
      <c r="C705" s="8"/>
      <c r="D705" s="8"/>
      <c r="E705" s="8"/>
      <c r="F705" s="8"/>
      <c r="G705" s="8"/>
      <c r="H705" s="8"/>
    </row>
    <row r="706" spans="1:8" x14ac:dyDescent="0.25">
      <c r="A706" s="8"/>
      <c r="B706" s="8"/>
      <c r="C706" s="8"/>
      <c r="D706" s="8"/>
      <c r="E706" s="8"/>
      <c r="F706" s="8"/>
      <c r="G706" s="8"/>
      <c r="H706" s="8"/>
    </row>
    <row r="707" spans="1:8" x14ac:dyDescent="0.25">
      <c r="A707" s="8"/>
      <c r="B707" s="8"/>
      <c r="C707" s="8"/>
      <c r="D707" s="8"/>
      <c r="E707" s="8"/>
      <c r="F707" s="8"/>
      <c r="G707" s="8"/>
      <c r="H707" s="8"/>
    </row>
    <row r="708" spans="1:8" x14ac:dyDescent="0.25">
      <c r="A708" s="8"/>
      <c r="B708" s="8"/>
      <c r="C708" s="8"/>
      <c r="D708" s="8"/>
      <c r="E708" s="8"/>
      <c r="F708" s="8"/>
      <c r="G708" s="8"/>
      <c r="H708" s="8"/>
    </row>
    <row r="709" spans="1:8" x14ac:dyDescent="0.25">
      <c r="A709" s="8"/>
      <c r="B709" s="8"/>
      <c r="C709" s="8"/>
      <c r="D709" s="8"/>
      <c r="E709" s="8"/>
      <c r="F709" s="8"/>
      <c r="G709" s="8"/>
      <c r="H709" s="8"/>
    </row>
    <row r="710" spans="1:8" x14ac:dyDescent="0.25">
      <c r="A710" s="8"/>
      <c r="B710" s="8"/>
      <c r="C710" s="8"/>
      <c r="D710" s="8"/>
      <c r="E710" s="8"/>
      <c r="F710" s="8"/>
      <c r="G710" s="8"/>
      <c r="H710" s="8"/>
    </row>
    <row r="711" spans="1:8" x14ac:dyDescent="0.25">
      <c r="A711" s="8"/>
      <c r="B711" s="8"/>
      <c r="C711" s="8"/>
      <c r="D711" s="8"/>
      <c r="E711" s="8"/>
      <c r="F711" s="8"/>
      <c r="G711" s="8"/>
      <c r="H711" s="8"/>
    </row>
    <row r="712" spans="1:8" x14ac:dyDescent="0.25">
      <c r="A712" s="8"/>
      <c r="B712" s="8"/>
      <c r="C712" s="8"/>
      <c r="D712" s="8"/>
      <c r="E712" s="8"/>
      <c r="F712" s="8"/>
      <c r="G712" s="8"/>
      <c r="H712" s="8"/>
    </row>
    <row r="713" spans="1:8" x14ac:dyDescent="0.25">
      <c r="A713" s="8"/>
      <c r="B713" s="8"/>
      <c r="C713" s="8"/>
      <c r="D713" s="8"/>
      <c r="E713" s="8"/>
      <c r="F713" s="8"/>
      <c r="G713" s="8"/>
      <c r="H713" s="8"/>
    </row>
    <row r="714" spans="1:8" x14ac:dyDescent="0.25">
      <c r="A714" s="8"/>
      <c r="B714" s="8"/>
      <c r="C714" s="8"/>
      <c r="D714" s="8"/>
      <c r="E714" s="8"/>
      <c r="F714" s="8"/>
      <c r="G714" s="8"/>
      <c r="H714" s="8"/>
    </row>
    <row r="715" spans="1:8" x14ac:dyDescent="0.25">
      <c r="A715" s="8"/>
      <c r="B715" s="8"/>
      <c r="C715" s="8"/>
      <c r="D715" s="8"/>
      <c r="E715" s="8"/>
      <c r="F715" s="8"/>
      <c r="G715" s="8"/>
      <c r="H715" s="8"/>
    </row>
    <row r="716" spans="1:8" x14ac:dyDescent="0.25">
      <c r="A716" s="8"/>
      <c r="B716" s="8"/>
      <c r="C716" s="8"/>
      <c r="D716" s="8"/>
      <c r="E716" s="8"/>
      <c r="F716" s="8"/>
      <c r="G716" s="8"/>
      <c r="H716" s="8"/>
    </row>
    <row r="717" spans="1:8" x14ac:dyDescent="0.25">
      <c r="A717" s="8"/>
      <c r="B717" s="8"/>
      <c r="C717" s="8"/>
      <c r="D717" s="8"/>
      <c r="E717" s="8"/>
      <c r="F717" s="8"/>
      <c r="G717" s="8"/>
      <c r="H717" s="8"/>
    </row>
    <row r="718" spans="1:8" x14ac:dyDescent="0.25">
      <c r="A718" s="8"/>
      <c r="B718" s="8"/>
      <c r="C718" s="8"/>
      <c r="D718" s="8"/>
      <c r="E718" s="8"/>
      <c r="F718" s="8"/>
      <c r="G718" s="8"/>
      <c r="H718" s="8"/>
    </row>
    <row r="719" spans="1:8" x14ac:dyDescent="0.25">
      <c r="A719" s="8"/>
      <c r="B719" s="8"/>
      <c r="C719" s="8"/>
      <c r="D719" s="8"/>
      <c r="E719" s="8"/>
      <c r="F719" s="8"/>
      <c r="G719" s="8"/>
      <c r="H719" s="8"/>
    </row>
    <row r="720" spans="1:8" x14ac:dyDescent="0.25">
      <c r="A720" s="8"/>
      <c r="B720" s="8"/>
      <c r="C720" s="8"/>
      <c r="D720" s="8"/>
      <c r="E720" s="8"/>
      <c r="F720" s="8"/>
      <c r="G720" s="8"/>
      <c r="H720" s="8"/>
    </row>
    <row r="721" spans="1:8" x14ac:dyDescent="0.25">
      <c r="A721" s="8"/>
      <c r="B721" s="8"/>
      <c r="C721" s="8"/>
      <c r="D721" s="8"/>
      <c r="E721" s="8"/>
      <c r="F721" s="8"/>
      <c r="G721" s="8"/>
      <c r="H721" s="8"/>
    </row>
    <row r="722" spans="1:8" x14ac:dyDescent="0.25">
      <c r="A722" s="8"/>
      <c r="B722" s="8"/>
      <c r="C722" s="8"/>
      <c r="D722" s="8"/>
      <c r="E722" s="8"/>
      <c r="F722" s="8"/>
      <c r="G722" s="8"/>
      <c r="H722" s="8"/>
    </row>
    <row r="723" spans="1:8" x14ac:dyDescent="0.25">
      <c r="A723" s="8"/>
      <c r="B723" s="8"/>
      <c r="C723" s="8"/>
      <c r="D723" s="8"/>
      <c r="E723" s="8"/>
      <c r="F723" s="8"/>
      <c r="G723" s="8"/>
      <c r="H723" s="8"/>
    </row>
    <row r="724" spans="1:8" x14ac:dyDescent="0.25">
      <c r="A724" s="8"/>
      <c r="B724" s="8"/>
      <c r="C724" s="8"/>
      <c r="D724" s="8"/>
      <c r="E724" s="8"/>
      <c r="F724" s="8"/>
      <c r="G724" s="8"/>
      <c r="H724" s="8"/>
    </row>
    <row r="725" spans="1:8" x14ac:dyDescent="0.25">
      <c r="A725" s="8"/>
      <c r="B725" s="8"/>
      <c r="C725" s="8"/>
      <c r="D725" s="8"/>
      <c r="E725" s="8"/>
      <c r="F725" s="8"/>
      <c r="G725" s="8"/>
      <c r="H725" s="8"/>
    </row>
    <row r="726" spans="1:8" x14ac:dyDescent="0.25">
      <c r="A726" s="8"/>
      <c r="B726" s="8"/>
      <c r="C726" s="8"/>
      <c r="D726" s="8"/>
      <c r="E726" s="8"/>
      <c r="F726" s="8"/>
      <c r="G726" s="8"/>
      <c r="H726" s="8"/>
    </row>
    <row r="727" spans="1:8" x14ac:dyDescent="0.25">
      <c r="A727" s="8"/>
      <c r="B727" s="8"/>
      <c r="C727" s="8"/>
      <c r="D727" s="8"/>
      <c r="E727" s="8"/>
      <c r="F727" s="8"/>
      <c r="G727" s="8"/>
      <c r="H727" s="8"/>
    </row>
    <row r="728" spans="1:8" x14ac:dyDescent="0.25">
      <c r="A728" s="8"/>
      <c r="B728" s="8"/>
      <c r="C728" s="8"/>
      <c r="D728" s="8"/>
      <c r="E728" s="8"/>
      <c r="F728" s="8"/>
      <c r="G728" s="8"/>
      <c r="H728" s="8"/>
    </row>
    <row r="729" spans="1:8" x14ac:dyDescent="0.25">
      <c r="A729" s="8"/>
      <c r="B729" s="8"/>
      <c r="C729" s="8"/>
      <c r="D729" s="8"/>
      <c r="E729" s="8"/>
      <c r="F729" s="8"/>
      <c r="G729" s="8"/>
      <c r="H729" s="8"/>
    </row>
    <row r="730" spans="1:8" x14ac:dyDescent="0.25">
      <c r="A730" s="8"/>
      <c r="B730" s="8"/>
      <c r="C730" s="8"/>
      <c r="D730" s="8"/>
      <c r="E730" s="8"/>
      <c r="F730" s="8"/>
      <c r="G730" s="8"/>
      <c r="H730" s="8"/>
    </row>
    <row r="731" spans="1:8" x14ac:dyDescent="0.25">
      <c r="A731" s="8"/>
      <c r="B731" s="8"/>
      <c r="C731" s="8"/>
      <c r="D731" s="8"/>
      <c r="E731" s="8"/>
      <c r="F731" s="8"/>
      <c r="G731" s="8"/>
      <c r="H731" s="8"/>
    </row>
    <row r="732" spans="1:8" x14ac:dyDescent="0.25">
      <c r="A732" s="8"/>
      <c r="B732" s="8"/>
      <c r="C732" s="8"/>
      <c r="D732" s="8"/>
      <c r="E732" s="8"/>
      <c r="F732" s="8"/>
      <c r="G732" s="8"/>
      <c r="H732" s="8"/>
    </row>
    <row r="733" spans="1:8" x14ac:dyDescent="0.25">
      <c r="A733" s="8"/>
      <c r="B733" s="8"/>
      <c r="C733" s="8"/>
      <c r="D733" s="8"/>
      <c r="E733" s="8"/>
      <c r="F733" s="8"/>
      <c r="G733" s="8"/>
      <c r="H733" s="8"/>
    </row>
    <row r="734" spans="1:8" x14ac:dyDescent="0.25">
      <c r="A734" s="8"/>
      <c r="B734" s="8"/>
      <c r="C734" s="8"/>
      <c r="D734" s="8"/>
      <c r="E734" s="8"/>
      <c r="F734" s="8"/>
      <c r="G734" s="8"/>
      <c r="H734" s="8"/>
    </row>
    <row r="735" spans="1:8" x14ac:dyDescent="0.25">
      <c r="A735" s="8"/>
      <c r="B735" s="8"/>
      <c r="C735" s="8"/>
      <c r="D735" s="8"/>
      <c r="E735" s="8"/>
      <c r="F735" s="8"/>
      <c r="G735" s="8"/>
      <c r="H735" s="8"/>
    </row>
    <row r="736" spans="1:8" x14ac:dyDescent="0.25">
      <c r="A736" s="8"/>
      <c r="B736" s="8"/>
      <c r="C736" s="8"/>
      <c r="D736" s="8"/>
      <c r="E736" s="8"/>
      <c r="F736" s="8"/>
      <c r="G736" s="8"/>
      <c r="H736" s="8"/>
    </row>
    <row r="737" spans="1:8" x14ac:dyDescent="0.25">
      <c r="A737" s="8"/>
      <c r="B737" s="8"/>
      <c r="C737" s="8"/>
      <c r="D737" s="8"/>
      <c r="E737" s="8"/>
      <c r="F737" s="8"/>
      <c r="G737" s="8"/>
      <c r="H737" s="8"/>
    </row>
    <row r="738" spans="1:8" x14ac:dyDescent="0.25">
      <c r="A738" s="8"/>
      <c r="B738" s="8"/>
      <c r="C738" s="8"/>
      <c r="D738" s="8"/>
      <c r="E738" s="8"/>
      <c r="F738" s="8"/>
      <c r="G738" s="8"/>
      <c r="H738" s="8"/>
    </row>
    <row r="739" spans="1:8" x14ac:dyDescent="0.25">
      <c r="A739" s="8"/>
      <c r="B739" s="8"/>
      <c r="C739" s="8"/>
      <c r="D739" s="8"/>
      <c r="E739" s="8"/>
      <c r="F739" s="8"/>
      <c r="G739" s="8"/>
      <c r="H739" s="8"/>
    </row>
    <row r="740" spans="1:8" x14ac:dyDescent="0.25">
      <c r="A740" s="8"/>
      <c r="B740" s="8"/>
      <c r="C740" s="8"/>
      <c r="D740" s="8"/>
      <c r="E740" s="8"/>
      <c r="F740" s="8"/>
      <c r="G740" s="8"/>
      <c r="H740" s="8"/>
    </row>
    <row r="741" spans="1:8" x14ac:dyDescent="0.25">
      <c r="A741" s="8"/>
      <c r="B741" s="8"/>
      <c r="C741" s="8"/>
      <c r="D741" s="8"/>
      <c r="E741" s="8"/>
      <c r="F741" s="8"/>
      <c r="G741" s="8"/>
      <c r="H741" s="8"/>
    </row>
    <row r="742" spans="1:8" x14ac:dyDescent="0.25">
      <c r="A742" s="8"/>
      <c r="B742" s="8"/>
      <c r="C742" s="8"/>
      <c r="D742" s="8"/>
      <c r="E742" s="8"/>
      <c r="F742" s="8"/>
      <c r="G742" s="8"/>
      <c r="H742" s="8"/>
    </row>
    <row r="743" spans="1:8" x14ac:dyDescent="0.25">
      <c r="A743" s="8"/>
      <c r="B743" s="8"/>
      <c r="C743" s="8"/>
      <c r="D743" s="8"/>
      <c r="E743" s="8"/>
      <c r="F743" s="8"/>
      <c r="G743" s="8"/>
      <c r="H743" s="8"/>
    </row>
    <row r="744" spans="1:8" x14ac:dyDescent="0.25">
      <c r="A744" s="8"/>
      <c r="B744" s="8"/>
      <c r="C744" s="8"/>
      <c r="D744" s="8"/>
      <c r="E744" s="8"/>
      <c r="F744" s="8"/>
      <c r="G744" s="8"/>
      <c r="H744" s="8"/>
    </row>
    <row r="745" spans="1:8" x14ac:dyDescent="0.25">
      <c r="A745" s="8"/>
      <c r="B745" s="8"/>
      <c r="C745" s="8"/>
      <c r="D745" s="8"/>
      <c r="E745" s="8"/>
      <c r="F745" s="8"/>
      <c r="G745" s="8"/>
      <c r="H745" s="8"/>
    </row>
    <row r="746" spans="1:8" x14ac:dyDescent="0.25">
      <c r="A746" s="8"/>
      <c r="B746" s="8"/>
      <c r="C746" s="8"/>
      <c r="D746" s="8"/>
      <c r="E746" s="8"/>
      <c r="F746" s="8"/>
      <c r="G746" s="8"/>
      <c r="H746" s="8"/>
    </row>
    <row r="747" spans="1:8" x14ac:dyDescent="0.25">
      <c r="A747" s="8"/>
      <c r="B747" s="8"/>
      <c r="C747" s="8"/>
      <c r="D747" s="8"/>
      <c r="E747" s="8"/>
      <c r="F747" s="8"/>
      <c r="G747" s="8"/>
      <c r="H747" s="8"/>
    </row>
    <row r="748" spans="1:8" x14ac:dyDescent="0.25">
      <c r="A748" s="8"/>
      <c r="B748" s="8"/>
      <c r="C748" s="8"/>
      <c r="D748" s="8"/>
      <c r="E748" s="8"/>
      <c r="F748" s="8"/>
      <c r="G748" s="8"/>
      <c r="H748" s="8"/>
    </row>
    <row r="749" spans="1:8" x14ac:dyDescent="0.25">
      <c r="A749" s="8"/>
      <c r="B749" s="8"/>
      <c r="C749" s="8"/>
      <c r="D749" s="8"/>
      <c r="E749" s="8"/>
      <c r="F749" s="8"/>
      <c r="G749" s="8"/>
      <c r="H749" s="8"/>
    </row>
    <row r="750" spans="1:8" x14ac:dyDescent="0.25">
      <c r="A750" s="8"/>
      <c r="B750" s="8"/>
      <c r="C750" s="8"/>
      <c r="D750" s="8"/>
      <c r="E750" s="8"/>
      <c r="F750" s="8"/>
      <c r="G750" s="8"/>
      <c r="H750" s="8"/>
    </row>
    <row r="751" spans="1:8" x14ac:dyDescent="0.25">
      <c r="A751" s="8"/>
      <c r="B751" s="8"/>
      <c r="C751" s="8"/>
      <c r="D751" s="8"/>
      <c r="E751" s="8"/>
      <c r="F751" s="8"/>
      <c r="G751" s="8"/>
      <c r="H751" s="8"/>
    </row>
    <row r="752" spans="1:8" x14ac:dyDescent="0.25">
      <c r="A752" s="8"/>
      <c r="B752" s="8"/>
      <c r="C752" s="8"/>
      <c r="D752" s="8"/>
      <c r="E752" s="8"/>
      <c r="F752" s="8"/>
      <c r="G752" s="8"/>
      <c r="H752" s="8"/>
    </row>
    <row r="753" spans="1:8" x14ac:dyDescent="0.25">
      <c r="A753" s="8"/>
      <c r="B753" s="8"/>
      <c r="C753" s="8"/>
      <c r="D753" s="8"/>
      <c r="E753" s="8"/>
      <c r="F753" s="8"/>
      <c r="G753" s="8"/>
      <c r="H753" s="8"/>
    </row>
    <row r="754" spans="1:8" x14ac:dyDescent="0.25">
      <c r="A754" s="8"/>
      <c r="B754" s="8"/>
      <c r="C754" s="8"/>
      <c r="D754" s="8"/>
      <c r="E754" s="8"/>
      <c r="F754" s="8"/>
      <c r="G754" s="8"/>
      <c r="H754" s="8"/>
    </row>
    <row r="755" spans="1:8" x14ac:dyDescent="0.25">
      <c r="A755" s="8"/>
      <c r="B755" s="8"/>
      <c r="C755" s="8"/>
      <c r="D755" s="8"/>
      <c r="E755" s="8"/>
      <c r="F755" s="8"/>
      <c r="G755" s="8"/>
      <c r="H755" s="8"/>
    </row>
    <row r="756" spans="1:8" x14ac:dyDescent="0.25">
      <c r="A756" s="8"/>
      <c r="B756" s="8"/>
      <c r="C756" s="8"/>
      <c r="D756" s="8"/>
      <c r="E756" s="8"/>
      <c r="F756" s="8"/>
      <c r="G756" s="8"/>
      <c r="H756" s="8"/>
    </row>
    <row r="757" spans="1:8" x14ac:dyDescent="0.25">
      <c r="A757" s="8"/>
      <c r="B757" s="8"/>
      <c r="C757" s="8"/>
      <c r="D757" s="8"/>
      <c r="E757" s="8"/>
      <c r="F757" s="8"/>
      <c r="G757" s="8"/>
      <c r="H757" s="8"/>
    </row>
    <row r="758" spans="1:8" x14ac:dyDescent="0.25">
      <c r="A758" s="8"/>
      <c r="B758" s="8"/>
      <c r="C758" s="8"/>
      <c r="D758" s="8"/>
      <c r="E758" s="8"/>
      <c r="F758" s="8"/>
      <c r="G758" s="8"/>
      <c r="H758" s="8"/>
    </row>
    <row r="759" spans="1:8" x14ac:dyDescent="0.25">
      <c r="A759" s="8"/>
      <c r="B759" s="8"/>
      <c r="C759" s="8"/>
      <c r="D759" s="8"/>
      <c r="E759" s="8"/>
      <c r="F759" s="8"/>
      <c r="G759" s="8"/>
      <c r="H759" s="8"/>
    </row>
    <row r="760" spans="1:8" x14ac:dyDescent="0.25">
      <c r="A760" s="8"/>
      <c r="B760" s="8"/>
      <c r="C760" s="8"/>
      <c r="D760" s="8"/>
      <c r="E760" s="8"/>
      <c r="F760" s="8"/>
      <c r="G760" s="8"/>
      <c r="H760" s="8"/>
    </row>
    <row r="761" spans="1:8" x14ac:dyDescent="0.25">
      <c r="A761" s="8"/>
      <c r="B761" s="8"/>
      <c r="C761" s="8"/>
      <c r="D761" s="8"/>
      <c r="E761" s="8"/>
      <c r="F761" s="8"/>
      <c r="G761" s="8"/>
      <c r="H761" s="8"/>
    </row>
    <row r="762" spans="1:8" x14ac:dyDescent="0.25">
      <c r="A762" s="8"/>
      <c r="B762" s="8"/>
      <c r="C762" s="8"/>
      <c r="D762" s="8"/>
      <c r="E762" s="8"/>
      <c r="F762" s="8"/>
      <c r="G762" s="8"/>
      <c r="H762" s="8"/>
    </row>
    <row r="763" spans="1:8" x14ac:dyDescent="0.25">
      <c r="A763" s="8"/>
      <c r="B763" s="8"/>
      <c r="C763" s="8"/>
      <c r="D763" s="8"/>
      <c r="E763" s="8"/>
      <c r="F763" s="8"/>
      <c r="G763" s="8"/>
      <c r="H763" s="8"/>
    </row>
    <row r="764" spans="1:8" x14ac:dyDescent="0.25">
      <c r="A764" s="8"/>
      <c r="B764" s="8"/>
      <c r="C764" s="8"/>
      <c r="D764" s="8"/>
      <c r="E764" s="8"/>
      <c r="F764" s="8"/>
      <c r="G764" s="8"/>
      <c r="H764" s="8"/>
    </row>
    <row r="765" spans="1:8" x14ac:dyDescent="0.25">
      <c r="A765" s="8"/>
      <c r="B765" s="8"/>
      <c r="C765" s="8"/>
      <c r="D765" s="8"/>
      <c r="E765" s="8"/>
      <c r="F765" s="8"/>
      <c r="G765" s="8"/>
      <c r="H765" s="8"/>
    </row>
    <row r="766" spans="1:8" x14ac:dyDescent="0.25">
      <c r="A766" s="8"/>
      <c r="B766" s="8"/>
      <c r="C766" s="8"/>
      <c r="D766" s="8"/>
      <c r="E766" s="8"/>
      <c r="F766" s="8"/>
      <c r="G766" s="8"/>
      <c r="H766" s="8"/>
    </row>
    <row r="767" spans="1:8" x14ac:dyDescent="0.25">
      <c r="A767" s="8"/>
      <c r="B767" s="8"/>
      <c r="C767" s="8"/>
      <c r="D767" s="8"/>
      <c r="E767" s="8"/>
      <c r="F767" s="8"/>
      <c r="G767" s="8"/>
      <c r="H767" s="8"/>
    </row>
    <row r="768" spans="1:8" x14ac:dyDescent="0.25">
      <c r="A768" s="8"/>
      <c r="B768" s="8"/>
      <c r="C768" s="8"/>
      <c r="D768" s="8"/>
      <c r="E768" s="8"/>
      <c r="F768" s="8"/>
      <c r="G768" s="8"/>
      <c r="H768" s="8"/>
    </row>
    <row r="769" spans="1:8" x14ac:dyDescent="0.25">
      <c r="A769" s="8"/>
      <c r="B769" s="8"/>
      <c r="C769" s="8"/>
      <c r="D769" s="8"/>
      <c r="E769" s="8"/>
      <c r="F769" s="8"/>
      <c r="G769" s="8"/>
      <c r="H769" s="8"/>
    </row>
    <row r="770" spans="1:8" x14ac:dyDescent="0.25">
      <c r="A770" s="8"/>
      <c r="B770" s="8"/>
      <c r="C770" s="8"/>
      <c r="D770" s="8"/>
      <c r="E770" s="8"/>
      <c r="F770" s="8"/>
      <c r="G770" s="8"/>
      <c r="H770" s="8"/>
    </row>
    <row r="771" spans="1:8" x14ac:dyDescent="0.25">
      <c r="A771" s="8"/>
      <c r="B771" s="8"/>
      <c r="C771" s="8"/>
      <c r="D771" s="8"/>
      <c r="E771" s="8"/>
      <c r="F771" s="8"/>
      <c r="G771" s="8"/>
      <c r="H771" s="8"/>
    </row>
    <row r="772" spans="1:8" x14ac:dyDescent="0.25">
      <c r="A772" s="8"/>
      <c r="B772" s="8"/>
      <c r="C772" s="8"/>
      <c r="D772" s="8"/>
      <c r="E772" s="8"/>
      <c r="F772" s="8"/>
      <c r="G772" s="8"/>
      <c r="H772" s="8"/>
    </row>
    <row r="773" spans="1:8" x14ac:dyDescent="0.25">
      <c r="A773" s="8"/>
      <c r="B773" s="8"/>
      <c r="C773" s="8"/>
      <c r="D773" s="8"/>
      <c r="E773" s="8"/>
      <c r="F773" s="8"/>
      <c r="G773" s="8"/>
      <c r="H773" s="8"/>
    </row>
    <row r="774" spans="1:8" x14ac:dyDescent="0.25">
      <c r="A774" s="8"/>
      <c r="B774" s="8"/>
      <c r="C774" s="8"/>
      <c r="D774" s="8"/>
      <c r="E774" s="8"/>
      <c r="F774" s="8"/>
      <c r="G774" s="8"/>
      <c r="H774" s="8"/>
    </row>
    <row r="775" spans="1:8" x14ac:dyDescent="0.25">
      <c r="A775" s="8"/>
      <c r="B775" s="8"/>
      <c r="C775" s="8"/>
      <c r="D775" s="8"/>
      <c r="E775" s="8"/>
      <c r="F775" s="8"/>
      <c r="G775" s="8"/>
      <c r="H775" s="8"/>
    </row>
    <row r="776" spans="1:8" x14ac:dyDescent="0.25">
      <c r="A776" s="8"/>
      <c r="B776" s="8"/>
      <c r="C776" s="8"/>
      <c r="D776" s="8"/>
      <c r="E776" s="8"/>
      <c r="F776" s="8"/>
      <c r="G776" s="8"/>
      <c r="H776" s="8"/>
    </row>
    <row r="777" spans="1:8" x14ac:dyDescent="0.25">
      <c r="A777" s="8"/>
      <c r="B777" s="8"/>
      <c r="C777" s="8"/>
      <c r="D777" s="8"/>
      <c r="E777" s="8"/>
      <c r="F777" s="8"/>
      <c r="G777" s="8"/>
      <c r="H777" s="8"/>
    </row>
    <row r="778" spans="1:8" x14ac:dyDescent="0.25">
      <c r="A778" s="8"/>
      <c r="B778" s="8"/>
      <c r="C778" s="8"/>
      <c r="D778" s="8"/>
      <c r="E778" s="8"/>
      <c r="F778" s="8"/>
      <c r="G778" s="8"/>
      <c r="H778" s="8"/>
    </row>
    <row r="779" spans="1:8" x14ac:dyDescent="0.25">
      <c r="A779" s="8"/>
      <c r="B779" s="8"/>
      <c r="C779" s="8"/>
      <c r="D779" s="8"/>
      <c r="E779" s="8"/>
      <c r="F779" s="8"/>
      <c r="G779" s="8"/>
      <c r="H779" s="8"/>
    </row>
    <row r="780" spans="1:8" x14ac:dyDescent="0.25">
      <c r="A780" s="8"/>
      <c r="B780" s="8"/>
      <c r="C780" s="8"/>
      <c r="D780" s="8"/>
      <c r="E780" s="8"/>
      <c r="F780" s="8"/>
      <c r="G780" s="8"/>
      <c r="H780" s="8"/>
    </row>
    <row r="781" spans="1:8" x14ac:dyDescent="0.25">
      <c r="A781" s="8"/>
      <c r="B781" s="8"/>
      <c r="C781" s="8"/>
      <c r="D781" s="8"/>
      <c r="E781" s="8"/>
      <c r="F781" s="8"/>
      <c r="G781" s="8"/>
      <c r="H781" s="8"/>
    </row>
    <row r="782" spans="1:8" x14ac:dyDescent="0.25">
      <c r="A782" s="8"/>
      <c r="B782" s="8"/>
      <c r="C782" s="8"/>
      <c r="D782" s="8"/>
      <c r="E782" s="8"/>
      <c r="F782" s="8"/>
      <c r="G782" s="8"/>
      <c r="H782" s="8"/>
    </row>
    <row r="783" spans="1:8" x14ac:dyDescent="0.25">
      <c r="A783" s="8"/>
      <c r="B783" s="8"/>
      <c r="C783" s="8"/>
      <c r="D783" s="8"/>
      <c r="E783" s="8"/>
      <c r="F783" s="8"/>
      <c r="G783" s="8"/>
      <c r="H783" s="8"/>
    </row>
    <row r="784" spans="1:8" x14ac:dyDescent="0.25">
      <c r="A784" s="8"/>
      <c r="B784" s="8"/>
      <c r="C784" s="8"/>
      <c r="D784" s="8"/>
      <c r="E784" s="8"/>
      <c r="F784" s="8"/>
      <c r="G784" s="8"/>
      <c r="H784" s="8"/>
    </row>
    <row r="785" spans="1:8" x14ac:dyDescent="0.25">
      <c r="A785" s="8"/>
      <c r="B785" s="8"/>
      <c r="C785" s="8"/>
      <c r="D785" s="8"/>
      <c r="E785" s="8"/>
      <c r="F785" s="8"/>
      <c r="G785" s="8"/>
      <c r="H785" s="8"/>
    </row>
    <row r="786" spans="1:8" x14ac:dyDescent="0.25">
      <c r="A786" s="8"/>
      <c r="B786" s="8"/>
      <c r="C786" s="8"/>
      <c r="D786" s="8"/>
      <c r="E786" s="8"/>
      <c r="F786" s="8"/>
      <c r="G786" s="8"/>
      <c r="H786" s="8"/>
    </row>
    <row r="787" spans="1:8" x14ac:dyDescent="0.25">
      <c r="A787" s="8"/>
      <c r="B787" s="8"/>
      <c r="C787" s="8"/>
      <c r="D787" s="8"/>
      <c r="E787" s="8"/>
      <c r="F787" s="8"/>
      <c r="G787" s="8"/>
      <c r="H787" s="8"/>
    </row>
    <row r="788" spans="1:8" x14ac:dyDescent="0.25">
      <c r="A788" s="8"/>
      <c r="B788" s="8"/>
      <c r="C788" s="8"/>
      <c r="D788" s="8"/>
      <c r="E788" s="8"/>
      <c r="F788" s="8"/>
      <c r="G788" s="8"/>
      <c r="H788" s="8"/>
    </row>
    <row r="789" spans="1:8" x14ac:dyDescent="0.25">
      <c r="A789" s="8"/>
      <c r="B789" s="8"/>
      <c r="C789" s="8"/>
      <c r="D789" s="8"/>
      <c r="E789" s="8"/>
      <c r="F789" s="8"/>
      <c r="G789" s="8"/>
      <c r="H789" s="8"/>
    </row>
    <row r="790" spans="1:8" x14ac:dyDescent="0.25">
      <c r="A790" s="8"/>
      <c r="B790" s="8"/>
      <c r="C790" s="8"/>
      <c r="D790" s="8"/>
      <c r="E790" s="8"/>
      <c r="F790" s="8"/>
      <c r="G790" s="8"/>
      <c r="H790" s="8"/>
    </row>
    <row r="791" spans="1:8" x14ac:dyDescent="0.25">
      <c r="A791" s="8"/>
      <c r="B791" s="8"/>
      <c r="C791" s="8"/>
      <c r="D791" s="8"/>
      <c r="E791" s="8"/>
      <c r="F791" s="8"/>
      <c r="G791" s="8"/>
      <c r="H791" s="8"/>
    </row>
    <row r="792" spans="1:8" x14ac:dyDescent="0.25">
      <c r="A792" s="8"/>
      <c r="B792" s="8"/>
      <c r="C792" s="8"/>
      <c r="D792" s="8"/>
      <c r="E792" s="8"/>
      <c r="F792" s="8"/>
      <c r="G792" s="8"/>
      <c r="H792" s="8"/>
    </row>
    <row r="793" spans="1:8" x14ac:dyDescent="0.25">
      <c r="A793" s="8"/>
      <c r="B793" s="8"/>
      <c r="C793" s="8"/>
      <c r="D793" s="8"/>
      <c r="E793" s="8"/>
      <c r="F793" s="8"/>
      <c r="G793" s="8"/>
      <c r="H793" s="8"/>
    </row>
    <row r="794" spans="1:8" x14ac:dyDescent="0.25">
      <c r="A794" s="8"/>
      <c r="B794" s="8"/>
      <c r="C794" s="8"/>
      <c r="D794" s="8"/>
      <c r="E794" s="8"/>
      <c r="F794" s="8"/>
      <c r="G794" s="8"/>
      <c r="H794" s="8"/>
    </row>
    <row r="795" spans="1:8" x14ac:dyDescent="0.25">
      <c r="A795" s="8"/>
      <c r="B795" s="8"/>
      <c r="C795" s="8"/>
      <c r="D795" s="8"/>
      <c r="E795" s="8"/>
      <c r="F795" s="8"/>
      <c r="G795" s="8"/>
      <c r="H795" s="8"/>
    </row>
    <row r="796" spans="1:8" x14ac:dyDescent="0.25">
      <c r="A796" s="8"/>
      <c r="B796" s="8"/>
      <c r="C796" s="8"/>
      <c r="D796" s="8"/>
      <c r="E796" s="8"/>
      <c r="F796" s="8"/>
      <c r="G796" s="8"/>
      <c r="H796" s="8"/>
    </row>
    <row r="797" spans="1:8" x14ac:dyDescent="0.25">
      <c r="A797" s="8"/>
      <c r="B797" s="8"/>
      <c r="C797" s="8"/>
      <c r="D797" s="8"/>
      <c r="E797" s="8"/>
      <c r="F797" s="8"/>
      <c r="G797" s="8"/>
      <c r="H797" s="8"/>
    </row>
    <row r="798" spans="1:8" x14ac:dyDescent="0.25">
      <c r="A798" s="8"/>
      <c r="B798" s="8"/>
      <c r="C798" s="8"/>
      <c r="D798" s="8"/>
      <c r="E798" s="8"/>
      <c r="F798" s="8"/>
      <c r="G798" s="8"/>
      <c r="H798" s="8"/>
    </row>
    <row r="799" spans="1:8" x14ac:dyDescent="0.25">
      <c r="A799" s="8"/>
      <c r="B799" s="8"/>
      <c r="C799" s="8"/>
      <c r="D799" s="8"/>
      <c r="E799" s="8"/>
      <c r="F799" s="8"/>
      <c r="G799" s="8"/>
      <c r="H799" s="8"/>
    </row>
    <row r="800" spans="1:8" x14ac:dyDescent="0.25">
      <c r="A800" s="8"/>
      <c r="B800" s="8"/>
      <c r="C800" s="8"/>
      <c r="D800" s="8"/>
      <c r="E800" s="8"/>
      <c r="F800" s="8"/>
      <c r="G800" s="8"/>
      <c r="H800" s="8"/>
    </row>
    <row r="801" spans="1:8" x14ac:dyDescent="0.25">
      <c r="A801" s="8"/>
      <c r="B801" s="8"/>
      <c r="C801" s="8"/>
      <c r="D801" s="8"/>
      <c r="E801" s="8"/>
      <c r="F801" s="8"/>
      <c r="G801" s="8"/>
      <c r="H801" s="8"/>
    </row>
    <row r="802" spans="1:8" x14ac:dyDescent="0.25">
      <c r="A802" s="8"/>
      <c r="B802" s="8"/>
      <c r="C802" s="8"/>
      <c r="D802" s="8"/>
      <c r="E802" s="8"/>
      <c r="F802" s="8"/>
      <c r="G802" s="8"/>
      <c r="H802" s="8"/>
    </row>
    <row r="803" spans="1:8" x14ac:dyDescent="0.25">
      <c r="A803" s="8"/>
      <c r="B803" s="8"/>
      <c r="C803" s="8"/>
      <c r="D803" s="8"/>
      <c r="E803" s="8"/>
      <c r="F803" s="8"/>
      <c r="G803" s="8"/>
      <c r="H803" s="8"/>
    </row>
    <row r="804" spans="1:8" x14ac:dyDescent="0.25">
      <c r="A804" s="8"/>
      <c r="B804" s="8"/>
      <c r="C804" s="8"/>
      <c r="D804" s="8"/>
      <c r="E804" s="8"/>
      <c r="F804" s="8"/>
      <c r="G804" s="8"/>
      <c r="H804" s="8"/>
    </row>
    <row r="805" spans="1:8" x14ac:dyDescent="0.25">
      <c r="A805" s="8"/>
      <c r="B805" s="8"/>
      <c r="C805" s="8"/>
      <c r="D805" s="8"/>
      <c r="E805" s="8"/>
      <c r="F805" s="8"/>
      <c r="G805" s="8"/>
      <c r="H805" s="8"/>
    </row>
    <row r="806" spans="1:8" x14ac:dyDescent="0.25">
      <c r="A806" s="8"/>
      <c r="B806" s="8"/>
      <c r="C806" s="8"/>
      <c r="D806" s="8"/>
      <c r="E806" s="8"/>
      <c r="F806" s="8"/>
      <c r="G806" s="8"/>
      <c r="H806" s="8"/>
    </row>
    <row r="807" spans="1:8" x14ac:dyDescent="0.25">
      <c r="A807" s="8"/>
      <c r="B807" s="8"/>
      <c r="C807" s="8"/>
      <c r="D807" s="8"/>
      <c r="E807" s="8"/>
      <c r="F807" s="8"/>
      <c r="G807" s="8"/>
      <c r="H807" s="8"/>
    </row>
    <row r="808" spans="1:8" x14ac:dyDescent="0.25">
      <c r="A808" s="8"/>
      <c r="B808" s="8"/>
      <c r="C808" s="8"/>
      <c r="D808" s="8"/>
      <c r="E808" s="8"/>
      <c r="F808" s="8"/>
      <c r="G808" s="8"/>
      <c r="H808" s="8"/>
    </row>
    <row r="809" spans="1:8" x14ac:dyDescent="0.25">
      <c r="A809" s="8"/>
      <c r="B809" s="8"/>
      <c r="C809" s="8"/>
      <c r="D809" s="8"/>
      <c r="E809" s="8"/>
      <c r="F809" s="8"/>
      <c r="G809" s="8"/>
      <c r="H809" s="8"/>
    </row>
    <row r="810" spans="1:8" x14ac:dyDescent="0.25">
      <c r="A810" s="8"/>
      <c r="B810" s="8"/>
      <c r="C810" s="8"/>
      <c r="D810" s="8"/>
      <c r="E810" s="8"/>
      <c r="F810" s="8"/>
      <c r="G810" s="8"/>
      <c r="H810" s="8"/>
    </row>
    <row r="811" spans="1:8" x14ac:dyDescent="0.25">
      <c r="A811" s="8"/>
      <c r="B811" s="8"/>
      <c r="C811" s="8"/>
      <c r="D811" s="8"/>
      <c r="E811" s="8"/>
      <c r="F811" s="8"/>
      <c r="G811" s="8"/>
      <c r="H811" s="8"/>
    </row>
    <row r="812" spans="1:8" x14ac:dyDescent="0.25">
      <c r="A812" s="8"/>
      <c r="B812" s="8"/>
      <c r="C812" s="8"/>
      <c r="D812" s="8"/>
      <c r="E812" s="8"/>
      <c r="F812" s="8"/>
      <c r="G812" s="8"/>
      <c r="H812" s="8"/>
    </row>
    <row r="813" spans="1:8" x14ac:dyDescent="0.25">
      <c r="A813" s="8"/>
      <c r="B813" s="8"/>
      <c r="C813" s="8"/>
      <c r="D813" s="8"/>
      <c r="E813" s="8"/>
      <c r="F813" s="8"/>
      <c r="G813" s="8"/>
      <c r="H813" s="8"/>
    </row>
    <row r="814" spans="1:8" x14ac:dyDescent="0.25">
      <c r="A814" s="8"/>
      <c r="B814" s="8"/>
      <c r="C814" s="8"/>
      <c r="D814" s="8"/>
      <c r="E814" s="8"/>
      <c r="F814" s="8"/>
      <c r="G814" s="8"/>
      <c r="H814" s="8"/>
    </row>
    <row r="815" spans="1:8" x14ac:dyDescent="0.25">
      <c r="A815" s="8"/>
      <c r="B815" s="8"/>
      <c r="C815" s="8"/>
      <c r="D815" s="8"/>
      <c r="E815" s="8"/>
      <c r="F815" s="8"/>
      <c r="G815" s="8"/>
      <c r="H815" s="8"/>
    </row>
    <row r="816" spans="1:8" x14ac:dyDescent="0.25">
      <c r="A816" s="8"/>
      <c r="B816" s="8"/>
      <c r="C816" s="8"/>
      <c r="D816" s="8"/>
      <c r="E816" s="8"/>
      <c r="F816" s="8"/>
      <c r="G816" s="8"/>
      <c r="H816" s="8"/>
    </row>
    <row r="817" spans="1:8" x14ac:dyDescent="0.25">
      <c r="A817" s="8"/>
      <c r="B817" s="8"/>
      <c r="C817" s="8"/>
      <c r="D817" s="8"/>
      <c r="E817" s="8"/>
      <c r="F817" s="8"/>
      <c r="G817" s="8"/>
      <c r="H817" s="8"/>
    </row>
    <row r="818" spans="1:8" x14ac:dyDescent="0.25">
      <c r="A818" s="8"/>
      <c r="B818" s="8"/>
      <c r="C818" s="8"/>
      <c r="D818" s="8"/>
      <c r="E818" s="8"/>
      <c r="F818" s="8"/>
      <c r="G818" s="8"/>
      <c r="H818" s="8"/>
    </row>
    <row r="819" spans="1:8" x14ac:dyDescent="0.25">
      <c r="A819" s="8"/>
      <c r="B819" s="8"/>
      <c r="C819" s="8"/>
      <c r="D819" s="8"/>
      <c r="E819" s="8"/>
      <c r="F819" s="8"/>
      <c r="G819" s="8"/>
      <c r="H819" s="8"/>
    </row>
    <row r="820" spans="1:8" x14ac:dyDescent="0.25">
      <c r="A820" s="8"/>
      <c r="B820" s="8"/>
      <c r="C820" s="8"/>
      <c r="D820" s="8"/>
      <c r="E820" s="8"/>
      <c r="F820" s="8"/>
      <c r="G820" s="8"/>
      <c r="H820" s="8"/>
    </row>
    <row r="821" spans="1:8" x14ac:dyDescent="0.25">
      <c r="A821" s="8"/>
      <c r="B821" s="8"/>
      <c r="C821" s="8"/>
      <c r="D821" s="8"/>
      <c r="E821" s="8"/>
      <c r="F821" s="8"/>
      <c r="G821" s="8"/>
      <c r="H821" s="8"/>
    </row>
    <row r="822" spans="1:8" x14ac:dyDescent="0.25">
      <c r="A822" s="8"/>
      <c r="B822" s="8"/>
      <c r="C822" s="8"/>
      <c r="D822" s="8"/>
      <c r="E822" s="8"/>
      <c r="F822" s="8"/>
      <c r="G822" s="8"/>
      <c r="H822" s="8"/>
    </row>
    <row r="823" spans="1:8" x14ac:dyDescent="0.25">
      <c r="A823" s="8"/>
      <c r="B823" s="8"/>
      <c r="C823" s="8"/>
      <c r="D823" s="8"/>
      <c r="E823" s="8"/>
      <c r="F823" s="8"/>
      <c r="G823" s="8"/>
      <c r="H823" s="8"/>
    </row>
    <row r="824" spans="1:8" x14ac:dyDescent="0.25">
      <c r="A824" s="8"/>
      <c r="B824" s="8"/>
      <c r="C824" s="8"/>
      <c r="D824" s="8"/>
      <c r="E824" s="8"/>
      <c r="F824" s="8"/>
      <c r="G824" s="8"/>
      <c r="H824" s="8"/>
    </row>
    <row r="825" spans="1:8" x14ac:dyDescent="0.25">
      <c r="A825" s="8"/>
      <c r="B825" s="8"/>
      <c r="C825" s="8"/>
      <c r="D825" s="8"/>
      <c r="E825" s="8"/>
      <c r="F825" s="8"/>
      <c r="G825" s="8"/>
      <c r="H825" s="8"/>
    </row>
    <row r="826" spans="1:8" x14ac:dyDescent="0.25">
      <c r="A826" s="8"/>
      <c r="B826" s="8"/>
      <c r="C826" s="8"/>
      <c r="D826" s="8"/>
      <c r="E826" s="8"/>
      <c r="F826" s="8"/>
      <c r="G826" s="8"/>
      <c r="H826" s="8"/>
    </row>
    <row r="827" spans="1:8" x14ac:dyDescent="0.25">
      <c r="A827" s="8"/>
      <c r="B827" s="8"/>
      <c r="C827" s="8"/>
      <c r="D827" s="8"/>
      <c r="E827" s="8"/>
      <c r="F827" s="8"/>
      <c r="G827" s="8"/>
      <c r="H827" s="8"/>
    </row>
    <row r="828" spans="1:8" x14ac:dyDescent="0.25">
      <c r="A828" s="8"/>
      <c r="B828" s="8"/>
      <c r="C828" s="8"/>
      <c r="D828" s="8"/>
      <c r="E828" s="8"/>
      <c r="F828" s="8"/>
      <c r="G828" s="8"/>
      <c r="H828" s="8"/>
    </row>
    <row r="829" spans="1:8" x14ac:dyDescent="0.25">
      <c r="A829" s="8"/>
      <c r="B829" s="8"/>
      <c r="C829" s="8"/>
      <c r="D829" s="8"/>
      <c r="E829" s="8"/>
      <c r="F829" s="8"/>
      <c r="G829" s="8"/>
      <c r="H829" s="8"/>
    </row>
    <row r="830" spans="1:8" x14ac:dyDescent="0.25">
      <c r="A830" s="8"/>
      <c r="B830" s="8"/>
      <c r="C830" s="8"/>
      <c r="D830" s="8"/>
      <c r="E830" s="8"/>
      <c r="F830" s="8"/>
      <c r="G830" s="8"/>
      <c r="H830" s="8"/>
    </row>
    <row r="831" spans="1:8" x14ac:dyDescent="0.25">
      <c r="A831" s="8"/>
      <c r="B831" s="8"/>
      <c r="C831" s="8"/>
      <c r="D831" s="8"/>
      <c r="E831" s="8"/>
      <c r="F831" s="8"/>
      <c r="G831" s="8"/>
      <c r="H831" s="8"/>
    </row>
    <row r="832" spans="1:8" x14ac:dyDescent="0.25">
      <c r="A832" s="8"/>
      <c r="B832" s="8"/>
      <c r="C832" s="8"/>
      <c r="D832" s="8"/>
      <c r="E832" s="8"/>
      <c r="F832" s="8"/>
      <c r="G832" s="8"/>
      <c r="H832" s="8"/>
    </row>
    <row r="833" spans="1:8" x14ac:dyDescent="0.25">
      <c r="A833" s="8"/>
      <c r="B833" s="8"/>
      <c r="C833" s="8"/>
      <c r="D833" s="8"/>
      <c r="E833" s="8"/>
      <c r="F833" s="8"/>
      <c r="G833" s="8"/>
      <c r="H833" s="8"/>
    </row>
    <row r="834" spans="1:8" x14ac:dyDescent="0.25">
      <c r="A834" s="8"/>
      <c r="B834" s="8"/>
      <c r="C834" s="8"/>
      <c r="D834" s="8"/>
      <c r="E834" s="8"/>
      <c r="F834" s="8"/>
      <c r="G834" s="8"/>
      <c r="H834" s="8"/>
    </row>
    <row r="835" spans="1:8" x14ac:dyDescent="0.25">
      <c r="A835" s="8"/>
      <c r="B835" s="8"/>
      <c r="C835" s="8"/>
      <c r="D835" s="8"/>
      <c r="E835" s="8"/>
      <c r="F835" s="8"/>
      <c r="G835" s="8"/>
      <c r="H835" s="8"/>
    </row>
    <row r="836" spans="1:8" x14ac:dyDescent="0.25">
      <c r="A836" s="8"/>
      <c r="B836" s="8"/>
      <c r="C836" s="8"/>
      <c r="D836" s="8"/>
      <c r="E836" s="8"/>
      <c r="F836" s="8"/>
      <c r="G836" s="8"/>
      <c r="H836" s="8"/>
    </row>
    <row r="837" spans="1:8" x14ac:dyDescent="0.25">
      <c r="A837" s="8"/>
      <c r="B837" s="8"/>
      <c r="C837" s="8"/>
      <c r="D837" s="8"/>
      <c r="E837" s="8"/>
      <c r="F837" s="8"/>
      <c r="G837" s="8"/>
      <c r="H837" s="8"/>
    </row>
    <row r="838" spans="1:8" x14ac:dyDescent="0.25">
      <c r="A838" s="8"/>
      <c r="B838" s="8"/>
      <c r="C838" s="8"/>
      <c r="D838" s="8"/>
      <c r="E838" s="8"/>
      <c r="F838" s="8"/>
      <c r="G838" s="8"/>
      <c r="H838" s="8"/>
    </row>
    <row r="839" spans="1:8" x14ac:dyDescent="0.25">
      <c r="A839" s="8"/>
      <c r="B839" s="8"/>
      <c r="C839" s="8"/>
      <c r="D839" s="8"/>
      <c r="E839" s="8"/>
      <c r="F839" s="8"/>
      <c r="G839" s="8"/>
      <c r="H839" s="8"/>
    </row>
    <row r="840" spans="1:8" x14ac:dyDescent="0.25">
      <c r="A840" s="8"/>
      <c r="B840" s="8"/>
      <c r="C840" s="8"/>
      <c r="D840" s="8"/>
      <c r="E840" s="8"/>
      <c r="F840" s="8"/>
      <c r="G840" s="8"/>
      <c r="H840" s="8"/>
    </row>
    <row r="841" spans="1:8" x14ac:dyDescent="0.25">
      <c r="A841" s="8"/>
      <c r="B841" s="8"/>
      <c r="C841" s="8"/>
      <c r="D841" s="8"/>
      <c r="E841" s="8"/>
      <c r="F841" s="8"/>
      <c r="G841" s="8"/>
      <c r="H841" s="8"/>
    </row>
    <row r="842" spans="1:8" x14ac:dyDescent="0.25">
      <c r="A842" s="8"/>
      <c r="B842" s="8"/>
      <c r="C842" s="8"/>
      <c r="D842" s="8"/>
      <c r="E842" s="8"/>
      <c r="F842" s="8"/>
      <c r="G842" s="8"/>
      <c r="H842" s="8"/>
    </row>
    <row r="843" spans="1:8" x14ac:dyDescent="0.25">
      <c r="A843" s="8"/>
      <c r="B843" s="8"/>
      <c r="C843" s="8"/>
      <c r="D843" s="8"/>
      <c r="E843" s="8"/>
      <c r="F843" s="8"/>
      <c r="G843" s="8"/>
      <c r="H843" s="8"/>
    </row>
    <row r="844" spans="1:8" x14ac:dyDescent="0.25">
      <c r="A844" s="8"/>
      <c r="B844" s="8"/>
      <c r="C844" s="8"/>
      <c r="D844" s="8"/>
      <c r="E844" s="8"/>
      <c r="F844" s="8"/>
      <c r="G844" s="8"/>
      <c r="H844" s="8"/>
    </row>
    <row r="845" spans="1:8" x14ac:dyDescent="0.25">
      <c r="A845" s="8"/>
      <c r="B845" s="8"/>
      <c r="C845" s="8"/>
      <c r="D845" s="8"/>
      <c r="E845" s="8"/>
      <c r="F845" s="8"/>
      <c r="G845" s="8"/>
      <c r="H845" s="8"/>
    </row>
    <row r="846" spans="1:8" x14ac:dyDescent="0.25">
      <c r="A846" s="8"/>
      <c r="B846" s="8"/>
      <c r="C846" s="8"/>
      <c r="D846" s="8"/>
      <c r="E846" s="8"/>
      <c r="F846" s="8"/>
      <c r="G846" s="8"/>
      <c r="H846" s="8"/>
    </row>
    <row r="847" spans="1:8" x14ac:dyDescent="0.25">
      <c r="A847" s="8"/>
      <c r="B847" s="8"/>
      <c r="C847" s="8"/>
      <c r="D847" s="8"/>
      <c r="E847" s="8"/>
      <c r="F847" s="8"/>
      <c r="G847" s="8"/>
      <c r="H847" s="8"/>
    </row>
    <row r="848" spans="1:8" x14ac:dyDescent="0.25">
      <c r="A848" s="8"/>
      <c r="B848" s="8"/>
      <c r="C848" s="8"/>
      <c r="D848" s="8"/>
      <c r="E848" s="8"/>
      <c r="F848" s="8"/>
      <c r="G848" s="8"/>
      <c r="H848" s="8"/>
    </row>
    <row r="849" spans="1:8" x14ac:dyDescent="0.25">
      <c r="A849" s="8"/>
      <c r="B849" s="8"/>
      <c r="C849" s="8"/>
      <c r="D849" s="8"/>
      <c r="E849" s="8"/>
      <c r="F849" s="8"/>
      <c r="G849" s="8"/>
      <c r="H849" s="8"/>
    </row>
    <row r="850" spans="1:8" x14ac:dyDescent="0.25">
      <c r="A850" s="8"/>
      <c r="B850" s="8"/>
      <c r="C850" s="8"/>
      <c r="D850" s="8"/>
      <c r="E850" s="8"/>
      <c r="F850" s="8"/>
      <c r="G850" s="8"/>
      <c r="H850" s="8"/>
    </row>
    <row r="851" spans="1:8" x14ac:dyDescent="0.25">
      <c r="A851" s="8"/>
      <c r="B851" s="8"/>
      <c r="C851" s="8"/>
      <c r="D851" s="8"/>
      <c r="E851" s="8"/>
      <c r="F851" s="8"/>
      <c r="G851" s="8"/>
      <c r="H851" s="8"/>
    </row>
    <row r="852" spans="1:8" x14ac:dyDescent="0.25">
      <c r="A852" s="8"/>
      <c r="B852" s="8"/>
      <c r="C852" s="8"/>
      <c r="D852" s="8"/>
      <c r="E852" s="8"/>
      <c r="F852" s="8"/>
      <c r="G852" s="8"/>
      <c r="H852" s="8"/>
    </row>
    <row r="853" spans="1:8" x14ac:dyDescent="0.25">
      <c r="A853" s="8"/>
      <c r="B853" s="8"/>
      <c r="C853" s="8"/>
      <c r="D853" s="8"/>
      <c r="E853" s="8"/>
      <c r="F853" s="8"/>
      <c r="G853" s="8"/>
      <c r="H853" s="8"/>
    </row>
    <row r="854" spans="1:8" x14ac:dyDescent="0.25">
      <c r="A854" s="8"/>
      <c r="B854" s="8"/>
      <c r="C854" s="8"/>
      <c r="D854" s="8"/>
      <c r="E854" s="8"/>
      <c r="F854" s="8"/>
      <c r="G854" s="8"/>
      <c r="H854" s="8"/>
    </row>
    <row r="855" spans="1:8" x14ac:dyDescent="0.25">
      <c r="A855" s="8"/>
      <c r="B855" s="8"/>
      <c r="C855" s="8"/>
      <c r="D855" s="8"/>
      <c r="E855" s="8"/>
      <c r="F855" s="8"/>
      <c r="G855" s="8"/>
      <c r="H855" s="8"/>
    </row>
    <row r="856" spans="1:8" x14ac:dyDescent="0.25">
      <c r="A856" s="8"/>
      <c r="B856" s="8"/>
      <c r="C856" s="8"/>
      <c r="D856" s="8"/>
      <c r="E856" s="8"/>
      <c r="F856" s="8"/>
      <c r="G856" s="8"/>
      <c r="H856" s="8"/>
    </row>
    <row r="857" spans="1:8" x14ac:dyDescent="0.25">
      <c r="A857" s="8"/>
      <c r="B857" s="8"/>
      <c r="C857" s="8"/>
      <c r="D857" s="8"/>
      <c r="E857" s="8"/>
      <c r="F857" s="8"/>
      <c r="G857" s="8"/>
      <c r="H857" s="8"/>
    </row>
    <row r="858" spans="1:8" x14ac:dyDescent="0.25">
      <c r="A858" s="8"/>
      <c r="B858" s="8"/>
      <c r="C858" s="8"/>
      <c r="D858" s="8"/>
      <c r="E858" s="8"/>
      <c r="F858" s="8"/>
      <c r="G858" s="8"/>
      <c r="H858" s="8"/>
    </row>
    <row r="859" spans="1:8" x14ac:dyDescent="0.25">
      <c r="A859" s="8"/>
      <c r="B859" s="8"/>
      <c r="C859" s="8"/>
      <c r="D859" s="8"/>
      <c r="E859" s="8"/>
      <c r="F859" s="8"/>
      <c r="G859" s="8"/>
      <c r="H859" s="8"/>
    </row>
    <row r="860" spans="1:8" x14ac:dyDescent="0.25">
      <c r="A860" s="8"/>
      <c r="B860" s="8"/>
      <c r="C860" s="8"/>
      <c r="D860" s="8"/>
      <c r="E860" s="8"/>
      <c r="F860" s="8"/>
      <c r="G860" s="8"/>
      <c r="H860" s="8"/>
    </row>
    <row r="861" spans="1:8" x14ac:dyDescent="0.25">
      <c r="A861" s="8"/>
      <c r="B861" s="8"/>
      <c r="C861" s="8"/>
      <c r="D861" s="8"/>
      <c r="E861" s="8"/>
      <c r="F861" s="8"/>
      <c r="G861" s="8"/>
      <c r="H861" s="8"/>
    </row>
    <row r="862" spans="1:8" x14ac:dyDescent="0.25">
      <c r="A862" s="8"/>
      <c r="B862" s="8"/>
      <c r="C862" s="8"/>
      <c r="D862" s="8"/>
      <c r="E862" s="8"/>
      <c r="F862" s="8"/>
      <c r="G862" s="8"/>
      <c r="H862" s="8"/>
    </row>
    <row r="863" spans="1:8" x14ac:dyDescent="0.25">
      <c r="A863" s="8"/>
      <c r="B863" s="8"/>
      <c r="C863" s="8"/>
      <c r="D863" s="8"/>
      <c r="E863" s="8"/>
      <c r="F863" s="8"/>
      <c r="G863" s="8"/>
      <c r="H863" s="8"/>
    </row>
    <row r="864" spans="1:8" x14ac:dyDescent="0.25">
      <c r="A864" s="8"/>
      <c r="B864" s="8"/>
      <c r="C864" s="8"/>
      <c r="D864" s="8"/>
      <c r="E864" s="8"/>
      <c r="F864" s="8"/>
      <c r="G864" s="8"/>
      <c r="H864" s="8"/>
    </row>
    <row r="865" spans="1:8" x14ac:dyDescent="0.25">
      <c r="A865" s="8"/>
      <c r="B865" s="8"/>
      <c r="C865" s="8"/>
      <c r="D865" s="8"/>
      <c r="E865" s="8"/>
      <c r="F865" s="8"/>
      <c r="G865" s="8"/>
      <c r="H865" s="8"/>
    </row>
    <row r="866" spans="1:8" x14ac:dyDescent="0.25">
      <c r="A866" s="8"/>
      <c r="B866" s="8"/>
      <c r="C866" s="8"/>
      <c r="D866" s="8"/>
      <c r="E866" s="8"/>
      <c r="F866" s="8"/>
      <c r="G866" s="8"/>
      <c r="H866" s="8"/>
    </row>
    <row r="867" spans="1:8" x14ac:dyDescent="0.25">
      <c r="A867" s="8"/>
      <c r="B867" s="8"/>
      <c r="C867" s="8"/>
      <c r="D867" s="8"/>
      <c r="E867" s="8"/>
      <c r="F867" s="8"/>
      <c r="G867" s="8"/>
      <c r="H867" s="8"/>
    </row>
    <row r="868" spans="1:8" x14ac:dyDescent="0.25">
      <c r="A868" s="8"/>
      <c r="B868" s="8"/>
      <c r="C868" s="8"/>
      <c r="D868" s="8"/>
      <c r="E868" s="8"/>
      <c r="F868" s="8"/>
      <c r="G868" s="8"/>
      <c r="H868" s="8"/>
    </row>
    <row r="869" spans="1:8" x14ac:dyDescent="0.25">
      <c r="A869" s="8"/>
      <c r="B869" s="8"/>
      <c r="C869" s="8"/>
      <c r="D869" s="8"/>
      <c r="E869" s="8"/>
      <c r="F869" s="8"/>
      <c r="G869" s="8"/>
      <c r="H869" s="8"/>
    </row>
    <row r="870" spans="1:8" x14ac:dyDescent="0.25">
      <c r="A870" s="8"/>
      <c r="B870" s="8"/>
      <c r="C870" s="8"/>
      <c r="D870" s="8"/>
      <c r="E870" s="8"/>
      <c r="F870" s="8"/>
      <c r="G870" s="8"/>
      <c r="H870" s="8"/>
    </row>
    <row r="871" spans="1:8" x14ac:dyDescent="0.25">
      <c r="A871" s="8"/>
      <c r="B871" s="8"/>
      <c r="C871" s="8"/>
      <c r="D871" s="8"/>
      <c r="E871" s="8"/>
      <c r="F871" s="8"/>
      <c r="G871" s="8"/>
      <c r="H871" s="8"/>
    </row>
    <row r="872" spans="1:8" x14ac:dyDescent="0.25">
      <c r="A872" s="8"/>
      <c r="B872" s="8"/>
      <c r="C872" s="8"/>
      <c r="D872" s="8"/>
      <c r="E872" s="8"/>
      <c r="F872" s="8"/>
      <c r="G872" s="8"/>
      <c r="H872" s="8"/>
    </row>
    <row r="873" spans="1:8" x14ac:dyDescent="0.25">
      <c r="A873" s="8"/>
      <c r="B873" s="8"/>
      <c r="C873" s="8"/>
      <c r="D873" s="8"/>
      <c r="E873" s="8"/>
      <c r="F873" s="8"/>
      <c r="G873" s="8"/>
      <c r="H873" s="8"/>
    </row>
    <row r="874" spans="1:8" x14ac:dyDescent="0.25">
      <c r="A874" s="8"/>
      <c r="B874" s="8"/>
      <c r="C874" s="8"/>
      <c r="D874" s="8"/>
      <c r="E874" s="8"/>
      <c r="F874" s="8"/>
      <c r="G874" s="8"/>
      <c r="H874" s="8"/>
    </row>
    <row r="875" spans="1:8" x14ac:dyDescent="0.25">
      <c r="A875" s="8"/>
      <c r="B875" s="8"/>
      <c r="C875" s="8"/>
      <c r="D875" s="8"/>
      <c r="E875" s="8"/>
      <c r="F875" s="8"/>
      <c r="G875" s="8"/>
      <c r="H875" s="8"/>
    </row>
    <row r="876" spans="1:8" x14ac:dyDescent="0.25">
      <c r="A876" s="8"/>
      <c r="B876" s="8"/>
      <c r="C876" s="8"/>
      <c r="D876" s="8"/>
      <c r="E876" s="8"/>
      <c r="F876" s="8"/>
      <c r="G876" s="8"/>
      <c r="H876" s="8"/>
    </row>
    <row r="877" spans="1:8" x14ac:dyDescent="0.25">
      <c r="A877" s="8"/>
      <c r="B877" s="8"/>
      <c r="C877" s="8"/>
      <c r="D877" s="8"/>
      <c r="E877" s="8"/>
      <c r="F877" s="8"/>
      <c r="G877" s="8"/>
      <c r="H877" s="8"/>
    </row>
    <row r="878" spans="1:8" x14ac:dyDescent="0.25">
      <c r="A878" s="8"/>
      <c r="B878" s="8"/>
      <c r="C878" s="8"/>
      <c r="D878" s="8"/>
      <c r="E878" s="8"/>
      <c r="F878" s="8"/>
      <c r="G878" s="8"/>
      <c r="H878" s="8"/>
    </row>
    <row r="879" spans="1:8" x14ac:dyDescent="0.25">
      <c r="A879" s="8"/>
      <c r="B879" s="8"/>
      <c r="C879" s="8"/>
      <c r="D879" s="8"/>
      <c r="E879" s="8"/>
      <c r="F879" s="8"/>
      <c r="G879" s="8"/>
      <c r="H879" s="8"/>
    </row>
    <row r="880" spans="1:8" x14ac:dyDescent="0.25">
      <c r="A880" s="8"/>
      <c r="B880" s="8"/>
      <c r="C880" s="8"/>
      <c r="D880" s="8"/>
      <c r="E880" s="8"/>
      <c r="F880" s="8"/>
      <c r="G880" s="8"/>
      <c r="H880" s="8"/>
    </row>
    <row r="881" spans="1:8" x14ac:dyDescent="0.25">
      <c r="A881" s="8"/>
      <c r="B881" s="8"/>
      <c r="C881" s="8"/>
      <c r="D881" s="8"/>
      <c r="E881" s="8"/>
      <c r="F881" s="8"/>
      <c r="G881" s="8"/>
      <c r="H881" s="8"/>
    </row>
    <row r="882" spans="1:8" x14ac:dyDescent="0.25">
      <c r="A882" s="8"/>
      <c r="B882" s="8"/>
      <c r="C882" s="8"/>
      <c r="D882" s="8"/>
      <c r="E882" s="8"/>
      <c r="F882" s="8"/>
      <c r="G882" s="8"/>
      <c r="H882" s="8"/>
    </row>
    <row r="883" spans="1:8" x14ac:dyDescent="0.25">
      <c r="A883" s="8"/>
      <c r="B883" s="8"/>
      <c r="C883" s="8"/>
      <c r="D883" s="8"/>
      <c r="E883" s="8"/>
      <c r="F883" s="8"/>
      <c r="G883" s="8"/>
      <c r="H883" s="8"/>
    </row>
    <row r="884" spans="1:8" x14ac:dyDescent="0.25">
      <c r="A884" s="8"/>
      <c r="B884" s="8"/>
      <c r="C884" s="8"/>
      <c r="D884" s="8"/>
      <c r="E884" s="8"/>
      <c r="F884" s="8"/>
      <c r="G884" s="8"/>
      <c r="H884" s="8"/>
    </row>
    <row r="885" spans="1:8" x14ac:dyDescent="0.25">
      <c r="A885" s="8"/>
      <c r="B885" s="8"/>
      <c r="C885" s="8"/>
      <c r="D885" s="8"/>
      <c r="E885" s="8"/>
      <c r="F885" s="8"/>
      <c r="G885" s="8"/>
      <c r="H885" s="8"/>
    </row>
    <row r="886" spans="1:8" x14ac:dyDescent="0.25">
      <c r="A886" s="8"/>
      <c r="B886" s="8"/>
      <c r="C886" s="8"/>
      <c r="D886" s="8"/>
      <c r="E886" s="8"/>
      <c r="F886" s="8"/>
      <c r="G886" s="8"/>
      <c r="H886" s="8"/>
    </row>
    <row r="887" spans="1:8" x14ac:dyDescent="0.25">
      <c r="A887" s="8"/>
      <c r="B887" s="8"/>
      <c r="C887" s="8"/>
      <c r="D887" s="8"/>
      <c r="E887" s="8"/>
      <c r="F887" s="8"/>
      <c r="G887" s="8"/>
      <c r="H887" s="8"/>
    </row>
    <row r="888" spans="1:8" x14ac:dyDescent="0.25">
      <c r="A888" s="8"/>
      <c r="B888" s="8"/>
      <c r="C888" s="8"/>
      <c r="D888" s="8"/>
      <c r="E888" s="8"/>
      <c r="F888" s="8"/>
      <c r="G888" s="8"/>
      <c r="H888" s="8"/>
    </row>
    <row r="889" spans="1:8" x14ac:dyDescent="0.25">
      <c r="A889" s="8"/>
      <c r="B889" s="8"/>
      <c r="C889" s="8"/>
      <c r="D889" s="8"/>
      <c r="E889" s="8"/>
      <c r="F889" s="8"/>
      <c r="G889" s="8"/>
      <c r="H889" s="8"/>
    </row>
    <row r="890" spans="1:8" x14ac:dyDescent="0.25">
      <c r="A890" s="8"/>
      <c r="B890" s="8"/>
      <c r="C890" s="8"/>
      <c r="D890" s="8"/>
      <c r="E890" s="8"/>
      <c r="F890" s="8"/>
      <c r="G890" s="8"/>
      <c r="H890" s="8"/>
    </row>
    <row r="891" spans="1:8" x14ac:dyDescent="0.25">
      <c r="A891" s="8"/>
      <c r="B891" s="8"/>
      <c r="C891" s="8"/>
      <c r="D891" s="8"/>
      <c r="E891" s="8"/>
      <c r="F891" s="8"/>
      <c r="G891" s="8"/>
      <c r="H891" s="8"/>
    </row>
    <row r="892" spans="1:8" x14ac:dyDescent="0.25">
      <c r="A892" s="8"/>
      <c r="B892" s="8"/>
      <c r="C892" s="8"/>
      <c r="D892" s="8"/>
      <c r="E892" s="8"/>
      <c r="F892" s="8"/>
      <c r="G892" s="8"/>
      <c r="H892" s="8"/>
    </row>
    <row r="893" spans="1:8" x14ac:dyDescent="0.25">
      <c r="A893" s="8"/>
      <c r="B893" s="8"/>
      <c r="C893" s="8"/>
      <c r="D893" s="8"/>
      <c r="E893" s="8"/>
      <c r="F893" s="8"/>
      <c r="G893" s="8"/>
      <c r="H893" s="8"/>
    </row>
    <row r="894" spans="1:8" x14ac:dyDescent="0.25">
      <c r="A894" s="8"/>
      <c r="B894" s="8"/>
      <c r="C894" s="8"/>
      <c r="D894" s="8"/>
      <c r="E894" s="8"/>
      <c r="F894" s="8"/>
      <c r="G894" s="8"/>
      <c r="H894" s="8"/>
    </row>
    <row r="895" spans="1:8" x14ac:dyDescent="0.25">
      <c r="A895" s="8"/>
      <c r="B895" s="8"/>
      <c r="C895" s="8"/>
      <c r="D895" s="8"/>
      <c r="E895" s="8"/>
      <c r="F895" s="8"/>
      <c r="G895" s="8"/>
      <c r="H895" s="8"/>
    </row>
    <row r="896" spans="1:8" x14ac:dyDescent="0.25">
      <c r="A896" s="8"/>
      <c r="B896" s="8"/>
      <c r="C896" s="8"/>
      <c r="D896" s="8"/>
      <c r="E896" s="8"/>
      <c r="F896" s="8"/>
      <c r="G896" s="8"/>
      <c r="H896" s="8"/>
    </row>
    <row r="897" spans="1:8" x14ac:dyDescent="0.25">
      <c r="A897" s="8"/>
      <c r="B897" s="8"/>
      <c r="C897" s="8"/>
      <c r="D897" s="8"/>
      <c r="E897" s="8"/>
      <c r="F897" s="8"/>
      <c r="G897" s="8"/>
      <c r="H897" s="8"/>
    </row>
    <row r="898" spans="1:8" x14ac:dyDescent="0.25">
      <c r="A898" s="8"/>
      <c r="B898" s="8"/>
      <c r="C898" s="8"/>
      <c r="D898" s="8"/>
      <c r="E898" s="8"/>
      <c r="F898" s="8"/>
      <c r="G898" s="8"/>
      <c r="H898" s="8"/>
    </row>
    <row r="899" spans="1:8" x14ac:dyDescent="0.25">
      <c r="A899" s="8"/>
      <c r="B899" s="8"/>
      <c r="C899" s="8"/>
      <c r="D899" s="8"/>
      <c r="E899" s="8"/>
      <c r="F899" s="8"/>
      <c r="G899" s="8"/>
      <c r="H899" s="8"/>
    </row>
    <row r="900" spans="1:8" x14ac:dyDescent="0.25">
      <c r="A900" s="8"/>
      <c r="B900" s="8"/>
      <c r="C900" s="8"/>
      <c r="D900" s="8"/>
      <c r="E900" s="8"/>
      <c r="F900" s="8"/>
      <c r="G900" s="8"/>
      <c r="H900" s="8"/>
    </row>
    <row r="901" spans="1:8" x14ac:dyDescent="0.25">
      <c r="A901" s="8"/>
      <c r="B901" s="8"/>
      <c r="C901" s="8"/>
      <c r="D901" s="8"/>
      <c r="E901" s="8"/>
      <c r="F901" s="8"/>
      <c r="G901" s="8"/>
      <c r="H901" s="8"/>
    </row>
    <row r="902" spans="1:8" x14ac:dyDescent="0.25">
      <c r="A902" s="8"/>
      <c r="B902" s="8"/>
      <c r="C902" s="8"/>
      <c r="D902" s="8"/>
      <c r="E902" s="8"/>
      <c r="F902" s="8"/>
      <c r="G902" s="8"/>
      <c r="H902" s="8"/>
    </row>
    <row r="903" spans="1:8" x14ac:dyDescent="0.25">
      <c r="A903" s="8"/>
      <c r="B903" s="8"/>
      <c r="C903" s="8"/>
      <c r="D903" s="8"/>
      <c r="E903" s="8"/>
      <c r="F903" s="8"/>
      <c r="G903" s="8"/>
      <c r="H903" s="8"/>
    </row>
    <row r="904" spans="1:8" x14ac:dyDescent="0.25">
      <c r="A904" s="8"/>
      <c r="B904" s="8"/>
      <c r="C904" s="8"/>
      <c r="D904" s="8"/>
      <c r="E904" s="8"/>
      <c r="F904" s="8"/>
      <c r="G904" s="8"/>
      <c r="H904" s="8"/>
    </row>
    <row r="905" spans="1:8" x14ac:dyDescent="0.25">
      <c r="A905" s="8"/>
      <c r="B905" s="8"/>
      <c r="C905" s="8"/>
      <c r="D905" s="8"/>
      <c r="E905" s="8"/>
      <c r="F905" s="8"/>
      <c r="G905" s="8"/>
      <c r="H905" s="8"/>
    </row>
    <row r="906" spans="1:8" x14ac:dyDescent="0.25">
      <c r="A906" s="8"/>
      <c r="B906" s="8"/>
      <c r="C906" s="8"/>
      <c r="D906" s="8"/>
      <c r="E906" s="8"/>
      <c r="F906" s="8"/>
      <c r="G906" s="8"/>
      <c r="H906" s="8"/>
    </row>
    <row r="907" spans="1:8" x14ac:dyDescent="0.25">
      <c r="A907" s="8"/>
      <c r="B907" s="8"/>
      <c r="C907" s="8"/>
      <c r="D907" s="8"/>
      <c r="E907" s="8"/>
      <c r="F907" s="8"/>
      <c r="G907" s="8"/>
      <c r="H907" s="8"/>
    </row>
    <row r="908" spans="1:8" x14ac:dyDescent="0.25">
      <c r="A908" s="8"/>
      <c r="B908" s="8"/>
      <c r="C908" s="8"/>
      <c r="D908" s="8"/>
      <c r="E908" s="8"/>
      <c r="F908" s="8"/>
      <c r="G908" s="8"/>
      <c r="H908" s="8"/>
    </row>
    <row r="909" spans="1:8" x14ac:dyDescent="0.25">
      <c r="A909" s="8"/>
      <c r="B909" s="8"/>
      <c r="C909" s="8"/>
      <c r="D909" s="8"/>
      <c r="E909" s="8"/>
      <c r="F909" s="8"/>
      <c r="G909" s="8"/>
      <c r="H909" s="8"/>
    </row>
    <row r="910" spans="1:8" x14ac:dyDescent="0.25">
      <c r="A910" s="8"/>
      <c r="B910" s="8"/>
      <c r="C910" s="8"/>
      <c r="D910" s="8"/>
      <c r="E910" s="8"/>
      <c r="F910" s="8"/>
      <c r="G910" s="8"/>
      <c r="H910" s="8"/>
    </row>
    <row r="911" spans="1:8" x14ac:dyDescent="0.25">
      <c r="A911" s="8"/>
      <c r="B911" s="8"/>
      <c r="C911" s="8"/>
      <c r="D911" s="8"/>
      <c r="E911" s="8"/>
      <c r="F911" s="8"/>
      <c r="G911" s="8"/>
      <c r="H911" s="8"/>
    </row>
    <row r="912" spans="1:8" x14ac:dyDescent="0.25">
      <c r="A912" s="8"/>
      <c r="B912" s="8"/>
      <c r="C912" s="8"/>
      <c r="D912" s="8"/>
      <c r="E912" s="8"/>
      <c r="F912" s="8"/>
      <c r="G912" s="8"/>
      <c r="H912" s="8"/>
    </row>
    <row r="913" spans="1:8" x14ac:dyDescent="0.25">
      <c r="A913" s="8"/>
      <c r="B913" s="8"/>
      <c r="C913" s="8"/>
      <c r="D913" s="8"/>
      <c r="E913" s="8"/>
      <c r="F913" s="8"/>
      <c r="G913" s="8"/>
      <c r="H913" s="8"/>
    </row>
    <row r="914" spans="1:8" x14ac:dyDescent="0.25">
      <c r="A914" s="8"/>
      <c r="B914" s="8"/>
      <c r="C914" s="8"/>
      <c r="D914" s="8"/>
      <c r="E914" s="8"/>
      <c r="F914" s="8"/>
      <c r="G914" s="8"/>
      <c r="H914" s="8"/>
    </row>
    <row r="915" spans="1:8" x14ac:dyDescent="0.25">
      <c r="A915" s="8"/>
      <c r="B915" s="8"/>
      <c r="C915" s="8"/>
      <c r="D915" s="8"/>
      <c r="E915" s="8"/>
      <c r="F915" s="8"/>
      <c r="G915" s="8"/>
      <c r="H915" s="8"/>
    </row>
    <row r="916" spans="1:8" x14ac:dyDescent="0.25">
      <c r="A916" s="8"/>
      <c r="B916" s="8"/>
      <c r="C916" s="8"/>
      <c r="D916" s="8"/>
      <c r="E916" s="8"/>
      <c r="F916" s="8"/>
      <c r="G916" s="8"/>
      <c r="H916" s="8"/>
    </row>
    <row r="917" spans="1:8" x14ac:dyDescent="0.25">
      <c r="A917" s="8"/>
      <c r="B917" s="8"/>
      <c r="C917" s="8"/>
      <c r="D917" s="8"/>
      <c r="E917" s="8"/>
      <c r="F917" s="8"/>
      <c r="G917" s="8"/>
      <c r="H917" s="8"/>
    </row>
    <row r="918" spans="1:8" x14ac:dyDescent="0.25">
      <c r="A918" s="8"/>
      <c r="B918" s="8"/>
      <c r="C918" s="8"/>
      <c r="D918" s="8"/>
      <c r="E918" s="8"/>
      <c r="F918" s="8"/>
      <c r="G918" s="8"/>
      <c r="H918" s="8"/>
    </row>
    <row r="919" spans="1:8" x14ac:dyDescent="0.25">
      <c r="A919" s="8"/>
      <c r="B919" s="8"/>
      <c r="C919" s="8"/>
      <c r="D919" s="8"/>
      <c r="E919" s="8"/>
      <c r="F919" s="8"/>
      <c r="G919" s="8"/>
      <c r="H919" s="8"/>
    </row>
    <row r="920" spans="1:8" x14ac:dyDescent="0.25">
      <c r="A920" s="8"/>
      <c r="B920" s="8"/>
      <c r="C920" s="8"/>
      <c r="D920" s="8"/>
      <c r="E920" s="8"/>
      <c r="F920" s="8"/>
      <c r="G920" s="8"/>
      <c r="H920" s="8"/>
    </row>
    <row r="921" spans="1:8" x14ac:dyDescent="0.25">
      <c r="A921" s="8"/>
      <c r="B921" s="8"/>
      <c r="C921" s="8"/>
      <c r="D921" s="8"/>
      <c r="E921" s="8"/>
      <c r="F921" s="8"/>
      <c r="G921" s="8"/>
      <c r="H921" s="8"/>
    </row>
    <row r="922" spans="1:8" x14ac:dyDescent="0.25">
      <c r="A922" s="8"/>
      <c r="B922" s="8"/>
      <c r="C922" s="8"/>
      <c r="D922" s="8"/>
      <c r="E922" s="8"/>
      <c r="F922" s="8"/>
      <c r="G922" s="8"/>
      <c r="H922" s="8"/>
    </row>
    <row r="923" spans="1:8" x14ac:dyDescent="0.25">
      <c r="A923" s="8"/>
      <c r="B923" s="8"/>
      <c r="C923" s="8"/>
      <c r="D923" s="8"/>
      <c r="E923" s="8"/>
      <c r="F923" s="8"/>
      <c r="G923" s="8"/>
      <c r="H923" s="8"/>
    </row>
    <row r="924" spans="1:8" x14ac:dyDescent="0.25">
      <c r="A924" s="8"/>
      <c r="B924" s="8"/>
      <c r="C924" s="8"/>
      <c r="D924" s="8"/>
      <c r="E924" s="8"/>
      <c r="F924" s="8"/>
      <c r="G924" s="8"/>
      <c r="H924" s="8"/>
    </row>
    <row r="925" spans="1:8" x14ac:dyDescent="0.25">
      <c r="A925" s="8"/>
      <c r="B925" s="8"/>
      <c r="C925" s="8"/>
      <c r="D925" s="8"/>
      <c r="E925" s="8"/>
      <c r="F925" s="8"/>
      <c r="G925" s="8"/>
      <c r="H925" s="8"/>
    </row>
    <row r="926" spans="1:8" x14ac:dyDescent="0.25">
      <c r="A926" s="8"/>
      <c r="B926" s="8"/>
      <c r="C926" s="8"/>
      <c r="D926" s="8"/>
      <c r="E926" s="8"/>
      <c r="F926" s="8"/>
      <c r="G926" s="8"/>
      <c r="H926" s="8"/>
    </row>
    <row r="927" spans="1:8" x14ac:dyDescent="0.25">
      <c r="A927" s="8"/>
      <c r="B927" s="8"/>
      <c r="C927" s="8"/>
      <c r="D927" s="8"/>
      <c r="E927" s="8"/>
      <c r="F927" s="8"/>
      <c r="G927" s="8"/>
      <c r="H927" s="8"/>
    </row>
    <row r="928" spans="1:8" x14ac:dyDescent="0.25">
      <c r="A928" s="8"/>
      <c r="B928" s="8"/>
      <c r="C928" s="8"/>
      <c r="D928" s="8"/>
      <c r="E928" s="8"/>
      <c r="F928" s="8"/>
      <c r="G928" s="8"/>
      <c r="H928" s="8"/>
    </row>
    <row r="929" spans="1:8" x14ac:dyDescent="0.25">
      <c r="A929" s="8"/>
      <c r="B929" s="8"/>
      <c r="C929" s="8"/>
      <c r="D929" s="8"/>
      <c r="E929" s="8"/>
      <c r="F929" s="8"/>
      <c r="G929" s="8"/>
      <c r="H929" s="8"/>
    </row>
    <row r="930" spans="1:8" x14ac:dyDescent="0.25">
      <c r="A930" s="8"/>
      <c r="B930" s="8"/>
      <c r="C930" s="8"/>
      <c r="D930" s="8"/>
      <c r="E930" s="8"/>
      <c r="F930" s="8"/>
      <c r="G930" s="8"/>
      <c r="H930" s="8"/>
    </row>
    <row r="931" spans="1:8" x14ac:dyDescent="0.25">
      <c r="A931" s="8"/>
      <c r="B931" s="8"/>
      <c r="C931" s="8"/>
      <c r="D931" s="8"/>
      <c r="E931" s="8"/>
      <c r="F931" s="8"/>
      <c r="G931" s="8"/>
      <c r="H931" s="8"/>
    </row>
    <row r="932" spans="1:8" x14ac:dyDescent="0.25">
      <c r="A932" s="8"/>
      <c r="B932" s="8"/>
      <c r="C932" s="8"/>
      <c r="D932" s="8"/>
      <c r="E932" s="8"/>
      <c r="F932" s="8"/>
      <c r="G932" s="8"/>
      <c r="H932" s="8"/>
    </row>
    <row r="933" spans="1:8" x14ac:dyDescent="0.25">
      <c r="A933" s="8"/>
      <c r="B933" s="8"/>
      <c r="C933" s="8"/>
      <c r="D933" s="8"/>
      <c r="E933" s="8"/>
      <c r="F933" s="8"/>
      <c r="G933" s="8"/>
      <c r="H933" s="8"/>
    </row>
    <row r="934" spans="1:8" x14ac:dyDescent="0.25">
      <c r="A934" s="8"/>
      <c r="B934" s="8"/>
      <c r="C934" s="8"/>
      <c r="D934" s="8"/>
      <c r="E934" s="8"/>
      <c r="F934" s="8"/>
      <c r="G934" s="8"/>
      <c r="H934" s="8"/>
    </row>
    <row r="935" spans="1:8" x14ac:dyDescent="0.25">
      <c r="A935" s="8"/>
      <c r="B935" s="8"/>
      <c r="C935" s="8"/>
      <c r="D935" s="8"/>
      <c r="E935" s="8"/>
      <c r="F935" s="8"/>
      <c r="G935" s="8"/>
      <c r="H935" s="8"/>
    </row>
    <row r="936" spans="1:8" x14ac:dyDescent="0.25">
      <c r="A936" s="8"/>
      <c r="B936" s="8"/>
      <c r="C936" s="8"/>
      <c r="D936" s="8"/>
      <c r="E936" s="8"/>
      <c r="F936" s="8"/>
      <c r="G936" s="8"/>
      <c r="H936" s="8"/>
    </row>
    <row r="937" spans="1:8" x14ac:dyDescent="0.25">
      <c r="A937" s="8"/>
      <c r="B937" s="8"/>
      <c r="C937" s="8"/>
      <c r="D937" s="8"/>
      <c r="E937" s="8"/>
      <c r="F937" s="8"/>
      <c r="G937" s="8"/>
      <c r="H937" s="8"/>
    </row>
    <row r="938" spans="1:8" x14ac:dyDescent="0.25">
      <c r="A938" s="8"/>
      <c r="B938" s="8"/>
      <c r="C938" s="8"/>
      <c r="D938" s="8"/>
      <c r="E938" s="8"/>
      <c r="F938" s="8"/>
      <c r="G938" s="8"/>
      <c r="H938" s="8"/>
    </row>
    <row r="939" spans="1:8" x14ac:dyDescent="0.25">
      <c r="A939" s="8"/>
      <c r="B939" s="8"/>
      <c r="C939" s="8"/>
      <c r="D939" s="8"/>
      <c r="E939" s="8"/>
      <c r="F939" s="8"/>
      <c r="G939" s="8"/>
      <c r="H939" s="8"/>
    </row>
    <row r="940" spans="1:8" x14ac:dyDescent="0.25">
      <c r="A940" s="8"/>
      <c r="B940" s="8"/>
      <c r="C940" s="8"/>
      <c r="D940" s="8"/>
      <c r="E940" s="8"/>
      <c r="F940" s="8"/>
      <c r="G940" s="8"/>
      <c r="H940" s="8"/>
    </row>
    <row r="941" spans="1:8" x14ac:dyDescent="0.25">
      <c r="A941" s="8"/>
      <c r="B941" s="8"/>
      <c r="C941" s="8"/>
      <c r="D941" s="8"/>
      <c r="E941" s="8"/>
      <c r="F941" s="8"/>
      <c r="G941" s="8"/>
      <c r="H941" s="8"/>
    </row>
    <row r="942" spans="1:8" x14ac:dyDescent="0.25">
      <c r="A942" s="8"/>
      <c r="B942" s="8"/>
      <c r="C942" s="8"/>
      <c r="D942" s="8"/>
      <c r="E942" s="8"/>
      <c r="F942" s="8"/>
      <c r="G942" s="8"/>
      <c r="H942" s="8"/>
    </row>
    <row r="943" spans="1:8" x14ac:dyDescent="0.25">
      <c r="A943" s="8"/>
      <c r="B943" s="8"/>
      <c r="C943" s="8"/>
      <c r="D943" s="8"/>
      <c r="E943" s="8"/>
      <c r="F943" s="8"/>
      <c r="G943" s="8"/>
      <c r="H943" s="8"/>
    </row>
    <row r="944" spans="1:8" x14ac:dyDescent="0.25">
      <c r="A944" s="8"/>
      <c r="B944" s="8"/>
      <c r="C944" s="8"/>
      <c r="D944" s="8"/>
      <c r="E944" s="8"/>
      <c r="F944" s="8"/>
      <c r="G944" s="8"/>
      <c r="H944" s="8"/>
    </row>
    <row r="945" spans="1:8" x14ac:dyDescent="0.25">
      <c r="A945" s="8"/>
      <c r="B945" s="8"/>
      <c r="C945" s="8"/>
      <c r="D945" s="8"/>
      <c r="E945" s="8"/>
      <c r="F945" s="8"/>
      <c r="G945" s="8"/>
      <c r="H945" s="8"/>
    </row>
    <row r="946" spans="1:8" x14ac:dyDescent="0.25">
      <c r="A946" s="8"/>
      <c r="B946" s="8"/>
      <c r="C946" s="8"/>
      <c r="D946" s="8"/>
      <c r="E946" s="8"/>
      <c r="F946" s="8"/>
      <c r="G946" s="8"/>
      <c r="H946" s="8"/>
    </row>
    <row r="947" spans="1:8" x14ac:dyDescent="0.25">
      <c r="A947" s="8"/>
      <c r="B947" s="8"/>
      <c r="C947" s="8"/>
      <c r="D947" s="8"/>
      <c r="E947" s="8"/>
      <c r="F947" s="8"/>
      <c r="G947" s="8"/>
      <c r="H947" s="8"/>
    </row>
    <row r="948" spans="1:8" x14ac:dyDescent="0.25">
      <c r="A948" s="8"/>
      <c r="B948" s="8"/>
      <c r="C948" s="8"/>
      <c r="D948" s="8"/>
      <c r="E948" s="8"/>
      <c r="F948" s="8"/>
      <c r="G948" s="8"/>
      <c r="H948" s="8"/>
    </row>
    <row r="949" spans="1:8" x14ac:dyDescent="0.25">
      <c r="A949" s="8"/>
      <c r="B949" s="8"/>
      <c r="C949" s="8"/>
      <c r="D949" s="8"/>
      <c r="E949" s="8"/>
      <c r="F949" s="8"/>
      <c r="G949" s="8"/>
      <c r="H949" s="8"/>
    </row>
    <row r="950" spans="1:8" x14ac:dyDescent="0.25">
      <c r="A950" s="8"/>
      <c r="B950" s="8"/>
      <c r="C950" s="8"/>
      <c r="D950" s="8"/>
      <c r="E950" s="8"/>
      <c r="F950" s="8"/>
      <c r="G950" s="8"/>
      <c r="H950" s="8"/>
    </row>
    <row r="951" spans="1:8" x14ac:dyDescent="0.25">
      <c r="A951" s="8"/>
      <c r="B951" s="8"/>
      <c r="C951" s="8"/>
      <c r="D951" s="8"/>
      <c r="E951" s="8"/>
      <c r="F951" s="8"/>
      <c r="G951" s="8"/>
      <c r="H951" s="8"/>
    </row>
    <row r="952" spans="1:8" x14ac:dyDescent="0.25">
      <c r="A952" s="8"/>
      <c r="B952" s="8"/>
      <c r="C952" s="8"/>
      <c r="D952" s="8"/>
      <c r="E952" s="8"/>
      <c r="F952" s="8"/>
      <c r="G952" s="8"/>
      <c r="H952" s="8"/>
    </row>
    <row r="953" spans="1:8" x14ac:dyDescent="0.25">
      <c r="A953" s="8"/>
      <c r="B953" s="8"/>
      <c r="C953" s="8"/>
      <c r="D953" s="8"/>
      <c r="E953" s="8"/>
      <c r="F953" s="8"/>
      <c r="G953" s="8"/>
      <c r="H953" s="8"/>
    </row>
    <row r="954" spans="1:8" x14ac:dyDescent="0.25">
      <c r="A954" s="8"/>
      <c r="B954" s="8"/>
      <c r="C954" s="8"/>
      <c r="D954" s="8"/>
      <c r="E954" s="8"/>
      <c r="F954" s="8"/>
      <c r="G954" s="8"/>
      <c r="H954" s="8"/>
    </row>
    <row r="955" spans="1:8" x14ac:dyDescent="0.25">
      <c r="A955" s="8"/>
      <c r="B955" s="8"/>
      <c r="C955" s="8"/>
      <c r="D955" s="8"/>
      <c r="E955" s="8"/>
      <c r="F955" s="8"/>
      <c r="G955" s="8"/>
      <c r="H955" s="8"/>
    </row>
    <row r="956" spans="1:8" x14ac:dyDescent="0.25">
      <c r="A956" s="8"/>
      <c r="B956" s="8"/>
      <c r="C956" s="8"/>
      <c r="D956" s="8"/>
      <c r="E956" s="8"/>
      <c r="F956" s="8"/>
      <c r="G956" s="8"/>
      <c r="H956" s="8"/>
    </row>
    <row r="957" spans="1:8" x14ac:dyDescent="0.25">
      <c r="A957" s="8"/>
      <c r="B957" s="8"/>
      <c r="C957" s="8"/>
      <c r="D957" s="8"/>
      <c r="E957" s="8"/>
      <c r="F957" s="8"/>
      <c r="G957" s="8"/>
      <c r="H957" s="8"/>
    </row>
    <row r="958" spans="1:8" x14ac:dyDescent="0.25">
      <c r="A958" s="8"/>
      <c r="B958" s="8"/>
      <c r="C958" s="8"/>
      <c r="D958" s="8"/>
      <c r="E958" s="8"/>
      <c r="F958" s="8"/>
      <c r="G958" s="8"/>
      <c r="H958" s="8"/>
    </row>
    <row r="959" spans="1:8" x14ac:dyDescent="0.25">
      <c r="A959" s="8"/>
      <c r="B959" s="8"/>
      <c r="C959" s="8"/>
      <c r="D959" s="8"/>
      <c r="E959" s="8"/>
      <c r="F959" s="8"/>
      <c r="G959" s="8"/>
      <c r="H959" s="8"/>
    </row>
    <row r="960" spans="1:8" x14ac:dyDescent="0.25">
      <c r="A960" s="8"/>
      <c r="B960" s="8"/>
      <c r="C960" s="8"/>
      <c r="D960" s="8"/>
      <c r="E960" s="8"/>
      <c r="F960" s="8"/>
      <c r="G960" s="8"/>
      <c r="H960" s="8"/>
    </row>
    <row r="961" spans="1:8" x14ac:dyDescent="0.25">
      <c r="A961" s="8"/>
      <c r="B961" s="8"/>
      <c r="C961" s="8"/>
      <c r="D961" s="8"/>
      <c r="E961" s="8"/>
      <c r="F961" s="8"/>
      <c r="G961" s="8"/>
      <c r="H961" s="8"/>
    </row>
    <row r="962" spans="1:8" x14ac:dyDescent="0.25">
      <c r="A962" s="8"/>
      <c r="B962" s="8"/>
      <c r="C962" s="8"/>
      <c r="D962" s="8"/>
      <c r="E962" s="8"/>
      <c r="F962" s="8"/>
      <c r="G962" s="8"/>
      <c r="H962" s="8"/>
    </row>
    <row r="963" spans="1:8" x14ac:dyDescent="0.25">
      <c r="A963" s="8"/>
      <c r="B963" s="8"/>
      <c r="C963" s="8"/>
      <c r="D963" s="8"/>
      <c r="E963" s="8"/>
      <c r="F963" s="8"/>
      <c r="G963" s="8"/>
      <c r="H963" s="8"/>
    </row>
    <row r="964" spans="1:8" x14ac:dyDescent="0.25">
      <c r="A964" s="8"/>
      <c r="B964" s="8"/>
      <c r="C964" s="8"/>
      <c r="D964" s="8"/>
      <c r="E964" s="8"/>
      <c r="F964" s="8"/>
      <c r="G964" s="8"/>
      <c r="H964" s="8"/>
    </row>
    <row r="965" spans="1:8" x14ac:dyDescent="0.25">
      <c r="A965" s="8"/>
      <c r="B965" s="8"/>
      <c r="C965" s="8"/>
      <c r="D965" s="8"/>
      <c r="E965" s="8"/>
      <c r="F965" s="8"/>
      <c r="G965" s="8"/>
      <c r="H965" s="8"/>
    </row>
    <row r="966" spans="1:8" x14ac:dyDescent="0.25">
      <c r="A966" s="8"/>
      <c r="B966" s="8"/>
      <c r="C966" s="8"/>
      <c r="D966" s="8"/>
      <c r="E966" s="8"/>
      <c r="F966" s="8"/>
      <c r="G966" s="8"/>
      <c r="H966" s="8"/>
    </row>
    <row r="967" spans="1:8" x14ac:dyDescent="0.25">
      <c r="A967" s="8"/>
      <c r="B967" s="8"/>
      <c r="C967" s="8"/>
      <c r="D967" s="8"/>
      <c r="E967" s="8"/>
      <c r="F967" s="8"/>
      <c r="G967" s="8"/>
      <c r="H967" s="8"/>
    </row>
    <row r="968" spans="1:8" x14ac:dyDescent="0.25">
      <c r="A968" s="8"/>
      <c r="B968" s="8"/>
      <c r="C968" s="8"/>
      <c r="D968" s="8"/>
      <c r="E968" s="8"/>
      <c r="F968" s="8"/>
      <c r="G968" s="8"/>
      <c r="H968" s="8"/>
    </row>
    <row r="969" spans="1:8" x14ac:dyDescent="0.25">
      <c r="A969" s="8"/>
      <c r="B969" s="8"/>
      <c r="C969" s="8"/>
      <c r="D969" s="8"/>
      <c r="E969" s="8"/>
      <c r="F969" s="8"/>
      <c r="G969" s="8"/>
      <c r="H969" s="8"/>
    </row>
    <row r="970" spans="1:8" x14ac:dyDescent="0.25">
      <c r="A970" s="8"/>
      <c r="B970" s="8"/>
      <c r="C970" s="8"/>
      <c r="D970" s="8"/>
      <c r="E970" s="8"/>
      <c r="F970" s="8"/>
      <c r="G970" s="8"/>
      <c r="H970" s="8"/>
    </row>
    <row r="971" spans="1:8" x14ac:dyDescent="0.25">
      <c r="A971" s="8"/>
      <c r="B971" s="8"/>
      <c r="C971" s="8"/>
      <c r="D971" s="8"/>
      <c r="E971" s="8"/>
      <c r="F971" s="8"/>
      <c r="G971" s="8"/>
      <c r="H971" s="8"/>
    </row>
    <row r="972" spans="1:8" x14ac:dyDescent="0.25">
      <c r="A972" s="8"/>
      <c r="B972" s="8"/>
      <c r="C972" s="8"/>
      <c r="D972" s="8"/>
      <c r="E972" s="8"/>
      <c r="F972" s="8"/>
      <c r="G972" s="8"/>
      <c r="H972" s="8"/>
    </row>
    <row r="973" spans="1:8" x14ac:dyDescent="0.25">
      <c r="A973" s="8"/>
      <c r="B973" s="8"/>
      <c r="C973" s="8"/>
      <c r="D973" s="8"/>
      <c r="E973" s="8"/>
      <c r="F973" s="8"/>
      <c r="G973" s="8"/>
      <c r="H973" s="8"/>
    </row>
    <row r="974" spans="1:8" x14ac:dyDescent="0.25">
      <c r="A974" s="8"/>
      <c r="B974" s="8"/>
      <c r="C974" s="8"/>
      <c r="D974" s="8"/>
      <c r="E974" s="8"/>
      <c r="F974" s="8"/>
      <c r="G974" s="8"/>
      <c r="H974" s="8"/>
    </row>
    <row r="975" spans="1:8" x14ac:dyDescent="0.25">
      <c r="A975" s="8"/>
      <c r="B975" s="8"/>
      <c r="C975" s="8"/>
      <c r="D975" s="8"/>
      <c r="E975" s="8"/>
      <c r="F975" s="8"/>
      <c r="G975" s="8"/>
      <c r="H975" s="8"/>
    </row>
    <row r="976" spans="1:8" x14ac:dyDescent="0.25">
      <c r="A976" s="8"/>
      <c r="B976" s="8"/>
      <c r="C976" s="8"/>
      <c r="D976" s="8"/>
      <c r="E976" s="8"/>
      <c r="F976" s="8"/>
      <c r="G976" s="8"/>
      <c r="H976" s="8"/>
    </row>
    <row r="977" spans="1:8" x14ac:dyDescent="0.25">
      <c r="A977" s="8"/>
      <c r="B977" s="8"/>
      <c r="C977" s="8"/>
      <c r="D977" s="8"/>
      <c r="E977" s="8"/>
      <c r="F977" s="8"/>
      <c r="G977" s="8"/>
      <c r="H977" s="8"/>
    </row>
    <row r="978" spans="1:8" x14ac:dyDescent="0.25">
      <c r="A978" s="8"/>
      <c r="B978" s="8"/>
      <c r="C978" s="8"/>
      <c r="D978" s="8"/>
      <c r="E978" s="8"/>
      <c r="F978" s="8"/>
      <c r="G978" s="8"/>
      <c r="H978" s="8"/>
    </row>
    <row r="979" spans="1:8" x14ac:dyDescent="0.25">
      <c r="A979" s="8"/>
      <c r="B979" s="8"/>
      <c r="C979" s="8"/>
      <c r="D979" s="8"/>
      <c r="E979" s="8"/>
      <c r="F979" s="8"/>
      <c r="G979" s="8"/>
      <c r="H979" s="8"/>
    </row>
    <row r="980" spans="1:8" x14ac:dyDescent="0.25">
      <c r="A980" s="8"/>
      <c r="B980" s="8"/>
      <c r="C980" s="8"/>
      <c r="D980" s="8"/>
      <c r="E980" s="8"/>
      <c r="F980" s="8"/>
      <c r="G980" s="8"/>
      <c r="H980" s="8"/>
    </row>
    <row r="981" spans="1:8" x14ac:dyDescent="0.25">
      <c r="A981" s="8"/>
      <c r="B981" s="8"/>
      <c r="C981" s="8"/>
      <c r="D981" s="8"/>
      <c r="E981" s="8"/>
      <c r="F981" s="8"/>
      <c r="G981" s="8"/>
      <c r="H981" s="8"/>
    </row>
    <row r="982" spans="1:8" x14ac:dyDescent="0.25">
      <c r="A982" s="8"/>
      <c r="B982" s="8"/>
      <c r="C982" s="8"/>
      <c r="D982" s="8"/>
      <c r="E982" s="8"/>
      <c r="F982" s="8"/>
      <c r="G982" s="8"/>
      <c r="H982" s="8"/>
    </row>
    <row r="983" spans="1:8" x14ac:dyDescent="0.25">
      <c r="A983" s="8"/>
      <c r="B983" s="8"/>
      <c r="C983" s="8"/>
      <c r="D983" s="8"/>
      <c r="E983" s="8"/>
      <c r="F983" s="8"/>
      <c r="G983" s="8"/>
      <c r="H983" s="8"/>
    </row>
    <row r="984" spans="1:8" x14ac:dyDescent="0.25">
      <c r="A984" s="8"/>
      <c r="B984" s="8"/>
      <c r="C984" s="8"/>
      <c r="D984" s="8"/>
      <c r="E984" s="8"/>
      <c r="F984" s="8"/>
      <c r="G984" s="8"/>
      <c r="H984" s="8"/>
    </row>
    <row r="985" spans="1:8" x14ac:dyDescent="0.25">
      <c r="A985" s="8"/>
      <c r="B985" s="8"/>
      <c r="C985" s="8"/>
      <c r="D985" s="8"/>
      <c r="E985" s="8"/>
      <c r="F985" s="8"/>
      <c r="G985" s="8"/>
      <c r="H985" s="8"/>
    </row>
    <row r="986" spans="1:8" x14ac:dyDescent="0.25">
      <c r="A986" s="8"/>
      <c r="B986" s="8"/>
      <c r="C986" s="8"/>
      <c r="D986" s="8"/>
      <c r="E986" s="8"/>
      <c r="F986" s="8"/>
      <c r="G986" s="8"/>
      <c r="H986" s="8"/>
    </row>
    <row r="987" spans="1:8" x14ac:dyDescent="0.25">
      <c r="A987" s="8"/>
      <c r="B987" s="8"/>
      <c r="C987" s="8"/>
      <c r="D987" s="8"/>
      <c r="E987" s="8"/>
      <c r="F987" s="8"/>
      <c r="G987" s="8"/>
      <c r="H987" s="8"/>
    </row>
    <row r="988" spans="1:8" x14ac:dyDescent="0.25">
      <c r="A988" s="8"/>
      <c r="B988" s="8"/>
      <c r="C988" s="8"/>
      <c r="D988" s="8"/>
      <c r="E988" s="8"/>
      <c r="F988" s="8"/>
      <c r="G988" s="8"/>
      <c r="H988" s="8"/>
    </row>
    <row r="989" spans="1:8" x14ac:dyDescent="0.25">
      <c r="A989" s="8"/>
      <c r="B989" s="8"/>
      <c r="C989" s="8"/>
      <c r="D989" s="8"/>
      <c r="E989" s="8"/>
      <c r="F989" s="8"/>
      <c r="G989" s="8"/>
      <c r="H989" s="8"/>
    </row>
    <row r="990" spans="1:8" x14ac:dyDescent="0.25">
      <c r="A990" s="8"/>
      <c r="B990" s="8"/>
      <c r="C990" s="8"/>
      <c r="D990" s="8"/>
      <c r="E990" s="8"/>
      <c r="F990" s="8"/>
      <c r="G990" s="8"/>
      <c r="H990" s="8"/>
    </row>
    <row r="991" spans="1:8" x14ac:dyDescent="0.25">
      <c r="A991" s="8"/>
      <c r="B991" s="8"/>
      <c r="C991" s="8"/>
      <c r="D991" s="8"/>
      <c r="E991" s="8"/>
      <c r="F991" s="8"/>
      <c r="G991" s="8"/>
      <c r="H991" s="8"/>
    </row>
    <row r="992" spans="1:8" x14ac:dyDescent="0.25">
      <c r="A992" s="8"/>
      <c r="B992" s="8"/>
      <c r="C992" s="8"/>
      <c r="D992" s="8"/>
      <c r="E992" s="8"/>
      <c r="F992" s="8"/>
      <c r="G992" s="8"/>
      <c r="H992" s="8"/>
    </row>
    <row r="993" spans="1:8" x14ac:dyDescent="0.25">
      <c r="A993" s="8"/>
      <c r="B993" s="8"/>
      <c r="C993" s="8"/>
      <c r="D993" s="8"/>
      <c r="E993" s="8"/>
      <c r="F993" s="8"/>
      <c r="G993" s="8"/>
      <c r="H993" s="8"/>
    </row>
    <row r="994" spans="1:8" x14ac:dyDescent="0.25">
      <c r="A994" s="8"/>
      <c r="B994" s="8"/>
      <c r="C994" s="8"/>
      <c r="D994" s="8"/>
      <c r="E994" s="8"/>
      <c r="F994" s="8"/>
      <c r="G994" s="8"/>
      <c r="H994" s="8"/>
    </row>
    <row r="995" spans="1:8" x14ac:dyDescent="0.25">
      <c r="A995" s="8"/>
      <c r="B995" s="8"/>
      <c r="C995" s="8"/>
      <c r="D995" s="8"/>
      <c r="E995" s="8"/>
      <c r="F995" s="8"/>
      <c r="G995" s="8"/>
      <c r="H995" s="8"/>
    </row>
    <row r="996" spans="1:8" x14ac:dyDescent="0.25">
      <c r="A996" s="8"/>
      <c r="B996" s="8"/>
      <c r="C996" s="8"/>
      <c r="D996" s="8"/>
      <c r="E996" s="8"/>
      <c r="F996" s="8"/>
      <c r="G996" s="8"/>
      <c r="H996" s="8"/>
    </row>
    <row r="997" spans="1:8" x14ac:dyDescent="0.25">
      <c r="A997" s="8"/>
      <c r="B997" s="8"/>
      <c r="C997" s="8"/>
      <c r="D997" s="8"/>
      <c r="E997" s="8"/>
      <c r="F997" s="8"/>
      <c r="G997" s="8"/>
      <c r="H997" s="8"/>
    </row>
    <row r="998" spans="1:8" x14ac:dyDescent="0.25">
      <c r="A998" s="8"/>
      <c r="B998" s="8"/>
      <c r="C998" s="8"/>
      <c r="D998" s="8"/>
      <c r="E998" s="8"/>
      <c r="F998" s="8"/>
      <c r="G998" s="8"/>
      <c r="H998" s="8"/>
    </row>
    <row r="999" spans="1:8" x14ac:dyDescent="0.25">
      <c r="A999" s="8"/>
      <c r="B999" s="8"/>
      <c r="C999" s="8"/>
      <c r="D999" s="8"/>
      <c r="E999" s="8"/>
      <c r="F999" s="8"/>
      <c r="G999" s="8"/>
      <c r="H999" s="8"/>
    </row>
    <row r="1000" spans="1:8" x14ac:dyDescent="0.25">
      <c r="A1000" s="8"/>
      <c r="B1000" s="8"/>
      <c r="C1000" s="8"/>
      <c r="D1000" s="8"/>
      <c r="E1000" s="8"/>
      <c r="F1000" s="8"/>
      <c r="G1000" s="8"/>
      <c r="H1000" s="8"/>
    </row>
    <row r="1001" spans="1:8" x14ac:dyDescent="0.25">
      <c r="A1001" s="8"/>
      <c r="B1001" s="8"/>
      <c r="C1001" s="8"/>
      <c r="D1001" s="8"/>
      <c r="E1001" s="8"/>
      <c r="F1001" s="8"/>
      <c r="G1001" s="8"/>
      <c r="H1001" s="8"/>
    </row>
    <row r="1002" spans="1:8" x14ac:dyDescent="0.25">
      <c r="A1002" s="8"/>
      <c r="B1002" s="8"/>
      <c r="C1002" s="8"/>
      <c r="D1002" s="8"/>
      <c r="E1002" s="8"/>
      <c r="F1002" s="8"/>
      <c r="G1002" s="8"/>
      <c r="H1002" s="8"/>
    </row>
  </sheetData>
  <mergeCells count="15">
    <mergeCell ref="E139:F139"/>
    <mergeCell ref="E171:G171"/>
    <mergeCell ref="E181:F181"/>
    <mergeCell ref="E6:G6"/>
    <mergeCell ref="E21:F21"/>
    <mergeCell ref="E39:G39"/>
    <mergeCell ref="E48:F48"/>
    <mergeCell ref="E70:G70"/>
    <mergeCell ref="E72:F72"/>
    <mergeCell ref="E75:F75"/>
    <mergeCell ref="E94:F94"/>
    <mergeCell ref="E108:F108"/>
    <mergeCell ref="E122:F122"/>
    <mergeCell ref="E137:H137"/>
    <mergeCell ref="E138:F13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51.109375" customWidth="1"/>
    <col min="2" max="3" width="25.6640625" customWidth="1"/>
  </cols>
  <sheetData>
    <row r="1" spans="1:26" x14ac:dyDescent="0.25">
      <c r="A1" s="38" t="s">
        <v>0</v>
      </c>
      <c r="B1" s="38" t="s">
        <v>4354</v>
      </c>
      <c r="C1" s="38" t="s">
        <v>4355</v>
      </c>
      <c r="D1" s="38" t="s">
        <v>6</v>
      </c>
      <c r="E1" s="38"/>
      <c r="F1" s="38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 spans="1:26" x14ac:dyDescent="0.25">
      <c r="A2" s="8" t="s">
        <v>4057</v>
      </c>
      <c r="B2" s="8">
        <v>2838652058.5999999</v>
      </c>
      <c r="C2" s="8">
        <v>4051103490.5999999</v>
      </c>
      <c r="D2" s="8">
        <f t="shared" ref="D2:D178" si="0">((C2-B2)/B2)*100</f>
        <v>42.712224216657646</v>
      </c>
      <c r="E2" s="8"/>
      <c r="F2" s="8"/>
    </row>
    <row r="3" spans="1:26" x14ac:dyDescent="0.25">
      <c r="A3" s="8" t="s">
        <v>1584</v>
      </c>
      <c r="B3" s="8">
        <v>203126260057.37</v>
      </c>
      <c r="C3" s="8">
        <v>273717207899.32001</v>
      </c>
      <c r="D3" s="8">
        <f t="shared" si="0"/>
        <v>34.752251049181254</v>
      </c>
      <c r="E3" s="8"/>
      <c r="F3" s="8"/>
    </row>
    <row r="4" spans="1:26" x14ac:dyDescent="0.25">
      <c r="A4" s="8" t="s">
        <v>767</v>
      </c>
      <c r="B4" s="8">
        <v>696863535731.86011</v>
      </c>
      <c r="C4" s="8">
        <v>935784832620.05981</v>
      </c>
      <c r="D4" s="8">
        <f t="shared" si="0"/>
        <v>34.285234430766955</v>
      </c>
      <c r="E4" s="8"/>
      <c r="F4" s="8"/>
    </row>
    <row r="5" spans="1:26" x14ac:dyDescent="0.25">
      <c r="A5" s="8" t="s">
        <v>2594</v>
      </c>
      <c r="B5" s="8">
        <v>5190300850.75</v>
      </c>
      <c r="C5" s="8">
        <v>6658541750.3000002</v>
      </c>
      <c r="D5" s="8">
        <f t="shared" si="0"/>
        <v>28.288165595214753</v>
      </c>
      <c r="E5" s="8"/>
      <c r="F5" s="8"/>
    </row>
    <row r="6" spans="1:26" x14ac:dyDescent="0.25">
      <c r="A6" s="8" t="s">
        <v>2749</v>
      </c>
      <c r="B6" s="8">
        <v>309184800</v>
      </c>
      <c r="C6" s="8">
        <v>390592500</v>
      </c>
      <c r="D6" s="8">
        <f t="shared" si="0"/>
        <v>26.329787234042552</v>
      </c>
      <c r="E6" s="8"/>
      <c r="F6" s="8"/>
    </row>
    <row r="7" spans="1:26" x14ac:dyDescent="0.25">
      <c r="A7" s="8" t="s">
        <v>4068</v>
      </c>
      <c r="B7" s="8">
        <v>19442038642</v>
      </c>
      <c r="C7" s="8">
        <v>24538679644.200001</v>
      </c>
      <c r="D7" s="8">
        <f t="shared" si="0"/>
        <v>26.214540028687601</v>
      </c>
      <c r="E7" s="8"/>
      <c r="F7" s="8"/>
    </row>
    <row r="8" spans="1:26" x14ac:dyDescent="0.25">
      <c r="A8" s="8" t="s">
        <v>11</v>
      </c>
      <c r="B8" s="8">
        <v>975815940940.34998</v>
      </c>
      <c r="C8" s="8">
        <v>1221364414669.4299</v>
      </c>
      <c r="D8" s="8">
        <f t="shared" si="0"/>
        <v>25.163400537652201</v>
      </c>
      <c r="E8" s="8"/>
      <c r="F8" s="8"/>
    </row>
    <row r="9" spans="1:26" x14ac:dyDescent="0.25">
      <c r="A9" s="8" t="s">
        <v>4051</v>
      </c>
      <c r="B9" s="8">
        <v>20549402201.099998</v>
      </c>
      <c r="C9" s="8">
        <v>25168370128</v>
      </c>
      <c r="D9" s="8">
        <f t="shared" si="0"/>
        <v>22.477383437717478</v>
      </c>
      <c r="E9" s="8"/>
      <c r="F9" s="8"/>
    </row>
    <row r="10" spans="1:26" x14ac:dyDescent="0.25">
      <c r="A10" s="8" t="s">
        <v>2247</v>
      </c>
      <c r="B10" s="8">
        <v>122708746702.75999</v>
      </c>
      <c r="C10" s="8">
        <v>149717993223.26999</v>
      </c>
      <c r="D10" s="8">
        <f t="shared" si="0"/>
        <v>22.010856802192809</v>
      </c>
      <c r="E10" s="8"/>
      <c r="F10" s="8"/>
    </row>
    <row r="11" spans="1:26" x14ac:dyDescent="0.25">
      <c r="A11" s="8" t="s">
        <v>2778</v>
      </c>
      <c r="B11" s="8">
        <v>4206005283.8200002</v>
      </c>
      <c r="C11" s="8">
        <v>5084514204.1100006</v>
      </c>
      <c r="D11" s="8">
        <f t="shared" si="0"/>
        <v>20.887014185871788</v>
      </c>
      <c r="E11" s="8"/>
      <c r="F11" s="8"/>
    </row>
    <row r="12" spans="1:26" x14ac:dyDescent="0.25">
      <c r="A12" s="8" t="s">
        <v>262</v>
      </c>
      <c r="B12" s="8">
        <v>12985269152.650002</v>
      </c>
      <c r="C12" s="8">
        <v>15431136465.85</v>
      </c>
      <c r="D12" s="8">
        <f t="shared" si="0"/>
        <v>18.83570748089463</v>
      </c>
      <c r="E12" s="8"/>
      <c r="F12" s="8"/>
    </row>
    <row r="13" spans="1:26" x14ac:dyDescent="0.25">
      <c r="A13" s="8" t="s">
        <v>833</v>
      </c>
      <c r="B13" s="8">
        <v>227330604248.10001</v>
      </c>
      <c r="C13" s="8">
        <v>269285606064.29999</v>
      </c>
      <c r="D13" s="8">
        <f t="shared" si="0"/>
        <v>18.455500945403674</v>
      </c>
      <c r="E13" s="8"/>
      <c r="F13" s="8"/>
    </row>
    <row r="14" spans="1:26" x14ac:dyDescent="0.25">
      <c r="A14" s="8" t="s">
        <v>2265</v>
      </c>
      <c r="B14" s="8">
        <v>13382186936.780001</v>
      </c>
      <c r="C14" s="8">
        <v>15643485044.359999</v>
      </c>
      <c r="D14" s="8">
        <f t="shared" si="0"/>
        <v>16.897821845284337</v>
      </c>
      <c r="E14" s="8"/>
      <c r="F14" s="8"/>
    </row>
    <row r="15" spans="1:26" x14ac:dyDescent="0.25">
      <c r="A15" s="8" t="s">
        <v>831</v>
      </c>
      <c r="B15" s="8">
        <v>150510902619.79999</v>
      </c>
      <c r="C15" s="8">
        <v>174926720230.10001</v>
      </c>
      <c r="D15" s="8">
        <f t="shared" si="0"/>
        <v>16.221959462947286</v>
      </c>
      <c r="E15" s="8"/>
      <c r="F15" s="8"/>
    </row>
    <row r="16" spans="1:26" x14ac:dyDescent="0.25">
      <c r="A16" s="8" t="s">
        <v>3663</v>
      </c>
      <c r="B16" s="8">
        <v>70867990469.600006</v>
      </c>
      <c r="C16" s="8">
        <v>81721611828.399994</v>
      </c>
      <c r="D16" s="8">
        <f t="shared" si="0"/>
        <v>15.315266154549462</v>
      </c>
      <c r="E16" s="8"/>
      <c r="F16" s="8"/>
    </row>
    <row r="17" spans="1:6" x14ac:dyDescent="0.25">
      <c r="A17" s="8" t="s">
        <v>815</v>
      </c>
      <c r="B17" s="8">
        <v>29019000756.100002</v>
      </c>
      <c r="C17" s="8">
        <v>33225631418.899998</v>
      </c>
      <c r="D17" s="8">
        <f t="shared" si="0"/>
        <v>14.496125135927471</v>
      </c>
      <c r="E17" s="8"/>
      <c r="F17" s="8"/>
    </row>
    <row r="18" spans="1:6" x14ac:dyDescent="0.25">
      <c r="A18" s="8" t="s">
        <v>3831</v>
      </c>
      <c r="B18" s="8">
        <v>3142366907.27</v>
      </c>
      <c r="C18" s="8">
        <v>3570827579.8699999</v>
      </c>
      <c r="D18" s="8">
        <f t="shared" si="0"/>
        <v>13.634966420017275</v>
      </c>
      <c r="E18" s="8"/>
      <c r="F18" s="8"/>
    </row>
    <row r="19" spans="1:6" x14ac:dyDescent="0.25">
      <c r="A19" s="8" t="s">
        <v>2951</v>
      </c>
      <c r="B19" s="8">
        <v>290489904990.28003</v>
      </c>
      <c r="C19" s="8">
        <v>329244842611.38995</v>
      </c>
      <c r="D19" s="8">
        <f t="shared" si="0"/>
        <v>13.341233879506653</v>
      </c>
      <c r="E19" s="8"/>
      <c r="F19" s="8"/>
    </row>
    <row r="20" spans="1:6" x14ac:dyDescent="0.25">
      <c r="A20" s="8" t="s">
        <v>2816</v>
      </c>
      <c r="B20" s="8">
        <v>282532516090.34998</v>
      </c>
      <c r="C20" s="8">
        <v>319916446149.40002</v>
      </c>
      <c r="D20" s="8">
        <f t="shared" si="0"/>
        <v>13.231726590752899</v>
      </c>
      <c r="E20" s="8"/>
      <c r="F20" s="8"/>
    </row>
    <row r="21" spans="1:6" x14ac:dyDescent="0.25">
      <c r="A21" s="8" t="s">
        <v>4168</v>
      </c>
      <c r="B21" s="8">
        <v>58568335095</v>
      </c>
      <c r="C21" s="8">
        <v>66127497540.399994</v>
      </c>
      <c r="D21" s="8">
        <f t="shared" si="0"/>
        <v>12.906568768155616</v>
      </c>
      <c r="E21" s="8"/>
      <c r="F21" s="8"/>
    </row>
    <row r="22" spans="1:6" x14ac:dyDescent="0.25">
      <c r="A22" s="8" t="s">
        <v>1538</v>
      </c>
      <c r="B22" s="8">
        <v>843543733.75999999</v>
      </c>
      <c r="C22" s="8">
        <v>950401025.66000009</v>
      </c>
      <c r="D22" s="8">
        <f t="shared" si="0"/>
        <v>12.667664712971774</v>
      </c>
      <c r="E22" s="8"/>
      <c r="F22" s="8"/>
    </row>
    <row r="23" spans="1:6" x14ac:dyDescent="0.25">
      <c r="A23" s="8" t="s">
        <v>3690</v>
      </c>
      <c r="B23" s="8">
        <v>63201871145.480011</v>
      </c>
      <c r="C23" s="8">
        <v>71135987750.139999</v>
      </c>
      <c r="D23" s="8">
        <f t="shared" si="0"/>
        <v>12.553610298019491</v>
      </c>
      <c r="E23" s="8"/>
      <c r="F23" s="8"/>
    </row>
    <row r="24" spans="1:6" x14ac:dyDescent="0.25">
      <c r="A24" s="8" t="s">
        <v>3793</v>
      </c>
      <c r="B24" s="8">
        <v>719280747717.30005</v>
      </c>
      <c r="C24" s="8">
        <v>807004620957.59985</v>
      </c>
      <c r="D24" s="8">
        <f t="shared" si="0"/>
        <v>12.196054672490421</v>
      </c>
      <c r="E24" s="8"/>
      <c r="F24" s="8"/>
    </row>
    <row r="25" spans="1:6" x14ac:dyDescent="0.25">
      <c r="A25" s="8" t="s">
        <v>2501</v>
      </c>
      <c r="B25" s="8">
        <v>103146911563.71001</v>
      </c>
      <c r="C25" s="8">
        <v>115604950204.14999</v>
      </c>
      <c r="D25" s="8">
        <f t="shared" si="0"/>
        <v>12.077956045000068</v>
      </c>
      <c r="E25" s="8"/>
      <c r="F25" s="8"/>
    </row>
    <row r="26" spans="1:6" x14ac:dyDescent="0.25">
      <c r="A26" s="8" t="s">
        <v>4145</v>
      </c>
      <c r="B26" s="8">
        <v>8692969619616.8799</v>
      </c>
      <c r="C26" s="8">
        <v>9734148909601.3301</v>
      </c>
      <c r="D26" s="8">
        <f t="shared" si="0"/>
        <v>11.977256743597563</v>
      </c>
      <c r="E26" s="8"/>
      <c r="F26" s="8"/>
    </row>
    <row r="27" spans="1:6" x14ac:dyDescent="0.25">
      <c r="A27" s="8" t="s">
        <v>2867</v>
      </c>
      <c r="B27" s="8">
        <v>4528584990.5499992</v>
      </c>
      <c r="C27" s="8">
        <v>5061566384.8999996</v>
      </c>
      <c r="D27" s="8">
        <f t="shared" si="0"/>
        <v>11.769269991889221</v>
      </c>
      <c r="E27" s="8"/>
      <c r="F27" s="8"/>
    </row>
    <row r="28" spans="1:6" x14ac:dyDescent="0.25">
      <c r="A28" s="8" t="s">
        <v>3287</v>
      </c>
      <c r="B28" s="8">
        <v>196332105214.89996</v>
      </c>
      <c r="C28" s="8">
        <v>217544709318.34998</v>
      </c>
      <c r="D28" s="8">
        <f t="shared" si="0"/>
        <v>10.804449980420296</v>
      </c>
      <c r="E28" s="8"/>
      <c r="F28" s="8"/>
    </row>
    <row r="29" spans="1:6" x14ac:dyDescent="0.25">
      <c r="A29" s="8" t="s">
        <v>1907</v>
      </c>
      <c r="B29" s="8">
        <v>448257978848.57001</v>
      </c>
      <c r="C29" s="8">
        <v>496024921059.45001</v>
      </c>
      <c r="D29" s="8">
        <f t="shared" si="0"/>
        <v>10.65612760169442</v>
      </c>
      <c r="E29" s="8"/>
      <c r="F29" s="8"/>
    </row>
    <row r="30" spans="1:6" x14ac:dyDescent="0.25">
      <c r="A30" s="8" t="s">
        <v>850</v>
      </c>
      <c r="B30" s="8">
        <v>446112606490</v>
      </c>
      <c r="C30" s="8">
        <v>493487349010.69995</v>
      </c>
      <c r="D30" s="8">
        <f t="shared" si="0"/>
        <v>10.619458368021235</v>
      </c>
      <c r="E30" s="8"/>
      <c r="F30" s="8"/>
    </row>
    <row r="31" spans="1:6" x14ac:dyDescent="0.25">
      <c r="A31" s="8" t="s">
        <v>2998</v>
      </c>
      <c r="B31" s="8">
        <v>16469242566.390001</v>
      </c>
      <c r="C31" s="8">
        <v>18193040849.889999</v>
      </c>
      <c r="D31" s="8">
        <f t="shared" si="0"/>
        <v>10.466773299082256</v>
      </c>
      <c r="E31" s="8"/>
      <c r="F31" s="8"/>
    </row>
    <row r="32" spans="1:6" x14ac:dyDescent="0.25">
      <c r="A32" s="8" t="s">
        <v>1478</v>
      </c>
      <c r="B32" s="8">
        <v>347433349725.02002</v>
      </c>
      <c r="C32" s="8">
        <v>383567044533.28003</v>
      </c>
      <c r="D32" s="8">
        <f t="shared" si="0"/>
        <v>10.40018030418163</v>
      </c>
      <c r="E32" s="8"/>
      <c r="F32" s="8"/>
    </row>
    <row r="33" spans="1:6" x14ac:dyDescent="0.25">
      <c r="A33" s="8" t="s">
        <v>2892</v>
      </c>
      <c r="B33" s="8">
        <v>4080471553518.0498</v>
      </c>
      <c r="C33" s="8">
        <v>4472983089327.4502</v>
      </c>
      <c r="D33" s="8">
        <f t="shared" si="0"/>
        <v>9.619269014900734</v>
      </c>
      <c r="E33" s="8"/>
      <c r="F33" s="8"/>
    </row>
    <row r="34" spans="1:6" x14ac:dyDescent="0.25">
      <c r="A34" s="8" t="s">
        <v>2905</v>
      </c>
      <c r="B34" s="8">
        <v>49214797323.400002</v>
      </c>
      <c r="C34" s="8">
        <v>53796028874.25</v>
      </c>
      <c r="D34" s="8">
        <f t="shared" si="0"/>
        <v>9.3086465859969625</v>
      </c>
      <c r="E34" s="8"/>
      <c r="F34" s="8"/>
    </row>
    <row r="35" spans="1:6" x14ac:dyDescent="0.25">
      <c r="A35" s="8" t="s">
        <v>1695</v>
      </c>
      <c r="B35" s="8">
        <v>127288347195.35001</v>
      </c>
      <c r="C35" s="8">
        <v>138992935380</v>
      </c>
      <c r="D35" s="8">
        <f t="shared" si="0"/>
        <v>9.1953336205135177</v>
      </c>
      <c r="E35" s="8"/>
      <c r="F35" s="8"/>
    </row>
    <row r="36" spans="1:6" x14ac:dyDescent="0.25">
      <c r="A36" s="8" t="s">
        <v>3454</v>
      </c>
      <c r="B36" s="8">
        <v>30497858401.670002</v>
      </c>
      <c r="C36" s="8">
        <v>33235755739.049999</v>
      </c>
      <c r="D36" s="8">
        <f t="shared" si="0"/>
        <v>8.9773429377259983</v>
      </c>
      <c r="E36" s="8"/>
      <c r="F36" s="8"/>
    </row>
    <row r="37" spans="1:6" x14ac:dyDescent="0.25">
      <c r="A37" s="8" t="s">
        <v>204</v>
      </c>
      <c r="B37" s="8">
        <v>1052549912624.1501</v>
      </c>
      <c r="C37" s="8">
        <v>1144133763836.4397</v>
      </c>
      <c r="D37" s="8">
        <f t="shared" si="0"/>
        <v>8.7011409258453654</v>
      </c>
      <c r="E37" s="8"/>
      <c r="F37" s="8"/>
    </row>
    <row r="38" spans="1:6" x14ac:dyDescent="0.25">
      <c r="A38" s="8" t="s">
        <v>788</v>
      </c>
      <c r="B38" s="8">
        <v>19017234402995.199</v>
      </c>
      <c r="C38" s="8">
        <v>20618677402399.199</v>
      </c>
      <c r="D38" s="8">
        <f t="shared" si="0"/>
        <v>8.4210088883995358</v>
      </c>
      <c r="E38" s="8"/>
      <c r="F38" s="8"/>
    </row>
    <row r="39" spans="1:6" x14ac:dyDescent="0.25">
      <c r="A39" s="8" t="s">
        <v>4082</v>
      </c>
      <c r="B39" s="8">
        <v>1196891990937</v>
      </c>
      <c r="C39" s="8">
        <v>1297193193255.75</v>
      </c>
      <c r="D39" s="8">
        <f t="shared" si="0"/>
        <v>8.3801381476559218</v>
      </c>
      <c r="E39" s="8"/>
      <c r="F39" s="8"/>
    </row>
    <row r="40" spans="1:6" x14ac:dyDescent="0.25">
      <c r="A40" s="8" t="s">
        <v>2228</v>
      </c>
      <c r="B40" s="8">
        <v>3994181062878.6099</v>
      </c>
      <c r="C40" s="8">
        <v>4311749242142.0703</v>
      </c>
      <c r="D40" s="8">
        <f t="shared" si="0"/>
        <v>7.9507707403376653</v>
      </c>
      <c r="E40" s="8"/>
      <c r="F40" s="8"/>
    </row>
    <row r="41" spans="1:6" x14ac:dyDescent="0.25">
      <c r="A41" s="8" t="s">
        <v>1606</v>
      </c>
      <c r="B41" s="8">
        <v>183377048993.10999</v>
      </c>
      <c r="C41" s="8">
        <v>197894225223.14001</v>
      </c>
      <c r="D41" s="8">
        <f t="shared" si="0"/>
        <v>7.9165720627206086</v>
      </c>
      <c r="E41" s="8"/>
      <c r="F41" s="8"/>
    </row>
    <row r="42" spans="1:6" x14ac:dyDescent="0.25">
      <c r="A42" s="8" t="s">
        <v>2422</v>
      </c>
      <c r="B42" s="8">
        <v>434442344419.77008</v>
      </c>
      <c r="C42" s="8">
        <v>466306340453.2699</v>
      </c>
      <c r="D42" s="8">
        <f t="shared" si="0"/>
        <v>7.3344590928530558</v>
      </c>
      <c r="E42" s="8"/>
      <c r="F42" s="8"/>
    </row>
    <row r="43" spans="1:6" x14ac:dyDescent="0.25">
      <c r="A43" s="8" t="s">
        <v>1315</v>
      </c>
      <c r="B43" s="8">
        <v>136168886259.35001</v>
      </c>
      <c r="C43" s="8">
        <v>146107682327.75</v>
      </c>
      <c r="D43" s="8">
        <f t="shared" si="0"/>
        <v>7.2988744649569668</v>
      </c>
      <c r="E43" s="8"/>
      <c r="F43" s="8"/>
    </row>
    <row r="44" spans="1:6" x14ac:dyDescent="0.25">
      <c r="A44" s="8" t="s">
        <v>4053</v>
      </c>
      <c r="B44" s="8">
        <v>14537363225</v>
      </c>
      <c r="C44" s="8">
        <v>15533089615.950001</v>
      </c>
      <c r="D44" s="8">
        <f t="shared" si="0"/>
        <v>6.8494291264432574</v>
      </c>
      <c r="E44" s="8"/>
      <c r="F44" s="8"/>
    </row>
    <row r="45" spans="1:6" x14ac:dyDescent="0.25">
      <c r="A45" s="8" t="s">
        <v>3976</v>
      </c>
      <c r="B45" s="8">
        <v>1059986885725.2898</v>
      </c>
      <c r="C45" s="8">
        <v>1131030945552.71</v>
      </c>
      <c r="D45" s="8">
        <f t="shared" si="0"/>
        <v>6.7023527162610774</v>
      </c>
      <c r="E45" s="8"/>
      <c r="F45" s="8"/>
    </row>
    <row r="46" spans="1:6" x14ac:dyDescent="0.25">
      <c r="A46" s="8" t="s">
        <v>3618</v>
      </c>
      <c r="B46" s="8">
        <v>125382187510.34999</v>
      </c>
      <c r="C46" s="8">
        <v>133717550935.15001</v>
      </c>
      <c r="D46" s="8">
        <f t="shared" si="0"/>
        <v>6.6479645875630888</v>
      </c>
      <c r="E46" s="8"/>
      <c r="F46" s="8"/>
    </row>
    <row r="47" spans="1:6" x14ac:dyDescent="0.25">
      <c r="A47" s="8" t="s">
        <v>758</v>
      </c>
      <c r="B47" s="8">
        <v>55043542841.299995</v>
      </c>
      <c r="C47" s="8">
        <v>58697334975.400002</v>
      </c>
      <c r="D47" s="8">
        <f t="shared" si="0"/>
        <v>6.6380031980036556</v>
      </c>
      <c r="E47" s="8"/>
      <c r="F47" s="8"/>
    </row>
    <row r="48" spans="1:6" x14ac:dyDescent="0.25">
      <c r="A48" s="8" t="s">
        <v>3772</v>
      </c>
      <c r="B48" s="8">
        <v>520275895469.40002</v>
      </c>
      <c r="C48" s="8">
        <v>554336374253.25</v>
      </c>
      <c r="D48" s="8">
        <f t="shared" si="0"/>
        <v>6.5466186460781826</v>
      </c>
      <c r="E48" s="8"/>
      <c r="F48" s="8"/>
    </row>
    <row r="49" spans="1:6" x14ac:dyDescent="0.25">
      <c r="A49" s="8" t="s">
        <v>96</v>
      </c>
      <c r="B49" s="8">
        <v>19310253465.299999</v>
      </c>
      <c r="C49" s="8">
        <v>20547100745.700001</v>
      </c>
      <c r="D49" s="8">
        <f t="shared" si="0"/>
        <v>6.4051322921399372</v>
      </c>
      <c r="E49" s="8"/>
      <c r="F49" s="8"/>
    </row>
    <row r="50" spans="1:6" x14ac:dyDescent="0.25">
      <c r="A50" s="8" t="s">
        <v>4036</v>
      </c>
      <c r="B50" s="8">
        <v>219666819566.08002</v>
      </c>
      <c r="C50" s="8">
        <v>233462534820.04001</v>
      </c>
      <c r="D50" s="8">
        <f t="shared" si="0"/>
        <v>6.2802908883605761</v>
      </c>
      <c r="E50" s="8"/>
      <c r="F50" s="8"/>
    </row>
    <row r="51" spans="1:6" x14ac:dyDescent="0.25">
      <c r="A51" s="8" t="s">
        <v>3369</v>
      </c>
      <c r="B51" s="8">
        <v>79165819306.429993</v>
      </c>
      <c r="C51" s="8">
        <v>84118378819.110001</v>
      </c>
      <c r="D51" s="8">
        <f t="shared" si="0"/>
        <v>6.2559316079455414</v>
      </c>
      <c r="E51" s="8"/>
      <c r="F51" s="8"/>
    </row>
    <row r="52" spans="1:6" x14ac:dyDescent="0.25">
      <c r="A52" s="8" t="s">
        <v>1376</v>
      </c>
      <c r="B52" s="8">
        <v>5368638973606.6904</v>
      </c>
      <c r="C52" s="8">
        <v>5704069955187.4189</v>
      </c>
      <c r="D52" s="8">
        <f t="shared" si="0"/>
        <v>6.2479705420642873</v>
      </c>
      <c r="E52" s="8"/>
      <c r="F52" s="8"/>
    </row>
    <row r="53" spans="1:6" x14ac:dyDescent="0.25">
      <c r="A53" s="8" t="s">
        <v>2575</v>
      </c>
      <c r="B53" s="8">
        <v>843548379997.09998</v>
      </c>
      <c r="C53" s="8">
        <v>896059039927.84998</v>
      </c>
      <c r="D53" s="8">
        <f t="shared" si="0"/>
        <v>6.2249731225766238</v>
      </c>
      <c r="E53" s="8"/>
      <c r="F53" s="8"/>
    </row>
    <row r="54" spans="1:6" x14ac:dyDescent="0.25">
      <c r="A54" s="8" t="s">
        <v>3131</v>
      </c>
      <c r="B54" s="8">
        <v>1064954813939.1501</v>
      </c>
      <c r="C54" s="8">
        <v>1129301966038.25</v>
      </c>
      <c r="D54" s="8">
        <f t="shared" si="0"/>
        <v>6.0422424742216849</v>
      </c>
      <c r="E54" s="8"/>
      <c r="F54" s="8"/>
    </row>
    <row r="55" spans="1:6" x14ac:dyDescent="0.25">
      <c r="A55" s="8" t="s">
        <v>3683</v>
      </c>
      <c r="B55" s="8">
        <v>3553304671562.2603</v>
      </c>
      <c r="C55" s="8">
        <v>3766123909298.3091</v>
      </c>
      <c r="D55" s="8">
        <f t="shared" si="0"/>
        <v>5.9893326749963114</v>
      </c>
      <c r="E55" s="8"/>
      <c r="F55" s="8"/>
    </row>
    <row r="56" spans="1:6" x14ac:dyDescent="0.25">
      <c r="A56" s="8" t="s">
        <v>1337</v>
      </c>
      <c r="B56" s="8">
        <v>907411218202.08008</v>
      </c>
      <c r="C56" s="8">
        <v>961341805360.20007</v>
      </c>
      <c r="D56" s="8">
        <f t="shared" si="0"/>
        <v>5.9433458696903259</v>
      </c>
      <c r="E56" s="8"/>
      <c r="F56" s="8"/>
    </row>
    <row r="57" spans="1:6" x14ac:dyDescent="0.25">
      <c r="A57" s="8" t="s">
        <v>2577</v>
      </c>
      <c r="B57" s="8">
        <v>462173061252.25</v>
      </c>
      <c r="C57" s="8">
        <v>489048519798.74994</v>
      </c>
      <c r="D57" s="8">
        <f t="shared" si="0"/>
        <v>5.8150205625748379</v>
      </c>
      <c r="E57" s="8"/>
      <c r="F57" s="8"/>
    </row>
    <row r="58" spans="1:6" x14ac:dyDescent="0.25">
      <c r="A58" s="8" t="s">
        <v>183</v>
      </c>
      <c r="B58" s="8">
        <v>740185818078.44995</v>
      </c>
      <c r="C58" s="8">
        <v>782943516469.94995</v>
      </c>
      <c r="D58" s="8">
        <f t="shared" si="0"/>
        <v>5.776616809884386</v>
      </c>
      <c r="E58" s="8"/>
      <c r="F58" s="8"/>
    </row>
    <row r="59" spans="1:6" x14ac:dyDescent="0.25">
      <c r="A59" s="8" t="s">
        <v>2757</v>
      </c>
      <c r="B59" s="8">
        <v>652808930037.09998</v>
      </c>
      <c r="C59" s="8">
        <v>690037803017.26001</v>
      </c>
      <c r="D59" s="8">
        <f t="shared" si="0"/>
        <v>5.7028743430400484</v>
      </c>
      <c r="E59" s="8"/>
      <c r="F59" s="8"/>
    </row>
    <row r="60" spans="1:6" x14ac:dyDescent="0.25">
      <c r="A60" s="8" t="s">
        <v>1760</v>
      </c>
      <c r="B60" s="8">
        <v>204201107797.94</v>
      </c>
      <c r="C60" s="8">
        <v>215215222241.81998</v>
      </c>
      <c r="D60" s="8">
        <f t="shared" si="0"/>
        <v>5.3937584191651897</v>
      </c>
      <c r="E60" s="8"/>
      <c r="F60" s="8"/>
    </row>
    <row r="61" spans="1:6" x14ac:dyDescent="0.25">
      <c r="A61" s="8" t="s">
        <v>4066</v>
      </c>
      <c r="B61" s="8">
        <v>53764765889.900002</v>
      </c>
      <c r="C61" s="8">
        <v>56513630226.990005</v>
      </c>
      <c r="D61" s="8">
        <f t="shared" si="0"/>
        <v>5.1127616601533328</v>
      </c>
      <c r="E61" s="8"/>
      <c r="F61" s="8"/>
    </row>
    <row r="62" spans="1:6" x14ac:dyDescent="0.25">
      <c r="A62" s="8" t="s">
        <v>680</v>
      </c>
      <c r="B62" s="8">
        <v>24404269628090.676</v>
      </c>
      <c r="C62" s="8">
        <v>25629523499836.742</v>
      </c>
      <c r="D62" s="8">
        <f t="shared" si="0"/>
        <v>5.0206537233785138</v>
      </c>
      <c r="E62" s="8"/>
      <c r="F62" s="8"/>
    </row>
    <row r="63" spans="1:6" x14ac:dyDescent="0.25">
      <c r="A63" s="8" t="s">
        <v>4016</v>
      </c>
      <c r="B63" s="8">
        <v>1820221523075</v>
      </c>
      <c r="C63" s="8">
        <v>1905573410103.5798</v>
      </c>
      <c r="D63" s="8">
        <f t="shared" si="0"/>
        <v>4.6890933848749468</v>
      </c>
      <c r="E63" s="8"/>
      <c r="F63" s="8"/>
    </row>
    <row r="64" spans="1:6" x14ac:dyDescent="0.25">
      <c r="A64" s="8" t="s">
        <v>3536</v>
      </c>
      <c r="B64" s="8">
        <v>1935713879971.95</v>
      </c>
      <c r="C64" s="8">
        <v>2025403775479.8501</v>
      </c>
      <c r="D64" s="8">
        <f t="shared" si="0"/>
        <v>4.6334273074076329</v>
      </c>
      <c r="E64" s="8"/>
      <c r="F64" s="8"/>
    </row>
    <row r="65" spans="1:6" x14ac:dyDescent="0.25">
      <c r="A65" s="8" t="s">
        <v>3639</v>
      </c>
      <c r="B65" s="8">
        <v>6933301461.0499992</v>
      </c>
      <c r="C65" s="8">
        <v>7254196679.4499998</v>
      </c>
      <c r="D65" s="8">
        <f t="shared" si="0"/>
        <v>4.6283176954403382</v>
      </c>
      <c r="E65" s="8"/>
      <c r="F65" s="8"/>
    </row>
    <row r="66" spans="1:6" x14ac:dyDescent="0.25">
      <c r="A66" s="8" t="s">
        <v>295</v>
      </c>
      <c r="B66" s="8">
        <v>86840435131.399994</v>
      </c>
      <c r="C66" s="8">
        <v>90841166950.099991</v>
      </c>
      <c r="D66" s="8">
        <f t="shared" si="0"/>
        <v>4.6069919072220324</v>
      </c>
      <c r="E66" s="8"/>
      <c r="F66" s="8"/>
    </row>
    <row r="67" spans="1:6" x14ac:dyDescent="0.25">
      <c r="A67" s="8" t="s">
        <v>350</v>
      </c>
      <c r="B67" s="8">
        <v>824717764143.01013</v>
      </c>
      <c r="C67" s="8">
        <v>862572294090.68994</v>
      </c>
      <c r="D67" s="8">
        <f t="shared" si="0"/>
        <v>4.5899981294831971</v>
      </c>
      <c r="E67" s="8"/>
      <c r="F67" s="8"/>
    </row>
    <row r="68" spans="1:6" x14ac:dyDescent="0.25">
      <c r="A68" s="8" t="s">
        <v>3874</v>
      </c>
      <c r="B68" s="8">
        <v>203686921860.45001</v>
      </c>
      <c r="C68" s="8">
        <v>212431031444.85001</v>
      </c>
      <c r="D68" s="8">
        <f t="shared" si="0"/>
        <v>4.2929165527822928</v>
      </c>
      <c r="E68" s="8"/>
      <c r="F68" s="8"/>
    </row>
    <row r="69" spans="1:6" x14ac:dyDescent="0.25">
      <c r="A69" s="8" t="s">
        <v>3085</v>
      </c>
      <c r="B69" s="8">
        <v>7524899017657.5</v>
      </c>
      <c r="C69" s="8">
        <v>7830485792438.8994</v>
      </c>
      <c r="D69" s="8">
        <f t="shared" si="0"/>
        <v>4.0610083147205946</v>
      </c>
      <c r="E69" s="8"/>
      <c r="F69" s="8"/>
    </row>
    <row r="70" spans="1:6" x14ac:dyDescent="0.25">
      <c r="A70" s="8" t="s">
        <v>3503</v>
      </c>
      <c r="B70" s="8">
        <v>1885898036594.5999</v>
      </c>
      <c r="C70" s="8">
        <v>1961977490167.55</v>
      </c>
      <c r="D70" s="8">
        <f t="shared" si="0"/>
        <v>4.0341233776523913</v>
      </c>
      <c r="E70" s="8"/>
      <c r="F70" s="8"/>
    </row>
    <row r="71" spans="1:6" x14ac:dyDescent="0.25">
      <c r="A71" s="8" t="s">
        <v>1333</v>
      </c>
      <c r="B71" s="8">
        <v>72468332136.449997</v>
      </c>
      <c r="C71" s="8">
        <v>75319324807.099991</v>
      </c>
      <c r="D71" s="8">
        <f t="shared" si="0"/>
        <v>3.9341221007844975</v>
      </c>
      <c r="E71" s="8"/>
      <c r="F71" s="8"/>
    </row>
    <row r="72" spans="1:6" x14ac:dyDescent="0.25">
      <c r="A72" s="8" t="s">
        <v>1685</v>
      </c>
      <c r="B72" s="8">
        <v>235754595539.92004</v>
      </c>
      <c r="C72" s="8">
        <v>244693134048.47</v>
      </c>
      <c r="D72" s="8">
        <f t="shared" si="0"/>
        <v>3.7914588634334403</v>
      </c>
      <c r="E72" s="8"/>
      <c r="F72" s="8"/>
    </row>
    <row r="73" spans="1:6" x14ac:dyDescent="0.25">
      <c r="A73" s="8" t="s">
        <v>3906</v>
      </c>
      <c r="B73" s="8">
        <v>185129505000.11002</v>
      </c>
      <c r="C73" s="8">
        <v>192131481982.45004</v>
      </c>
      <c r="D73" s="8">
        <f t="shared" si="0"/>
        <v>3.7822047773183787</v>
      </c>
      <c r="E73" s="8"/>
      <c r="F73" s="8"/>
    </row>
    <row r="74" spans="1:6" x14ac:dyDescent="0.25">
      <c r="A74" s="8" t="s">
        <v>1968</v>
      </c>
      <c r="B74" s="8">
        <v>28213827668600.723</v>
      </c>
      <c r="C74" s="8">
        <v>29254832886621.379</v>
      </c>
      <c r="D74" s="8">
        <f t="shared" si="0"/>
        <v>3.6896986479406162</v>
      </c>
      <c r="E74" s="8"/>
      <c r="F74" s="8"/>
    </row>
    <row r="75" spans="1:6" x14ac:dyDescent="0.25">
      <c r="A75" s="8" t="s">
        <v>1136</v>
      </c>
      <c r="B75" s="8">
        <v>6742730528830.4209</v>
      </c>
      <c r="C75" s="8">
        <v>6989998459545.1699</v>
      </c>
      <c r="D75" s="8">
        <f t="shared" si="0"/>
        <v>3.667178002405497</v>
      </c>
      <c r="E75" s="8"/>
      <c r="F75" s="8"/>
    </row>
    <row r="76" spans="1:6" x14ac:dyDescent="0.25">
      <c r="A76" s="8" t="s">
        <v>1645</v>
      </c>
      <c r="B76" s="8">
        <v>494955762995.37</v>
      </c>
      <c r="C76" s="8">
        <v>513033842996.04999</v>
      </c>
      <c r="D76" s="8">
        <f t="shared" si="0"/>
        <v>3.652463786111952</v>
      </c>
      <c r="E76" s="8"/>
      <c r="F76" s="8"/>
    </row>
    <row r="77" spans="1:6" x14ac:dyDescent="0.25">
      <c r="A77" s="8" t="s">
        <v>642</v>
      </c>
      <c r="B77" s="8">
        <v>1356331002609.3999</v>
      </c>
      <c r="C77" s="8">
        <v>1405758622235.9001</v>
      </c>
      <c r="D77" s="8">
        <f t="shared" si="0"/>
        <v>3.6442151312185667</v>
      </c>
      <c r="E77" s="8"/>
      <c r="F77" s="8"/>
    </row>
    <row r="78" spans="1:6" x14ac:dyDescent="0.25">
      <c r="A78" s="8" t="s">
        <v>2753</v>
      </c>
      <c r="B78" s="8">
        <v>1087375691794.87</v>
      </c>
      <c r="C78" s="8">
        <v>1125752762772.3201</v>
      </c>
      <c r="D78" s="8">
        <f t="shared" si="0"/>
        <v>3.5293294918247802</v>
      </c>
      <c r="E78" s="8"/>
      <c r="F78" s="8"/>
    </row>
    <row r="79" spans="1:6" x14ac:dyDescent="0.25">
      <c r="A79" s="8" t="s">
        <v>3068</v>
      </c>
      <c r="B79" s="8">
        <v>2074561276.5999999</v>
      </c>
      <c r="C79" s="8">
        <v>2147112360.55</v>
      </c>
      <c r="D79" s="8">
        <f t="shared" si="0"/>
        <v>3.4971771992632621</v>
      </c>
      <c r="E79" s="8"/>
      <c r="F79" s="8"/>
    </row>
    <row r="80" spans="1:6" x14ac:dyDescent="0.25">
      <c r="A80" s="8" t="s">
        <v>1351</v>
      </c>
      <c r="B80" s="8">
        <v>37634798912.400002</v>
      </c>
      <c r="C80" s="8">
        <v>38799211053.649994</v>
      </c>
      <c r="D80" s="8">
        <f t="shared" si="0"/>
        <v>3.0939773159418666</v>
      </c>
      <c r="E80" s="8"/>
      <c r="F80" s="8"/>
    </row>
    <row r="81" spans="1:6" x14ac:dyDescent="0.25">
      <c r="A81" s="8" t="s">
        <v>4077</v>
      </c>
      <c r="B81" s="8">
        <v>4494586882.5</v>
      </c>
      <c r="C81" s="8">
        <v>4633614911.25</v>
      </c>
      <c r="D81" s="8">
        <f t="shared" si="0"/>
        <v>3.0932326459483011</v>
      </c>
      <c r="E81" s="8"/>
      <c r="F81" s="8"/>
    </row>
    <row r="82" spans="1:6" x14ac:dyDescent="0.25">
      <c r="A82" s="8" t="s">
        <v>2321</v>
      </c>
      <c r="B82" s="8">
        <v>109163132114.85001</v>
      </c>
      <c r="C82" s="8">
        <v>112339414178.90001</v>
      </c>
      <c r="D82" s="8">
        <f t="shared" si="0"/>
        <v>2.9096655642934945</v>
      </c>
      <c r="E82" s="8"/>
      <c r="F82" s="8"/>
    </row>
    <row r="83" spans="1:6" x14ac:dyDescent="0.25">
      <c r="A83" s="8" t="s">
        <v>342</v>
      </c>
      <c r="B83" s="8">
        <v>1085339554064.25</v>
      </c>
      <c r="C83" s="8">
        <v>1116852192283.2</v>
      </c>
      <c r="D83" s="8">
        <f t="shared" si="0"/>
        <v>2.9034819657078916</v>
      </c>
      <c r="E83" s="8"/>
      <c r="F83" s="8"/>
    </row>
    <row r="84" spans="1:6" x14ac:dyDescent="0.25">
      <c r="A84" s="8" t="s">
        <v>1999</v>
      </c>
      <c r="B84" s="8">
        <v>786720154327.15015</v>
      </c>
      <c r="C84" s="8">
        <v>809550467361.15015</v>
      </c>
      <c r="D84" s="8">
        <f t="shared" si="0"/>
        <v>2.9019611240957519</v>
      </c>
      <c r="E84" s="8"/>
      <c r="F84" s="8"/>
    </row>
    <row r="85" spans="1:6" x14ac:dyDescent="0.25">
      <c r="A85" s="8" t="s">
        <v>2755</v>
      </c>
      <c r="B85" s="8">
        <v>3252949082285.8696</v>
      </c>
      <c r="C85" s="8">
        <v>3345223643467.6406</v>
      </c>
      <c r="D85" s="8">
        <f t="shared" si="0"/>
        <v>2.8366432688497243</v>
      </c>
      <c r="E85" s="8"/>
      <c r="F85" s="8"/>
    </row>
    <row r="86" spans="1:6" x14ac:dyDescent="0.25">
      <c r="A86" s="8" t="s">
        <v>108</v>
      </c>
      <c r="B86" s="8">
        <v>2121111155804.7</v>
      </c>
      <c r="C86" s="8">
        <v>2180541287662.6501</v>
      </c>
      <c r="D86" s="8">
        <f t="shared" si="0"/>
        <v>2.8018395780585008</v>
      </c>
      <c r="E86" s="8"/>
      <c r="F86" s="8"/>
    </row>
    <row r="87" spans="1:6" x14ac:dyDescent="0.25">
      <c r="A87" s="8" t="s">
        <v>1793</v>
      </c>
      <c r="B87" s="8">
        <v>1012976358137.8701</v>
      </c>
      <c r="C87" s="8">
        <v>1040413222830.8398</v>
      </c>
      <c r="D87" s="8">
        <f t="shared" si="0"/>
        <v>2.7085394908333544</v>
      </c>
      <c r="E87" s="8"/>
      <c r="F87" s="8"/>
    </row>
    <row r="88" spans="1:6" x14ac:dyDescent="0.25">
      <c r="A88" s="8" t="s">
        <v>893</v>
      </c>
      <c r="B88" s="8">
        <v>1307641282182.3999</v>
      </c>
      <c r="C88" s="8">
        <v>1340278585000</v>
      </c>
      <c r="D88" s="8">
        <f t="shared" si="0"/>
        <v>2.4958911333182883</v>
      </c>
      <c r="E88" s="8"/>
      <c r="F88" s="8"/>
    </row>
    <row r="89" spans="1:6" x14ac:dyDescent="0.25">
      <c r="A89" s="8" t="s">
        <v>1672</v>
      </c>
      <c r="B89" s="8">
        <v>259702562085.75</v>
      </c>
      <c r="C89" s="8">
        <v>266125522407.35001</v>
      </c>
      <c r="D89" s="8">
        <f t="shared" si="0"/>
        <v>2.4731986739042018</v>
      </c>
      <c r="E89" s="8"/>
      <c r="F89" s="8"/>
    </row>
    <row r="90" spans="1:6" x14ac:dyDescent="0.25">
      <c r="A90" s="8" t="s">
        <v>2297</v>
      </c>
      <c r="B90" s="8">
        <v>1081287690692.9399</v>
      </c>
      <c r="C90" s="8">
        <v>1106837526076.7603</v>
      </c>
      <c r="D90" s="8">
        <f t="shared" si="0"/>
        <v>2.3629081884254854</v>
      </c>
      <c r="E90" s="8"/>
      <c r="F90" s="8"/>
    </row>
    <row r="91" spans="1:6" x14ac:dyDescent="0.25">
      <c r="A91" s="8" t="s">
        <v>3118</v>
      </c>
      <c r="B91" s="8">
        <v>9686975448143.5</v>
      </c>
      <c r="C91" s="8">
        <v>9910105921422.1504</v>
      </c>
      <c r="D91" s="8">
        <f t="shared" si="0"/>
        <v>2.3034070280565553</v>
      </c>
      <c r="E91" s="8"/>
      <c r="F91" s="8"/>
    </row>
    <row r="92" spans="1:6" x14ac:dyDescent="0.25">
      <c r="A92" s="8" t="s">
        <v>985</v>
      </c>
      <c r="B92" s="8">
        <v>1867295973632.8999</v>
      </c>
      <c r="C92" s="8">
        <v>1902690464957.1499</v>
      </c>
      <c r="D92" s="8">
        <f t="shared" si="0"/>
        <v>1.8954944381628254</v>
      </c>
      <c r="E92" s="8"/>
      <c r="F92" s="8"/>
    </row>
    <row r="93" spans="1:6" x14ac:dyDescent="0.25">
      <c r="A93" s="8" t="s">
        <v>3951</v>
      </c>
      <c r="B93" s="8">
        <v>726127698170.69006</v>
      </c>
      <c r="C93" s="8">
        <v>738958364509.86975</v>
      </c>
      <c r="D93" s="8">
        <f t="shared" si="0"/>
        <v>1.7669986107820386</v>
      </c>
      <c r="E93" s="8"/>
      <c r="F93" s="8"/>
    </row>
    <row r="94" spans="1:6" x14ac:dyDescent="0.25">
      <c r="A94" s="8" t="s">
        <v>3431</v>
      </c>
      <c r="B94" s="8">
        <v>3855014106901.8003</v>
      </c>
      <c r="C94" s="8">
        <v>3918385167248.7002</v>
      </c>
      <c r="D94" s="8">
        <f t="shared" si="0"/>
        <v>1.6438606601579986</v>
      </c>
      <c r="E94" s="8"/>
      <c r="F94" s="8"/>
    </row>
    <row r="95" spans="1:6" x14ac:dyDescent="0.25">
      <c r="A95" s="8" t="s">
        <v>3312</v>
      </c>
      <c r="B95" s="8">
        <v>190960960824.64999</v>
      </c>
      <c r="C95" s="8">
        <v>193615904795.22</v>
      </c>
      <c r="D95" s="8">
        <f t="shared" si="0"/>
        <v>1.3903071911163618</v>
      </c>
      <c r="E95" s="8"/>
      <c r="F95" s="8"/>
    </row>
    <row r="96" spans="1:6" x14ac:dyDescent="0.25">
      <c r="A96" s="8" t="s">
        <v>2825</v>
      </c>
      <c r="B96" s="8">
        <v>1304286585.0999999</v>
      </c>
      <c r="C96" s="8">
        <v>1321558012.05</v>
      </c>
      <c r="D96" s="8">
        <f t="shared" si="0"/>
        <v>1.3242049061384653</v>
      </c>
      <c r="E96" s="8"/>
      <c r="F96" s="8"/>
    </row>
    <row r="97" spans="1:6" x14ac:dyDescent="0.25">
      <c r="A97" s="8" t="s">
        <v>2721</v>
      </c>
      <c r="B97" s="8">
        <v>5776561541627.6602</v>
      </c>
      <c r="C97" s="8">
        <v>5851242022429.2109</v>
      </c>
      <c r="D97" s="8">
        <f t="shared" si="0"/>
        <v>1.2928189246038584</v>
      </c>
      <c r="E97" s="8"/>
      <c r="F97" s="8"/>
    </row>
    <row r="98" spans="1:6" x14ac:dyDescent="0.25">
      <c r="A98" s="8" t="s">
        <v>3561</v>
      </c>
      <c r="B98" s="8">
        <v>368841111715.78003</v>
      </c>
      <c r="C98" s="8">
        <v>373464743677.80994</v>
      </c>
      <c r="D98" s="8">
        <f t="shared" si="0"/>
        <v>1.2535565627491019</v>
      </c>
      <c r="E98" s="8"/>
      <c r="F98" s="8"/>
    </row>
    <row r="99" spans="1:6" x14ac:dyDescent="0.25">
      <c r="A99" s="8" t="s">
        <v>1453</v>
      </c>
      <c r="B99" s="8">
        <v>415893747614.57007</v>
      </c>
      <c r="C99" s="8">
        <v>420616625064.39001</v>
      </c>
      <c r="D99" s="8">
        <f t="shared" si="0"/>
        <v>1.1355971271289411</v>
      </c>
      <c r="E99" s="8"/>
      <c r="F99" s="8"/>
    </row>
    <row r="100" spans="1:6" x14ac:dyDescent="0.25">
      <c r="A100" s="8" t="s">
        <v>2787</v>
      </c>
      <c r="B100" s="8">
        <v>708673099020.05005</v>
      </c>
      <c r="C100" s="8">
        <v>716483204792.80005</v>
      </c>
      <c r="D100" s="8">
        <f t="shared" si="0"/>
        <v>1.1020745367010232</v>
      </c>
      <c r="E100" s="8"/>
      <c r="F100" s="8"/>
    </row>
    <row r="101" spans="1:6" x14ac:dyDescent="0.25">
      <c r="A101" s="8" t="s">
        <v>2444</v>
      </c>
      <c r="B101" s="8">
        <v>1197059272444.05</v>
      </c>
      <c r="C101" s="8">
        <v>1206216000201.1001</v>
      </c>
      <c r="D101" s="8">
        <f t="shared" si="0"/>
        <v>0.76493520144200133</v>
      </c>
      <c r="E101" s="8"/>
      <c r="F101" s="8"/>
    </row>
    <row r="102" spans="1:6" x14ac:dyDescent="0.25">
      <c r="A102" s="8" t="s">
        <v>1935</v>
      </c>
      <c r="B102" s="8">
        <v>372952691763.20007</v>
      </c>
      <c r="C102" s="8">
        <v>375791191483.90002</v>
      </c>
      <c r="D102" s="8">
        <f t="shared" si="0"/>
        <v>0.76108841238829505</v>
      </c>
      <c r="E102" s="8"/>
      <c r="F102" s="8"/>
    </row>
    <row r="103" spans="1:6" x14ac:dyDescent="0.25">
      <c r="A103" s="8" t="s">
        <v>3183</v>
      </c>
      <c r="B103" s="8">
        <v>4023085571247.6001</v>
      </c>
      <c r="C103" s="8">
        <v>4052110371243.1504</v>
      </c>
      <c r="D103" s="8">
        <f t="shared" si="0"/>
        <v>0.72145619280351037</v>
      </c>
      <c r="E103" s="8"/>
      <c r="F103" s="8"/>
    </row>
    <row r="104" spans="1:6" x14ac:dyDescent="0.25">
      <c r="A104" s="8" t="s">
        <v>1046</v>
      </c>
      <c r="B104" s="8">
        <v>764476348787.24011</v>
      </c>
      <c r="C104" s="8">
        <v>769345511351.53992</v>
      </c>
      <c r="D104" s="8">
        <f t="shared" si="0"/>
        <v>0.63692782281939919</v>
      </c>
      <c r="E104" s="8"/>
      <c r="F104" s="8"/>
    </row>
    <row r="105" spans="1:6" x14ac:dyDescent="0.25">
      <c r="A105" s="8" t="s">
        <v>3872</v>
      </c>
      <c r="B105" s="8">
        <v>672094977361.76001</v>
      </c>
      <c r="C105" s="8">
        <v>676241391148.27002</v>
      </c>
      <c r="D105" s="8">
        <f t="shared" si="0"/>
        <v>0.61693866583951162</v>
      </c>
      <c r="E105" s="8"/>
      <c r="F105" s="8"/>
    </row>
    <row r="106" spans="1:6" x14ac:dyDescent="0.25">
      <c r="A106" s="8" t="s">
        <v>1616</v>
      </c>
      <c r="B106" s="8">
        <v>483082394497.29993</v>
      </c>
      <c r="C106" s="8">
        <v>486024822999.60004</v>
      </c>
      <c r="D106" s="8">
        <f t="shared" si="0"/>
        <v>0.60909454283922493</v>
      </c>
      <c r="E106" s="8"/>
      <c r="F106" s="8"/>
    </row>
    <row r="107" spans="1:6" x14ac:dyDescent="0.25">
      <c r="A107" s="8" t="s">
        <v>659</v>
      </c>
      <c r="B107" s="8">
        <v>90460499420.449997</v>
      </c>
      <c r="C107" s="8">
        <v>90910966255</v>
      </c>
      <c r="D107" s="8">
        <f t="shared" si="0"/>
        <v>0.49797075788437228</v>
      </c>
      <c r="E107" s="8"/>
      <c r="F107" s="8"/>
    </row>
    <row r="108" spans="1:6" x14ac:dyDescent="0.25">
      <c r="A108" s="8" t="s">
        <v>858</v>
      </c>
      <c r="B108" s="8">
        <v>3443478263992.5503</v>
      </c>
      <c r="C108" s="8">
        <v>3459462818271.2593</v>
      </c>
      <c r="D108" s="8">
        <f t="shared" si="0"/>
        <v>0.46419791423848428</v>
      </c>
      <c r="E108" s="8"/>
      <c r="F108" s="8"/>
    </row>
    <row r="109" spans="1:6" x14ac:dyDescent="0.25">
      <c r="A109" s="8" t="s">
        <v>324</v>
      </c>
      <c r="B109" s="8">
        <v>301082247740.19995</v>
      </c>
      <c r="C109" s="8">
        <v>302091475356.59998</v>
      </c>
      <c r="D109" s="8">
        <f t="shared" si="0"/>
        <v>0.33519997408511248</v>
      </c>
      <c r="E109" s="8"/>
      <c r="F109" s="8"/>
    </row>
    <row r="110" spans="1:6" x14ac:dyDescent="0.25">
      <c r="A110" s="8" t="s">
        <v>3361</v>
      </c>
      <c r="B110" s="8">
        <v>140978094014.75</v>
      </c>
      <c r="C110" s="8">
        <v>141427212620.79999</v>
      </c>
      <c r="D110" s="8">
        <f t="shared" si="0"/>
        <v>0.31857332813919176</v>
      </c>
      <c r="E110" s="8"/>
      <c r="F110" s="8"/>
    </row>
    <row r="111" spans="1:6" x14ac:dyDescent="0.25">
      <c r="A111" s="8" t="s">
        <v>1563</v>
      </c>
      <c r="B111" s="8">
        <v>40544889640.600006</v>
      </c>
      <c r="C111" s="8">
        <v>40562933647.699997</v>
      </c>
      <c r="D111" s="8">
        <f t="shared" si="0"/>
        <v>4.4503776579335678E-2</v>
      </c>
      <c r="E111" s="8"/>
      <c r="F111" s="8"/>
    </row>
    <row r="112" spans="1:6" x14ac:dyDescent="0.25">
      <c r="A112" s="8" t="s">
        <v>3814</v>
      </c>
      <c r="B112" s="8">
        <v>3687286911.6000004</v>
      </c>
      <c r="C112" s="8">
        <v>3676446142.5999999</v>
      </c>
      <c r="D112" s="8">
        <f t="shared" si="0"/>
        <v>-0.29400394544552577</v>
      </c>
      <c r="E112" s="8"/>
      <c r="F112" s="8"/>
    </row>
    <row r="113" spans="1:6" x14ac:dyDescent="0.25">
      <c r="A113" s="8" t="s">
        <v>376</v>
      </c>
      <c r="B113" s="8">
        <v>4273157308856.5405</v>
      </c>
      <c r="C113" s="8">
        <v>4256061760754.8999</v>
      </c>
      <c r="D113" s="8">
        <f t="shared" si="0"/>
        <v>-0.40006830701524643</v>
      </c>
      <c r="E113" s="8"/>
      <c r="F113" s="8"/>
    </row>
    <row r="114" spans="1:6" x14ac:dyDescent="0.25">
      <c r="A114" s="8" t="s">
        <v>3744</v>
      </c>
      <c r="B114" s="8">
        <v>1014441395489.6097</v>
      </c>
      <c r="C114" s="8">
        <v>1010304903861.4302</v>
      </c>
      <c r="D114" s="8">
        <f t="shared" si="0"/>
        <v>-0.40776053171441512</v>
      </c>
      <c r="E114" s="8"/>
      <c r="F114" s="8"/>
    </row>
    <row r="115" spans="1:6" x14ac:dyDescent="0.25">
      <c r="A115" s="8" t="s">
        <v>2286</v>
      </c>
      <c r="B115" s="8">
        <v>551611705040.7699</v>
      </c>
      <c r="C115" s="8">
        <v>547759486675.36011</v>
      </c>
      <c r="D115" s="8">
        <f t="shared" si="0"/>
        <v>-0.69835689312014704</v>
      </c>
      <c r="E115" s="8"/>
      <c r="F115" s="8"/>
    </row>
    <row r="116" spans="1:6" x14ac:dyDescent="0.25">
      <c r="A116" s="8" t="s">
        <v>3918</v>
      </c>
      <c r="B116" s="8">
        <v>52190691292.960007</v>
      </c>
      <c r="C116" s="8">
        <v>51819921422.480003</v>
      </c>
      <c r="D116" s="8">
        <f t="shared" si="0"/>
        <v>-0.71041379467226262</v>
      </c>
      <c r="E116" s="8"/>
      <c r="F116" s="8"/>
    </row>
    <row r="117" spans="1:6" x14ac:dyDescent="0.25">
      <c r="A117" s="8" t="s">
        <v>2671</v>
      </c>
      <c r="B117" s="8">
        <v>246652440994.62</v>
      </c>
      <c r="C117" s="8">
        <v>244865901089.76999</v>
      </c>
      <c r="D117" s="8">
        <f t="shared" si="0"/>
        <v>-0.72431470681815557</v>
      </c>
      <c r="E117" s="8"/>
      <c r="F117" s="8"/>
    </row>
    <row r="118" spans="1:6" x14ac:dyDescent="0.25">
      <c r="A118" s="8" t="s">
        <v>2929</v>
      </c>
      <c r="B118" s="8">
        <v>399189286000.42999</v>
      </c>
      <c r="C118" s="8">
        <v>396286819607.78992</v>
      </c>
      <c r="D118" s="8">
        <f t="shared" si="0"/>
        <v>-0.7270902537792433</v>
      </c>
      <c r="E118" s="8"/>
      <c r="F118" s="8"/>
    </row>
    <row r="119" spans="1:6" x14ac:dyDescent="0.25">
      <c r="A119" s="8" t="s">
        <v>3262</v>
      </c>
      <c r="B119" s="8">
        <v>4756996289312.6494</v>
      </c>
      <c r="C119" s="8">
        <v>4718870629719.9004</v>
      </c>
      <c r="D119" s="8">
        <f t="shared" si="0"/>
        <v>-0.80146498491925244</v>
      </c>
      <c r="E119" s="8"/>
      <c r="F119" s="8"/>
    </row>
    <row r="120" spans="1:6" x14ac:dyDescent="0.25">
      <c r="A120" s="8" t="s">
        <v>3652</v>
      </c>
      <c r="B120" s="8">
        <v>103881952863.78</v>
      </c>
      <c r="C120" s="8">
        <v>103006676322.87999</v>
      </c>
      <c r="D120" s="8">
        <f t="shared" si="0"/>
        <v>-0.8425684315424411</v>
      </c>
      <c r="E120" s="8"/>
      <c r="F120" s="8"/>
    </row>
    <row r="121" spans="1:6" x14ac:dyDescent="0.25">
      <c r="A121" s="8" t="s">
        <v>56</v>
      </c>
      <c r="B121" s="8">
        <v>9917081763.6299992</v>
      </c>
      <c r="C121" s="8">
        <v>9826005711.2900028</v>
      </c>
      <c r="D121" s="8">
        <f t="shared" si="0"/>
        <v>-0.91837553133835725</v>
      </c>
      <c r="E121" s="8"/>
      <c r="F121" s="8"/>
    </row>
    <row r="122" spans="1:6" x14ac:dyDescent="0.25">
      <c r="A122" s="8" t="s">
        <v>2261</v>
      </c>
      <c r="B122" s="8">
        <v>53484814718.049988</v>
      </c>
      <c r="C122" s="8">
        <v>52977157352.150002</v>
      </c>
      <c r="D122" s="8">
        <f t="shared" si="0"/>
        <v>-0.94916167995747536</v>
      </c>
      <c r="E122" s="8"/>
      <c r="F122" s="8"/>
    </row>
    <row r="123" spans="1:6" x14ac:dyDescent="0.25">
      <c r="A123" s="8" t="s">
        <v>3883</v>
      </c>
      <c r="B123" s="8">
        <v>376832346157.65002</v>
      </c>
      <c r="C123" s="8">
        <v>372498490744.65002</v>
      </c>
      <c r="D123" s="8">
        <f t="shared" si="0"/>
        <v>-1.1500752143996964</v>
      </c>
      <c r="E123" s="8"/>
      <c r="F123" s="8"/>
    </row>
    <row r="124" spans="1:6" x14ac:dyDescent="0.25">
      <c r="A124" s="8" t="s">
        <v>1064</v>
      </c>
      <c r="B124" s="8">
        <v>1038730079223.62</v>
      </c>
      <c r="C124" s="8">
        <v>1024718912823.83</v>
      </c>
      <c r="D124" s="8">
        <f t="shared" si="0"/>
        <v>-1.3488746191178398</v>
      </c>
      <c r="E124" s="8"/>
      <c r="F124" s="8"/>
    </row>
    <row r="125" spans="1:6" x14ac:dyDescent="0.25">
      <c r="A125" s="8" t="s">
        <v>3023</v>
      </c>
      <c r="B125" s="8">
        <v>65390737839.740005</v>
      </c>
      <c r="C125" s="8">
        <v>64472812879.090004</v>
      </c>
      <c r="D125" s="8">
        <f t="shared" si="0"/>
        <v>-1.403753789871063</v>
      </c>
      <c r="E125" s="8"/>
      <c r="F125" s="8"/>
    </row>
    <row r="126" spans="1:6" x14ac:dyDescent="0.25">
      <c r="A126" s="8" t="s">
        <v>3611</v>
      </c>
      <c r="B126" s="8">
        <v>183139725681.01001</v>
      </c>
      <c r="C126" s="8">
        <v>180418253622.70001</v>
      </c>
      <c r="D126" s="8">
        <f t="shared" si="0"/>
        <v>-1.4860085916314061</v>
      </c>
      <c r="E126" s="8"/>
      <c r="F126" s="8"/>
    </row>
    <row r="127" spans="1:6" x14ac:dyDescent="0.25">
      <c r="A127" s="8" t="s">
        <v>1970</v>
      </c>
      <c r="B127" s="8">
        <v>725766044854.25</v>
      </c>
      <c r="C127" s="8">
        <v>714473793541</v>
      </c>
      <c r="D127" s="8">
        <f t="shared" si="0"/>
        <v>-1.5559079118282166</v>
      </c>
      <c r="E127" s="8"/>
      <c r="F127" s="8"/>
    </row>
    <row r="128" spans="1:6" x14ac:dyDescent="0.25">
      <c r="A128" s="8" t="s">
        <v>110</v>
      </c>
      <c r="B128" s="8">
        <v>435136315953.06995</v>
      </c>
      <c r="C128" s="8">
        <v>428025554250.78992</v>
      </c>
      <c r="D128" s="8">
        <f t="shared" si="0"/>
        <v>-1.6341457703215319</v>
      </c>
      <c r="E128" s="8"/>
      <c r="F128" s="8"/>
    </row>
    <row r="129" spans="1:6" x14ac:dyDescent="0.25">
      <c r="A129" s="8" t="s">
        <v>1171</v>
      </c>
      <c r="B129" s="8">
        <v>670651829167.73999</v>
      </c>
      <c r="C129" s="8">
        <v>659309438534.15027</v>
      </c>
      <c r="D129" s="8">
        <f t="shared" si="0"/>
        <v>-1.6912487434300012</v>
      </c>
      <c r="E129" s="8"/>
      <c r="F129" s="8"/>
    </row>
    <row r="130" spans="1:6" x14ac:dyDescent="0.25">
      <c r="A130" s="8" t="s">
        <v>2346</v>
      </c>
      <c r="B130" s="8">
        <v>32209393729.32</v>
      </c>
      <c r="C130" s="8">
        <v>31654552519</v>
      </c>
      <c r="D130" s="8">
        <f t="shared" si="0"/>
        <v>-1.7226068114872071</v>
      </c>
      <c r="E130" s="8"/>
      <c r="F130" s="8"/>
    </row>
    <row r="131" spans="1:6" x14ac:dyDescent="0.25">
      <c r="A131" s="8" t="s">
        <v>15</v>
      </c>
      <c r="B131" s="8">
        <v>11455589338763.094</v>
      </c>
      <c r="C131" s="8">
        <v>11247255249457.533</v>
      </c>
      <c r="D131" s="8">
        <f t="shared" si="0"/>
        <v>-1.8186239323419673</v>
      </c>
      <c r="E131" s="8"/>
      <c r="F131" s="8"/>
    </row>
    <row r="132" spans="1:6" x14ac:dyDescent="0.25">
      <c r="A132" s="8" t="s">
        <v>1868</v>
      </c>
      <c r="B132" s="8">
        <v>5305642875051.0186</v>
      </c>
      <c r="C132" s="8">
        <v>5198774117094.8691</v>
      </c>
      <c r="D132" s="8">
        <f t="shared" si="0"/>
        <v>-2.0142471039406655</v>
      </c>
      <c r="E132" s="8"/>
      <c r="F132" s="8"/>
    </row>
    <row r="133" spans="1:6" x14ac:dyDescent="0.25">
      <c r="A133" s="8" t="s">
        <v>2681</v>
      </c>
      <c r="B133" s="8">
        <v>367800832914.55005</v>
      </c>
      <c r="C133" s="8">
        <v>360156684701.61005</v>
      </c>
      <c r="D133" s="8">
        <f t="shared" si="0"/>
        <v>-2.0783390163545232</v>
      </c>
      <c r="E133" s="8"/>
      <c r="F133" s="8"/>
    </row>
    <row r="134" spans="1:6" x14ac:dyDescent="0.25">
      <c r="A134" s="8" t="s">
        <v>807</v>
      </c>
      <c r="B134" s="8">
        <v>3254256055100.4604</v>
      </c>
      <c r="C134" s="8">
        <v>3183440116969.77</v>
      </c>
      <c r="D134" s="8">
        <f t="shared" si="0"/>
        <v>-2.1761022160410275</v>
      </c>
      <c r="E134" s="8"/>
      <c r="F134" s="8"/>
    </row>
    <row r="135" spans="1:6" x14ac:dyDescent="0.25">
      <c r="A135" s="8" t="s">
        <v>206</v>
      </c>
      <c r="B135" s="8">
        <v>1141894661323.5999</v>
      </c>
      <c r="C135" s="8">
        <v>1115327258328.95</v>
      </c>
      <c r="D135" s="8">
        <f t="shared" si="0"/>
        <v>-2.326607163909054</v>
      </c>
      <c r="E135" s="8"/>
      <c r="F135" s="8"/>
    </row>
    <row r="136" spans="1:6" x14ac:dyDescent="0.25">
      <c r="A136" s="8" t="s">
        <v>677</v>
      </c>
      <c r="B136" s="8">
        <v>276205080953.15002</v>
      </c>
      <c r="C136" s="8">
        <v>269547844380.39999</v>
      </c>
      <c r="D136" s="8">
        <f t="shared" si="0"/>
        <v>-2.4102513066655833</v>
      </c>
      <c r="E136" s="8"/>
      <c r="F136" s="8"/>
    </row>
    <row r="137" spans="1:6" x14ac:dyDescent="0.25">
      <c r="A137" s="8" t="s">
        <v>13</v>
      </c>
      <c r="B137" s="8">
        <v>8334583758021.2129</v>
      </c>
      <c r="C137" s="8">
        <v>8132585167988.2813</v>
      </c>
      <c r="D137" s="8">
        <f t="shared" si="0"/>
        <v>-2.4236194139692695</v>
      </c>
      <c r="E137" s="8"/>
      <c r="F137" s="8"/>
    </row>
    <row r="138" spans="1:6" x14ac:dyDescent="0.25">
      <c r="A138" s="8" t="s">
        <v>356</v>
      </c>
      <c r="B138" s="8">
        <v>2958836161648.6597</v>
      </c>
      <c r="C138" s="8">
        <v>2887093421382.9399</v>
      </c>
      <c r="D138" s="8">
        <f t="shared" si="0"/>
        <v>-2.4246945875416355</v>
      </c>
      <c r="E138" s="8"/>
      <c r="F138" s="8"/>
    </row>
    <row r="139" spans="1:6" x14ac:dyDescent="0.25">
      <c r="A139" s="8" t="s">
        <v>3402</v>
      </c>
      <c r="B139" s="8">
        <v>6117667654950.999</v>
      </c>
      <c r="C139" s="8">
        <v>5967172000383.6504</v>
      </c>
      <c r="D139" s="8">
        <f t="shared" si="0"/>
        <v>-2.4600168406590903</v>
      </c>
      <c r="E139" s="8"/>
      <c r="F139" s="8"/>
    </row>
    <row r="140" spans="1:6" x14ac:dyDescent="0.25">
      <c r="A140" s="8" t="s">
        <v>3475</v>
      </c>
      <c r="B140" s="8">
        <v>9004975186270.4199</v>
      </c>
      <c r="C140" s="8">
        <v>8778704285554.293</v>
      </c>
      <c r="D140" s="8">
        <f t="shared" si="0"/>
        <v>-2.5127320846049028</v>
      </c>
      <c r="E140" s="8"/>
      <c r="F140" s="8"/>
    </row>
    <row r="141" spans="1:6" x14ac:dyDescent="0.25">
      <c r="A141" s="8" t="s">
        <v>9</v>
      </c>
      <c r="B141" s="8">
        <v>3133493220932.21</v>
      </c>
      <c r="C141" s="8">
        <v>3047866945643.8599</v>
      </c>
      <c r="D141" s="8">
        <f t="shared" si="0"/>
        <v>-2.7326140269381658</v>
      </c>
      <c r="E141" s="8"/>
      <c r="F141" s="8"/>
    </row>
    <row r="142" spans="1:6" x14ac:dyDescent="0.25">
      <c r="A142" s="8" t="s">
        <v>3110</v>
      </c>
      <c r="B142" s="8">
        <v>1383060778954.45</v>
      </c>
      <c r="C142" s="8">
        <v>1340485342838.7305</v>
      </c>
      <c r="D142" s="8">
        <f t="shared" si="0"/>
        <v>-3.0783488884635397</v>
      </c>
      <c r="E142" s="8"/>
      <c r="F142" s="8"/>
    </row>
    <row r="143" spans="1:6" x14ac:dyDescent="0.25">
      <c r="A143" s="8" t="s">
        <v>1271</v>
      </c>
      <c r="B143" s="8">
        <v>1038602536653.85</v>
      </c>
      <c r="C143" s="8">
        <v>1003649045300.8501</v>
      </c>
      <c r="D143" s="8">
        <f t="shared" si="0"/>
        <v>-3.365434814516473</v>
      </c>
      <c r="E143" s="8"/>
      <c r="F143" s="8"/>
    </row>
    <row r="144" spans="1:6" x14ac:dyDescent="0.25">
      <c r="A144" s="8" t="s">
        <v>3900</v>
      </c>
      <c r="B144" s="8">
        <v>207454021865.10001</v>
      </c>
      <c r="C144" s="8">
        <v>200464793751.5</v>
      </c>
      <c r="D144" s="8">
        <f t="shared" si="0"/>
        <v>-3.3690492239021776</v>
      </c>
      <c r="E144" s="8"/>
      <c r="F144" s="8"/>
    </row>
    <row r="145" spans="1:6" x14ac:dyDescent="0.25">
      <c r="A145" s="8" t="s">
        <v>3501</v>
      </c>
      <c r="B145" s="8">
        <v>22980576118.25</v>
      </c>
      <c r="C145" s="8">
        <v>22191759619.75</v>
      </c>
      <c r="D145" s="8">
        <f t="shared" si="0"/>
        <v>-3.4325357834417489</v>
      </c>
      <c r="E145" s="8"/>
      <c r="F145" s="8"/>
    </row>
    <row r="146" spans="1:6" x14ac:dyDescent="0.25">
      <c r="A146" s="8" t="s">
        <v>959</v>
      </c>
      <c r="B146" s="8">
        <v>221522776022.89999</v>
      </c>
      <c r="C146" s="8">
        <v>213495680918.84998</v>
      </c>
      <c r="D146" s="8">
        <f t="shared" si="0"/>
        <v>-3.6235981004590765</v>
      </c>
      <c r="E146" s="8"/>
      <c r="F146" s="8"/>
    </row>
    <row r="147" spans="1:6" x14ac:dyDescent="0.25">
      <c r="A147" s="8" t="s">
        <v>4094</v>
      </c>
      <c r="B147" s="8">
        <v>32009649583.479996</v>
      </c>
      <c r="C147" s="8">
        <v>30730374394.129997</v>
      </c>
      <c r="D147" s="8">
        <f t="shared" si="0"/>
        <v>-3.9965298152161757</v>
      </c>
      <c r="E147" s="8"/>
      <c r="F147" s="8"/>
    </row>
    <row r="148" spans="1:6" x14ac:dyDescent="0.25">
      <c r="A148" s="8" t="s">
        <v>935</v>
      </c>
      <c r="B148" s="8">
        <v>3612546265997</v>
      </c>
      <c r="C148" s="8">
        <v>3464593190249.6001</v>
      </c>
      <c r="D148" s="8">
        <f t="shared" si="0"/>
        <v>-4.095534419586663</v>
      </c>
      <c r="E148" s="8"/>
      <c r="F148" s="8"/>
    </row>
    <row r="149" spans="1:6" x14ac:dyDescent="0.25">
      <c r="A149" s="8" t="s">
        <v>3867</v>
      </c>
      <c r="B149" s="8">
        <v>4763258184.2999992</v>
      </c>
      <c r="C149" s="8">
        <v>4562887890</v>
      </c>
      <c r="D149" s="8">
        <f t="shared" si="0"/>
        <v>-4.2065805914202263</v>
      </c>
      <c r="E149" s="8"/>
      <c r="F149" s="8"/>
    </row>
    <row r="150" spans="1:6" x14ac:dyDescent="0.25">
      <c r="A150" s="8" t="s">
        <v>3190</v>
      </c>
      <c r="B150" s="8">
        <v>107378766809.20001</v>
      </c>
      <c r="C150" s="8">
        <v>102809502007.14999</v>
      </c>
      <c r="D150" s="8">
        <f t="shared" si="0"/>
        <v>-4.2552777777464028</v>
      </c>
      <c r="E150" s="8"/>
      <c r="F150" s="8"/>
    </row>
    <row r="151" spans="1:6" x14ac:dyDescent="0.25">
      <c r="A151" s="8" t="s">
        <v>3707</v>
      </c>
      <c r="B151" s="8">
        <v>184201348743.75</v>
      </c>
      <c r="C151" s="8">
        <v>176165225362</v>
      </c>
      <c r="D151" s="8">
        <f t="shared" si="0"/>
        <v>-4.3626843324200513</v>
      </c>
      <c r="E151" s="8"/>
      <c r="F151" s="8"/>
    </row>
    <row r="152" spans="1:6" x14ac:dyDescent="0.25">
      <c r="A152" s="8" t="s">
        <v>1001</v>
      </c>
      <c r="B152" s="8">
        <v>659438986884.34998</v>
      </c>
      <c r="C152" s="8">
        <v>629475237939.8999</v>
      </c>
      <c r="D152" s="8">
        <f t="shared" si="0"/>
        <v>-4.5438243022329834</v>
      </c>
      <c r="E152" s="8"/>
      <c r="F152" s="8"/>
    </row>
    <row r="153" spans="1:6" x14ac:dyDescent="0.25">
      <c r="A153" s="8" t="s">
        <v>2522</v>
      </c>
      <c r="B153" s="8">
        <v>288004047092.69995</v>
      </c>
      <c r="C153" s="8">
        <v>274868478009.84998</v>
      </c>
      <c r="D153" s="8">
        <f t="shared" si="0"/>
        <v>-4.5608973955223711</v>
      </c>
      <c r="E153" s="8"/>
      <c r="F153" s="8"/>
    </row>
    <row r="154" spans="1:6" x14ac:dyDescent="0.25">
      <c r="A154" s="8" t="s">
        <v>3209</v>
      </c>
      <c r="B154" s="8">
        <v>346096073599.3299</v>
      </c>
      <c r="C154" s="8">
        <v>329887928210.71997</v>
      </c>
      <c r="D154" s="8">
        <f t="shared" si="0"/>
        <v>-4.6831347203822506</v>
      </c>
      <c r="E154" s="8"/>
      <c r="F154" s="8"/>
    </row>
    <row r="155" spans="1:6" x14ac:dyDescent="0.25">
      <c r="A155" s="8" t="s">
        <v>2627</v>
      </c>
      <c r="B155" s="8">
        <v>462049606659.98993</v>
      </c>
      <c r="C155" s="8">
        <v>439473620501.41003</v>
      </c>
      <c r="D155" s="8">
        <f t="shared" si="0"/>
        <v>-4.8860524569590131</v>
      </c>
      <c r="E155" s="8"/>
      <c r="F155" s="8"/>
    </row>
    <row r="156" spans="1:6" x14ac:dyDescent="0.25">
      <c r="A156" s="8" t="s">
        <v>41</v>
      </c>
      <c r="B156" s="8">
        <v>408613390179.59998</v>
      </c>
      <c r="C156" s="8">
        <v>388410784699.79999</v>
      </c>
      <c r="D156" s="8">
        <f t="shared" si="0"/>
        <v>-4.9441858650105006</v>
      </c>
      <c r="E156" s="8"/>
      <c r="F156" s="8"/>
    </row>
    <row r="157" spans="1:6" x14ac:dyDescent="0.25">
      <c r="A157" s="8" t="s">
        <v>3974</v>
      </c>
      <c r="B157" s="8">
        <v>250834083725.00003</v>
      </c>
      <c r="C157" s="8">
        <v>238166648738.20001</v>
      </c>
      <c r="D157" s="8">
        <f t="shared" si="0"/>
        <v>-5.0501250861457336</v>
      </c>
      <c r="E157" s="8"/>
      <c r="F157" s="8"/>
    </row>
    <row r="158" spans="1:6" x14ac:dyDescent="0.25">
      <c r="A158" s="8" t="s">
        <v>876</v>
      </c>
      <c r="B158" s="8">
        <v>1032109965.2</v>
      </c>
      <c r="C158" s="8">
        <v>976849153.95000005</v>
      </c>
      <c r="D158" s="8">
        <f t="shared" si="0"/>
        <v>-5.3541592575643504</v>
      </c>
      <c r="E158" s="8"/>
      <c r="F158" s="8"/>
    </row>
    <row r="159" spans="1:6" x14ac:dyDescent="0.25">
      <c r="A159" s="8" t="s">
        <v>3140</v>
      </c>
      <c r="B159" s="8">
        <v>2856944375639.4702</v>
      </c>
      <c r="C159" s="8">
        <v>2701292479057.1499</v>
      </c>
      <c r="D159" s="8">
        <f t="shared" si="0"/>
        <v>-5.4481948584483986</v>
      </c>
      <c r="E159" s="8"/>
      <c r="F159" s="8"/>
    </row>
    <row r="160" spans="1:6" x14ac:dyDescent="0.25">
      <c r="A160" s="8" t="s">
        <v>4111</v>
      </c>
      <c r="B160" s="8">
        <v>42704601172.519997</v>
      </c>
      <c r="C160" s="8">
        <v>40361794170.720001</v>
      </c>
      <c r="D160" s="8">
        <f t="shared" si="0"/>
        <v>-5.4860762950001964</v>
      </c>
      <c r="E160" s="8"/>
      <c r="F160" s="8"/>
    </row>
    <row r="161" spans="1:7" x14ac:dyDescent="0.25">
      <c r="A161" s="8" t="s">
        <v>668</v>
      </c>
      <c r="B161" s="8">
        <v>76858453082.550003</v>
      </c>
      <c r="C161" s="8">
        <v>72143984500.649994</v>
      </c>
      <c r="D161" s="8">
        <f t="shared" si="0"/>
        <v>-6.1339623591388479</v>
      </c>
      <c r="E161" s="8"/>
      <c r="F161" s="8"/>
    </row>
    <row r="162" spans="1:7" x14ac:dyDescent="0.25">
      <c r="A162" s="8" t="s">
        <v>711</v>
      </c>
      <c r="B162" s="8">
        <v>419934532121.65002</v>
      </c>
      <c r="C162" s="8">
        <v>391829074537.85004</v>
      </c>
      <c r="D162" s="8">
        <f t="shared" si="0"/>
        <v>-6.6928188643600697</v>
      </c>
      <c r="E162" s="8"/>
      <c r="F162" s="8"/>
    </row>
    <row r="163" spans="1:7" x14ac:dyDescent="0.25">
      <c r="A163" s="8" t="s">
        <v>166</v>
      </c>
      <c r="B163" s="8">
        <v>514768654872.65002</v>
      </c>
      <c r="C163" s="8">
        <v>479210617083.44995</v>
      </c>
      <c r="D163" s="8">
        <f t="shared" si="0"/>
        <v>-6.907576336013868</v>
      </c>
      <c r="E163" s="8"/>
      <c r="F163" s="8"/>
    </row>
    <row r="164" spans="1:7" x14ac:dyDescent="0.25">
      <c r="A164" s="8" t="s">
        <v>1633</v>
      </c>
      <c r="B164" s="8">
        <v>1350353554586.46</v>
      </c>
      <c r="C164" s="8">
        <v>1255855029254.0903</v>
      </c>
      <c r="D164" s="8">
        <f t="shared" si="0"/>
        <v>-6.9980580279443485</v>
      </c>
      <c r="E164" s="8"/>
      <c r="F164" s="8"/>
    </row>
    <row r="165" spans="1:7" x14ac:dyDescent="0.25">
      <c r="A165" s="8" t="s">
        <v>67</v>
      </c>
      <c r="B165" s="8">
        <v>898118587152.79993</v>
      </c>
      <c r="C165" s="8">
        <v>833427857599.8501</v>
      </c>
      <c r="D165" s="8">
        <f t="shared" si="0"/>
        <v>-7.2029162382699674</v>
      </c>
      <c r="E165" s="8"/>
      <c r="F165" s="8"/>
    </row>
    <row r="166" spans="1:7" x14ac:dyDescent="0.25">
      <c r="A166" s="8" t="s">
        <v>1807</v>
      </c>
      <c r="B166" s="8">
        <v>1440370298236.9998</v>
      </c>
      <c r="C166" s="8">
        <v>1336358129396.1001</v>
      </c>
      <c r="D166" s="8">
        <f t="shared" si="0"/>
        <v>-7.2212103351623966</v>
      </c>
      <c r="E166" s="69" t="s">
        <v>4499</v>
      </c>
      <c r="F166" s="67"/>
      <c r="G166" s="67"/>
    </row>
    <row r="167" spans="1:7" x14ac:dyDescent="0.25">
      <c r="A167" s="8" t="s">
        <v>1501</v>
      </c>
      <c r="B167" s="8">
        <v>858450692189.49988</v>
      </c>
      <c r="C167" s="8">
        <v>795733094526.19995</v>
      </c>
      <c r="D167" s="8">
        <f t="shared" si="0"/>
        <v>-7.3059056546785612</v>
      </c>
      <c r="E167" s="8"/>
      <c r="F167" s="8"/>
    </row>
    <row r="168" spans="1:7" x14ac:dyDescent="0.25">
      <c r="A168" s="8" t="s">
        <v>2834</v>
      </c>
      <c r="B168" s="8">
        <v>29543255232.5</v>
      </c>
      <c r="C168" s="8">
        <v>27372857538</v>
      </c>
      <c r="D168" s="8">
        <f t="shared" si="0"/>
        <v>-7.3465082890134079</v>
      </c>
      <c r="E168" s="8"/>
      <c r="F168" s="8"/>
    </row>
    <row r="169" spans="1:7" x14ac:dyDescent="0.25">
      <c r="A169" s="8" t="s">
        <v>1598</v>
      </c>
      <c r="B169" s="8">
        <v>1515868825725.49</v>
      </c>
      <c r="C169" s="8">
        <v>1402948449592.03</v>
      </c>
      <c r="D169" s="8">
        <f t="shared" si="0"/>
        <v>-7.449218178849784</v>
      </c>
      <c r="E169" s="8"/>
      <c r="F169" s="8"/>
    </row>
    <row r="170" spans="1:7" x14ac:dyDescent="0.25">
      <c r="A170" s="8" t="s">
        <v>2567</v>
      </c>
      <c r="B170" s="8">
        <v>124795470042</v>
      </c>
      <c r="C170" s="8">
        <v>115119787943.99998</v>
      </c>
      <c r="D170" s="8">
        <f t="shared" si="0"/>
        <v>-7.7532318238343567</v>
      </c>
      <c r="E170" s="8"/>
      <c r="F170" s="8"/>
    </row>
    <row r="171" spans="1:7" x14ac:dyDescent="0.25">
      <c r="A171" s="8" t="s">
        <v>3672</v>
      </c>
      <c r="B171" s="8">
        <v>10380166655.700001</v>
      </c>
      <c r="C171" s="8">
        <v>9477850243.7999992</v>
      </c>
      <c r="D171" s="8">
        <f t="shared" si="0"/>
        <v>-8.6926967728838704</v>
      </c>
      <c r="E171" s="8"/>
      <c r="F171" s="8"/>
    </row>
    <row r="172" spans="1:7" x14ac:dyDescent="0.25">
      <c r="A172" s="8" t="s">
        <v>4128</v>
      </c>
      <c r="B172" s="8">
        <v>21310162500</v>
      </c>
      <c r="C172" s="8">
        <v>19246287500</v>
      </c>
      <c r="D172" s="8">
        <f t="shared" si="0"/>
        <v>-9.6849331862204231</v>
      </c>
      <c r="E172" s="8"/>
      <c r="F172" s="8"/>
    </row>
    <row r="173" spans="1:7" x14ac:dyDescent="0.25">
      <c r="A173" s="8" t="s">
        <v>4033</v>
      </c>
      <c r="B173" s="8">
        <v>5588537958893.6504</v>
      </c>
      <c r="C173" s="8">
        <v>5038632354787.5498</v>
      </c>
      <c r="D173" s="8">
        <f t="shared" si="0"/>
        <v>-9.8398831349257598</v>
      </c>
      <c r="E173" s="8"/>
      <c r="F173" s="8"/>
    </row>
    <row r="174" spans="1:7" x14ac:dyDescent="0.25">
      <c r="A174" s="8" t="s">
        <v>4133</v>
      </c>
      <c r="B174" s="8">
        <v>3172569321.5999999</v>
      </c>
      <c r="C174" s="8">
        <v>2828337498</v>
      </c>
      <c r="D174" s="8">
        <f t="shared" si="0"/>
        <v>-10.850253807106597</v>
      </c>
      <c r="E174" s="8"/>
      <c r="F174" s="8"/>
    </row>
    <row r="175" spans="1:7" x14ac:dyDescent="0.25">
      <c r="A175" s="8" t="s">
        <v>3232</v>
      </c>
      <c r="B175" s="8">
        <v>1517967877174.4702</v>
      </c>
      <c r="C175" s="8">
        <v>1347511302621.8699</v>
      </c>
      <c r="D175" s="8">
        <f t="shared" si="0"/>
        <v>-11.229260982115541</v>
      </c>
      <c r="E175" s="8"/>
      <c r="F175" s="8"/>
    </row>
    <row r="176" spans="1:7" x14ac:dyDescent="0.25">
      <c r="A176" s="8" t="s">
        <v>52</v>
      </c>
      <c r="B176" s="8">
        <v>592975794938.78003</v>
      </c>
      <c r="C176" s="8">
        <v>515458040499.03998</v>
      </c>
      <c r="D176" s="8">
        <f t="shared" si="0"/>
        <v>-13.072667569465146</v>
      </c>
      <c r="E176" s="8"/>
      <c r="F176" s="8"/>
    </row>
    <row r="177" spans="1:6" x14ac:dyDescent="0.25">
      <c r="A177" s="8" t="s">
        <v>3519</v>
      </c>
      <c r="B177" s="8">
        <v>8142468910.5</v>
      </c>
      <c r="C177" s="8">
        <v>6905094232.2000008</v>
      </c>
      <c r="D177" s="8">
        <f t="shared" si="0"/>
        <v>-15.196553918730485</v>
      </c>
      <c r="E177" s="8"/>
      <c r="F177" s="8"/>
    </row>
    <row r="178" spans="1:6" x14ac:dyDescent="0.25">
      <c r="A178" s="8" t="s">
        <v>3847</v>
      </c>
      <c r="B178" s="8">
        <v>1116743477220.7</v>
      </c>
      <c r="C178" s="8">
        <v>939161909611.5</v>
      </c>
      <c r="D178" s="8">
        <f t="shared" si="0"/>
        <v>-15.901733140287226</v>
      </c>
      <c r="E178" s="8"/>
      <c r="F178" s="8"/>
    </row>
    <row r="179" spans="1:6" x14ac:dyDescent="0.25">
      <c r="A179" s="8"/>
      <c r="B179" s="8"/>
      <c r="C179" s="8"/>
      <c r="D179" s="8"/>
      <c r="E179" s="8"/>
      <c r="F179" s="8"/>
    </row>
    <row r="180" spans="1:6" x14ac:dyDescent="0.25">
      <c r="A180" s="8"/>
      <c r="B180" s="8"/>
      <c r="C180" s="8"/>
      <c r="D180" s="8"/>
      <c r="E180" s="8"/>
      <c r="F180" s="8"/>
    </row>
    <row r="181" spans="1:6" x14ac:dyDescent="0.25">
      <c r="A181" s="8"/>
      <c r="B181" s="8"/>
      <c r="C181" s="8"/>
      <c r="D181" s="8"/>
      <c r="E181" s="8"/>
      <c r="F181" s="8"/>
    </row>
    <row r="182" spans="1:6" x14ac:dyDescent="0.25">
      <c r="A182" s="8"/>
      <c r="B182" s="8"/>
      <c r="C182" s="8"/>
      <c r="D182" s="8"/>
      <c r="E182" s="8"/>
      <c r="F182" s="8"/>
    </row>
    <row r="183" spans="1:6" x14ac:dyDescent="0.25">
      <c r="A183" s="8"/>
      <c r="B183" s="8"/>
      <c r="C183" s="8"/>
      <c r="D183" s="8"/>
      <c r="E183" s="8"/>
      <c r="F183" s="8"/>
    </row>
    <row r="184" spans="1:6" x14ac:dyDescent="0.25">
      <c r="A184" s="8"/>
      <c r="B184" s="8"/>
      <c r="C184" s="8"/>
      <c r="D184" s="8"/>
      <c r="E184" s="8"/>
      <c r="F184" s="8"/>
    </row>
    <row r="185" spans="1:6" x14ac:dyDescent="0.25">
      <c r="A185" s="8"/>
      <c r="B185" s="8"/>
      <c r="C185" s="8"/>
      <c r="D185" s="8"/>
      <c r="E185" s="8"/>
      <c r="F185" s="8"/>
    </row>
    <row r="186" spans="1:6" x14ac:dyDescent="0.25">
      <c r="A186" s="8"/>
      <c r="B186" s="8"/>
      <c r="C186" s="8"/>
      <c r="D186" s="8"/>
      <c r="E186" s="8"/>
      <c r="F186" s="8"/>
    </row>
    <row r="187" spans="1:6" x14ac:dyDescent="0.25">
      <c r="A187" s="8"/>
      <c r="B187" s="8"/>
      <c r="C187" s="8"/>
      <c r="D187" s="8"/>
      <c r="E187" s="8"/>
      <c r="F187" s="8"/>
    </row>
    <row r="188" spans="1:6" x14ac:dyDescent="0.25">
      <c r="A188" s="8"/>
      <c r="B188" s="8"/>
      <c r="C188" s="8"/>
      <c r="D188" s="8"/>
      <c r="E188" s="8"/>
      <c r="F188" s="8"/>
    </row>
    <row r="189" spans="1:6" x14ac:dyDescent="0.25">
      <c r="A189" s="8"/>
      <c r="B189" s="8"/>
      <c r="C189" s="8"/>
      <c r="D189" s="8"/>
      <c r="E189" s="8"/>
      <c r="F189" s="8"/>
    </row>
    <row r="190" spans="1:6" x14ac:dyDescent="0.25">
      <c r="A190" s="8"/>
      <c r="B190" s="8"/>
      <c r="C190" s="8"/>
      <c r="D190" s="8"/>
      <c r="E190" s="8"/>
      <c r="F190" s="8"/>
    </row>
    <row r="191" spans="1:6" x14ac:dyDescent="0.25">
      <c r="A191" s="8"/>
      <c r="B191" s="8"/>
      <c r="C191" s="8"/>
      <c r="D191" s="8"/>
      <c r="E191" s="8"/>
      <c r="F191" s="8"/>
    </row>
    <row r="192" spans="1:6" x14ac:dyDescent="0.25">
      <c r="A192" s="8"/>
      <c r="B192" s="8"/>
      <c r="C192" s="8"/>
      <c r="D192" s="8"/>
      <c r="E192" s="8"/>
      <c r="F192" s="8"/>
    </row>
    <row r="193" spans="1:6" x14ac:dyDescent="0.25">
      <c r="A193" s="8"/>
      <c r="B193" s="8"/>
      <c r="C193" s="8"/>
      <c r="D193" s="8"/>
      <c r="E193" s="8"/>
      <c r="F193" s="8"/>
    </row>
    <row r="194" spans="1:6" x14ac:dyDescent="0.25">
      <c r="A194" s="8"/>
      <c r="B194" s="8"/>
      <c r="C194" s="8"/>
      <c r="D194" s="8"/>
      <c r="E194" s="8"/>
      <c r="F194" s="8"/>
    </row>
    <row r="195" spans="1:6" x14ac:dyDescent="0.25">
      <c r="A195" s="8"/>
      <c r="B195" s="8"/>
      <c r="C195" s="8"/>
      <c r="D195" s="8"/>
      <c r="E195" s="8"/>
      <c r="F195" s="8"/>
    </row>
    <row r="196" spans="1:6" x14ac:dyDescent="0.25">
      <c r="A196" s="8"/>
      <c r="B196" s="8"/>
      <c r="C196" s="8"/>
      <c r="D196" s="8"/>
      <c r="E196" s="8"/>
      <c r="F196" s="8"/>
    </row>
    <row r="197" spans="1:6" x14ac:dyDescent="0.25">
      <c r="A197" s="8"/>
      <c r="B197" s="8"/>
      <c r="C197" s="8"/>
      <c r="D197" s="8"/>
      <c r="E197" s="8"/>
      <c r="F197" s="8"/>
    </row>
    <row r="198" spans="1:6" x14ac:dyDescent="0.25">
      <c r="A198" s="8"/>
      <c r="B198" s="8"/>
      <c r="C198" s="8"/>
      <c r="D198" s="8"/>
      <c r="E198" s="8"/>
      <c r="F198" s="8"/>
    </row>
    <row r="199" spans="1:6" x14ac:dyDescent="0.25">
      <c r="A199" s="8"/>
      <c r="B199" s="8"/>
      <c r="C199" s="8"/>
      <c r="D199" s="8"/>
      <c r="E199" s="8"/>
      <c r="F199" s="8"/>
    </row>
    <row r="200" spans="1:6" x14ac:dyDescent="0.25">
      <c r="A200" s="8"/>
      <c r="B200" s="8"/>
      <c r="C200" s="8"/>
      <c r="D200" s="8"/>
      <c r="E200" s="8"/>
      <c r="F200" s="8"/>
    </row>
    <row r="201" spans="1:6" x14ac:dyDescent="0.25">
      <c r="A201" s="8"/>
      <c r="B201" s="8"/>
      <c r="C201" s="8"/>
      <c r="D201" s="8"/>
      <c r="E201" s="8"/>
      <c r="F201" s="8"/>
    </row>
    <row r="202" spans="1:6" x14ac:dyDescent="0.25">
      <c r="A202" s="8"/>
      <c r="B202" s="8"/>
      <c r="C202" s="8"/>
      <c r="D202" s="8"/>
      <c r="E202" s="8"/>
      <c r="F202" s="8"/>
    </row>
    <row r="203" spans="1:6" x14ac:dyDescent="0.25">
      <c r="A203" s="8"/>
      <c r="B203" s="8"/>
      <c r="C203" s="8"/>
      <c r="D203" s="8"/>
      <c r="E203" s="8"/>
      <c r="F203" s="8"/>
    </row>
    <row r="204" spans="1:6" x14ac:dyDescent="0.25">
      <c r="A204" s="8"/>
      <c r="B204" s="8"/>
      <c r="C204" s="8"/>
      <c r="D204" s="8"/>
      <c r="E204" s="8"/>
      <c r="F204" s="8"/>
    </row>
    <row r="205" spans="1:6" x14ac:dyDescent="0.25">
      <c r="A205" s="8"/>
      <c r="B205" s="8"/>
      <c r="C205" s="8"/>
      <c r="D205" s="8"/>
      <c r="E205" s="8"/>
      <c r="F205" s="8"/>
    </row>
    <row r="206" spans="1:6" x14ac:dyDescent="0.25">
      <c r="A206" s="8"/>
      <c r="B206" s="8"/>
      <c r="C206" s="8"/>
      <c r="D206" s="8"/>
      <c r="E206" s="8"/>
      <c r="F206" s="8"/>
    </row>
    <row r="207" spans="1:6" x14ac:dyDescent="0.25">
      <c r="A207" s="8"/>
      <c r="B207" s="8"/>
      <c r="C207" s="8"/>
      <c r="D207" s="8"/>
      <c r="E207" s="8"/>
      <c r="F207" s="8"/>
    </row>
    <row r="208" spans="1:6" x14ac:dyDescent="0.25">
      <c r="A208" s="8"/>
      <c r="B208" s="8"/>
      <c r="C208" s="8"/>
      <c r="D208" s="8"/>
      <c r="E208" s="8"/>
      <c r="F208" s="8"/>
    </row>
    <row r="209" spans="1:6" x14ac:dyDescent="0.25">
      <c r="A209" s="8"/>
      <c r="B209" s="8"/>
      <c r="C209" s="8"/>
      <c r="D209" s="8"/>
      <c r="E209" s="8"/>
      <c r="F209" s="8"/>
    </row>
    <row r="210" spans="1:6" x14ac:dyDescent="0.25">
      <c r="A210" s="8"/>
      <c r="B210" s="8"/>
      <c r="C210" s="8"/>
      <c r="D210" s="8"/>
      <c r="E210" s="8"/>
      <c r="F210" s="8"/>
    </row>
    <row r="211" spans="1:6" x14ac:dyDescent="0.25">
      <c r="A211" s="8"/>
      <c r="B211" s="8"/>
      <c r="C211" s="8"/>
      <c r="D211" s="8"/>
      <c r="E211" s="8"/>
      <c r="F211" s="8"/>
    </row>
    <row r="212" spans="1:6" x14ac:dyDescent="0.25">
      <c r="A212" s="8"/>
      <c r="B212" s="8"/>
      <c r="C212" s="8"/>
      <c r="D212" s="8"/>
      <c r="E212" s="8"/>
      <c r="F212" s="8"/>
    </row>
    <row r="213" spans="1:6" x14ac:dyDescent="0.25">
      <c r="A213" s="8"/>
      <c r="B213" s="8"/>
      <c r="C213" s="8"/>
      <c r="D213" s="8"/>
      <c r="E213" s="8"/>
      <c r="F213" s="8"/>
    </row>
    <row r="214" spans="1:6" x14ac:dyDescent="0.25">
      <c r="A214" s="8"/>
      <c r="B214" s="8"/>
      <c r="C214" s="8"/>
      <c r="D214" s="8"/>
      <c r="E214" s="8"/>
      <c r="F214" s="8"/>
    </row>
    <row r="215" spans="1:6" x14ac:dyDescent="0.25">
      <c r="A215" s="8"/>
      <c r="B215" s="8"/>
      <c r="C215" s="8"/>
      <c r="D215" s="8"/>
      <c r="E215" s="8"/>
      <c r="F215" s="8"/>
    </row>
    <row r="216" spans="1:6" x14ac:dyDescent="0.25">
      <c r="A216" s="8"/>
      <c r="B216" s="8"/>
      <c r="C216" s="8"/>
      <c r="D216" s="8"/>
      <c r="E216" s="8"/>
      <c r="F216" s="8"/>
    </row>
    <row r="217" spans="1:6" x14ac:dyDescent="0.25">
      <c r="A217" s="8"/>
      <c r="B217" s="8"/>
      <c r="C217" s="8"/>
      <c r="D217" s="8"/>
      <c r="E217" s="8"/>
      <c r="F217" s="8"/>
    </row>
    <row r="218" spans="1:6" x14ac:dyDescent="0.25">
      <c r="A218" s="8"/>
      <c r="B218" s="8"/>
      <c r="C218" s="8"/>
      <c r="D218" s="8"/>
      <c r="E218" s="8"/>
      <c r="F218" s="8"/>
    </row>
    <row r="219" spans="1:6" x14ac:dyDescent="0.25">
      <c r="A219" s="8"/>
      <c r="B219" s="8"/>
      <c r="C219" s="8"/>
      <c r="D219" s="8"/>
      <c r="E219" s="8"/>
      <c r="F219" s="8"/>
    </row>
    <row r="220" spans="1:6" x14ac:dyDescent="0.25">
      <c r="A220" s="8"/>
      <c r="B220" s="8"/>
      <c r="C220" s="8"/>
      <c r="D220" s="8"/>
      <c r="E220" s="8"/>
      <c r="F220" s="8"/>
    </row>
    <row r="221" spans="1:6" x14ac:dyDescent="0.25">
      <c r="A221" s="8"/>
      <c r="B221" s="8"/>
      <c r="C221" s="8"/>
      <c r="D221" s="8"/>
      <c r="E221" s="8"/>
      <c r="F221" s="8"/>
    </row>
    <row r="222" spans="1:6" x14ac:dyDescent="0.25">
      <c r="A222" s="8"/>
      <c r="B222" s="8"/>
      <c r="C222" s="8"/>
      <c r="D222" s="8"/>
      <c r="E222" s="8"/>
      <c r="F222" s="8"/>
    </row>
    <row r="223" spans="1:6" x14ac:dyDescent="0.25">
      <c r="A223" s="8"/>
      <c r="B223" s="8"/>
      <c r="C223" s="8"/>
      <c r="D223" s="8"/>
      <c r="E223" s="8"/>
      <c r="F223" s="8"/>
    </row>
    <row r="224" spans="1:6" x14ac:dyDescent="0.25">
      <c r="A224" s="8"/>
      <c r="B224" s="8"/>
      <c r="C224" s="8"/>
      <c r="D224" s="8"/>
      <c r="E224" s="8"/>
      <c r="F224" s="8"/>
    </row>
    <row r="225" spans="1:6" x14ac:dyDescent="0.25">
      <c r="A225" s="8"/>
      <c r="B225" s="8"/>
      <c r="C225" s="8"/>
      <c r="D225" s="8"/>
      <c r="E225" s="8"/>
      <c r="F225" s="8"/>
    </row>
    <row r="226" spans="1:6" x14ac:dyDescent="0.25">
      <c r="A226" s="8"/>
      <c r="B226" s="8"/>
      <c r="C226" s="8"/>
      <c r="D226" s="8"/>
      <c r="E226" s="8"/>
      <c r="F226" s="8"/>
    </row>
    <row r="227" spans="1:6" x14ac:dyDescent="0.25">
      <c r="A227" s="8"/>
      <c r="B227" s="8"/>
      <c r="C227" s="8"/>
      <c r="D227" s="8"/>
      <c r="E227" s="8"/>
      <c r="F227" s="8"/>
    </row>
    <row r="228" spans="1:6" x14ac:dyDescent="0.25">
      <c r="A228" s="8"/>
      <c r="B228" s="8"/>
      <c r="C228" s="8"/>
      <c r="D228" s="8"/>
      <c r="E228" s="8"/>
      <c r="F228" s="8"/>
    </row>
    <row r="229" spans="1:6" x14ac:dyDescent="0.25">
      <c r="A229" s="8"/>
      <c r="B229" s="8"/>
      <c r="C229" s="8"/>
      <c r="D229" s="8"/>
      <c r="E229" s="8"/>
      <c r="F229" s="8"/>
    </row>
    <row r="230" spans="1:6" x14ac:dyDescent="0.25">
      <c r="A230" s="8"/>
      <c r="B230" s="8"/>
      <c r="C230" s="8"/>
      <c r="D230" s="8"/>
      <c r="E230" s="8"/>
      <c r="F230" s="8"/>
    </row>
    <row r="231" spans="1:6" x14ac:dyDescent="0.25">
      <c r="A231" s="8"/>
      <c r="B231" s="8"/>
      <c r="C231" s="8"/>
      <c r="D231" s="8"/>
      <c r="E231" s="8"/>
      <c r="F231" s="8"/>
    </row>
    <row r="232" spans="1:6" x14ac:dyDescent="0.25">
      <c r="A232" s="8"/>
      <c r="B232" s="8"/>
      <c r="C232" s="8"/>
      <c r="D232" s="8"/>
      <c r="E232" s="8"/>
      <c r="F232" s="8"/>
    </row>
    <row r="233" spans="1:6" x14ac:dyDescent="0.25">
      <c r="A233" s="8"/>
      <c r="B233" s="8"/>
      <c r="C233" s="8"/>
      <c r="D233" s="8"/>
      <c r="E233" s="8"/>
      <c r="F233" s="8"/>
    </row>
    <row r="234" spans="1:6" x14ac:dyDescent="0.25">
      <c r="A234" s="8"/>
      <c r="B234" s="8"/>
      <c r="C234" s="8"/>
      <c r="D234" s="8"/>
      <c r="E234" s="8"/>
      <c r="F234" s="8"/>
    </row>
    <row r="235" spans="1:6" x14ac:dyDescent="0.25">
      <c r="A235" s="8"/>
      <c r="B235" s="8"/>
      <c r="C235" s="8"/>
      <c r="D235" s="8"/>
      <c r="E235" s="8"/>
      <c r="F235" s="8"/>
    </row>
    <row r="236" spans="1:6" x14ac:dyDescent="0.25">
      <c r="A236" s="8"/>
      <c r="B236" s="8"/>
      <c r="C236" s="8"/>
      <c r="D236" s="8"/>
      <c r="E236" s="8"/>
      <c r="F236" s="8"/>
    </row>
    <row r="237" spans="1:6" x14ac:dyDescent="0.25">
      <c r="A237" s="8"/>
      <c r="B237" s="8"/>
      <c r="C237" s="8"/>
      <c r="D237" s="8"/>
      <c r="E237" s="8"/>
      <c r="F237" s="8"/>
    </row>
    <row r="238" spans="1:6" x14ac:dyDescent="0.25">
      <c r="A238" s="8"/>
      <c r="B238" s="8"/>
      <c r="C238" s="8"/>
      <c r="D238" s="8"/>
      <c r="E238" s="8"/>
      <c r="F238" s="8"/>
    </row>
    <row r="239" spans="1:6" x14ac:dyDescent="0.25">
      <c r="A239" s="8"/>
      <c r="B239" s="8"/>
      <c r="C239" s="8"/>
      <c r="D239" s="8"/>
      <c r="E239" s="8"/>
      <c r="F239" s="8"/>
    </row>
    <row r="240" spans="1:6" x14ac:dyDescent="0.25">
      <c r="A240" s="8"/>
      <c r="B240" s="8"/>
      <c r="C240" s="8"/>
      <c r="D240" s="8"/>
      <c r="E240" s="8"/>
      <c r="F240" s="8"/>
    </row>
    <row r="241" spans="1:6" x14ac:dyDescent="0.25">
      <c r="A241" s="8"/>
      <c r="B241" s="8"/>
      <c r="C241" s="8"/>
      <c r="D241" s="8"/>
      <c r="E241" s="8"/>
      <c r="F241" s="8"/>
    </row>
    <row r="242" spans="1:6" x14ac:dyDescent="0.25">
      <c r="A242" s="8"/>
      <c r="B242" s="8"/>
      <c r="C242" s="8"/>
      <c r="D242" s="8"/>
      <c r="E242" s="8"/>
      <c r="F242" s="8"/>
    </row>
    <row r="243" spans="1:6" x14ac:dyDescent="0.25">
      <c r="A243" s="8"/>
      <c r="B243" s="8"/>
      <c r="C243" s="8"/>
      <c r="D243" s="8"/>
      <c r="E243" s="8"/>
      <c r="F243" s="8"/>
    </row>
    <row r="244" spans="1:6" x14ac:dyDescent="0.25">
      <c r="A244" s="8"/>
      <c r="B244" s="8"/>
      <c r="C244" s="8"/>
      <c r="D244" s="8"/>
      <c r="E244" s="8"/>
      <c r="F244" s="8"/>
    </row>
    <row r="245" spans="1:6" x14ac:dyDescent="0.25">
      <c r="A245" s="8"/>
      <c r="B245" s="8"/>
      <c r="C245" s="8"/>
      <c r="D245" s="8"/>
      <c r="E245" s="8"/>
      <c r="F245" s="8"/>
    </row>
    <row r="246" spans="1:6" x14ac:dyDescent="0.25">
      <c r="A246" s="8"/>
      <c r="B246" s="8"/>
      <c r="C246" s="8"/>
      <c r="D246" s="8"/>
      <c r="E246" s="8"/>
      <c r="F246" s="8"/>
    </row>
    <row r="247" spans="1:6" x14ac:dyDescent="0.25">
      <c r="A247" s="8"/>
      <c r="B247" s="8"/>
      <c r="C247" s="8"/>
      <c r="D247" s="8"/>
      <c r="E247" s="8"/>
      <c r="F247" s="8"/>
    </row>
    <row r="248" spans="1:6" x14ac:dyDescent="0.25">
      <c r="A248" s="8"/>
      <c r="B248" s="8"/>
      <c r="C248" s="8"/>
      <c r="D248" s="8"/>
      <c r="E248" s="8"/>
      <c r="F248" s="8"/>
    </row>
    <row r="249" spans="1:6" x14ac:dyDescent="0.25">
      <c r="A249" s="8"/>
      <c r="B249" s="8"/>
      <c r="C249" s="8"/>
      <c r="D249" s="8"/>
      <c r="E249" s="8"/>
      <c r="F249" s="8"/>
    </row>
    <row r="250" spans="1:6" x14ac:dyDescent="0.25">
      <c r="A250" s="8"/>
      <c r="B250" s="8"/>
      <c r="C250" s="8"/>
      <c r="D250" s="8"/>
      <c r="E250" s="8"/>
      <c r="F250" s="8"/>
    </row>
    <row r="251" spans="1:6" x14ac:dyDescent="0.25">
      <c r="A251" s="8"/>
      <c r="B251" s="8"/>
      <c r="C251" s="8"/>
      <c r="D251" s="8"/>
      <c r="E251" s="8"/>
      <c r="F251" s="8"/>
    </row>
    <row r="252" spans="1:6" x14ac:dyDescent="0.25">
      <c r="A252" s="8"/>
      <c r="B252" s="8"/>
      <c r="C252" s="8"/>
      <c r="D252" s="8"/>
      <c r="E252" s="8"/>
      <c r="F252" s="8"/>
    </row>
    <row r="253" spans="1:6" x14ac:dyDescent="0.25">
      <c r="A253" s="8"/>
      <c r="B253" s="8"/>
      <c r="C253" s="8"/>
      <c r="D253" s="8"/>
      <c r="E253" s="8"/>
      <c r="F253" s="8"/>
    </row>
    <row r="254" spans="1:6" x14ac:dyDescent="0.25">
      <c r="A254" s="8"/>
      <c r="B254" s="8"/>
      <c r="C254" s="8"/>
      <c r="D254" s="8"/>
      <c r="E254" s="8"/>
      <c r="F254" s="8"/>
    </row>
    <row r="255" spans="1:6" x14ac:dyDescent="0.25">
      <c r="A255" s="8"/>
      <c r="B255" s="8"/>
      <c r="C255" s="8"/>
      <c r="D255" s="8"/>
      <c r="E255" s="8"/>
      <c r="F255" s="8"/>
    </row>
    <row r="256" spans="1:6" x14ac:dyDescent="0.25">
      <c r="A256" s="8"/>
      <c r="B256" s="8"/>
      <c r="C256" s="8"/>
      <c r="D256" s="8"/>
      <c r="E256" s="8"/>
      <c r="F256" s="8"/>
    </row>
    <row r="257" spans="1:6" x14ac:dyDescent="0.25">
      <c r="A257" s="8"/>
      <c r="B257" s="8"/>
      <c r="C257" s="8"/>
      <c r="D257" s="8"/>
      <c r="E257" s="8"/>
      <c r="F257" s="8"/>
    </row>
    <row r="258" spans="1:6" x14ac:dyDescent="0.25">
      <c r="A258" s="8"/>
      <c r="B258" s="8"/>
      <c r="C258" s="8"/>
      <c r="D258" s="8"/>
      <c r="E258" s="8"/>
      <c r="F258" s="8"/>
    </row>
    <row r="259" spans="1:6" x14ac:dyDescent="0.25">
      <c r="A259" s="8"/>
      <c r="B259" s="8"/>
      <c r="C259" s="8"/>
      <c r="D259" s="8"/>
      <c r="E259" s="8"/>
      <c r="F259" s="8"/>
    </row>
    <row r="260" spans="1:6" x14ac:dyDescent="0.25">
      <c r="A260" s="8"/>
      <c r="B260" s="8"/>
      <c r="C260" s="8"/>
      <c r="D260" s="8"/>
      <c r="E260" s="8"/>
      <c r="F260" s="8"/>
    </row>
    <row r="261" spans="1:6" x14ac:dyDescent="0.25">
      <c r="A261" s="8"/>
      <c r="B261" s="8"/>
      <c r="C261" s="8"/>
      <c r="D261" s="8"/>
      <c r="E261" s="8"/>
      <c r="F261" s="8"/>
    </row>
    <row r="262" spans="1:6" x14ac:dyDescent="0.25">
      <c r="A262" s="8"/>
      <c r="B262" s="8"/>
      <c r="C262" s="8"/>
      <c r="D262" s="8"/>
      <c r="E262" s="8"/>
      <c r="F262" s="8"/>
    </row>
    <row r="263" spans="1:6" x14ac:dyDescent="0.25">
      <c r="A263" s="8"/>
      <c r="B263" s="8"/>
      <c r="C263" s="8"/>
      <c r="D263" s="8"/>
      <c r="E263" s="8"/>
      <c r="F263" s="8"/>
    </row>
    <row r="264" spans="1:6" x14ac:dyDescent="0.25">
      <c r="A264" s="8"/>
      <c r="B264" s="8"/>
      <c r="C264" s="8"/>
      <c r="D264" s="8"/>
      <c r="E264" s="8"/>
      <c r="F264" s="8"/>
    </row>
    <row r="265" spans="1:6" x14ac:dyDescent="0.25">
      <c r="A265" s="8"/>
      <c r="B265" s="8"/>
      <c r="C265" s="8"/>
      <c r="D265" s="8"/>
      <c r="E265" s="8"/>
      <c r="F265" s="8"/>
    </row>
    <row r="266" spans="1:6" x14ac:dyDescent="0.25">
      <c r="A266" s="8"/>
      <c r="B266" s="8"/>
      <c r="C266" s="8"/>
      <c r="D266" s="8"/>
      <c r="E266" s="8"/>
      <c r="F266" s="8"/>
    </row>
    <row r="267" spans="1:6" x14ac:dyDescent="0.25">
      <c r="A267" s="8"/>
      <c r="B267" s="8"/>
      <c r="C267" s="8"/>
      <c r="D267" s="8"/>
      <c r="E267" s="8"/>
      <c r="F267" s="8"/>
    </row>
    <row r="268" spans="1:6" x14ac:dyDescent="0.25">
      <c r="A268" s="8"/>
      <c r="B268" s="8"/>
      <c r="C268" s="8"/>
      <c r="D268" s="8"/>
      <c r="E268" s="8"/>
      <c r="F268" s="8"/>
    </row>
    <row r="269" spans="1:6" x14ac:dyDescent="0.25">
      <c r="A269" s="8"/>
      <c r="B269" s="8"/>
      <c r="C269" s="8"/>
      <c r="D269" s="8"/>
      <c r="E269" s="8"/>
      <c r="F269" s="8"/>
    </row>
    <row r="270" spans="1:6" x14ac:dyDescent="0.25">
      <c r="A270" s="8"/>
      <c r="B270" s="8"/>
      <c r="C270" s="8"/>
      <c r="D270" s="8"/>
      <c r="E270" s="8"/>
      <c r="F270" s="8"/>
    </row>
    <row r="271" spans="1:6" x14ac:dyDescent="0.25">
      <c r="A271" s="8"/>
      <c r="B271" s="8"/>
      <c r="C271" s="8"/>
      <c r="D271" s="8"/>
      <c r="E271" s="8"/>
      <c r="F271" s="8"/>
    </row>
    <row r="272" spans="1:6" x14ac:dyDescent="0.25">
      <c r="A272" s="8"/>
      <c r="B272" s="8"/>
      <c r="C272" s="8"/>
      <c r="D272" s="8"/>
      <c r="E272" s="8"/>
      <c r="F272" s="8"/>
    </row>
    <row r="273" spans="1:6" x14ac:dyDescent="0.25">
      <c r="A273" s="8"/>
      <c r="B273" s="8"/>
      <c r="C273" s="8"/>
      <c r="D273" s="8"/>
      <c r="E273" s="8"/>
      <c r="F273" s="8"/>
    </row>
    <row r="274" spans="1:6" x14ac:dyDescent="0.25">
      <c r="A274" s="8"/>
      <c r="B274" s="8"/>
      <c r="C274" s="8"/>
      <c r="D274" s="8"/>
      <c r="E274" s="8"/>
      <c r="F274" s="8"/>
    </row>
    <row r="275" spans="1:6" x14ac:dyDescent="0.25">
      <c r="A275" s="8"/>
      <c r="B275" s="8"/>
      <c r="C275" s="8"/>
      <c r="D275" s="8"/>
      <c r="E275" s="8"/>
      <c r="F275" s="8"/>
    </row>
    <row r="276" spans="1:6" x14ac:dyDescent="0.25">
      <c r="A276" s="8"/>
      <c r="B276" s="8"/>
      <c r="C276" s="8"/>
      <c r="D276" s="8"/>
      <c r="E276" s="8"/>
      <c r="F276" s="8"/>
    </row>
    <row r="277" spans="1:6" x14ac:dyDescent="0.25">
      <c r="A277" s="8"/>
      <c r="B277" s="8"/>
      <c r="C277" s="8"/>
      <c r="D277" s="8"/>
      <c r="E277" s="8"/>
      <c r="F277" s="8"/>
    </row>
    <row r="278" spans="1:6" x14ac:dyDescent="0.25">
      <c r="A278" s="8"/>
      <c r="B278" s="8"/>
      <c r="C278" s="8"/>
      <c r="D278" s="8"/>
      <c r="E278" s="8"/>
      <c r="F278" s="8"/>
    </row>
    <row r="279" spans="1:6" x14ac:dyDescent="0.25">
      <c r="A279" s="8"/>
      <c r="B279" s="8"/>
      <c r="C279" s="8"/>
      <c r="D279" s="8"/>
      <c r="E279" s="8"/>
      <c r="F279" s="8"/>
    </row>
    <row r="280" spans="1:6" x14ac:dyDescent="0.25">
      <c r="A280" s="8"/>
      <c r="B280" s="8"/>
      <c r="C280" s="8"/>
      <c r="D280" s="8"/>
      <c r="E280" s="8"/>
      <c r="F280" s="8"/>
    </row>
    <row r="281" spans="1:6" x14ac:dyDescent="0.25">
      <c r="A281" s="8"/>
      <c r="B281" s="8"/>
      <c r="C281" s="8"/>
      <c r="D281" s="8"/>
      <c r="E281" s="8"/>
      <c r="F281" s="8"/>
    </row>
    <row r="282" spans="1:6" x14ac:dyDescent="0.25">
      <c r="A282" s="8"/>
      <c r="B282" s="8"/>
      <c r="C282" s="8"/>
      <c r="D282" s="8"/>
      <c r="E282" s="8"/>
      <c r="F282" s="8"/>
    </row>
    <row r="283" spans="1:6" x14ac:dyDescent="0.25">
      <c r="A283" s="8"/>
      <c r="B283" s="8"/>
      <c r="C283" s="8"/>
      <c r="D283" s="8"/>
      <c r="E283" s="8"/>
      <c r="F283" s="8"/>
    </row>
    <row r="284" spans="1:6" x14ac:dyDescent="0.25">
      <c r="A284" s="8"/>
      <c r="B284" s="8"/>
      <c r="C284" s="8"/>
      <c r="D284" s="8"/>
      <c r="E284" s="8"/>
      <c r="F284" s="8"/>
    </row>
    <row r="285" spans="1:6" x14ac:dyDescent="0.25">
      <c r="A285" s="8"/>
      <c r="B285" s="8"/>
      <c r="C285" s="8"/>
      <c r="D285" s="8"/>
      <c r="E285" s="8"/>
      <c r="F285" s="8"/>
    </row>
    <row r="286" spans="1:6" x14ac:dyDescent="0.25">
      <c r="A286" s="8"/>
      <c r="B286" s="8"/>
      <c r="C286" s="8"/>
      <c r="D286" s="8"/>
      <c r="E286" s="8"/>
      <c r="F286" s="8"/>
    </row>
    <row r="287" spans="1:6" x14ac:dyDescent="0.25">
      <c r="A287" s="8"/>
      <c r="B287" s="8"/>
      <c r="C287" s="8"/>
      <c r="D287" s="8"/>
      <c r="E287" s="8"/>
      <c r="F287" s="8"/>
    </row>
    <row r="288" spans="1:6" x14ac:dyDescent="0.25">
      <c r="A288" s="8"/>
      <c r="B288" s="8"/>
      <c r="C288" s="8"/>
      <c r="D288" s="8"/>
      <c r="E288" s="8"/>
      <c r="F288" s="8"/>
    </row>
    <row r="289" spans="1:6" x14ac:dyDescent="0.25">
      <c r="A289" s="8"/>
      <c r="B289" s="8"/>
      <c r="C289" s="8"/>
      <c r="D289" s="8"/>
      <c r="E289" s="8"/>
      <c r="F289" s="8"/>
    </row>
    <row r="290" spans="1:6" x14ac:dyDescent="0.25">
      <c r="A290" s="8"/>
      <c r="B290" s="8"/>
      <c r="C290" s="8"/>
      <c r="D290" s="8"/>
      <c r="E290" s="8"/>
      <c r="F290" s="8"/>
    </row>
    <row r="291" spans="1:6" x14ac:dyDescent="0.25">
      <c r="A291" s="8"/>
      <c r="B291" s="8"/>
      <c r="C291" s="8"/>
      <c r="D291" s="8"/>
      <c r="E291" s="8"/>
      <c r="F291" s="8"/>
    </row>
    <row r="292" spans="1:6" x14ac:dyDescent="0.25">
      <c r="A292" s="8"/>
      <c r="B292" s="8"/>
      <c r="C292" s="8"/>
      <c r="D292" s="8"/>
      <c r="E292" s="8"/>
      <c r="F292" s="8"/>
    </row>
    <row r="293" spans="1:6" x14ac:dyDescent="0.25">
      <c r="A293" s="8"/>
      <c r="B293" s="8"/>
      <c r="C293" s="8"/>
      <c r="D293" s="8"/>
      <c r="E293" s="8"/>
      <c r="F293" s="8"/>
    </row>
    <row r="294" spans="1:6" x14ac:dyDescent="0.25">
      <c r="A294" s="8"/>
      <c r="B294" s="8"/>
      <c r="C294" s="8"/>
      <c r="D294" s="8"/>
      <c r="E294" s="8"/>
      <c r="F294" s="8"/>
    </row>
    <row r="295" spans="1:6" x14ac:dyDescent="0.25">
      <c r="A295" s="8"/>
      <c r="B295" s="8"/>
      <c r="C295" s="8"/>
      <c r="D295" s="8"/>
      <c r="E295" s="8"/>
      <c r="F295" s="8"/>
    </row>
    <row r="296" spans="1:6" x14ac:dyDescent="0.25">
      <c r="A296" s="8"/>
      <c r="B296" s="8"/>
      <c r="C296" s="8"/>
      <c r="D296" s="8"/>
      <c r="E296" s="8"/>
      <c r="F296" s="8"/>
    </row>
    <row r="297" spans="1:6" x14ac:dyDescent="0.25">
      <c r="A297" s="8"/>
      <c r="B297" s="8"/>
      <c r="C297" s="8"/>
      <c r="D297" s="8"/>
      <c r="E297" s="8"/>
      <c r="F297" s="8"/>
    </row>
    <row r="298" spans="1:6" x14ac:dyDescent="0.25">
      <c r="A298" s="8"/>
      <c r="B298" s="8"/>
      <c r="C298" s="8"/>
      <c r="D298" s="8"/>
      <c r="E298" s="8"/>
      <c r="F298" s="8"/>
    </row>
    <row r="299" spans="1:6" x14ac:dyDescent="0.25">
      <c r="A299" s="8"/>
      <c r="B299" s="8"/>
      <c r="C299" s="8"/>
      <c r="D299" s="8"/>
      <c r="E299" s="8"/>
      <c r="F299" s="8"/>
    </row>
    <row r="300" spans="1:6" x14ac:dyDescent="0.25">
      <c r="A300" s="8"/>
      <c r="B300" s="8"/>
      <c r="C300" s="8"/>
      <c r="D300" s="8"/>
      <c r="E300" s="8"/>
      <c r="F300" s="8"/>
    </row>
    <row r="301" spans="1:6" x14ac:dyDescent="0.25">
      <c r="A301" s="8"/>
      <c r="B301" s="8"/>
      <c r="C301" s="8"/>
      <c r="D301" s="8"/>
      <c r="E301" s="8"/>
      <c r="F301" s="8"/>
    </row>
    <row r="302" spans="1:6" x14ac:dyDescent="0.25">
      <c r="A302" s="8"/>
      <c r="B302" s="8"/>
      <c r="C302" s="8"/>
      <c r="D302" s="8"/>
      <c r="E302" s="8"/>
      <c r="F302" s="8"/>
    </row>
    <row r="303" spans="1:6" x14ac:dyDescent="0.25">
      <c r="A303" s="8"/>
      <c r="B303" s="8"/>
      <c r="C303" s="8"/>
      <c r="D303" s="8"/>
      <c r="E303" s="8"/>
      <c r="F303" s="8"/>
    </row>
    <row r="304" spans="1:6" x14ac:dyDescent="0.25">
      <c r="A304" s="8"/>
      <c r="B304" s="8"/>
      <c r="C304" s="8"/>
      <c r="D304" s="8"/>
      <c r="E304" s="8"/>
      <c r="F304" s="8"/>
    </row>
    <row r="305" spans="1:6" x14ac:dyDescent="0.25">
      <c r="A305" s="8"/>
      <c r="B305" s="8"/>
      <c r="C305" s="8"/>
      <c r="D305" s="8"/>
      <c r="E305" s="8"/>
      <c r="F305" s="8"/>
    </row>
    <row r="306" spans="1:6" x14ac:dyDescent="0.25">
      <c r="A306" s="8"/>
      <c r="B306" s="8"/>
      <c r="C306" s="8"/>
      <c r="D306" s="8"/>
      <c r="E306" s="8"/>
      <c r="F306" s="8"/>
    </row>
    <row r="307" spans="1:6" x14ac:dyDescent="0.25">
      <c r="A307" s="8"/>
      <c r="B307" s="8"/>
      <c r="C307" s="8"/>
      <c r="D307" s="8"/>
      <c r="E307" s="8"/>
      <c r="F307" s="8"/>
    </row>
    <row r="308" spans="1:6" x14ac:dyDescent="0.25">
      <c r="A308" s="8"/>
      <c r="B308" s="8"/>
      <c r="C308" s="8"/>
      <c r="D308" s="8"/>
      <c r="E308" s="8"/>
      <c r="F308" s="8"/>
    </row>
    <row r="309" spans="1:6" x14ac:dyDescent="0.25">
      <c r="A309" s="8"/>
      <c r="B309" s="8"/>
      <c r="C309" s="8"/>
      <c r="D309" s="8"/>
      <c r="E309" s="8"/>
      <c r="F309" s="8"/>
    </row>
    <row r="310" spans="1:6" x14ac:dyDescent="0.25">
      <c r="A310" s="8"/>
      <c r="B310" s="8"/>
      <c r="C310" s="8"/>
      <c r="D310" s="8"/>
      <c r="E310" s="8"/>
      <c r="F310" s="8"/>
    </row>
    <row r="311" spans="1:6" x14ac:dyDescent="0.25">
      <c r="A311" s="8"/>
      <c r="B311" s="8"/>
      <c r="C311" s="8"/>
      <c r="D311" s="8"/>
      <c r="E311" s="8"/>
      <c r="F311" s="8"/>
    </row>
    <row r="312" spans="1:6" x14ac:dyDescent="0.25">
      <c r="A312" s="8"/>
      <c r="B312" s="8"/>
      <c r="C312" s="8"/>
      <c r="D312" s="8"/>
      <c r="E312" s="8"/>
      <c r="F312" s="8"/>
    </row>
    <row r="313" spans="1:6" x14ac:dyDescent="0.25">
      <c r="A313" s="8"/>
      <c r="B313" s="8"/>
      <c r="C313" s="8"/>
      <c r="D313" s="8"/>
      <c r="E313" s="8"/>
      <c r="F313" s="8"/>
    </row>
    <row r="314" spans="1:6" x14ac:dyDescent="0.25">
      <c r="A314" s="8"/>
      <c r="B314" s="8"/>
      <c r="C314" s="8"/>
      <c r="D314" s="8"/>
      <c r="E314" s="8"/>
      <c r="F314" s="8"/>
    </row>
    <row r="315" spans="1:6" x14ac:dyDescent="0.25">
      <c r="A315" s="8"/>
      <c r="B315" s="8"/>
      <c r="C315" s="8"/>
      <c r="D315" s="8"/>
      <c r="E315" s="8"/>
      <c r="F315" s="8"/>
    </row>
    <row r="316" spans="1:6" x14ac:dyDescent="0.25">
      <c r="A316" s="8"/>
      <c r="B316" s="8"/>
      <c r="C316" s="8"/>
      <c r="D316" s="8"/>
      <c r="E316" s="8"/>
      <c r="F316" s="8"/>
    </row>
    <row r="317" spans="1:6" x14ac:dyDescent="0.25">
      <c r="A317" s="8"/>
      <c r="B317" s="8"/>
      <c r="C317" s="8"/>
      <c r="D317" s="8"/>
      <c r="E317" s="8"/>
      <c r="F317" s="8"/>
    </row>
    <row r="318" spans="1:6" x14ac:dyDescent="0.25">
      <c r="A318" s="8"/>
      <c r="B318" s="8"/>
      <c r="C318" s="8"/>
      <c r="D318" s="8"/>
      <c r="E318" s="8"/>
      <c r="F318" s="8"/>
    </row>
    <row r="319" spans="1:6" x14ac:dyDescent="0.25">
      <c r="A319" s="8"/>
      <c r="B319" s="8"/>
      <c r="C319" s="8"/>
      <c r="D319" s="8"/>
      <c r="E319" s="8"/>
      <c r="F319" s="8"/>
    </row>
    <row r="320" spans="1:6" x14ac:dyDescent="0.25">
      <c r="A320" s="8"/>
      <c r="B320" s="8"/>
      <c r="C320" s="8"/>
      <c r="D320" s="8"/>
      <c r="E320" s="8"/>
      <c r="F320" s="8"/>
    </row>
    <row r="321" spans="1:6" x14ac:dyDescent="0.25">
      <c r="A321" s="8"/>
      <c r="B321" s="8"/>
      <c r="C321" s="8"/>
      <c r="D321" s="8"/>
      <c r="E321" s="8"/>
      <c r="F321" s="8"/>
    </row>
    <row r="322" spans="1:6" x14ac:dyDescent="0.25">
      <c r="A322" s="8"/>
      <c r="B322" s="8"/>
      <c r="C322" s="8"/>
      <c r="D322" s="8"/>
      <c r="E322" s="8"/>
      <c r="F322" s="8"/>
    </row>
    <row r="323" spans="1:6" x14ac:dyDescent="0.25">
      <c r="A323" s="8"/>
      <c r="B323" s="8"/>
      <c r="C323" s="8"/>
      <c r="D323" s="8"/>
      <c r="E323" s="8"/>
      <c r="F323" s="8"/>
    </row>
    <row r="324" spans="1:6" x14ac:dyDescent="0.25">
      <c r="A324" s="8"/>
      <c r="B324" s="8"/>
      <c r="C324" s="8"/>
      <c r="D324" s="8"/>
      <c r="E324" s="8"/>
      <c r="F324" s="8"/>
    </row>
    <row r="325" spans="1:6" x14ac:dyDescent="0.25">
      <c r="A325" s="8"/>
      <c r="B325" s="8"/>
      <c r="C325" s="8"/>
      <c r="D325" s="8"/>
      <c r="E325" s="8"/>
      <c r="F325" s="8"/>
    </row>
    <row r="326" spans="1:6" x14ac:dyDescent="0.25">
      <c r="A326" s="8"/>
      <c r="B326" s="8"/>
      <c r="C326" s="8"/>
      <c r="D326" s="8"/>
      <c r="E326" s="8"/>
      <c r="F326" s="8"/>
    </row>
    <row r="327" spans="1:6" x14ac:dyDescent="0.25">
      <c r="A327" s="8"/>
      <c r="B327" s="8"/>
      <c r="C327" s="8"/>
      <c r="D327" s="8"/>
      <c r="E327" s="8"/>
      <c r="F327" s="8"/>
    </row>
    <row r="328" spans="1:6" x14ac:dyDescent="0.25">
      <c r="A328" s="8"/>
      <c r="B328" s="8"/>
      <c r="C328" s="8"/>
      <c r="D328" s="8"/>
      <c r="E328" s="8"/>
      <c r="F328" s="8"/>
    </row>
    <row r="329" spans="1:6" x14ac:dyDescent="0.25">
      <c r="A329" s="8"/>
      <c r="B329" s="8"/>
      <c r="C329" s="8"/>
      <c r="D329" s="8"/>
      <c r="E329" s="8"/>
      <c r="F329" s="8"/>
    </row>
    <row r="330" spans="1:6" x14ac:dyDescent="0.25">
      <c r="A330" s="8"/>
      <c r="B330" s="8"/>
      <c r="C330" s="8"/>
      <c r="D330" s="8"/>
      <c r="E330" s="8"/>
      <c r="F330" s="8"/>
    </row>
    <row r="331" spans="1:6" x14ac:dyDescent="0.25">
      <c r="A331" s="8"/>
      <c r="B331" s="8"/>
      <c r="C331" s="8"/>
      <c r="D331" s="8"/>
      <c r="E331" s="8"/>
      <c r="F331" s="8"/>
    </row>
    <row r="332" spans="1:6" x14ac:dyDescent="0.25">
      <c r="A332" s="8"/>
      <c r="B332" s="8"/>
      <c r="C332" s="8"/>
      <c r="D332" s="8"/>
      <c r="E332" s="8"/>
      <c r="F332" s="8"/>
    </row>
    <row r="333" spans="1:6" x14ac:dyDescent="0.25">
      <c r="A333" s="8"/>
      <c r="B333" s="8"/>
      <c r="C333" s="8"/>
      <c r="D333" s="8"/>
      <c r="E333" s="8"/>
      <c r="F333" s="8"/>
    </row>
    <row r="334" spans="1:6" x14ac:dyDescent="0.25">
      <c r="A334" s="8"/>
      <c r="B334" s="8"/>
      <c r="C334" s="8"/>
      <c r="D334" s="8"/>
      <c r="E334" s="8"/>
      <c r="F334" s="8"/>
    </row>
    <row r="335" spans="1:6" x14ac:dyDescent="0.25">
      <c r="A335" s="8"/>
      <c r="B335" s="8"/>
      <c r="C335" s="8"/>
      <c r="D335" s="8"/>
      <c r="E335" s="8"/>
      <c r="F335" s="8"/>
    </row>
    <row r="336" spans="1:6" x14ac:dyDescent="0.25">
      <c r="A336" s="8"/>
      <c r="B336" s="8"/>
      <c r="C336" s="8"/>
      <c r="D336" s="8"/>
      <c r="E336" s="8"/>
      <c r="F336" s="8"/>
    </row>
    <row r="337" spans="1:6" x14ac:dyDescent="0.25">
      <c r="A337" s="8"/>
      <c r="B337" s="8"/>
      <c r="C337" s="8"/>
      <c r="D337" s="8"/>
      <c r="E337" s="8"/>
      <c r="F337" s="8"/>
    </row>
    <row r="338" spans="1:6" x14ac:dyDescent="0.25">
      <c r="A338" s="8"/>
      <c r="B338" s="8"/>
      <c r="C338" s="8"/>
      <c r="D338" s="8"/>
      <c r="E338" s="8"/>
      <c r="F338" s="8"/>
    </row>
    <row r="339" spans="1:6" x14ac:dyDescent="0.25">
      <c r="A339" s="8"/>
      <c r="B339" s="8"/>
      <c r="C339" s="8"/>
      <c r="D339" s="8"/>
      <c r="E339" s="8"/>
      <c r="F339" s="8"/>
    </row>
    <row r="340" spans="1:6" x14ac:dyDescent="0.25">
      <c r="A340" s="8"/>
      <c r="B340" s="8"/>
      <c r="C340" s="8"/>
      <c r="D340" s="8"/>
      <c r="E340" s="8"/>
      <c r="F340" s="8"/>
    </row>
    <row r="341" spans="1:6" x14ac:dyDescent="0.25">
      <c r="A341" s="8"/>
      <c r="B341" s="8"/>
      <c r="C341" s="8"/>
      <c r="D341" s="8"/>
      <c r="E341" s="8"/>
      <c r="F341" s="8"/>
    </row>
    <row r="342" spans="1:6" x14ac:dyDescent="0.25">
      <c r="A342" s="8"/>
      <c r="B342" s="8"/>
      <c r="C342" s="8"/>
      <c r="D342" s="8"/>
      <c r="E342" s="8"/>
      <c r="F342" s="8"/>
    </row>
    <row r="343" spans="1:6" x14ac:dyDescent="0.25">
      <c r="A343" s="8"/>
      <c r="B343" s="8"/>
      <c r="C343" s="8"/>
      <c r="D343" s="8"/>
      <c r="E343" s="8"/>
      <c r="F343" s="8"/>
    </row>
    <row r="344" spans="1:6" x14ac:dyDescent="0.25">
      <c r="A344" s="8"/>
      <c r="B344" s="8"/>
      <c r="C344" s="8"/>
      <c r="D344" s="8"/>
      <c r="E344" s="8"/>
      <c r="F344" s="8"/>
    </row>
    <row r="345" spans="1:6" x14ac:dyDescent="0.25">
      <c r="A345" s="8"/>
      <c r="B345" s="8"/>
      <c r="C345" s="8"/>
      <c r="D345" s="8"/>
      <c r="E345" s="8"/>
      <c r="F345" s="8"/>
    </row>
    <row r="346" spans="1:6" x14ac:dyDescent="0.25">
      <c r="A346" s="8"/>
      <c r="B346" s="8"/>
      <c r="C346" s="8"/>
      <c r="D346" s="8"/>
      <c r="E346" s="8"/>
      <c r="F346" s="8"/>
    </row>
    <row r="347" spans="1:6" x14ac:dyDescent="0.25">
      <c r="A347" s="8"/>
      <c r="B347" s="8"/>
      <c r="C347" s="8"/>
      <c r="D347" s="8"/>
      <c r="E347" s="8"/>
      <c r="F347" s="8"/>
    </row>
    <row r="348" spans="1:6" x14ac:dyDescent="0.25">
      <c r="A348" s="8"/>
      <c r="B348" s="8"/>
      <c r="C348" s="8"/>
      <c r="D348" s="8"/>
      <c r="E348" s="8"/>
      <c r="F348" s="8"/>
    </row>
    <row r="349" spans="1:6" x14ac:dyDescent="0.25">
      <c r="A349" s="8"/>
      <c r="B349" s="8"/>
      <c r="C349" s="8"/>
      <c r="D349" s="8"/>
      <c r="E349" s="8"/>
      <c r="F349" s="8"/>
    </row>
    <row r="350" spans="1:6" x14ac:dyDescent="0.25">
      <c r="A350" s="8"/>
      <c r="B350" s="8"/>
      <c r="C350" s="8"/>
      <c r="D350" s="8"/>
      <c r="E350" s="8"/>
      <c r="F350" s="8"/>
    </row>
    <row r="351" spans="1:6" x14ac:dyDescent="0.25">
      <c r="A351" s="8"/>
      <c r="B351" s="8"/>
      <c r="C351" s="8"/>
      <c r="D351" s="8"/>
      <c r="E351" s="8"/>
      <c r="F351" s="8"/>
    </row>
    <row r="352" spans="1:6" x14ac:dyDescent="0.25">
      <c r="A352" s="8"/>
      <c r="B352" s="8"/>
      <c r="C352" s="8"/>
      <c r="D352" s="8"/>
      <c r="E352" s="8"/>
      <c r="F352" s="8"/>
    </row>
    <row r="353" spans="1:6" x14ac:dyDescent="0.25">
      <c r="A353" s="8"/>
      <c r="B353" s="8"/>
      <c r="C353" s="8"/>
      <c r="D353" s="8"/>
      <c r="E353" s="8"/>
      <c r="F353" s="8"/>
    </row>
    <row r="354" spans="1:6" x14ac:dyDescent="0.25">
      <c r="A354" s="8"/>
      <c r="B354" s="8"/>
      <c r="C354" s="8"/>
      <c r="D354" s="8"/>
      <c r="E354" s="8"/>
      <c r="F354" s="8"/>
    </row>
    <row r="355" spans="1:6" x14ac:dyDescent="0.25">
      <c r="A355" s="8"/>
      <c r="B355" s="8"/>
      <c r="C355" s="8"/>
      <c r="D355" s="8"/>
      <c r="E355" s="8"/>
      <c r="F355" s="8"/>
    </row>
    <row r="356" spans="1:6" x14ac:dyDescent="0.25">
      <c r="A356" s="8"/>
      <c r="B356" s="8"/>
      <c r="C356" s="8"/>
      <c r="D356" s="8"/>
      <c r="E356" s="8"/>
      <c r="F356" s="8"/>
    </row>
    <row r="357" spans="1:6" x14ac:dyDescent="0.25">
      <c r="A357" s="8"/>
      <c r="B357" s="8"/>
      <c r="C357" s="8"/>
      <c r="D357" s="8"/>
      <c r="E357" s="8"/>
      <c r="F357" s="8"/>
    </row>
    <row r="358" spans="1:6" x14ac:dyDescent="0.25">
      <c r="A358" s="8"/>
      <c r="B358" s="8"/>
      <c r="C358" s="8"/>
      <c r="D358" s="8"/>
      <c r="E358" s="8"/>
      <c r="F358" s="8"/>
    </row>
    <row r="359" spans="1:6" x14ac:dyDescent="0.25">
      <c r="A359" s="8"/>
      <c r="B359" s="8"/>
      <c r="C359" s="8"/>
      <c r="D359" s="8"/>
      <c r="E359" s="8"/>
      <c r="F359" s="8"/>
    </row>
    <row r="360" spans="1:6" x14ac:dyDescent="0.25">
      <c r="A360" s="8"/>
      <c r="B360" s="8"/>
      <c r="C360" s="8"/>
      <c r="D360" s="8"/>
      <c r="E360" s="8"/>
      <c r="F360" s="8"/>
    </row>
    <row r="361" spans="1:6" x14ac:dyDescent="0.25">
      <c r="A361" s="8"/>
      <c r="B361" s="8"/>
      <c r="C361" s="8"/>
      <c r="D361" s="8"/>
      <c r="E361" s="8"/>
      <c r="F361" s="8"/>
    </row>
    <row r="362" spans="1:6" x14ac:dyDescent="0.25">
      <c r="A362" s="8"/>
      <c r="B362" s="8"/>
      <c r="C362" s="8"/>
      <c r="D362" s="8"/>
      <c r="E362" s="8"/>
      <c r="F362" s="8"/>
    </row>
    <row r="363" spans="1:6" x14ac:dyDescent="0.25">
      <c r="A363" s="8"/>
      <c r="B363" s="8"/>
      <c r="C363" s="8"/>
      <c r="D363" s="8"/>
      <c r="E363" s="8"/>
      <c r="F363" s="8"/>
    </row>
    <row r="364" spans="1:6" x14ac:dyDescent="0.25">
      <c r="A364" s="8"/>
      <c r="B364" s="8"/>
      <c r="C364" s="8"/>
      <c r="D364" s="8"/>
      <c r="E364" s="8"/>
      <c r="F364" s="8"/>
    </row>
    <row r="365" spans="1:6" x14ac:dyDescent="0.25">
      <c r="A365" s="8"/>
      <c r="B365" s="8"/>
      <c r="C365" s="8"/>
      <c r="D365" s="8"/>
      <c r="E365" s="8"/>
      <c r="F365" s="8"/>
    </row>
    <row r="366" spans="1:6" x14ac:dyDescent="0.25">
      <c r="A366" s="8"/>
      <c r="B366" s="8"/>
      <c r="C366" s="8"/>
      <c r="D366" s="8"/>
      <c r="E366" s="8"/>
      <c r="F366" s="8"/>
    </row>
    <row r="367" spans="1:6" x14ac:dyDescent="0.25">
      <c r="A367" s="8"/>
      <c r="B367" s="8"/>
      <c r="C367" s="8"/>
      <c r="D367" s="8"/>
      <c r="E367" s="8"/>
      <c r="F367" s="8"/>
    </row>
    <row r="368" spans="1:6" x14ac:dyDescent="0.25">
      <c r="A368" s="8"/>
      <c r="B368" s="8"/>
      <c r="C368" s="8"/>
      <c r="D368" s="8"/>
      <c r="E368" s="8"/>
      <c r="F368" s="8"/>
    </row>
    <row r="369" spans="1:6" x14ac:dyDescent="0.25">
      <c r="A369" s="8"/>
      <c r="B369" s="8"/>
      <c r="C369" s="8"/>
      <c r="D369" s="8"/>
      <c r="E369" s="8"/>
      <c r="F369" s="8"/>
    </row>
    <row r="370" spans="1:6" x14ac:dyDescent="0.25">
      <c r="A370" s="8"/>
      <c r="B370" s="8"/>
      <c r="C370" s="8"/>
      <c r="D370" s="8"/>
      <c r="E370" s="8"/>
      <c r="F370" s="8"/>
    </row>
    <row r="371" spans="1:6" x14ac:dyDescent="0.25">
      <c r="A371" s="8"/>
      <c r="B371" s="8"/>
      <c r="C371" s="8"/>
      <c r="D371" s="8"/>
      <c r="E371" s="8"/>
      <c r="F371" s="8"/>
    </row>
    <row r="372" spans="1:6" x14ac:dyDescent="0.25">
      <c r="A372" s="8"/>
      <c r="B372" s="8"/>
      <c r="C372" s="8"/>
      <c r="D372" s="8"/>
      <c r="E372" s="8"/>
      <c r="F372" s="8"/>
    </row>
    <row r="373" spans="1:6" x14ac:dyDescent="0.25">
      <c r="A373" s="8"/>
      <c r="B373" s="8"/>
      <c r="C373" s="8"/>
      <c r="D373" s="8"/>
      <c r="E373" s="8"/>
      <c r="F373" s="8"/>
    </row>
    <row r="374" spans="1:6" x14ac:dyDescent="0.25">
      <c r="A374" s="8"/>
      <c r="B374" s="8"/>
      <c r="C374" s="8"/>
      <c r="D374" s="8"/>
      <c r="E374" s="8"/>
      <c r="F374" s="8"/>
    </row>
    <row r="375" spans="1:6" x14ac:dyDescent="0.25">
      <c r="A375" s="8"/>
      <c r="B375" s="8"/>
      <c r="C375" s="8"/>
      <c r="D375" s="8"/>
      <c r="E375" s="8"/>
      <c r="F375" s="8"/>
    </row>
    <row r="376" spans="1:6" x14ac:dyDescent="0.25">
      <c r="A376" s="8"/>
      <c r="B376" s="8"/>
      <c r="C376" s="8"/>
      <c r="D376" s="8"/>
      <c r="E376" s="8"/>
      <c r="F376" s="8"/>
    </row>
    <row r="377" spans="1:6" x14ac:dyDescent="0.25">
      <c r="A377" s="8"/>
      <c r="B377" s="8"/>
      <c r="C377" s="8"/>
      <c r="D377" s="8"/>
      <c r="E377" s="8"/>
      <c r="F377" s="8"/>
    </row>
    <row r="378" spans="1:6" x14ac:dyDescent="0.25">
      <c r="A378" s="8"/>
      <c r="B378" s="8"/>
      <c r="C378" s="8"/>
      <c r="D378" s="8"/>
      <c r="E378" s="8"/>
      <c r="F378" s="8"/>
    </row>
    <row r="379" spans="1:6" x14ac:dyDescent="0.25">
      <c r="A379" s="8"/>
      <c r="B379" s="8"/>
      <c r="C379" s="8"/>
      <c r="D379" s="8"/>
      <c r="E379" s="8"/>
      <c r="F379" s="8"/>
    </row>
    <row r="380" spans="1:6" x14ac:dyDescent="0.25">
      <c r="A380" s="8"/>
      <c r="B380" s="8"/>
      <c r="C380" s="8"/>
      <c r="D380" s="8"/>
      <c r="E380" s="8"/>
      <c r="F380" s="8"/>
    </row>
    <row r="381" spans="1:6" x14ac:dyDescent="0.25">
      <c r="A381" s="8"/>
      <c r="B381" s="8"/>
      <c r="C381" s="8"/>
      <c r="D381" s="8"/>
      <c r="E381" s="8"/>
      <c r="F381" s="8"/>
    </row>
    <row r="382" spans="1:6" x14ac:dyDescent="0.25">
      <c r="A382" s="8"/>
      <c r="B382" s="8"/>
      <c r="C382" s="8"/>
      <c r="D382" s="8"/>
      <c r="E382" s="8"/>
      <c r="F382" s="8"/>
    </row>
    <row r="383" spans="1:6" x14ac:dyDescent="0.25">
      <c r="A383" s="8"/>
      <c r="B383" s="8"/>
      <c r="C383" s="8"/>
      <c r="D383" s="8"/>
      <c r="E383" s="8"/>
      <c r="F383" s="8"/>
    </row>
    <row r="384" spans="1:6" x14ac:dyDescent="0.25">
      <c r="A384" s="8"/>
      <c r="B384" s="8"/>
      <c r="C384" s="8"/>
      <c r="D384" s="8"/>
      <c r="E384" s="8"/>
      <c r="F384" s="8"/>
    </row>
    <row r="385" spans="1:6" x14ac:dyDescent="0.25">
      <c r="A385" s="8"/>
      <c r="B385" s="8"/>
      <c r="C385" s="8"/>
      <c r="D385" s="8"/>
      <c r="E385" s="8"/>
      <c r="F385" s="8"/>
    </row>
    <row r="386" spans="1:6" x14ac:dyDescent="0.25">
      <c r="A386" s="8"/>
      <c r="B386" s="8"/>
      <c r="C386" s="8"/>
      <c r="D386" s="8"/>
      <c r="E386" s="8"/>
      <c r="F386" s="8"/>
    </row>
    <row r="387" spans="1:6" x14ac:dyDescent="0.25">
      <c r="A387" s="8"/>
      <c r="B387" s="8"/>
      <c r="C387" s="8"/>
      <c r="D387" s="8"/>
      <c r="E387" s="8"/>
      <c r="F387" s="8"/>
    </row>
    <row r="388" spans="1:6" x14ac:dyDescent="0.25">
      <c r="A388" s="8"/>
      <c r="B388" s="8"/>
      <c r="C388" s="8"/>
      <c r="D388" s="8"/>
      <c r="E388" s="8"/>
      <c r="F388" s="8"/>
    </row>
    <row r="389" spans="1:6" x14ac:dyDescent="0.25">
      <c r="A389" s="8"/>
      <c r="B389" s="8"/>
      <c r="C389" s="8"/>
      <c r="D389" s="8"/>
      <c r="E389" s="8"/>
      <c r="F389" s="8"/>
    </row>
    <row r="390" spans="1:6" x14ac:dyDescent="0.25">
      <c r="A390" s="8"/>
      <c r="B390" s="8"/>
      <c r="C390" s="8"/>
      <c r="D390" s="8"/>
      <c r="E390" s="8"/>
      <c r="F390" s="8"/>
    </row>
    <row r="391" spans="1:6" x14ac:dyDescent="0.25">
      <c r="A391" s="8"/>
      <c r="B391" s="8"/>
      <c r="C391" s="8"/>
      <c r="D391" s="8"/>
      <c r="E391" s="8"/>
      <c r="F391" s="8"/>
    </row>
    <row r="392" spans="1:6" x14ac:dyDescent="0.25">
      <c r="A392" s="8"/>
      <c r="B392" s="8"/>
      <c r="C392" s="8"/>
      <c r="D392" s="8"/>
      <c r="E392" s="8"/>
      <c r="F392" s="8"/>
    </row>
    <row r="393" spans="1:6" x14ac:dyDescent="0.25">
      <c r="A393" s="8"/>
      <c r="B393" s="8"/>
      <c r="C393" s="8"/>
      <c r="D393" s="8"/>
      <c r="E393" s="8"/>
      <c r="F393" s="8"/>
    </row>
    <row r="394" spans="1:6" x14ac:dyDescent="0.25">
      <c r="A394" s="8"/>
      <c r="B394" s="8"/>
      <c r="C394" s="8"/>
      <c r="D394" s="8"/>
      <c r="E394" s="8"/>
      <c r="F394" s="8"/>
    </row>
    <row r="395" spans="1:6" x14ac:dyDescent="0.25">
      <c r="A395" s="8"/>
      <c r="B395" s="8"/>
      <c r="C395" s="8"/>
      <c r="D395" s="8"/>
      <c r="E395" s="8"/>
      <c r="F395" s="8"/>
    </row>
    <row r="396" spans="1:6" x14ac:dyDescent="0.25">
      <c r="A396" s="8"/>
      <c r="B396" s="8"/>
      <c r="C396" s="8"/>
      <c r="D396" s="8"/>
      <c r="E396" s="8"/>
      <c r="F396" s="8"/>
    </row>
    <row r="397" spans="1:6" x14ac:dyDescent="0.25">
      <c r="A397" s="8"/>
      <c r="B397" s="8"/>
      <c r="C397" s="8"/>
      <c r="D397" s="8"/>
      <c r="E397" s="8"/>
      <c r="F397" s="8"/>
    </row>
    <row r="398" spans="1:6" x14ac:dyDescent="0.25">
      <c r="A398" s="8"/>
      <c r="B398" s="8"/>
      <c r="C398" s="8"/>
      <c r="D398" s="8"/>
      <c r="E398" s="8"/>
      <c r="F398" s="8"/>
    </row>
    <row r="399" spans="1:6" x14ac:dyDescent="0.25">
      <c r="A399" s="8"/>
      <c r="B399" s="8"/>
      <c r="C399" s="8"/>
      <c r="D399" s="8"/>
      <c r="E399" s="8"/>
      <c r="F399" s="8"/>
    </row>
    <row r="400" spans="1:6" x14ac:dyDescent="0.25">
      <c r="A400" s="8"/>
      <c r="B400" s="8"/>
      <c r="C400" s="8"/>
      <c r="D400" s="8"/>
      <c r="E400" s="8"/>
      <c r="F400" s="8"/>
    </row>
    <row r="401" spans="1:6" x14ac:dyDescent="0.25">
      <c r="A401" s="8"/>
      <c r="B401" s="8"/>
      <c r="C401" s="8"/>
      <c r="D401" s="8"/>
      <c r="E401" s="8"/>
      <c r="F401" s="8"/>
    </row>
    <row r="402" spans="1:6" x14ac:dyDescent="0.25">
      <c r="A402" s="8"/>
      <c r="B402" s="8"/>
      <c r="C402" s="8"/>
      <c r="D402" s="8"/>
      <c r="E402" s="8"/>
      <c r="F402" s="8"/>
    </row>
    <row r="403" spans="1:6" x14ac:dyDescent="0.25">
      <c r="A403" s="8"/>
      <c r="B403" s="8"/>
      <c r="C403" s="8"/>
      <c r="D403" s="8"/>
      <c r="E403" s="8"/>
      <c r="F403" s="8"/>
    </row>
    <row r="404" spans="1:6" x14ac:dyDescent="0.25">
      <c r="A404" s="8"/>
      <c r="B404" s="8"/>
      <c r="C404" s="8"/>
      <c r="D404" s="8"/>
      <c r="E404" s="8"/>
      <c r="F404" s="8"/>
    </row>
    <row r="405" spans="1:6" x14ac:dyDescent="0.25">
      <c r="A405" s="8"/>
      <c r="B405" s="8"/>
      <c r="C405" s="8"/>
      <c r="D405" s="8"/>
      <c r="E405" s="8"/>
      <c r="F405" s="8"/>
    </row>
    <row r="406" spans="1:6" x14ac:dyDescent="0.25">
      <c r="A406" s="8"/>
      <c r="B406" s="8"/>
      <c r="C406" s="8"/>
      <c r="D406" s="8"/>
      <c r="E406" s="8"/>
      <c r="F406" s="8"/>
    </row>
    <row r="407" spans="1:6" x14ac:dyDescent="0.25">
      <c r="A407" s="8"/>
      <c r="B407" s="8"/>
      <c r="C407" s="8"/>
      <c r="D407" s="8"/>
      <c r="E407" s="8"/>
      <c r="F407" s="8"/>
    </row>
    <row r="408" spans="1:6" x14ac:dyDescent="0.25">
      <c r="A408" s="8"/>
      <c r="B408" s="8"/>
      <c r="C408" s="8"/>
      <c r="D408" s="8"/>
      <c r="E408" s="8"/>
      <c r="F408" s="8"/>
    </row>
    <row r="409" spans="1:6" x14ac:dyDescent="0.25">
      <c r="A409" s="8"/>
      <c r="B409" s="8"/>
      <c r="C409" s="8"/>
      <c r="D409" s="8"/>
      <c r="E409" s="8"/>
      <c r="F409" s="8"/>
    </row>
    <row r="410" spans="1:6" x14ac:dyDescent="0.25">
      <c r="A410" s="8"/>
      <c r="B410" s="8"/>
      <c r="C410" s="8"/>
      <c r="D410" s="8"/>
      <c r="E410" s="8"/>
      <c r="F410" s="8"/>
    </row>
    <row r="411" spans="1:6" x14ac:dyDescent="0.25">
      <c r="A411" s="8"/>
      <c r="B411" s="8"/>
      <c r="C411" s="8"/>
      <c r="D411" s="8"/>
      <c r="E411" s="8"/>
      <c r="F411" s="8"/>
    </row>
    <row r="412" spans="1:6" x14ac:dyDescent="0.25">
      <c r="A412" s="8"/>
      <c r="B412" s="8"/>
      <c r="C412" s="8"/>
      <c r="D412" s="8"/>
      <c r="E412" s="8"/>
      <c r="F412" s="8"/>
    </row>
    <row r="413" spans="1:6" x14ac:dyDescent="0.25">
      <c r="A413" s="8"/>
      <c r="B413" s="8"/>
      <c r="C413" s="8"/>
      <c r="D413" s="8"/>
      <c r="E413" s="8"/>
      <c r="F413" s="8"/>
    </row>
    <row r="414" spans="1:6" x14ac:dyDescent="0.25">
      <c r="A414" s="8"/>
      <c r="B414" s="8"/>
      <c r="C414" s="8"/>
      <c r="D414" s="8"/>
      <c r="E414" s="8"/>
      <c r="F414" s="8"/>
    </row>
    <row r="415" spans="1:6" x14ac:dyDescent="0.25">
      <c r="A415" s="8"/>
      <c r="B415" s="8"/>
      <c r="C415" s="8"/>
      <c r="D415" s="8"/>
      <c r="E415" s="8"/>
      <c r="F415" s="8"/>
    </row>
    <row r="416" spans="1:6" x14ac:dyDescent="0.25">
      <c r="A416" s="8"/>
      <c r="B416" s="8"/>
      <c r="C416" s="8"/>
      <c r="D416" s="8"/>
      <c r="E416" s="8"/>
      <c r="F416" s="8"/>
    </row>
    <row r="417" spans="1:6" x14ac:dyDescent="0.25">
      <c r="A417" s="8"/>
      <c r="B417" s="8"/>
      <c r="C417" s="8"/>
      <c r="D417" s="8"/>
      <c r="E417" s="8"/>
      <c r="F417" s="8"/>
    </row>
    <row r="418" spans="1:6" x14ac:dyDescent="0.25">
      <c r="A418" s="8"/>
      <c r="B418" s="8"/>
      <c r="C418" s="8"/>
      <c r="D418" s="8"/>
      <c r="E418" s="8"/>
      <c r="F418" s="8"/>
    </row>
    <row r="419" spans="1:6" x14ac:dyDescent="0.25">
      <c r="A419" s="8"/>
      <c r="B419" s="8"/>
      <c r="C419" s="8"/>
      <c r="D419" s="8"/>
      <c r="E419" s="8"/>
      <c r="F419" s="8"/>
    </row>
    <row r="420" spans="1:6" x14ac:dyDescent="0.25">
      <c r="A420" s="8"/>
      <c r="B420" s="8"/>
      <c r="C420" s="8"/>
      <c r="D420" s="8"/>
      <c r="E420" s="8"/>
      <c r="F420" s="8"/>
    </row>
    <row r="421" spans="1:6" x14ac:dyDescent="0.25">
      <c r="A421" s="8"/>
      <c r="B421" s="8"/>
      <c r="C421" s="8"/>
      <c r="D421" s="8"/>
      <c r="E421" s="8"/>
      <c r="F421" s="8"/>
    </row>
    <row r="422" spans="1:6" x14ac:dyDescent="0.25">
      <c r="A422" s="8"/>
      <c r="B422" s="8"/>
      <c r="C422" s="8"/>
      <c r="D422" s="8"/>
      <c r="E422" s="8"/>
      <c r="F422" s="8"/>
    </row>
    <row r="423" spans="1:6" x14ac:dyDescent="0.25">
      <c r="A423" s="8"/>
      <c r="B423" s="8"/>
      <c r="C423" s="8"/>
      <c r="D423" s="8"/>
      <c r="E423" s="8"/>
      <c r="F423" s="8"/>
    </row>
    <row r="424" spans="1:6" x14ac:dyDescent="0.25">
      <c r="A424" s="8"/>
      <c r="B424" s="8"/>
      <c r="C424" s="8"/>
      <c r="D424" s="8"/>
      <c r="E424" s="8"/>
      <c r="F424" s="8"/>
    </row>
    <row r="425" spans="1:6" x14ac:dyDescent="0.25">
      <c r="A425" s="8"/>
      <c r="B425" s="8"/>
      <c r="C425" s="8"/>
      <c r="D425" s="8"/>
      <c r="E425" s="8"/>
      <c r="F425" s="8"/>
    </row>
    <row r="426" spans="1:6" x14ac:dyDescent="0.25">
      <c r="A426" s="8"/>
      <c r="B426" s="8"/>
      <c r="C426" s="8"/>
      <c r="D426" s="8"/>
      <c r="E426" s="8"/>
      <c r="F426" s="8"/>
    </row>
    <row r="427" spans="1:6" x14ac:dyDescent="0.25">
      <c r="A427" s="8"/>
      <c r="B427" s="8"/>
      <c r="C427" s="8"/>
      <c r="D427" s="8"/>
      <c r="E427" s="8"/>
      <c r="F427" s="8"/>
    </row>
    <row r="428" spans="1:6" x14ac:dyDescent="0.25">
      <c r="A428" s="8"/>
      <c r="B428" s="8"/>
      <c r="C428" s="8"/>
      <c r="D428" s="8"/>
      <c r="E428" s="8"/>
      <c r="F428" s="8"/>
    </row>
    <row r="429" spans="1:6" x14ac:dyDescent="0.25">
      <c r="A429" s="8"/>
      <c r="B429" s="8"/>
      <c r="C429" s="8"/>
      <c r="D429" s="8"/>
      <c r="E429" s="8"/>
      <c r="F429" s="8"/>
    </row>
    <row r="430" spans="1:6" x14ac:dyDescent="0.25">
      <c r="A430" s="8"/>
      <c r="B430" s="8"/>
      <c r="C430" s="8"/>
      <c r="D430" s="8"/>
      <c r="E430" s="8"/>
      <c r="F430" s="8"/>
    </row>
    <row r="431" spans="1:6" x14ac:dyDescent="0.25">
      <c r="A431" s="8"/>
      <c r="B431" s="8"/>
      <c r="C431" s="8"/>
      <c r="D431" s="8"/>
      <c r="E431" s="8"/>
      <c r="F431" s="8"/>
    </row>
    <row r="432" spans="1:6" x14ac:dyDescent="0.25">
      <c r="A432" s="8"/>
      <c r="B432" s="8"/>
      <c r="C432" s="8"/>
      <c r="D432" s="8"/>
      <c r="E432" s="8"/>
      <c r="F432" s="8"/>
    </row>
    <row r="433" spans="1:6" x14ac:dyDescent="0.25">
      <c r="A433" s="8"/>
      <c r="B433" s="8"/>
      <c r="C433" s="8"/>
      <c r="D433" s="8"/>
      <c r="E433" s="8"/>
      <c r="F433" s="8"/>
    </row>
    <row r="434" spans="1:6" x14ac:dyDescent="0.25">
      <c r="A434" s="8"/>
      <c r="B434" s="8"/>
      <c r="C434" s="8"/>
      <c r="D434" s="8"/>
      <c r="E434" s="8"/>
      <c r="F434" s="8"/>
    </row>
    <row r="435" spans="1:6" x14ac:dyDescent="0.25">
      <c r="A435" s="8"/>
      <c r="B435" s="8"/>
      <c r="C435" s="8"/>
      <c r="D435" s="8"/>
      <c r="E435" s="8"/>
      <c r="F435" s="8"/>
    </row>
    <row r="436" spans="1:6" x14ac:dyDescent="0.25">
      <c r="A436" s="8"/>
      <c r="B436" s="8"/>
      <c r="C436" s="8"/>
      <c r="D436" s="8"/>
      <c r="E436" s="8"/>
      <c r="F436" s="8"/>
    </row>
    <row r="437" spans="1:6" x14ac:dyDescent="0.25">
      <c r="A437" s="8"/>
      <c r="B437" s="8"/>
      <c r="C437" s="8"/>
      <c r="D437" s="8"/>
      <c r="E437" s="8"/>
      <c r="F437" s="8"/>
    </row>
    <row r="438" spans="1:6" x14ac:dyDescent="0.25">
      <c r="A438" s="8"/>
      <c r="B438" s="8"/>
      <c r="C438" s="8"/>
      <c r="D438" s="8"/>
      <c r="E438" s="8"/>
      <c r="F438" s="8"/>
    </row>
    <row r="439" spans="1:6" x14ac:dyDescent="0.25">
      <c r="A439" s="8"/>
      <c r="B439" s="8"/>
      <c r="C439" s="8"/>
      <c r="D439" s="8"/>
      <c r="E439" s="8"/>
      <c r="F439" s="8"/>
    </row>
    <row r="440" spans="1:6" x14ac:dyDescent="0.25">
      <c r="A440" s="8"/>
      <c r="B440" s="8"/>
      <c r="C440" s="8"/>
      <c r="D440" s="8"/>
      <c r="E440" s="8"/>
      <c r="F440" s="8"/>
    </row>
    <row r="441" spans="1:6" x14ac:dyDescent="0.25">
      <c r="A441" s="8"/>
      <c r="B441" s="8"/>
      <c r="C441" s="8"/>
      <c r="D441" s="8"/>
      <c r="E441" s="8"/>
      <c r="F441" s="8"/>
    </row>
    <row r="442" spans="1:6" x14ac:dyDescent="0.25">
      <c r="A442" s="8"/>
      <c r="B442" s="8"/>
      <c r="C442" s="8"/>
      <c r="D442" s="8"/>
      <c r="E442" s="8"/>
      <c r="F442" s="8"/>
    </row>
    <row r="443" spans="1:6" x14ac:dyDescent="0.25">
      <c r="A443" s="8"/>
      <c r="B443" s="8"/>
      <c r="C443" s="8"/>
      <c r="D443" s="8"/>
      <c r="E443" s="8"/>
      <c r="F443" s="8"/>
    </row>
    <row r="444" spans="1:6" x14ac:dyDescent="0.25">
      <c r="A444" s="8"/>
      <c r="B444" s="8"/>
      <c r="C444" s="8"/>
      <c r="D444" s="8"/>
      <c r="E444" s="8"/>
      <c r="F444" s="8"/>
    </row>
    <row r="445" spans="1:6" x14ac:dyDescent="0.25">
      <c r="A445" s="8"/>
      <c r="B445" s="8"/>
      <c r="C445" s="8"/>
      <c r="D445" s="8"/>
      <c r="E445" s="8"/>
      <c r="F445" s="8"/>
    </row>
    <row r="446" spans="1:6" x14ac:dyDescent="0.25">
      <c r="A446" s="8"/>
      <c r="B446" s="8"/>
      <c r="C446" s="8"/>
      <c r="D446" s="8"/>
      <c r="E446" s="8"/>
      <c r="F446" s="8"/>
    </row>
    <row r="447" spans="1:6" x14ac:dyDescent="0.25">
      <c r="A447" s="8"/>
      <c r="B447" s="8"/>
      <c r="C447" s="8"/>
      <c r="D447" s="8"/>
      <c r="E447" s="8"/>
      <c r="F447" s="8"/>
    </row>
    <row r="448" spans="1:6" x14ac:dyDescent="0.25">
      <c r="A448" s="8"/>
      <c r="B448" s="8"/>
      <c r="C448" s="8"/>
      <c r="D448" s="8"/>
      <c r="E448" s="8"/>
      <c r="F448" s="8"/>
    </row>
    <row r="449" spans="1:6" x14ac:dyDescent="0.25">
      <c r="A449" s="8"/>
      <c r="B449" s="8"/>
      <c r="C449" s="8"/>
      <c r="D449" s="8"/>
      <c r="E449" s="8"/>
      <c r="F449" s="8"/>
    </row>
    <row r="450" spans="1:6" x14ac:dyDescent="0.25">
      <c r="A450" s="8"/>
      <c r="B450" s="8"/>
      <c r="C450" s="8"/>
      <c r="D450" s="8"/>
      <c r="E450" s="8"/>
      <c r="F450" s="8"/>
    </row>
    <row r="451" spans="1:6" x14ac:dyDescent="0.25">
      <c r="A451" s="8"/>
      <c r="B451" s="8"/>
      <c r="C451" s="8"/>
      <c r="D451" s="8"/>
      <c r="E451" s="8"/>
      <c r="F451" s="8"/>
    </row>
    <row r="452" spans="1:6" x14ac:dyDescent="0.25">
      <c r="A452" s="8"/>
      <c r="B452" s="8"/>
      <c r="C452" s="8"/>
      <c r="D452" s="8"/>
      <c r="E452" s="8"/>
      <c r="F452" s="8"/>
    </row>
    <row r="453" spans="1:6" x14ac:dyDescent="0.25">
      <c r="A453" s="8"/>
      <c r="B453" s="8"/>
      <c r="C453" s="8"/>
      <c r="D453" s="8"/>
      <c r="E453" s="8"/>
      <c r="F453" s="8"/>
    </row>
    <row r="454" spans="1:6" x14ac:dyDescent="0.25">
      <c r="A454" s="8"/>
      <c r="B454" s="8"/>
      <c r="C454" s="8"/>
      <c r="D454" s="8"/>
      <c r="E454" s="8"/>
      <c r="F454" s="8"/>
    </row>
    <row r="455" spans="1:6" x14ac:dyDescent="0.25">
      <c r="A455" s="8"/>
      <c r="B455" s="8"/>
      <c r="C455" s="8"/>
      <c r="D455" s="8"/>
      <c r="E455" s="8"/>
      <c r="F455" s="8"/>
    </row>
    <row r="456" spans="1:6" x14ac:dyDescent="0.25">
      <c r="A456" s="8"/>
      <c r="B456" s="8"/>
      <c r="C456" s="8"/>
      <c r="D456" s="8"/>
      <c r="E456" s="8"/>
      <c r="F456" s="8"/>
    </row>
    <row r="457" spans="1:6" x14ac:dyDescent="0.25">
      <c r="A457" s="8"/>
      <c r="B457" s="8"/>
      <c r="C457" s="8"/>
      <c r="D457" s="8"/>
      <c r="E457" s="8"/>
      <c r="F457" s="8"/>
    </row>
    <row r="458" spans="1:6" x14ac:dyDescent="0.25">
      <c r="A458" s="8"/>
      <c r="B458" s="8"/>
      <c r="C458" s="8"/>
      <c r="D458" s="8"/>
      <c r="E458" s="8"/>
      <c r="F458" s="8"/>
    </row>
    <row r="459" spans="1:6" x14ac:dyDescent="0.25">
      <c r="A459" s="8"/>
      <c r="B459" s="8"/>
      <c r="C459" s="8"/>
      <c r="D459" s="8"/>
      <c r="E459" s="8"/>
      <c r="F459" s="8"/>
    </row>
    <row r="460" spans="1:6" x14ac:dyDescent="0.25">
      <c r="A460" s="8"/>
      <c r="B460" s="8"/>
      <c r="C460" s="8"/>
      <c r="D460" s="8"/>
      <c r="E460" s="8"/>
      <c r="F460" s="8"/>
    </row>
    <row r="461" spans="1:6" x14ac:dyDescent="0.25">
      <c r="A461" s="8"/>
      <c r="B461" s="8"/>
      <c r="C461" s="8"/>
      <c r="D461" s="8"/>
      <c r="E461" s="8"/>
      <c r="F461" s="8"/>
    </row>
    <row r="462" spans="1:6" x14ac:dyDescent="0.25">
      <c r="A462" s="8"/>
      <c r="B462" s="8"/>
      <c r="C462" s="8"/>
      <c r="D462" s="8"/>
      <c r="E462" s="8"/>
      <c r="F462" s="8"/>
    </row>
    <row r="463" spans="1:6" x14ac:dyDescent="0.25">
      <c r="A463" s="8"/>
      <c r="B463" s="8"/>
      <c r="C463" s="8"/>
      <c r="D463" s="8"/>
      <c r="E463" s="8"/>
      <c r="F463" s="8"/>
    </row>
    <row r="464" spans="1:6" x14ac:dyDescent="0.25">
      <c r="A464" s="8"/>
      <c r="B464" s="8"/>
      <c r="C464" s="8"/>
      <c r="D464" s="8"/>
      <c r="E464" s="8"/>
      <c r="F464" s="8"/>
    </row>
    <row r="465" spans="1:6" x14ac:dyDescent="0.25">
      <c r="A465" s="8"/>
      <c r="B465" s="8"/>
      <c r="C465" s="8"/>
      <c r="D465" s="8"/>
      <c r="E465" s="8"/>
      <c r="F465" s="8"/>
    </row>
    <row r="466" spans="1:6" x14ac:dyDescent="0.25">
      <c r="A466" s="8"/>
      <c r="B466" s="8"/>
      <c r="C466" s="8"/>
      <c r="D466" s="8"/>
      <c r="E466" s="8"/>
      <c r="F466" s="8"/>
    </row>
    <row r="467" spans="1:6" x14ac:dyDescent="0.25">
      <c r="A467" s="8"/>
      <c r="B467" s="8"/>
      <c r="C467" s="8"/>
      <c r="D467" s="8"/>
      <c r="E467" s="8"/>
      <c r="F467" s="8"/>
    </row>
    <row r="468" spans="1:6" x14ac:dyDescent="0.25">
      <c r="A468" s="8"/>
      <c r="B468" s="8"/>
      <c r="C468" s="8"/>
      <c r="D468" s="8"/>
      <c r="E468" s="8"/>
      <c r="F468" s="8"/>
    </row>
    <row r="469" spans="1:6" x14ac:dyDescent="0.25">
      <c r="A469" s="8"/>
      <c r="B469" s="8"/>
      <c r="C469" s="8"/>
      <c r="D469" s="8"/>
      <c r="E469" s="8"/>
      <c r="F469" s="8"/>
    </row>
    <row r="470" spans="1:6" x14ac:dyDescent="0.25">
      <c r="A470" s="8"/>
      <c r="B470" s="8"/>
      <c r="C470" s="8"/>
      <c r="D470" s="8"/>
      <c r="E470" s="8"/>
      <c r="F470" s="8"/>
    </row>
    <row r="471" spans="1:6" x14ac:dyDescent="0.25">
      <c r="A471" s="8"/>
      <c r="B471" s="8"/>
      <c r="C471" s="8"/>
      <c r="D471" s="8"/>
      <c r="E471" s="8"/>
      <c r="F471" s="8"/>
    </row>
    <row r="472" spans="1:6" x14ac:dyDescent="0.25">
      <c r="A472" s="8"/>
      <c r="B472" s="8"/>
      <c r="C472" s="8"/>
      <c r="D472" s="8"/>
      <c r="E472" s="8"/>
      <c r="F472" s="8"/>
    </row>
    <row r="473" spans="1:6" x14ac:dyDescent="0.25">
      <c r="A473" s="8"/>
      <c r="B473" s="8"/>
      <c r="C473" s="8"/>
      <c r="D473" s="8"/>
      <c r="E473" s="8"/>
      <c r="F473" s="8"/>
    </row>
    <row r="474" spans="1:6" x14ac:dyDescent="0.25">
      <c r="A474" s="8"/>
      <c r="B474" s="8"/>
      <c r="C474" s="8"/>
      <c r="D474" s="8"/>
      <c r="E474" s="8"/>
      <c r="F474" s="8"/>
    </row>
    <row r="475" spans="1:6" x14ac:dyDescent="0.25">
      <c r="A475" s="8"/>
      <c r="B475" s="8"/>
      <c r="C475" s="8"/>
      <c r="D475" s="8"/>
      <c r="E475" s="8"/>
      <c r="F475" s="8"/>
    </row>
    <row r="476" spans="1:6" x14ac:dyDescent="0.25">
      <c r="A476" s="8"/>
      <c r="B476" s="8"/>
      <c r="C476" s="8"/>
      <c r="D476" s="8"/>
      <c r="E476" s="8"/>
      <c r="F476" s="8"/>
    </row>
    <row r="477" spans="1:6" x14ac:dyDescent="0.25">
      <c r="A477" s="8"/>
      <c r="B477" s="8"/>
      <c r="C477" s="8"/>
      <c r="D477" s="8"/>
      <c r="E477" s="8"/>
      <c r="F477" s="8"/>
    </row>
    <row r="478" spans="1:6" x14ac:dyDescent="0.25">
      <c r="A478" s="8"/>
      <c r="B478" s="8"/>
      <c r="C478" s="8"/>
      <c r="D478" s="8"/>
      <c r="E478" s="8"/>
      <c r="F478" s="8"/>
    </row>
    <row r="479" spans="1:6" x14ac:dyDescent="0.25">
      <c r="A479" s="8"/>
      <c r="B479" s="8"/>
      <c r="C479" s="8"/>
      <c r="D479" s="8"/>
      <c r="E479" s="8"/>
      <c r="F479" s="8"/>
    </row>
    <row r="480" spans="1:6" x14ac:dyDescent="0.25">
      <c r="A480" s="8"/>
      <c r="B480" s="8"/>
      <c r="C480" s="8"/>
      <c r="D480" s="8"/>
      <c r="E480" s="8"/>
      <c r="F480" s="8"/>
    </row>
    <row r="481" spans="1:6" x14ac:dyDescent="0.25">
      <c r="A481" s="8"/>
      <c r="B481" s="8"/>
      <c r="C481" s="8"/>
      <c r="D481" s="8"/>
      <c r="E481" s="8"/>
      <c r="F481" s="8"/>
    </row>
    <row r="482" spans="1:6" x14ac:dyDescent="0.25">
      <c r="A482" s="8"/>
      <c r="B482" s="8"/>
      <c r="C482" s="8"/>
      <c r="D482" s="8"/>
      <c r="E482" s="8"/>
      <c r="F482" s="8"/>
    </row>
    <row r="483" spans="1:6" x14ac:dyDescent="0.25">
      <c r="A483" s="8"/>
      <c r="B483" s="8"/>
      <c r="C483" s="8"/>
      <c r="D483" s="8"/>
      <c r="E483" s="8"/>
      <c r="F483" s="8"/>
    </row>
    <row r="484" spans="1:6" x14ac:dyDescent="0.25">
      <c r="A484" s="8"/>
      <c r="B484" s="8"/>
      <c r="C484" s="8"/>
      <c r="D484" s="8"/>
      <c r="E484" s="8"/>
      <c r="F484" s="8"/>
    </row>
    <row r="485" spans="1:6" x14ac:dyDescent="0.25">
      <c r="A485" s="8"/>
      <c r="B485" s="8"/>
      <c r="C485" s="8"/>
      <c r="D485" s="8"/>
      <c r="E485" s="8"/>
      <c r="F485" s="8"/>
    </row>
    <row r="486" spans="1:6" x14ac:dyDescent="0.25">
      <c r="A486" s="8"/>
      <c r="B486" s="8"/>
      <c r="C486" s="8"/>
      <c r="D486" s="8"/>
      <c r="E486" s="8"/>
      <c r="F486" s="8"/>
    </row>
    <row r="487" spans="1:6" x14ac:dyDescent="0.25">
      <c r="A487" s="8"/>
      <c r="B487" s="8"/>
      <c r="C487" s="8"/>
      <c r="D487" s="8"/>
      <c r="E487" s="8"/>
      <c r="F487" s="8"/>
    </row>
    <row r="488" spans="1:6" x14ac:dyDescent="0.25">
      <c r="A488" s="8"/>
      <c r="B488" s="8"/>
      <c r="C488" s="8"/>
      <c r="D488" s="8"/>
      <c r="E488" s="8"/>
      <c r="F488" s="8"/>
    </row>
    <row r="489" spans="1:6" x14ac:dyDescent="0.25">
      <c r="A489" s="8"/>
      <c r="B489" s="8"/>
      <c r="C489" s="8"/>
      <c r="D489" s="8"/>
      <c r="E489" s="8"/>
      <c r="F489" s="8"/>
    </row>
    <row r="490" spans="1:6" x14ac:dyDescent="0.25">
      <c r="A490" s="8"/>
      <c r="B490" s="8"/>
      <c r="C490" s="8"/>
      <c r="D490" s="8"/>
      <c r="E490" s="8"/>
      <c r="F490" s="8"/>
    </row>
    <row r="491" spans="1:6" x14ac:dyDescent="0.25">
      <c r="A491" s="8"/>
      <c r="B491" s="8"/>
      <c r="C491" s="8"/>
      <c r="D491" s="8"/>
      <c r="E491" s="8"/>
      <c r="F491" s="8"/>
    </row>
    <row r="492" spans="1:6" x14ac:dyDescent="0.25">
      <c r="A492" s="8"/>
      <c r="B492" s="8"/>
      <c r="C492" s="8"/>
      <c r="D492" s="8"/>
      <c r="E492" s="8"/>
      <c r="F492" s="8"/>
    </row>
    <row r="493" spans="1:6" x14ac:dyDescent="0.25">
      <c r="A493" s="8"/>
      <c r="B493" s="8"/>
      <c r="C493" s="8"/>
      <c r="D493" s="8"/>
      <c r="E493" s="8"/>
      <c r="F493" s="8"/>
    </row>
    <row r="494" spans="1:6" x14ac:dyDescent="0.25">
      <c r="A494" s="8"/>
      <c r="B494" s="8"/>
      <c r="C494" s="8"/>
      <c r="D494" s="8"/>
      <c r="E494" s="8"/>
      <c r="F494" s="8"/>
    </row>
    <row r="495" spans="1:6" x14ac:dyDescent="0.25">
      <c r="A495" s="8"/>
      <c r="B495" s="8"/>
      <c r="C495" s="8"/>
      <c r="D495" s="8"/>
      <c r="E495" s="8"/>
      <c r="F495" s="8"/>
    </row>
    <row r="496" spans="1:6" x14ac:dyDescent="0.25">
      <c r="A496" s="8"/>
      <c r="B496" s="8"/>
      <c r="C496" s="8"/>
      <c r="D496" s="8"/>
      <c r="E496" s="8"/>
      <c r="F496" s="8"/>
    </row>
    <row r="497" spans="1:6" x14ac:dyDescent="0.25">
      <c r="A497" s="8"/>
      <c r="B497" s="8"/>
      <c r="C497" s="8"/>
      <c r="D497" s="8"/>
      <c r="E497" s="8"/>
      <c r="F497" s="8"/>
    </row>
    <row r="498" spans="1:6" x14ac:dyDescent="0.25">
      <c r="A498" s="8"/>
      <c r="B498" s="8"/>
      <c r="C498" s="8"/>
      <c r="D498" s="8"/>
      <c r="E498" s="8"/>
      <c r="F498" s="8"/>
    </row>
    <row r="499" spans="1:6" x14ac:dyDescent="0.25">
      <c r="A499" s="8"/>
      <c r="B499" s="8"/>
      <c r="C499" s="8"/>
      <c r="D499" s="8"/>
      <c r="E499" s="8"/>
      <c r="F499" s="8"/>
    </row>
    <row r="500" spans="1:6" x14ac:dyDescent="0.25">
      <c r="A500" s="8"/>
      <c r="B500" s="8"/>
      <c r="C500" s="8"/>
      <c r="D500" s="8"/>
      <c r="E500" s="8"/>
      <c r="F500" s="8"/>
    </row>
    <row r="501" spans="1:6" x14ac:dyDescent="0.25">
      <c r="A501" s="8"/>
      <c r="B501" s="8"/>
      <c r="C501" s="8"/>
      <c r="D501" s="8"/>
      <c r="E501" s="8"/>
      <c r="F501" s="8"/>
    </row>
    <row r="502" spans="1:6" x14ac:dyDescent="0.25">
      <c r="A502" s="8"/>
      <c r="B502" s="8"/>
      <c r="C502" s="8"/>
      <c r="D502" s="8"/>
      <c r="E502" s="8"/>
      <c r="F502" s="8"/>
    </row>
    <row r="503" spans="1:6" x14ac:dyDescent="0.25">
      <c r="A503" s="8"/>
      <c r="B503" s="8"/>
      <c r="C503" s="8"/>
      <c r="D503" s="8"/>
      <c r="E503" s="8"/>
      <c r="F503" s="8"/>
    </row>
    <row r="504" spans="1:6" x14ac:dyDescent="0.25">
      <c r="A504" s="8"/>
      <c r="B504" s="8"/>
      <c r="C504" s="8"/>
      <c r="D504" s="8"/>
      <c r="E504" s="8"/>
      <c r="F504" s="8"/>
    </row>
    <row r="505" spans="1:6" x14ac:dyDescent="0.25">
      <c r="A505" s="8"/>
      <c r="B505" s="8"/>
      <c r="C505" s="8"/>
      <c r="D505" s="8"/>
      <c r="E505" s="8"/>
      <c r="F505" s="8"/>
    </row>
    <row r="506" spans="1:6" x14ac:dyDescent="0.25">
      <c r="A506" s="8"/>
      <c r="B506" s="8"/>
      <c r="C506" s="8"/>
      <c r="D506" s="8"/>
      <c r="E506" s="8"/>
      <c r="F506" s="8"/>
    </row>
    <row r="507" spans="1:6" x14ac:dyDescent="0.25">
      <c r="A507" s="8"/>
      <c r="B507" s="8"/>
      <c r="C507" s="8"/>
      <c r="D507" s="8"/>
      <c r="E507" s="8"/>
      <c r="F507" s="8"/>
    </row>
    <row r="508" spans="1:6" x14ac:dyDescent="0.25">
      <c r="A508" s="8"/>
      <c r="B508" s="8"/>
      <c r="C508" s="8"/>
      <c r="D508" s="8"/>
      <c r="E508" s="8"/>
      <c r="F508" s="8"/>
    </row>
    <row r="509" spans="1:6" x14ac:dyDescent="0.25">
      <c r="A509" s="8"/>
      <c r="B509" s="8"/>
      <c r="C509" s="8"/>
      <c r="D509" s="8"/>
      <c r="E509" s="8"/>
      <c r="F509" s="8"/>
    </row>
    <row r="510" spans="1:6" x14ac:dyDescent="0.25">
      <c r="A510" s="8"/>
      <c r="B510" s="8"/>
      <c r="C510" s="8"/>
      <c r="D510" s="8"/>
      <c r="E510" s="8"/>
      <c r="F510" s="8"/>
    </row>
    <row r="511" spans="1:6" x14ac:dyDescent="0.25">
      <c r="A511" s="8"/>
      <c r="B511" s="8"/>
      <c r="C511" s="8"/>
      <c r="D511" s="8"/>
      <c r="E511" s="8"/>
      <c r="F511" s="8"/>
    </row>
    <row r="512" spans="1:6" x14ac:dyDescent="0.25">
      <c r="A512" s="8"/>
      <c r="B512" s="8"/>
      <c r="C512" s="8"/>
      <c r="D512" s="8"/>
      <c r="E512" s="8"/>
      <c r="F512" s="8"/>
    </row>
    <row r="513" spans="1:6" x14ac:dyDescent="0.25">
      <c r="A513" s="8"/>
      <c r="B513" s="8"/>
      <c r="C513" s="8"/>
      <c r="D513" s="8"/>
      <c r="E513" s="8"/>
      <c r="F513" s="8"/>
    </row>
    <row r="514" spans="1:6" x14ac:dyDescent="0.25">
      <c r="A514" s="8"/>
      <c r="B514" s="8"/>
      <c r="C514" s="8"/>
      <c r="D514" s="8"/>
      <c r="E514" s="8"/>
      <c r="F514" s="8"/>
    </row>
    <row r="515" spans="1:6" x14ac:dyDescent="0.25">
      <c r="A515" s="8"/>
      <c r="B515" s="8"/>
      <c r="C515" s="8"/>
      <c r="D515" s="8"/>
      <c r="E515" s="8"/>
      <c r="F515" s="8"/>
    </row>
    <row r="516" spans="1:6" x14ac:dyDescent="0.25">
      <c r="A516" s="8"/>
      <c r="B516" s="8"/>
      <c r="C516" s="8"/>
      <c r="D516" s="8"/>
      <c r="E516" s="8"/>
      <c r="F516" s="8"/>
    </row>
    <row r="517" spans="1:6" x14ac:dyDescent="0.25">
      <c r="A517" s="8"/>
      <c r="B517" s="8"/>
      <c r="C517" s="8"/>
      <c r="D517" s="8"/>
      <c r="E517" s="8"/>
      <c r="F517" s="8"/>
    </row>
    <row r="518" spans="1:6" x14ac:dyDescent="0.25">
      <c r="A518" s="8"/>
      <c r="B518" s="8"/>
      <c r="C518" s="8"/>
      <c r="D518" s="8"/>
      <c r="E518" s="8"/>
      <c r="F518" s="8"/>
    </row>
    <row r="519" spans="1:6" x14ac:dyDescent="0.25">
      <c r="A519" s="8"/>
      <c r="B519" s="8"/>
      <c r="C519" s="8"/>
      <c r="D519" s="8"/>
      <c r="E519" s="8"/>
      <c r="F519" s="8"/>
    </row>
    <row r="520" spans="1:6" x14ac:dyDescent="0.25">
      <c r="A520" s="8"/>
      <c r="B520" s="8"/>
      <c r="C520" s="8"/>
      <c r="D520" s="8"/>
      <c r="E520" s="8"/>
      <c r="F520" s="8"/>
    </row>
    <row r="521" spans="1:6" x14ac:dyDescent="0.25">
      <c r="A521" s="8"/>
      <c r="B521" s="8"/>
      <c r="C521" s="8"/>
      <c r="D521" s="8"/>
      <c r="E521" s="8"/>
      <c r="F521" s="8"/>
    </row>
    <row r="522" spans="1:6" x14ac:dyDescent="0.25">
      <c r="A522" s="8"/>
      <c r="B522" s="8"/>
      <c r="C522" s="8"/>
      <c r="D522" s="8"/>
      <c r="E522" s="8"/>
      <c r="F522" s="8"/>
    </row>
    <row r="523" spans="1:6" x14ac:dyDescent="0.25">
      <c r="A523" s="8"/>
      <c r="B523" s="8"/>
      <c r="C523" s="8"/>
      <c r="D523" s="8"/>
      <c r="E523" s="8"/>
      <c r="F523" s="8"/>
    </row>
    <row r="524" spans="1:6" x14ac:dyDescent="0.25">
      <c r="A524" s="8"/>
      <c r="B524" s="8"/>
      <c r="C524" s="8"/>
      <c r="D524" s="8"/>
      <c r="E524" s="8"/>
      <c r="F524" s="8"/>
    </row>
    <row r="525" spans="1:6" x14ac:dyDescent="0.25">
      <c r="A525" s="8"/>
      <c r="B525" s="8"/>
      <c r="C525" s="8"/>
      <c r="D525" s="8"/>
      <c r="E525" s="8"/>
      <c r="F525" s="8"/>
    </row>
    <row r="526" spans="1:6" x14ac:dyDescent="0.25">
      <c r="A526" s="8"/>
      <c r="B526" s="8"/>
      <c r="C526" s="8"/>
      <c r="D526" s="8"/>
      <c r="E526" s="8"/>
      <c r="F526" s="8"/>
    </row>
    <row r="527" spans="1:6" x14ac:dyDescent="0.25">
      <c r="A527" s="8"/>
      <c r="B527" s="8"/>
      <c r="C527" s="8"/>
      <c r="D527" s="8"/>
      <c r="E527" s="8"/>
      <c r="F527" s="8"/>
    </row>
    <row r="528" spans="1:6" x14ac:dyDescent="0.25">
      <c r="A528" s="8"/>
      <c r="B528" s="8"/>
      <c r="C528" s="8"/>
      <c r="D528" s="8"/>
      <c r="E528" s="8"/>
      <c r="F528" s="8"/>
    </row>
    <row r="529" spans="1:6" x14ac:dyDescent="0.25">
      <c r="A529" s="8"/>
      <c r="B529" s="8"/>
      <c r="C529" s="8"/>
      <c r="D529" s="8"/>
      <c r="E529" s="8"/>
      <c r="F529" s="8"/>
    </row>
    <row r="530" spans="1:6" x14ac:dyDescent="0.25">
      <c r="A530" s="8"/>
      <c r="B530" s="8"/>
      <c r="C530" s="8"/>
      <c r="D530" s="8"/>
      <c r="E530" s="8"/>
      <c r="F530" s="8"/>
    </row>
    <row r="531" spans="1:6" x14ac:dyDescent="0.25">
      <c r="A531" s="8"/>
      <c r="B531" s="8"/>
      <c r="C531" s="8"/>
      <c r="D531" s="8"/>
      <c r="E531" s="8"/>
      <c r="F531" s="8"/>
    </row>
    <row r="532" spans="1:6" x14ac:dyDescent="0.25">
      <c r="A532" s="8"/>
      <c r="B532" s="8"/>
      <c r="C532" s="8"/>
      <c r="D532" s="8"/>
      <c r="E532" s="8"/>
      <c r="F532" s="8"/>
    </row>
    <row r="533" spans="1:6" x14ac:dyDescent="0.25">
      <c r="A533" s="8"/>
      <c r="B533" s="8"/>
      <c r="C533" s="8"/>
      <c r="D533" s="8"/>
      <c r="E533" s="8"/>
      <c r="F533" s="8"/>
    </row>
    <row r="534" spans="1:6" x14ac:dyDescent="0.25">
      <c r="A534" s="8"/>
      <c r="B534" s="8"/>
      <c r="C534" s="8"/>
      <c r="D534" s="8"/>
      <c r="E534" s="8"/>
      <c r="F534" s="8"/>
    </row>
    <row r="535" spans="1:6" x14ac:dyDescent="0.25">
      <c r="A535" s="8"/>
      <c r="B535" s="8"/>
      <c r="C535" s="8"/>
      <c r="D535" s="8"/>
      <c r="E535" s="8"/>
      <c r="F535" s="8"/>
    </row>
    <row r="536" spans="1:6" x14ac:dyDescent="0.25">
      <c r="A536" s="8"/>
      <c r="B536" s="8"/>
      <c r="C536" s="8"/>
      <c r="D536" s="8"/>
      <c r="E536" s="8"/>
      <c r="F536" s="8"/>
    </row>
    <row r="537" spans="1:6" x14ac:dyDescent="0.25">
      <c r="A537" s="8"/>
      <c r="B537" s="8"/>
      <c r="C537" s="8"/>
      <c r="D537" s="8"/>
      <c r="E537" s="8"/>
      <c r="F537" s="8"/>
    </row>
    <row r="538" spans="1:6" x14ac:dyDescent="0.25">
      <c r="A538" s="8"/>
      <c r="B538" s="8"/>
      <c r="C538" s="8"/>
      <c r="D538" s="8"/>
      <c r="E538" s="8"/>
      <c r="F538" s="8"/>
    </row>
    <row r="539" spans="1:6" x14ac:dyDescent="0.25">
      <c r="A539" s="8"/>
      <c r="B539" s="8"/>
      <c r="C539" s="8"/>
      <c r="D539" s="8"/>
      <c r="E539" s="8"/>
      <c r="F539" s="8"/>
    </row>
    <row r="540" spans="1:6" x14ac:dyDescent="0.25">
      <c r="A540" s="8"/>
      <c r="B540" s="8"/>
      <c r="C540" s="8"/>
      <c r="D540" s="8"/>
      <c r="E540" s="8"/>
      <c r="F540" s="8"/>
    </row>
    <row r="541" spans="1:6" x14ac:dyDescent="0.25">
      <c r="A541" s="8"/>
      <c r="B541" s="8"/>
      <c r="C541" s="8"/>
      <c r="D541" s="8"/>
      <c r="E541" s="8"/>
      <c r="F541" s="8"/>
    </row>
    <row r="542" spans="1:6" x14ac:dyDescent="0.25">
      <c r="A542" s="8"/>
      <c r="B542" s="8"/>
      <c r="C542" s="8"/>
      <c r="D542" s="8"/>
      <c r="E542" s="8"/>
      <c r="F542" s="8"/>
    </row>
    <row r="543" spans="1:6" x14ac:dyDescent="0.25">
      <c r="A543" s="8"/>
      <c r="B543" s="8"/>
      <c r="C543" s="8"/>
      <c r="D543" s="8"/>
      <c r="E543" s="8"/>
      <c r="F543" s="8"/>
    </row>
    <row r="544" spans="1:6" x14ac:dyDescent="0.25">
      <c r="A544" s="8"/>
      <c r="B544" s="8"/>
      <c r="C544" s="8"/>
      <c r="D544" s="8"/>
      <c r="E544" s="8"/>
      <c r="F544" s="8"/>
    </row>
    <row r="545" spans="1:6" x14ac:dyDescent="0.25">
      <c r="A545" s="8"/>
      <c r="B545" s="8"/>
      <c r="C545" s="8"/>
      <c r="D545" s="8"/>
      <c r="E545" s="8"/>
      <c r="F545" s="8"/>
    </row>
    <row r="546" spans="1:6" x14ac:dyDescent="0.25">
      <c r="A546" s="8"/>
      <c r="B546" s="8"/>
      <c r="C546" s="8"/>
      <c r="D546" s="8"/>
      <c r="E546" s="8"/>
      <c r="F546" s="8"/>
    </row>
    <row r="547" spans="1:6" x14ac:dyDescent="0.25">
      <c r="A547" s="8"/>
      <c r="B547" s="8"/>
      <c r="C547" s="8"/>
      <c r="D547" s="8"/>
      <c r="E547" s="8"/>
      <c r="F547" s="8"/>
    </row>
    <row r="548" spans="1:6" x14ac:dyDescent="0.25">
      <c r="A548" s="8"/>
      <c r="B548" s="8"/>
      <c r="C548" s="8"/>
      <c r="D548" s="8"/>
      <c r="E548" s="8"/>
      <c r="F548" s="8"/>
    </row>
    <row r="549" spans="1:6" x14ac:dyDescent="0.25">
      <c r="A549" s="8"/>
      <c r="B549" s="8"/>
      <c r="C549" s="8"/>
      <c r="D549" s="8"/>
      <c r="E549" s="8"/>
      <c r="F549" s="8"/>
    </row>
    <row r="550" spans="1:6" x14ac:dyDescent="0.25">
      <c r="A550" s="8"/>
      <c r="B550" s="8"/>
      <c r="C550" s="8"/>
      <c r="D550" s="8"/>
      <c r="E550" s="8"/>
      <c r="F550" s="8"/>
    </row>
    <row r="551" spans="1:6" x14ac:dyDescent="0.25">
      <c r="A551" s="8"/>
      <c r="B551" s="8"/>
      <c r="C551" s="8"/>
      <c r="D551" s="8"/>
      <c r="E551" s="8"/>
      <c r="F551" s="8"/>
    </row>
    <row r="552" spans="1:6" x14ac:dyDescent="0.25">
      <c r="A552" s="8"/>
      <c r="B552" s="8"/>
      <c r="C552" s="8"/>
      <c r="D552" s="8"/>
      <c r="E552" s="8"/>
      <c r="F552" s="8"/>
    </row>
    <row r="553" spans="1:6" x14ac:dyDescent="0.25">
      <c r="A553" s="8"/>
      <c r="B553" s="8"/>
      <c r="C553" s="8"/>
      <c r="D553" s="8"/>
      <c r="E553" s="8"/>
      <c r="F553" s="8"/>
    </row>
    <row r="554" spans="1:6" x14ac:dyDescent="0.25">
      <c r="A554" s="8"/>
      <c r="B554" s="8"/>
      <c r="C554" s="8"/>
      <c r="D554" s="8"/>
      <c r="E554" s="8"/>
      <c r="F554" s="8"/>
    </row>
    <row r="555" spans="1:6" x14ac:dyDescent="0.25">
      <c r="A555" s="8"/>
      <c r="B555" s="8"/>
      <c r="C555" s="8"/>
      <c r="D555" s="8"/>
      <c r="E555" s="8"/>
      <c r="F555" s="8"/>
    </row>
    <row r="556" spans="1:6" x14ac:dyDescent="0.25">
      <c r="A556" s="8"/>
      <c r="B556" s="8"/>
      <c r="C556" s="8"/>
      <c r="D556" s="8"/>
      <c r="E556" s="8"/>
      <c r="F556" s="8"/>
    </row>
    <row r="557" spans="1:6" x14ac:dyDescent="0.25">
      <c r="A557" s="8"/>
      <c r="B557" s="8"/>
      <c r="C557" s="8"/>
      <c r="D557" s="8"/>
      <c r="E557" s="8"/>
      <c r="F557" s="8"/>
    </row>
    <row r="558" spans="1:6" x14ac:dyDescent="0.25">
      <c r="A558" s="8"/>
      <c r="B558" s="8"/>
      <c r="C558" s="8"/>
      <c r="D558" s="8"/>
      <c r="E558" s="8"/>
      <c r="F558" s="8"/>
    </row>
    <row r="559" spans="1:6" x14ac:dyDescent="0.25">
      <c r="A559" s="8"/>
      <c r="B559" s="8"/>
      <c r="C559" s="8"/>
      <c r="D559" s="8"/>
      <c r="E559" s="8"/>
      <c r="F559" s="8"/>
    </row>
    <row r="560" spans="1:6" x14ac:dyDescent="0.25">
      <c r="A560" s="8"/>
      <c r="B560" s="8"/>
      <c r="C560" s="8"/>
      <c r="D560" s="8"/>
      <c r="E560" s="8"/>
      <c r="F560" s="8"/>
    </row>
    <row r="561" spans="1:6" x14ac:dyDescent="0.25">
      <c r="A561" s="8"/>
      <c r="B561" s="8"/>
      <c r="C561" s="8"/>
      <c r="D561" s="8"/>
      <c r="E561" s="8"/>
      <c r="F561" s="8"/>
    </row>
    <row r="562" spans="1:6" x14ac:dyDescent="0.25">
      <c r="A562" s="8"/>
      <c r="B562" s="8"/>
      <c r="C562" s="8"/>
      <c r="D562" s="8"/>
      <c r="E562" s="8"/>
      <c r="F562" s="8"/>
    </row>
    <row r="563" spans="1:6" x14ac:dyDescent="0.25">
      <c r="A563" s="8"/>
      <c r="B563" s="8"/>
      <c r="C563" s="8"/>
      <c r="D563" s="8"/>
      <c r="E563" s="8"/>
      <c r="F563" s="8"/>
    </row>
    <row r="564" spans="1:6" x14ac:dyDescent="0.25">
      <c r="A564" s="8"/>
      <c r="B564" s="8"/>
      <c r="C564" s="8"/>
      <c r="D564" s="8"/>
      <c r="E564" s="8"/>
      <c r="F564" s="8"/>
    </row>
    <row r="565" spans="1:6" x14ac:dyDescent="0.25">
      <c r="A565" s="8"/>
      <c r="B565" s="8"/>
      <c r="C565" s="8"/>
      <c r="D565" s="8"/>
      <c r="E565" s="8"/>
      <c r="F565" s="8"/>
    </row>
    <row r="566" spans="1:6" x14ac:dyDescent="0.25">
      <c r="A566" s="8"/>
      <c r="B566" s="8"/>
      <c r="C566" s="8"/>
      <c r="D566" s="8"/>
      <c r="E566" s="8"/>
      <c r="F566" s="8"/>
    </row>
    <row r="567" spans="1:6" x14ac:dyDescent="0.25">
      <c r="A567" s="8"/>
      <c r="B567" s="8"/>
      <c r="C567" s="8"/>
      <c r="D567" s="8"/>
      <c r="E567" s="8"/>
      <c r="F567" s="8"/>
    </row>
    <row r="568" spans="1:6" x14ac:dyDescent="0.25">
      <c r="A568" s="8"/>
      <c r="B568" s="8"/>
      <c r="C568" s="8"/>
      <c r="D568" s="8"/>
      <c r="E568" s="8"/>
      <c r="F568" s="8"/>
    </row>
    <row r="569" spans="1:6" x14ac:dyDescent="0.25">
      <c r="A569" s="8"/>
      <c r="B569" s="8"/>
      <c r="C569" s="8"/>
      <c r="D569" s="8"/>
      <c r="E569" s="8"/>
      <c r="F569" s="8"/>
    </row>
    <row r="570" spans="1:6" x14ac:dyDescent="0.25">
      <c r="A570" s="8"/>
      <c r="B570" s="8"/>
      <c r="C570" s="8"/>
      <c r="D570" s="8"/>
      <c r="E570" s="8"/>
      <c r="F570" s="8"/>
    </row>
    <row r="571" spans="1:6" x14ac:dyDescent="0.25">
      <c r="A571" s="8"/>
      <c r="B571" s="8"/>
      <c r="C571" s="8"/>
      <c r="D571" s="8"/>
      <c r="E571" s="8"/>
      <c r="F571" s="8"/>
    </row>
    <row r="572" spans="1:6" x14ac:dyDescent="0.25">
      <c r="A572" s="8"/>
      <c r="B572" s="8"/>
      <c r="C572" s="8"/>
      <c r="D572" s="8"/>
      <c r="E572" s="8"/>
      <c r="F572" s="8"/>
    </row>
    <row r="573" spans="1:6" x14ac:dyDescent="0.25">
      <c r="A573" s="8"/>
      <c r="B573" s="8"/>
      <c r="C573" s="8"/>
      <c r="D573" s="8"/>
      <c r="E573" s="8"/>
      <c r="F573" s="8"/>
    </row>
    <row r="574" spans="1:6" x14ac:dyDescent="0.25">
      <c r="A574" s="8"/>
      <c r="B574" s="8"/>
      <c r="C574" s="8"/>
      <c r="D574" s="8"/>
      <c r="E574" s="8"/>
      <c r="F574" s="8"/>
    </row>
    <row r="575" spans="1:6" x14ac:dyDescent="0.25">
      <c r="A575" s="8"/>
      <c r="B575" s="8"/>
      <c r="C575" s="8"/>
      <c r="D575" s="8"/>
      <c r="E575" s="8"/>
      <c r="F575" s="8"/>
    </row>
    <row r="576" spans="1:6" x14ac:dyDescent="0.25">
      <c r="A576" s="8"/>
      <c r="B576" s="8"/>
      <c r="C576" s="8"/>
      <c r="D576" s="8"/>
      <c r="E576" s="8"/>
      <c r="F576" s="8"/>
    </row>
    <row r="577" spans="1:6" x14ac:dyDescent="0.25">
      <c r="A577" s="8"/>
      <c r="B577" s="8"/>
      <c r="C577" s="8"/>
      <c r="D577" s="8"/>
      <c r="E577" s="8"/>
      <c r="F577" s="8"/>
    </row>
    <row r="578" spans="1:6" x14ac:dyDescent="0.25">
      <c r="A578" s="8"/>
      <c r="B578" s="8"/>
      <c r="C578" s="8"/>
      <c r="D578" s="8"/>
      <c r="E578" s="8"/>
      <c r="F578" s="8"/>
    </row>
    <row r="579" spans="1:6" x14ac:dyDescent="0.25">
      <c r="A579" s="8"/>
      <c r="B579" s="8"/>
      <c r="C579" s="8"/>
      <c r="D579" s="8"/>
      <c r="E579" s="8"/>
      <c r="F579" s="8"/>
    </row>
    <row r="580" spans="1:6" x14ac:dyDescent="0.25">
      <c r="A580" s="8"/>
      <c r="B580" s="8"/>
      <c r="C580" s="8"/>
      <c r="D580" s="8"/>
      <c r="E580" s="8"/>
      <c r="F580" s="8"/>
    </row>
    <row r="581" spans="1:6" x14ac:dyDescent="0.25">
      <c r="A581" s="8"/>
      <c r="B581" s="8"/>
      <c r="C581" s="8"/>
      <c r="D581" s="8"/>
      <c r="E581" s="8"/>
      <c r="F581" s="8"/>
    </row>
    <row r="582" spans="1:6" x14ac:dyDescent="0.25">
      <c r="A582" s="8"/>
      <c r="B582" s="8"/>
      <c r="C582" s="8"/>
      <c r="D582" s="8"/>
      <c r="E582" s="8"/>
      <c r="F582" s="8"/>
    </row>
    <row r="583" spans="1:6" x14ac:dyDescent="0.25">
      <c r="A583" s="8"/>
      <c r="B583" s="8"/>
      <c r="C583" s="8"/>
      <c r="D583" s="8"/>
      <c r="E583" s="8"/>
      <c r="F583" s="8"/>
    </row>
    <row r="584" spans="1:6" x14ac:dyDescent="0.25">
      <c r="A584" s="8"/>
      <c r="B584" s="8"/>
      <c r="C584" s="8"/>
      <c r="D584" s="8"/>
      <c r="E584" s="8"/>
      <c r="F584" s="8"/>
    </row>
    <row r="585" spans="1:6" x14ac:dyDescent="0.25">
      <c r="A585" s="8"/>
      <c r="B585" s="8"/>
      <c r="C585" s="8"/>
      <c r="D585" s="8"/>
      <c r="E585" s="8"/>
      <c r="F585" s="8"/>
    </row>
    <row r="586" spans="1:6" x14ac:dyDescent="0.25">
      <c r="A586" s="8"/>
      <c r="B586" s="8"/>
      <c r="C586" s="8"/>
      <c r="D586" s="8"/>
      <c r="E586" s="8"/>
      <c r="F586" s="8"/>
    </row>
    <row r="587" spans="1:6" x14ac:dyDescent="0.25">
      <c r="A587" s="8"/>
      <c r="B587" s="8"/>
      <c r="C587" s="8"/>
      <c r="D587" s="8"/>
      <c r="E587" s="8"/>
      <c r="F587" s="8"/>
    </row>
    <row r="588" spans="1:6" x14ac:dyDescent="0.25">
      <c r="A588" s="8"/>
      <c r="B588" s="8"/>
      <c r="C588" s="8"/>
      <c r="D588" s="8"/>
      <c r="E588" s="8"/>
      <c r="F588" s="8"/>
    </row>
    <row r="589" spans="1:6" x14ac:dyDescent="0.25">
      <c r="A589" s="8"/>
      <c r="B589" s="8"/>
      <c r="C589" s="8"/>
      <c r="D589" s="8"/>
      <c r="E589" s="8"/>
      <c r="F589" s="8"/>
    </row>
    <row r="590" spans="1:6" x14ac:dyDescent="0.25">
      <c r="A590" s="8"/>
      <c r="B590" s="8"/>
      <c r="C590" s="8"/>
      <c r="D590" s="8"/>
      <c r="E590" s="8"/>
      <c r="F590" s="8"/>
    </row>
    <row r="591" spans="1:6" x14ac:dyDescent="0.25">
      <c r="A591" s="8"/>
      <c r="B591" s="8"/>
      <c r="C591" s="8"/>
      <c r="D591" s="8"/>
      <c r="E591" s="8"/>
      <c r="F591" s="8"/>
    </row>
    <row r="592" spans="1:6" x14ac:dyDescent="0.25">
      <c r="A592" s="8"/>
      <c r="B592" s="8"/>
      <c r="C592" s="8"/>
      <c r="D592" s="8"/>
      <c r="E592" s="8"/>
      <c r="F592" s="8"/>
    </row>
    <row r="593" spans="1:6" x14ac:dyDescent="0.25">
      <c r="A593" s="8"/>
      <c r="B593" s="8"/>
      <c r="C593" s="8"/>
      <c r="D593" s="8"/>
      <c r="E593" s="8"/>
      <c r="F593" s="8"/>
    </row>
    <row r="594" spans="1:6" x14ac:dyDescent="0.25">
      <c r="A594" s="8"/>
      <c r="B594" s="8"/>
      <c r="C594" s="8"/>
      <c r="D594" s="8"/>
      <c r="E594" s="8"/>
      <c r="F594" s="8"/>
    </row>
    <row r="595" spans="1:6" x14ac:dyDescent="0.25">
      <c r="A595" s="8"/>
      <c r="B595" s="8"/>
      <c r="C595" s="8"/>
      <c r="D595" s="8"/>
      <c r="E595" s="8"/>
      <c r="F595" s="8"/>
    </row>
    <row r="596" spans="1:6" x14ac:dyDescent="0.25">
      <c r="A596" s="8"/>
      <c r="B596" s="8"/>
      <c r="C596" s="8"/>
      <c r="D596" s="8"/>
      <c r="E596" s="8"/>
      <c r="F596" s="8"/>
    </row>
    <row r="597" spans="1:6" x14ac:dyDescent="0.25">
      <c r="A597" s="8"/>
      <c r="B597" s="8"/>
      <c r="C597" s="8"/>
      <c r="D597" s="8"/>
      <c r="E597" s="8"/>
      <c r="F597" s="8"/>
    </row>
    <row r="598" spans="1:6" x14ac:dyDescent="0.25">
      <c r="A598" s="8"/>
      <c r="B598" s="8"/>
      <c r="C598" s="8"/>
      <c r="D598" s="8"/>
      <c r="E598" s="8"/>
      <c r="F598" s="8"/>
    </row>
    <row r="599" spans="1:6" x14ac:dyDescent="0.25">
      <c r="A599" s="8"/>
      <c r="B599" s="8"/>
      <c r="C599" s="8"/>
      <c r="D599" s="8"/>
      <c r="E599" s="8"/>
      <c r="F599" s="8"/>
    </row>
    <row r="600" spans="1:6" x14ac:dyDescent="0.25">
      <c r="A600" s="8"/>
      <c r="B600" s="8"/>
      <c r="C600" s="8"/>
      <c r="D600" s="8"/>
      <c r="E600" s="8"/>
      <c r="F600" s="8"/>
    </row>
    <row r="601" spans="1:6" x14ac:dyDescent="0.25">
      <c r="A601" s="8"/>
      <c r="B601" s="8"/>
      <c r="C601" s="8"/>
      <c r="D601" s="8"/>
      <c r="E601" s="8"/>
      <c r="F601" s="8"/>
    </row>
    <row r="602" spans="1:6" x14ac:dyDescent="0.25">
      <c r="A602" s="8"/>
      <c r="B602" s="8"/>
      <c r="C602" s="8"/>
      <c r="D602" s="8"/>
      <c r="E602" s="8"/>
      <c r="F602" s="8"/>
    </row>
    <row r="603" spans="1:6" x14ac:dyDescent="0.25">
      <c r="A603" s="8"/>
      <c r="B603" s="8"/>
      <c r="C603" s="8"/>
      <c r="D603" s="8"/>
      <c r="E603" s="8"/>
      <c r="F603" s="8"/>
    </row>
    <row r="604" spans="1:6" x14ac:dyDescent="0.25">
      <c r="A604" s="8"/>
      <c r="B604" s="8"/>
      <c r="C604" s="8"/>
      <c r="D604" s="8"/>
      <c r="E604" s="8"/>
      <c r="F604" s="8"/>
    </row>
    <row r="605" spans="1:6" x14ac:dyDescent="0.25">
      <c r="A605" s="8"/>
      <c r="B605" s="8"/>
      <c r="C605" s="8"/>
      <c r="D605" s="8"/>
      <c r="E605" s="8"/>
      <c r="F605" s="8"/>
    </row>
    <row r="606" spans="1:6" x14ac:dyDescent="0.25">
      <c r="A606" s="8"/>
      <c r="B606" s="8"/>
      <c r="C606" s="8"/>
      <c r="D606" s="8"/>
      <c r="E606" s="8"/>
      <c r="F606" s="8"/>
    </row>
    <row r="607" spans="1:6" x14ac:dyDescent="0.25">
      <c r="A607" s="8"/>
      <c r="B607" s="8"/>
      <c r="C607" s="8"/>
      <c r="D607" s="8"/>
      <c r="E607" s="8"/>
      <c r="F607" s="8"/>
    </row>
    <row r="608" spans="1:6" x14ac:dyDescent="0.25">
      <c r="A608" s="8"/>
      <c r="B608" s="8"/>
      <c r="C608" s="8"/>
      <c r="D608" s="8"/>
      <c r="E608" s="8"/>
      <c r="F608" s="8"/>
    </row>
    <row r="609" spans="1:6" x14ac:dyDescent="0.25">
      <c r="A609" s="8"/>
      <c r="B609" s="8"/>
      <c r="C609" s="8"/>
      <c r="D609" s="8"/>
      <c r="E609" s="8"/>
      <c r="F609" s="8"/>
    </row>
    <row r="610" spans="1:6" x14ac:dyDescent="0.25">
      <c r="A610" s="8"/>
      <c r="B610" s="8"/>
      <c r="C610" s="8"/>
      <c r="D610" s="8"/>
      <c r="E610" s="8"/>
      <c r="F610" s="8"/>
    </row>
    <row r="611" spans="1:6" x14ac:dyDescent="0.25">
      <c r="A611" s="8"/>
      <c r="B611" s="8"/>
      <c r="C611" s="8"/>
      <c r="D611" s="8"/>
      <c r="E611" s="8"/>
      <c r="F611" s="8"/>
    </row>
    <row r="612" spans="1:6" x14ac:dyDescent="0.25">
      <c r="A612" s="8"/>
      <c r="B612" s="8"/>
      <c r="C612" s="8"/>
      <c r="D612" s="8"/>
      <c r="E612" s="8"/>
      <c r="F612" s="8"/>
    </row>
    <row r="613" spans="1:6" x14ac:dyDescent="0.25">
      <c r="A613" s="8"/>
      <c r="B613" s="8"/>
      <c r="C613" s="8"/>
      <c r="D613" s="8"/>
      <c r="E613" s="8"/>
      <c r="F613" s="8"/>
    </row>
    <row r="614" spans="1:6" x14ac:dyDescent="0.25">
      <c r="A614" s="8"/>
      <c r="B614" s="8"/>
      <c r="C614" s="8"/>
      <c r="D614" s="8"/>
      <c r="E614" s="8"/>
      <c r="F614" s="8"/>
    </row>
    <row r="615" spans="1:6" x14ac:dyDescent="0.25">
      <c r="A615" s="8"/>
      <c r="B615" s="8"/>
      <c r="C615" s="8"/>
      <c r="D615" s="8"/>
      <c r="E615" s="8"/>
      <c r="F615" s="8"/>
    </row>
    <row r="616" spans="1:6" x14ac:dyDescent="0.25">
      <c r="A616" s="8"/>
      <c r="B616" s="8"/>
      <c r="C616" s="8"/>
      <c r="D616" s="8"/>
      <c r="E616" s="8"/>
      <c r="F616" s="8"/>
    </row>
    <row r="617" spans="1:6" x14ac:dyDescent="0.25">
      <c r="A617" s="8"/>
      <c r="B617" s="8"/>
      <c r="C617" s="8"/>
      <c r="D617" s="8"/>
      <c r="E617" s="8"/>
      <c r="F617" s="8"/>
    </row>
    <row r="618" spans="1:6" x14ac:dyDescent="0.25">
      <c r="A618" s="8"/>
      <c r="B618" s="8"/>
      <c r="C618" s="8"/>
      <c r="D618" s="8"/>
      <c r="E618" s="8"/>
      <c r="F618" s="8"/>
    </row>
    <row r="619" spans="1:6" x14ac:dyDescent="0.25">
      <c r="A619" s="8"/>
      <c r="B619" s="8"/>
      <c r="C619" s="8"/>
      <c r="D619" s="8"/>
      <c r="E619" s="8"/>
      <c r="F619" s="8"/>
    </row>
    <row r="620" spans="1:6" x14ac:dyDescent="0.25">
      <c r="A620" s="8"/>
      <c r="B620" s="8"/>
      <c r="C620" s="8"/>
      <c r="D620" s="8"/>
      <c r="E620" s="8"/>
      <c r="F620" s="8"/>
    </row>
    <row r="621" spans="1:6" x14ac:dyDescent="0.25">
      <c r="A621" s="8"/>
      <c r="B621" s="8"/>
      <c r="C621" s="8"/>
      <c r="D621" s="8"/>
      <c r="E621" s="8"/>
      <c r="F621" s="8"/>
    </row>
    <row r="622" spans="1:6" x14ac:dyDescent="0.25">
      <c r="A622" s="8"/>
      <c r="B622" s="8"/>
      <c r="C622" s="8"/>
      <c r="D622" s="8"/>
      <c r="E622" s="8"/>
      <c r="F622" s="8"/>
    </row>
    <row r="623" spans="1:6" x14ac:dyDescent="0.25">
      <c r="A623" s="8"/>
      <c r="B623" s="8"/>
      <c r="C623" s="8"/>
      <c r="D623" s="8"/>
      <c r="E623" s="8"/>
      <c r="F623" s="8"/>
    </row>
    <row r="624" spans="1:6" x14ac:dyDescent="0.25">
      <c r="A624" s="8"/>
      <c r="B624" s="8"/>
      <c r="C624" s="8"/>
      <c r="D624" s="8"/>
      <c r="E624" s="8"/>
      <c r="F624" s="8"/>
    </row>
    <row r="625" spans="1:6" x14ac:dyDescent="0.25">
      <c r="A625" s="8"/>
      <c r="B625" s="8"/>
      <c r="C625" s="8"/>
      <c r="D625" s="8"/>
      <c r="E625" s="8"/>
      <c r="F625" s="8"/>
    </row>
    <row r="626" spans="1:6" x14ac:dyDescent="0.25">
      <c r="A626" s="8"/>
      <c r="B626" s="8"/>
      <c r="C626" s="8"/>
      <c r="D626" s="8"/>
      <c r="E626" s="8"/>
      <c r="F626" s="8"/>
    </row>
    <row r="627" spans="1:6" x14ac:dyDescent="0.25">
      <c r="A627" s="8"/>
      <c r="B627" s="8"/>
      <c r="C627" s="8"/>
      <c r="D627" s="8"/>
      <c r="E627" s="8"/>
      <c r="F627" s="8"/>
    </row>
    <row r="628" spans="1:6" x14ac:dyDescent="0.25">
      <c r="A628" s="8"/>
      <c r="B628" s="8"/>
      <c r="C628" s="8"/>
      <c r="D628" s="8"/>
      <c r="E628" s="8"/>
      <c r="F628" s="8"/>
    </row>
    <row r="629" spans="1:6" x14ac:dyDescent="0.25">
      <c r="A629" s="8"/>
      <c r="B629" s="8"/>
      <c r="C629" s="8"/>
      <c r="D629" s="8"/>
      <c r="E629" s="8"/>
      <c r="F629" s="8"/>
    </row>
    <row r="630" spans="1:6" x14ac:dyDescent="0.25">
      <c r="A630" s="8"/>
      <c r="B630" s="8"/>
      <c r="C630" s="8"/>
      <c r="D630" s="8"/>
      <c r="E630" s="8"/>
      <c r="F630" s="8"/>
    </row>
    <row r="631" spans="1:6" x14ac:dyDescent="0.25">
      <c r="A631" s="8"/>
      <c r="B631" s="8"/>
      <c r="C631" s="8"/>
      <c r="D631" s="8"/>
      <c r="E631" s="8"/>
      <c r="F631" s="8"/>
    </row>
    <row r="632" spans="1:6" x14ac:dyDescent="0.25">
      <c r="A632" s="8"/>
      <c r="B632" s="8"/>
      <c r="C632" s="8"/>
      <c r="D632" s="8"/>
      <c r="E632" s="8"/>
      <c r="F632" s="8"/>
    </row>
    <row r="633" spans="1:6" x14ac:dyDescent="0.25">
      <c r="A633" s="8"/>
      <c r="B633" s="8"/>
      <c r="C633" s="8"/>
      <c r="D633" s="8"/>
      <c r="E633" s="8"/>
      <c r="F633" s="8"/>
    </row>
    <row r="634" spans="1:6" x14ac:dyDescent="0.25">
      <c r="A634" s="8"/>
      <c r="B634" s="8"/>
      <c r="C634" s="8"/>
      <c r="D634" s="8"/>
      <c r="E634" s="8"/>
      <c r="F634" s="8"/>
    </row>
    <row r="635" spans="1:6" x14ac:dyDescent="0.25">
      <c r="A635" s="8"/>
      <c r="B635" s="8"/>
      <c r="C635" s="8"/>
      <c r="D635" s="8"/>
      <c r="E635" s="8"/>
      <c r="F635" s="8"/>
    </row>
    <row r="636" spans="1:6" x14ac:dyDescent="0.25">
      <c r="A636" s="8"/>
      <c r="B636" s="8"/>
      <c r="C636" s="8"/>
      <c r="D636" s="8"/>
      <c r="E636" s="8"/>
      <c r="F636" s="8"/>
    </row>
    <row r="637" spans="1:6" x14ac:dyDescent="0.25">
      <c r="A637" s="8"/>
      <c r="B637" s="8"/>
      <c r="C637" s="8"/>
      <c r="D637" s="8"/>
      <c r="E637" s="8"/>
      <c r="F637" s="8"/>
    </row>
    <row r="638" spans="1:6" x14ac:dyDescent="0.25">
      <c r="A638" s="8"/>
      <c r="B638" s="8"/>
      <c r="C638" s="8"/>
      <c r="D638" s="8"/>
      <c r="E638" s="8"/>
      <c r="F638" s="8"/>
    </row>
    <row r="639" spans="1:6" x14ac:dyDescent="0.25">
      <c r="A639" s="8"/>
      <c r="B639" s="8"/>
      <c r="C639" s="8"/>
      <c r="D639" s="8"/>
      <c r="E639" s="8"/>
      <c r="F639" s="8"/>
    </row>
    <row r="640" spans="1:6" x14ac:dyDescent="0.25">
      <c r="A640" s="8"/>
      <c r="B640" s="8"/>
      <c r="C640" s="8"/>
      <c r="D640" s="8"/>
      <c r="E640" s="8"/>
      <c r="F640" s="8"/>
    </row>
    <row r="641" spans="1:6" x14ac:dyDescent="0.25">
      <c r="A641" s="8"/>
      <c r="B641" s="8"/>
      <c r="C641" s="8"/>
      <c r="D641" s="8"/>
      <c r="E641" s="8"/>
      <c r="F641" s="8"/>
    </row>
    <row r="642" spans="1:6" x14ac:dyDescent="0.25">
      <c r="A642" s="8"/>
      <c r="B642" s="8"/>
      <c r="C642" s="8"/>
      <c r="D642" s="8"/>
      <c r="E642" s="8"/>
      <c r="F642" s="8"/>
    </row>
    <row r="643" spans="1:6" x14ac:dyDescent="0.25">
      <c r="A643" s="8"/>
      <c r="B643" s="8"/>
      <c r="C643" s="8"/>
      <c r="D643" s="8"/>
      <c r="E643" s="8"/>
      <c r="F643" s="8"/>
    </row>
    <row r="644" spans="1:6" x14ac:dyDescent="0.25">
      <c r="A644" s="8"/>
      <c r="B644" s="8"/>
      <c r="C644" s="8"/>
      <c r="D644" s="8"/>
      <c r="E644" s="8"/>
      <c r="F644" s="8"/>
    </row>
    <row r="645" spans="1:6" x14ac:dyDescent="0.25">
      <c r="A645" s="8"/>
      <c r="B645" s="8"/>
      <c r="C645" s="8"/>
      <c r="D645" s="8"/>
      <c r="E645" s="8"/>
      <c r="F645" s="8"/>
    </row>
    <row r="646" spans="1:6" x14ac:dyDescent="0.25">
      <c r="A646" s="8"/>
      <c r="B646" s="8"/>
      <c r="C646" s="8"/>
      <c r="D646" s="8"/>
      <c r="E646" s="8"/>
      <c r="F646" s="8"/>
    </row>
    <row r="647" spans="1:6" x14ac:dyDescent="0.25">
      <c r="A647" s="8"/>
      <c r="B647" s="8"/>
      <c r="C647" s="8"/>
      <c r="D647" s="8"/>
      <c r="E647" s="8"/>
      <c r="F647" s="8"/>
    </row>
    <row r="648" spans="1:6" x14ac:dyDescent="0.25">
      <c r="A648" s="8"/>
      <c r="B648" s="8"/>
      <c r="C648" s="8"/>
      <c r="D648" s="8"/>
      <c r="E648" s="8"/>
      <c r="F648" s="8"/>
    </row>
    <row r="649" spans="1:6" x14ac:dyDescent="0.25">
      <c r="A649" s="8"/>
      <c r="B649" s="8"/>
      <c r="C649" s="8"/>
      <c r="D649" s="8"/>
      <c r="E649" s="8"/>
      <c r="F649" s="8"/>
    </row>
    <row r="650" spans="1:6" x14ac:dyDescent="0.25">
      <c r="A650" s="8"/>
      <c r="B650" s="8"/>
      <c r="C650" s="8"/>
      <c r="D650" s="8"/>
      <c r="E650" s="8"/>
      <c r="F650" s="8"/>
    </row>
    <row r="651" spans="1:6" x14ac:dyDescent="0.25">
      <c r="A651" s="8"/>
      <c r="B651" s="8"/>
      <c r="C651" s="8"/>
      <c r="D651" s="8"/>
      <c r="E651" s="8"/>
      <c r="F651" s="8"/>
    </row>
    <row r="652" spans="1:6" x14ac:dyDescent="0.25">
      <c r="A652" s="8"/>
      <c r="B652" s="8"/>
      <c r="C652" s="8"/>
      <c r="D652" s="8"/>
      <c r="E652" s="8"/>
      <c r="F652" s="8"/>
    </row>
    <row r="653" spans="1:6" x14ac:dyDescent="0.25">
      <c r="A653" s="8"/>
      <c r="B653" s="8"/>
      <c r="C653" s="8"/>
      <c r="D653" s="8"/>
      <c r="E653" s="8"/>
      <c r="F653" s="8"/>
    </row>
    <row r="654" spans="1:6" x14ac:dyDescent="0.25">
      <c r="A654" s="8"/>
      <c r="B654" s="8"/>
      <c r="C654" s="8"/>
      <c r="D654" s="8"/>
      <c r="E654" s="8"/>
      <c r="F654" s="8"/>
    </row>
    <row r="655" spans="1:6" x14ac:dyDescent="0.25">
      <c r="A655" s="8"/>
      <c r="B655" s="8"/>
      <c r="C655" s="8"/>
      <c r="D655" s="8"/>
      <c r="E655" s="8"/>
      <c r="F655" s="8"/>
    </row>
    <row r="656" spans="1:6" x14ac:dyDescent="0.25">
      <c r="A656" s="8"/>
      <c r="B656" s="8"/>
      <c r="C656" s="8"/>
      <c r="D656" s="8"/>
      <c r="E656" s="8"/>
      <c r="F656" s="8"/>
    </row>
    <row r="657" spans="1:6" x14ac:dyDescent="0.25">
      <c r="A657" s="8"/>
      <c r="B657" s="8"/>
      <c r="C657" s="8"/>
      <c r="D657" s="8"/>
      <c r="E657" s="8"/>
      <c r="F657" s="8"/>
    </row>
    <row r="658" spans="1:6" x14ac:dyDescent="0.25">
      <c r="A658" s="8"/>
      <c r="B658" s="8"/>
      <c r="C658" s="8"/>
      <c r="D658" s="8"/>
      <c r="E658" s="8"/>
      <c r="F658" s="8"/>
    </row>
    <row r="659" spans="1:6" x14ac:dyDescent="0.25">
      <c r="A659" s="8"/>
      <c r="B659" s="8"/>
      <c r="C659" s="8"/>
      <c r="D659" s="8"/>
      <c r="E659" s="8"/>
      <c r="F659" s="8"/>
    </row>
    <row r="660" spans="1:6" x14ac:dyDescent="0.25">
      <c r="A660" s="8"/>
      <c r="B660" s="8"/>
      <c r="C660" s="8"/>
      <c r="D660" s="8"/>
      <c r="E660" s="8"/>
      <c r="F660" s="8"/>
    </row>
    <row r="661" spans="1:6" x14ac:dyDescent="0.25">
      <c r="A661" s="8"/>
      <c r="B661" s="8"/>
      <c r="C661" s="8"/>
      <c r="D661" s="8"/>
      <c r="E661" s="8"/>
      <c r="F661" s="8"/>
    </row>
    <row r="662" spans="1:6" x14ac:dyDescent="0.25">
      <c r="A662" s="8"/>
      <c r="B662" s="8"/>
      <c r="C662" s="8"/>
      <c r="D662" s="8"/>
      <c r="E662" s="8"/>
      <c r="F662" s="8"/>
    </row>
    <row r="663" spans="1:6" x14ac:dyDescent="0.25">
      <c r="A663" s="8"/>
      <c r="B663" s="8"/>
      <c r="C663" s="8"/>
      <c r="D663" s="8"/>
      <c r="E663" s="8"/>
      <c r="F663" s="8"/>
    </row>
    <row r="664" spans="1:6" x14ac:dyDescent="0.25">
      <c r="A664" s="8"/>
      <c r="B664" s="8"/>
      <c r="C664" s="8"/>
      <c r="D664" s="8"/>
      <c r="E664" s="8"/>
      <c r="F664" s="8"/>
    </row>
    <row r="665" spans="1:6" x14ac:dyDescent="0.25">
      <c r="A665" s="8"/>
      <c r="B665" s="8"/>
      <c r="C665" s="8"/>
      <c r="D665" s="8"/>
      <c r="E665" s="8"/>
      <c r="F665" s="8"/>
    </row>
    <row r="666" spans="1:6" x14ac:dyDescent="0.25">
      <c r="A666" s="8"/>
      <c r="B666" s="8"/>
      <c r="C666" s="8"/>
      <c r="D666" s="8"/>
      <c r="E666" s="8"/>
      <c r="F666" s="8"/>
    </row>
    <row r="667" spans="1:6" x14ac:dyDescent="0.25">
      <c r="A667" s="8"/>
      <c r="B667" s="8"/>
      <c r="C667" s="8"/>
      <c r="D667" s="8"/>
      <c r="E667" s="8"/>
      <c r="F667" s="8"/>
    </row>
    <row r="668" spans="1:6" x14ac:dyDescent="0.25">
      <c r="A668" s="8"/>
      <c r="B668" s="8"/>
      <c r="C668" s="8"/>
      <c r="D668" s="8"/>
      <c r="E668" s="8"/>
      <c r="F668" s="8"/>
    </row>
    <row r="669" spans="1:6" x14ac:dyDescent="0.25">
      <c r="A669" s="8"/>
      <c r="B669" s="8"/>
      <c r="C669" s="8"/>
      <c r="D669" s="8"/>
      <c r="E669" s="8"/>
      <c r="F669" s="8"/>
    </row>
    <row r="670" spans="1:6" x14ac:dyDescent="0.25">
      <c r="A670" s="8"/>
      <c r="B670" s="8"/>
      <c r="C670" s="8"/>
      <c r="D670" s="8"/>
      <c r="E670" s="8"/>
      <c r="F670" s="8"/>
    </row>
    <row r="671" spans="1:6" x14ac:dyDescent="0.25">
      <c r="A671" s="8"/>
      <c r="B671" s="8"/>
      <c r="C671" s="8"/>
      <c r="D671" s="8"/>
      <c r="E671" s="8"/>
      <c r="F671" s="8"/>
    </row>
    <row r="672" spans="1:6" x14ac:dyDescent="0.25">
      <c r="A672" s="8"/>
      <c r="B672" s="8"/>
      <c r="C672" s="8"/>
      <c r="D672" s="8"/>
      <c r="E672" s="8"/>
      <c r="F672" s="8"/>
    </row>
    <row r="673" spans="1:6" x14ac:dyDescent="0.25">
      <c r="A673" s="8"/>
      <c r="B673" s="8"/>
      <c r="C673" s="8"/>
      <c r="D673" s="8"/>
      <c r="E673" s="8"/>
      <c r="F673" s="8"/>
    </row>
    <row r="674" spans="1:6" x14ac:dyDescent="0.25">
      <c r="A674" s="8"/>
      <c r="B674" s="8"/>
      <c r="C674" s="8"/>
      <c r="D674" s="8"/>
      <c r="E674" s="8"/>
      <c r="F674" s="8"/>
    </row>
    <row r="675" spans="1:6" x14ac:dyDescent="0.25">
      <c r="A675" s="8"/>
      <c r="B675" s="8"/>
      <c r="C675" s="8"/>
      <c r="D675" s="8"/>
      <c r="E675" s="8"/>
      <c r="F675" s="8"/>
    </row>
    <row r="676" spans="1:6" x14ac:dyDescent="0.25">
      <c r="A676" s="8"/>
      <c r="B676" s="8"/>
      <c r="C676" s="8"/>
      <c r="D676" s="8"/>
      <c r="E676" s="8"/>
      <c r="F676" s="8"/>
    </row>
    <row r="677" spans="1:6" x14ac:dyDescent="0.25">
      <c r="A677" s="8"/>
      <c r="B677" s="8"/>
      <c r="C677" s="8"/>
      <c r="D677" s="8"/>
      <c r="E677" s="8"/>
      <c r="F677" s="8"/>
    </row>
    <row r="678" spans="1:6" x14ac:dyDescent="0.25">
      <c r="A678" s="8"/>
      <c r="B678" s="8"/>
      <c r="C678" s="8"/>
      <c r="D678" s="8"/>
      <c r="E678" s="8"/>
      <c r="F678" s="8"/>
    </row>
    <row r="679" spans="1:6" x14ac:dyDescent="0.25">
      <c r="A679" s="8"/>
      <c r="B679" s="8"/>
      <c r="C679" s="8"/>
      <c r="D679" s="8"/>
      <c r="E679" s="8"/>
      <c r="F679" s="8"/>
    </row>
    <row r="680" spans="1:6" x14ac:dyDescent="0.25">
      <c r="A680" s="8"/>
      <c r="B680" s="8"/>
      <c r="C680" s="8"/>
      <c r="D680" s="8"/>
      <c r="E680" s="8"/>
      <c r="F680" s="8"/>
    </row>
    <row r="681" spans="1:6" x14ac:dyDescent="0.25">
      <c r="A681" s="8"/>
      <c r="B681" s="8"/>
      <c r="C681" s="8"/>
      <c r="D681" s="8"/>
      <c r="E681" s="8"/>
      <c r="F681" s="8"/>
    </row>
    <row r="682" spans="1:6" x14ac:dyDescent="0.25">
      <c r="A682" s="8"/>
      <c r="B682" s="8"/>
      <c r="C682" s="8"/>
      <c r="D682" s="8"/>
      <c r="E682" s="8"/>
      <c r="F682" s="8"/>
    </row>
    <row r="683" spans="1:6" x14ac:dyDescent="0.25">
      <c r="A683" s="8"/>
      <c r="B683" s="8"/>
      <c r="C683" s="8"/>
      <c r="D683" s="8"/>
      <c r="E683" s="8"/>
      <c r="F683" s="8"/>
    </row>
    <row r="684" spans="1:6" x14ac:dyDescent="0.25">
      <c r="A684" s="8"/>
      <c r="B684" s="8"/>
      <c r="C684" s="8"/>
      <c r="D684" s="8"/>
      <c r="E684" s="8"/>
      <c r="F684" s="8"/>
    </row>
    <row r="685" spans="1:6" x14ac:dyDescent="0.25">
      <c r="A685" s="8"/>
      <c r="B685" s="8"/>
      <c r="C685" s="8"/>
      <c r="D685" s="8"/>
      <c r="E685" s="8"/>
      <c r="F685" s="8"/>
    </row>
    <row r="686" spans="1:6" x14ac:dyDescent="0.25">
      <c r="A686" s="8"/>
      <c r="B686" s="8"/>
      <c r="C686" s="8"/>
      <c r="D686" s="8"/>
      <c r="E686" s="8"/>
      <c r="F686" s="8"/>
    </row>
    <row r="687" spans="1:6" x14ac:dyDescent="0.25">
      <c r="A687" s="8"/>
      <c r="B687" s="8"/>
      <c r="C687" s="8"/>
      <c r="D687" s="8"/>
      <c r="E687" s="8"/>
      <c r="F687" s="8"/>
    </row>
    <row r="688" spans="1:6" x14ac:dyDescent="0.25">
      <c r="A688" s="8"/>
      <c r="B688" s="8"/>
      <c r="C688" s="8"/>
      <c r="D688" s="8"/>
      <c r="E688" s="8"/>
      <c r="F688" s="8"/>
    </row>
    <row r="689" spans="1:6" x14ac:dyDescent="0.25">
      <c r="A689" s="8"/>
      <c r="B689" s="8"/>
      <c r="C689" s="8"/>
      <c r="D689" s="8"/>
      <c r="E689" s="8"/>
      <c r="F689" s="8"/>
    </row>
    <row r="690" spans="1:6" x14ac:dyDescent="0.25">
      <c r="A690" s="8"/>
      <c r="B690" s="8"/>
      <c r="C690" s="8"/>
      <c r="D690" s="8"/>
      <c r="E690" s="8"/>
      <c r="F690" s="8"/>
    </row>
    <row r="691" spans="1:6" x14ac:dyDescent="0.25">
      <c r="A691" s="8"/>
      <c r="B691" s="8"/>
      <c r="C691" s="8"/>
      <c r="D691" s="8"/>
      <c r="E691" s="8"/>
      <c r="F691" s="8"/>
    </row>
    <row r="692" spans="1:6" x14ac:dyDescent="0.25">
      <c r="A692" s="8"/>
      <c r="B692" s="8"/>
      <c r="C692" s="8"/>
      <c r="D692" s="8"/>
      <c r="E692" s="8"/>
      <c r="F692" s="8"/>
    </row>
    <row r="693" spans="1:6" x14ac:dyDescent="0.25">
      <c r="A693" s="8"/>
      <c r="B693" s="8"/>
      <c r="C693" s="8"/>
      <c r="D693" s="8"/>
      <c r="E693" s="8"/>
      <c r="F693" s="8"/>
    </row>
    <row r="694" spans="1:6" x14ac:dyDescent="0.25">
      <c r="A694" s="8"/>
      <c r="B694" s="8"/>
      <c r="C694" s="8"/>
      <c r="D694" s="8"/>
      <c r="E694" s="8"/>
      <c r="F694" s="8"/>
    </row>
    <row r="695" spans="1:6" x14ac:dyDescent="0.25">
      <c r="A695" s="8"/>
      <c r="B695" s="8"/>
      <c r="C695" s="8"/>
      <c r="D695" s="8"/>
      <c r="E695" s="8"/>
      <c r="F695" s="8"/>
    </row>
    <row r="696" spans="1:6" x14ac:dyDescent="0.25">
      <c r="A696" s="8"/>
      <c r="B696" s="8"/>
      <c r="C696" s="8"/>
      <c r="D696" s="8"/>
      <c r="E696" s="8"/>
      <c r="F696" s="8"/>
    </row>
    <row r="697" spans="1:6" x14ac:dyDescent="0.25">
      <c r="A697" s="8"/>
      <c r="B697" s="8"/>
      <c r="C697" s="8"/>
      <c r="D697" s="8"/>
      <c r="E697" s="8"/>
      <c r="F697" s="8"/>
    </row>
    <row r="698" spans="1:6" x14ac:dyDescent="0.25">
      <c r="A698" s="8"/>
      <c r="B698" s="8"/>
      <c r="C698" s="8"/>
      <c r="D698" s="8"/>
      <c r="E698" s="8"/>
      <c r="F698" s="8"/>
    </row>
    <row r="699" spans="1:6" x14ac:dyDescent="0.25">
      <c r="A699" s="8"/>
      <c r="B699" s="8"/>
      <c r="C699" s="8"/>
      <c r="D699" s="8"/>
      <c r="E699" s="8"/>
      <c r="F699" s="8"/>
    </row>
    <row r="700" spans="1:6" x14ac:dyDescent="0.25">
      <c r="A700" s="8"/>
      <c r="B700" s="8"/>
      <c r="C700" s="8"/>
      <c r="D700" s="8"/>
      <c r="E700" s="8"/>
      <c r="F700" s="8"/>
    </row>
    <row r="701" spans="1:6" x14ac:dyDescent="0.25">
      <c r="A701" s="8"/>
      <c r="B701" s="8"/>
      <c r="C701" s="8"/>
      <c r="D701" s="8"/>
      <c r="E701" s="8"/>
      <c r="F701" s="8"/>
    </row>
    <row r="702" spans="1:6" x14ac:dyDescent="0.25">
      <c r="A702" s="8"/>
      <c r="B702" s="8"/>
      <c r="C702" s="8"/>
      <c r="D702" s="8"/>
      <c r="E702" s="8"/>
      <c r="F702" s="8"/>
    </row>
    <row r="703" spans="1:6" x14ac:dyDescent="0.25">
      <c r="A703" s="8"/>
      <c r="B703" s="8"/>
      <c r="C703" s="8"/>
      <c r="D703" s="8"/>
      <c r="E703" s="8"/>
      <c r="F703" s="8"/>
    </row>
    <row r="704" spans="1:6" x14ac:dyDescent="0.25">
      <c r="A704" s="8"/>
      <c r="B704" s="8"/>
      <c r="C704" s="8"/>
      <c r="D704" s="8"/>
      <c r="E704" s="8"/>
      <c r="F704" s="8"/>
    </row>
    <row r="705" spans="1:6" x14ac:dyDescent="0.25">
      <c r="A705" s="8"/>
      <c r="B705" s="8"/>
      <c r="C705" s="8"/>
      <c r="D705" s="8"/>
      <c r="E705" s="8"/>
      <c r="F705" s="8"/>
    </row>
    <row r="706" spans="1:6" x14ac:dyDescent="0.25">
      <c r="A706" s="8"/>
      <c r="B706" s="8"/>
      <c r="C706" s="8"/>
      <c r="D706" s="8"/>
      <c r="E706" s="8"/>
      <c r="F706" s="8"/>
    </row>
    <row r="707" spans="1:6" x14ac:dyDescent="0.25">
      <c r="A707" s="8"/>
      <c r="B707" s="8"/>
      <c r="C707" s="8"/>
      <c r="D707" s="8"/>
      <c r="E707" s="8"/>
      <c r="F707" s="8"/>
    </row>
    <row r="708" spans="1:6" x14ac:dyDescent="0.25">
      <c r="A708" s="8"/>
      <c r="B708" s="8"/>
      <c r="C708" s="8"/>
      <c r="D708" s="8"/>
      <c r="E708" s="8"/>
      <c r="F708" s="8"/>
    </row>
    <row r="709" spans="1:6" x14ac:dyDescent="0.25">
      <c r="A709" s="8"/>
      <c r="B709" s="8"/>
      <c r="C709" s="8"/>
      <c r="D709" s="8"/>
      <c r="E709" s="8"/>
      <c r="F709" s="8"/>
    </row>
    <row r="710" spans="1:6" x14ac:dyDescent="0.25">
      <c r="A710" s="8"/>
      <c r="B710" s="8"/>
      <c r="C710" s="8"/>
      <c r="D710" s="8"/>
      <c r="E710" s="8"/>
      <c r="F710" s="8"/>
    </row>
    <row r="711" spans="1:6" x14ac:dyDescent="0.25">
      <c r="A711" s="8"/>
      <c r="B711" s="8"/>
      <c r="C711" s="8"/>
      <c r="D711" s="8"/>
      <c r="E711" s="8"/>
      <c r="F711" s="8"/>
    </row>
    <row r="712" spans="1:6" x14ac:dyDescent="0.25">
      <c r="A712" s="8"/>
      <c r="B712" s="8"/>
      <c r="C712" s="8"/>
      <c r="D712" s="8"/>
      <c r="E712" s="8"/>
      <c r="F712" s="8"/>
    </row>
    <row r="713" spans="1:6" x14ac:dyDescent="0.25">
      <c r="A713" s="8"/>
      <c r="B713" s="8"/>
      <c r="C713" s="8"/>
      <c r="D713" s="8"/>
      <c r="E713" s="8"/>
      <c r="F713" s="8"/>
    </row>
    <row r="714" spans="1:6" x14ac:dyDescent="0.25">
      <c r="A714" s="8"/>
      <c r="B714" s="8"/>
      <c r="C714" s="8"/>
      <c r="D714" s="8"/>
      <c r="E714" s="8"/>
      <c r="F714" s="8"/>
    </row>
    <row r="715" spans="1:6" x14ac:dyDescent="0.25">
      <c r="A715" s="8"/>
      <c r="B715" s="8"/>
      <c r="C715" s="8"/>
      <c r="D715" s="8"/>
      <c r="E715" s="8"/>
      <c r="F715" s="8"/>
    </row>
    <row r="716" spans="1:6" x14ac:dyDescent="0.25">
      <c r="A716" s="8"/>
      <c r="B716" s="8"/>
      <c r="C716" s="8"/>
      <c r="D716" s="8"/>
      <c r="E716" s="8"/>
      <c r="F716" s="8"/>
    </row>
    <row r="717" spans="1:6" x14ac:dyDescent="0.25">
      <c r="A717" s="8"/>
      <c r="B717" s="8"/>
      <c r="C717" s="8"/>
      <c r="D717" s="8"/>
      <c r="E717" s="8"/>
      <c r="F717" s="8"/>
    </row>
    <row r="718" spans="1:6" x14ac:dyDescent="0.25">
      <c r="A718" s="8"/>
      <c r="B718" s="8"/>
      <c r="C718" s="8"/>
      <c r="D718" s="8"/>
      <c r="E718" s="8"/>
      <c r="F718" s="8"/>
    </row>
    <row r="719" spans="1:6" x14ac:dyDescent="0.25">
      <c r="A719" s="8"/>
      <c r="B719" s="8"/>
      <c r="C719" s="8"/>
      <c r="D719" s="8"/>
      <c r="E719" s="8"/>
      <c r="F719" s="8"/>
    </row>
    <row r="720" spans="1:6" x14ac:dyDescent="0.25">
      <c r="A720" s="8"/>
      <c r="B720" s="8"/>
      <c r="C720" s="8"/>
      <c r="D720" s="8"/>
      <c r="E720" s="8"/>
      <c r="F720" s="8"/>
    </row>
    <row r="721" spans="1:6" x14ac:dyDescent="0.25">
      <c r="A721" s="8"/>
      <c r="B721" s="8"/>
      <c r="C721" s="8"/>
      <c r="D721" s="8"/>
      <c r="E721" s="8"/>
      <c r="F721" s="8"/>
    </row>
    <row r="722" spans="1:6" x14ac:dyDescent="0.25">
      <c r="A722" s="8"/>
      <c r="B722" s="8"/>
      <c r="C722" s="8"/>
      <c r="D722" s="8"/>
      <c r="E722" s="8"/>
      <c r="F722" s="8"/>
    </row>
    <row r="723" spans="1:6" x14ac:dyDescent="0.25">
      <c r="A723" s="8"/>
      <c r="B723" s="8"/>
      <c r="C723" s="8"/>
      <c r="D723" s="8"/>
      <c r="E723" s="8"/>
      <c r="F723" s="8"/>
    </row>
    <row r="724" spans="1:6" x14ac:dyDescent="0.25">
      <c r="A724" s="8"/>
      <c r="B724" s="8"/>
      <c r="C724" s="8"/>
      <c r="D724" s="8"/>
      <c r="E724" s="8"/>
      <c r="F724" s="8"/>
    </row>
    <row r="725" spans="1:6" x14ac:dyDescent="0.25">
      <c r="A725" s="8"/>
      <c r="B725" s="8"/>
      <c r="C725" s="8"/>
      <c r="D725" s="8"/>
      <c r="E725" s="8"/>
      <c r="F725" s="8"/>
    </row>
    <row r="726" spans="1:6" x14ac:dyDescent="0.25">
      <c r="A726" s="8"/>
      <c r="B726" s="8"/>
      <c r="C726" s="8"/>
      <c r="D726" s="8"/>
      <c r="E726" s="8"/>
      <c r="F726" s="8"/>
    </row>
    <row r="727" spans="1:6" x14ac:dyDescent="0.25">
      <c r="A727" s="8"/>
      <c r="B727" s="8"/>
      <c r="C727" s="8"/>
      <c r="D727" s="8"/>
      <c r="E727" s="8"/>
      <c r="F727" s="8"/>
    </row>
    <row r="728" spans="1:6" x14ac:dyDescent="0.25">
      <c r="A728" s="8"/>
      <c r="B728" s="8"/>
      <c r="C728" s="8"/>
      <c r="D728" s="8"/>
      <c r="E728" s="8"/>
      <c r="F728" s="8"/>
    </row>
    <row r="729" spans="1:6" x14ac:dyDescent="0.25">
      <c r="A729" s="8"/>
      <c r="B729" s="8"/>
      <c r="C729" s="8"/>
      <c r="D729" s="8"/>
      <c r="E729" s="8"/>
      <c r="F729" s="8"/>
    </row>
    <row r="730" spans="1:6" x14ac:dyDescent="0.25">
      <c r="A730" s="8"/>
      <c r="B730" s="8"/>
      <c r="C730" s="8"/>
      <c r="D730" s="8"/>
      <c r="E730" s="8"/>
      <c r="F730" s="8"/>
    </row>
    <row r="731" spans="1:6" x14ac:dyDescent="0.25">
      <c r="A731" s="8"/>
      <c r="B731" s="8"/>
      <c r="C731" s="8"/>
      <c r="D731" s="8"/>
      <c r="E731" s="8"/>
      <c r="F731" s="8"/>
    </row>
    <row r="732" spans="1:6" x14ac:dyDescent="0.25">
      <c r="A732" s="8"/>
      <c r="B732" s="8"/>
      <c r="C732" s="8"/>
      <c r="D732" s="8"/>
      <c r="E732" s="8"/>
      <c r="F732" s="8"/>
    </row>
    <row r="733" spans="1:6" x14ac:dyDescent="0.25">
      <c r="A733" s="8"/>
      <c r="B733" s="8"/>
      <c r="C733" s="8"/>
      <c r="D733" s="8"/>
      <c r="E733" s="8"/>
      <c r="F733" s="8"/>
    </row>
    <row r="734" spans="1:6" x14ac:dyDescent="0.25">
      <c r="A734" s="8"/>
      <c r="B734" s="8"/>
      <c r="C734" s="8"/>
      <c r="D734" s="8"/>
      <c r="E734" s="8"/>
      <c r="F734" s="8"/>
    </row>
    <row r="735" spans="1:6" x14ac:dyDescent="0.25">
      <c r="A735" s="8"/>
      <c r="B735" s="8"/>
      <c r="C735" s="8"/>
      <c r="D735" s="8"/>
      <c r="E735" s="8"/>
      <c r="F735" s="8"/>
    </row>
    <row r="736" spans="1:6" x14ac:dyDescent="0.25">
      <c r="A736" s="8"/>
      <c r="B736" s="8"/>
      <c r="C736" s="8"/>
      <c r="D736" s="8"/>
      <c r="E736" s="8"/>
      <c r="F736" s="8"/>
    </row>
    <row r="737" spans="1:6" x14ac:dyDescent="0.25">
      <c r="A737" s="8"/>
      <c r="B737" s="8"/>
      <c r="C737" s="8"/>
      <c r="D737" s="8"/>
      <c r="E737" s="8"/>
      <c r="F737" s="8"/>
    </row>
    <row r="738" spans="1:6" x14ac:dyDescent="0.25">
      <c r="A738" s="8"/>
      <c r="B738" s="8"/>
      <c r="C738" s="8"/>
      <c r="D738" s="8"/>
      <c r="E738" s="8"/>
      <c r="F738" s="8"/>
    </row>
    <row r="739" spans="1:6" x14ac:dyDescent="0.25">
      <c r="A739" s="8"/>
      <c r="B739" s="8"/>
      <c r="C739" s="8"/>
      <c r="D739" s="8"/>
      <c r="E739" s="8"/>
      <c r="F739" s="8"/>
    </row>
    <row r="740" spans="1:6" x14ac:dyDescent="0.25">
      <c r="A740" s="8"/>
      <c r="B740" s="8"/>
      <c r="C740" s="8"/>
      <c r="D740" s="8"/>
      <c r="E740" s="8"/>
      <c r="F740" s="8"/>
    </row>
    <row r="741" spans="1:6" x14ac:dyDescent="0.25">
      <c r="A741" s="8"/>
      <c r="B741" s="8"/>
      <c r="C741" s="8"/>
      <c r="D741" s="8"/>
      <c r="E741" s="8"/>
      <c r="F741" s="8"/>
    </row>
    <row r="742" spans="1:6" x14ac:dyDescent="0.25">
      <c r="A742" s="8"/>
      <c r="B742" s="8"/>
      <c r="C742" s="8"/>
      <c r="D742" s="8"/>
      <c r="E742" s="8"/>
      <c r="F742" s="8"/>
    </row>
    <row r="743" spans="1:6" x14ac:dyDescent="0.25">
      <c r="A743" s="8"/>
      <c r="B743" s="8"/>
      <c r="C743" s="8"/>
      <c r="D743" s="8"/>
      <c r="E743" s="8"/>
      <c r="F743" s="8"/>
    </row>
    <row r="744" spans="1:6" x14ac:dyDescent="0.25">
      <c r="A744" s="8"/>
      <c r="B744" s="8"/>
      <c r="C744" s="8"/>
      <c r="D744" s="8"/>
      <c r="E744" s="8"/>
      <c r="F744" s="8"/>
    </row>
    <row r="745" spans="1:6" x14ac:dyDescent="0.25">
      <c r="A745" s="8"/>
      <c r="B745" s="8"/>
      <c r="C745" s="8"/>
      <c r="D745" s="8"/>
      <c r="E745" s="8"/>
      <c r="F745" s="8"/>
    </row>
    <row r="746" spans="1:6" x14ac:dyDescent="0.25">
      <c r="A746" s="8"/>
      <c r="B746" s="8"/>
      <c r="C746" s="8"/>
      <c r="D746" s="8"/>
      <c r="E746" s="8"/>
      <c r="F746" s="8"/>
    </row>
    <row r="747" spans="1:6" x14ac:dyDescent="0.25">
      <c r="A747" s="8"/>
      <c r="B747" s="8"/>
      <c r="C747" s="8"/>
      <c r="D747" s="8"/>
      <c r="E747" s="8"/>
      <c r="F747" s="8"/>
    </row>
    <row r="748" spans="1:6" x14ac:dyDescent="0.25">
      <c r="A748" s="8"/>
      <c r="B748" s="8"/>
      <c r="C748" s="8"/>
      <c r="D748" s="8"/>
      <c r="E748" s="8"/>
      <c r="F748" s="8"/>
    </row>
    <row r="749" spans="1:6" x14ac:dyDescent="0.25">
      <c r="A749" s="8"/>
      <c r="B749" s="8"/>
      <c r="C749" s="8"/>
      <c r="D749" s="8"/>
      <c r="E749" s="8"/>
      <c r="F749" s="8"/>
    </row>
    <row r="750" spans="1:6" x14ac:dyDescent="0.25">
      <c r="A750" s="8"/>
      <c r="B750" s="8"/>
      <c r="C750" s="8"/>
      <c r="D750" s="8"/>
      <c r="E750" s="8"/>
      <c r="F750" s="8"/>
    </row>
    <row r="751" spans="1:6" x14ac:dyDescent="0.25">
      <c r="A751" s="8"/>
      <c r="B751" s="8"/>
      <c r="C751" s="8"/>
      <c r="D751" s="8"/>
      <c r="E751" s="8"/>
      <c r="F751" s="8"/>
    </row>
    <row r="752" spans="1:6" x14ac:dyDescent="0.25">
      <c r="A752" s="8"/>
      <c r="B752" s="8"/>
      <c r="C752" s="8"/>
      <c r="D752" s="8"/>
      <c r="E752" s="8"/>
      <c r="F752" s="8"/>
    </row>
    <row r="753" spans="1:6" x14ac:dyDescent="0.25">
      <c r="A753" s="8"/>
      <c r="B753" s="8"/>
      <c r="C753" s="8"/>
      <c r="D753" s="8"/>
      <c r="E753" s="8"/>
      <c r="F753" s="8"/>
    </row>
    <row r="754" spans="1:6" x14ac:dyDescent="0.25">
      <c r="A754" s="8"/>
      <c r="B754" s="8"/>
      <c r="C754" s="8"/>
      <c r="D754" s="8"/>
      <c r="E754" s="8"/>
      <c r="F754" s="8"/>
    </row>
    <row r="755" spans="1:6" x14ac:dyDescent="0.25">
      <c r="A755" s="8"/>
      <c r="B755" s="8"/>
      <c r="C755" s="8"/>
      <c r="D755" s="8"/>
      <c r="E755" s="8"/>
      <c r="F755" s="8"/>
    </row>
    <row r="756" spans="1:6" x14ac:dyDescent="0.25">
      <c r="A756" s="8"/>
      <c r="B756" s="8"/>
      <c r="C756" s="8"/>
      <c r="D756" s="8"/>
      <c r="E756" s="8"/>
      <c r="F756" s="8"/>
    </row>
    <row r="757" spans="1:6" x14ac:dyDescent="0.25">
      <c r="A757" s="8"/>
      <c r="B757" s="8"/>
      <c r="C757" s="8"/>
      <c r="D757" s="8"/>
      <c r="E757" s="8"/>
      <c r="F757" s="8"/>
    </row>
    <row r="758" spans="1:6" x14ac:dyDescent="0.25">
      <c r="A758" s="8"/>
      <c r="B758" s="8"/>
      <c r="C758" s="8"/>
      <c r="D758" s="8"/>
      <c r="E758" s="8"/>
      <c r="F758" s="8"/>
    </row>
    <row r="759" spans="1:6" x14ac:dyDescent="0.25">
      <c r="A759" s="8"/>
      <c r="B759" s="8"/>
      <c r="C759" s="8"/>
      <c r="D759" s="8"/>
      <c r="E759" s="8"/>
      <c r="F759" s="8"/>
    </row>
    <row r="760" spans="1:6" x14ac:dyDescent="0.25">
      <c r="A760" s="8"/>
      <c r="B760" s="8"/>
      <c r="C760" s="8"/>
      <c r="D760" s="8"/>
      <c r="E760" s="8"/>
      <c r="F760" s="8"/>
    </row>
    <row r="761" spans="1:6" x14ac:dyDescent="0.25">
      <c r="A761" s="8"/>
      <c r="B761" s="8"/>
      <c r="C761" s="8"/>
      <c r="D761" s="8"/>
      <c r="E761" s="8"/>
      <c r="F761" s="8"/>
    </row>
    <row r="762" spans="1:6" x14ac:dyDescent="0.25">
      <c r="A762" s="8"/>
      <c r="B762" s="8"/>
      <c r="C762" s="8"/>
      <c r="D762" s="8"/>
      <c r="E762" s="8"/>
      <c r="F762" s="8"/>
    </row>
    <row r="763" spans="1:6" x14ac:dyDescent="0.25">
      <c r="A763" s="8"/>
      <c r="B763" s="8"/>
      <c r="C763" s="8"/>
      <c r="D763" s="8"/>
      <c r="E763" s="8"/>
      <c r="F763" s="8"/>
    </row>
    <row r="764" spans="1:6" x14ac:dyDescent="0.25">
      <c r="A764" s="8"/>
      <c r="B764" s="8"/>
      <c r="C764" s="8"/>
      <c r="D764" s="8"/>
      <c r="E764" s="8"/>
      <c r="F764" s="8"/>
    </row>
    <row r="765" spans="1:6" x14ac:dyDescent="0.25">
      <c r="A765" s="8"/>
      <c r="B765" s="8"/>
      <c r="C765" s="8"/>
      <c r="D765" s="8"/>
      <c r="E765" s="8"/>
      <c r="F765" s="8"/>
    </row>
    <row r="766" spans="1:6" x14ac:dyDescent="0.25">
      <c r="A766" s="8"/>
      <c r="B766" s="8"/>
      <c r="C766" s="8"/>
      <c r="D766" s="8"/>
      <c r="E766" s="8"/>
      <c r="F766" s="8"/>
    </row>
    <row r="767" spans="1:6" x14ac:dyDescent="0.25">
      <c r="A767" s="8"/>
      <c r="B767" s="8"/>
      <c r="C767" s="8"/>
      <c r="D767" s="8"/>
      <c r="E767" s="8"/>
      <c r="F767" s="8"/>
    </row>
    <row r="768" spans="1:6" x14ac:dyDescent="0.25">
      <c r="A768" s="8"/>
      <c r="B768" s="8"/>
      <c r="C768" s="8"/>
      <c r="D768" s="8"/>
      <c r="E768" s="8"/>
      <c r="F768" s="8"/>
    </row>
    <row r="769" spans="1:6" x14ac:dyDescent="0.25">
      <c r="A769" s="8"/>
      <c r="B769" s="8"/>
      <c r="C769" s="8"/>
      <c r="D769" s="8"/>
      <c r="E769" s="8"/>
      <c r="F769" s="8"/>
    </row>
    <row r="770" spans="1:6" x14ac:dyDescent="0.25">
      <c r="A770" s="8"/>
      <c r="B770" s="8"/>
      <c r="C770" s="8"/>
      <c r="D770" s="8"/>
      <c r="E770" s="8"/>
      <c r="F770" s="8"/>
    </row>
    <row r="771" spans="1:6" x14ac:dyDescent="0.25">
      <c r="A771" s="8"/>
      <c r="B771" s="8"/>
      <c r="C771" s="8"/>
      <c r="D771" s="8"/>
      <c r="E771" s="8"/>
      <c r="F771" s="8"/>
    </row>
    <row r="772" spans="1:6" x14ac:dyDescent="0.25">
      <c r="A772" s="8"/>
      <c r="B772" s="8"/>
      <c r="C772" s="8"/>
      <c r="D772" s="8"/>
      <c r="E772" s="8"/>
      <c r="F772" s="8"/>
    </row>
    <row r="773" spans="1:6" x14ac:dyDescent="0.25">
      <c r="A773" s="8"/>
      <c r="B773" s="8"/>
      <c r="C773" s="8"/>
      <c r="D773" s="8"/>
      <c r="E773" s="8"/>
      <c r="F773" s="8"/>
    </row>
    <row r="774" spans="1:6" x14ac:dyDescent="0.25">
      <c r="A774" s="8"/>
      <c r="B774" s="8"/>
      <c r="C774" s="8"/>
      <c r="D774" s="8"/>
      <c r="E774" s="8"/>
      <c r="F774" s="8"/>
    </row>
    <row r="775" spans="1:6" x14ac:dyDescent="0.25">
      <c r="A775" s="8"/>
      <c r="B775" s="8"/>
      <c r="C775" s="8"/>
      <c r="D775" s="8"/>
      <c r="E775" s="8"/>
      <c r="F775" s="8"/>
    </row>
    <row r="776" spans="1:6" x14ac:dyDescent="0.25">
      <c r="A776" s="8"/>
      <c r="B776" s="8"/>
      <c r="C776" s="8"/>
      <c r="D776" s="8"/>
      <c r="E776" s="8"/>
      <c r="F776" s="8"/>
    </row>
    <row r="777" spans="1:6" x14ac:dyDescent="0.25">
      <c r="A777" s="8"/>
      <c r="B777" s="8"/>
      <c r="C777" s="8"/>
      <c r="D777" s="8"/>
      <c r="E777" s="8"/>
      <c r="F777" s="8"/>
    </row>
    <row r="778" spans="1:6" x14ac:dyDescent="0.25">
      <c r="A778" s="8"/>
      <c r="B778" s="8"/>
      <c r="C778" s="8"/>
      <c r="D778" s="8"/>
      <c r="E778" s="8"/>
      <c r="F778" s="8"/>
    </row>
    <row r="779" spans="1:6" x14ac:dyDescent="0.25">
      <c r="A779" s="8"/>
      <c r="B779" s="8"/>
      <c r="C779" s="8"/>
      <c r="D779" s="8"/>
      <c r="E779" s="8"/>
      <c r="F779" s="8"/>
    </row>
    <row r="780" spans="1:6" x14ac:dyDescent="0.25">
      <c r="A780" s="8"/>
      <c r="B780" s="8"/>
      <c r="C780" s="8"/>
      <c r="D780" s="8"/>
      <c r="E780" s="8"/>
      <c r="F780" s="8"/>
    </row>
    <row r="781" spans="1:6" x14ac:dyDescent="0.25">
      <c r="A781" s="8"/>
      <c r="B781" s="8"/>
      <c r="C781" s="8"/>
      <c r="D781" s="8"/>
      <c r="E781" s="8"/>
      <c r="F781" s="8"/>
    </row>
    <row r="782" spans="1:6" x14ac:dyDescent="0.25">
      <c r="A782" s="8"/>
      <c r="B782" s="8"/>
      <c r="C782" s="8"/>
      <c r="D782" s="8"/>
      <c r="E782" s="8"/>
      <c r="F782" s="8"/>
    </row>
    <row r="783" spans="1:6" x14ac:dyDescent="0.25">
      <c r="A783" s="8"/>
      <c r="B783" s="8"/>
      <c r="C783" s="8"/>
      <c r="D783" s="8"/>
      <c r="E783" s="8"/>
      <c r="F783" s="8"/>
    </row>
    <row r="784" spans="1:6" x14ac:dyDescent="0.25">
      <c r="A784" s="8"/>
      <c r="B784" s="8"/>
      <c r="C784" s="8"/>
      <c r="D784" s="8"/>
      <c r="E784" s="8"/>
      <c r="F784" s="8"/>
    </row>
    <row r="785" spans="1:6" x14ac:dyDescent="0.25">
      <c r="A785" s="8"/>
      <c r="B785" s="8"/>
      <c r="C785" s="8"/>
      <c r="D785" s="8"/>
      <c r="E785" s="8"/>
      <c r="F785" s="8"/>
    </row>
    <row r="786" spans="1:6" x14ac:dyDescent="0.25">
      <c r="A786" s="8"/>
      <c r="B786" s="8"/>
      <c r="C786" s="8"/>
      <c r="D786" s="8"/>
      <c r="E786" s="8"/>
      <c r="F786" s="8"/>
    </row>
    <row r="787" spans="1:6" x14ac:dyDescent="0.25">
      <c r="A787" s="8"/>
      <c r="B787" s="8"/>
      <c r="C787" s="8"/>
      <c r="D787" s="8"/>
      <c r="E787" s="8"/>
      <c r="F787" s="8"/>
    </row>
    <row r="788" spans="1:6" x14ac:dyDescent="0.25">
      <c r="A788" s="8"/>
      <c r="B788" s="8"/>
      <c r="C788" s="8"/>
      <c r="D788" s="8"/>
      <c r="E788" s="8"/>
      <c r="F788" s="8"/>
    </row>
    <row r="789" spans="1:6" x14ac:dyDescent="0.25">
      <c r="A789" s="8"/>
      <c r="B789" s="8"/>
      <c r="C789" s="8"/>
      <c r="D789" s="8"/>
      <c r="E789" s="8"/>
      <c r="F789" s="8"/>
    </row>
    <row r="790" spans="1:6" x14ac:dyDescent="0.25">
      <c r="A790" s="8"/>
      <c r="B790" s="8"/>
      <c r="C790" s="8"/>
      <c r="D790" s="8"/>
      <c r="E790" s="8"/>
      <c r="F790" s="8"/>
    </row>
    <row r="791" spans="1:6" x14ac:dyDescent="0.25">
      <c r="A791" s="8"/>
      <c r="B791" s="8"/>
      <c r="C791" s="8"/>
      <c r="D791" s="8"/>
      <c r="E791" s="8"/>
      <c r="F791" s="8"/>
    </row>
    <row r="792" spans="1:6" x14ac:dyDescent="0.25">
      <c r="A792" s="8"/>
      <c r="B792" s="8"/>
      <c r="C792" s="8"/>
      <c r="D792" s="8"/>
      <c r="E792" s="8"/>
      <c r="F792" s="8"/>
    </row>
    <row r="793" spans="1:6" x14ac:dyDescent="0.25">
      <c r="A793" s="8"/>
      <c r="B793" s="8"/>
      <c r="C793" s="8"/>
      <c r="D793" s="8"/>
      <c r="E793" s="8"/>
      <c r="F793" s="8"/>
    </row>
    <row r="794" spans="1:6" x14ac:dyDescent="0.25">
      <c r="A794" s="8"/>
      <c r="B794" s="8"/>
      <c r="C794" s="8"/>
      <c r="D794" s="8"/>
      <c r="E794" s="8"/>
      <c r="F794" s="8"/>
    </row>
    <row r="795" spans="1:6" x14ac:dyDescent="0.25">
      <c r="A795" s="8"/>
      <c r="B795" s="8"/>
      <c r="C795" s="8"/>
      <c r="D795" s="8"/>
      <c r="E795" s="8"/>
      <c r="F795" s="8"/>
    </row>
    <row r="796" spans="1:6" x14ac:dyDescent="0.25">
      <c r="A796" s="8"/>
      <c r="B796" s="8"/>
      <c r="C796" s="8"/>
      <c r="D796" s="8"/>
      <c r="E796" s="8"/>
      <c r="F796" s="8"/>
    </row>
    <row r="797" spans="1:6" x14ac:dyDescent="0.25">
      <c r="A797" s="8"/>
      <c r="B797" s="8"/>
      <c r="C797" s="8"/>
      <c r="D797" s="8"/>
      <c r="E797" s="8"/>
      <c r="F797" s="8"/>
    </row>
    <row r="798" spans="1:6" x14ac:dyDescent="0.25">
      <c r="A798" s="8"/>
      <c r="B798" s="8"/>
      <c r="C798" s="8"/>
      <c r="D798" s="8"/>
      <c r="E798" s="8"/>
      <c r="F798" s="8"/>
    </row>
    <row r="799" spans="1:6" x14ac:dyDescent="0.25">
      <c r="A799" s="8"/>
      <c r="B799" s="8"/>
      <c r="C799" s="8"/>
      <c r="D799" s="8"/>
      <c r="E799" s="8"/>
      <c r="F799" s="8"/>
    </row>
    <row r="800" spans="1:6" x14ac:dyDescent="0.25">
      <c r="A800" s="8"/>
      <c r="B800" s="8"/>
      <c r="C800" s="8"/>
      <c r="D800" s="8"/>
      <c r="E800" s="8"/>
      <c r="F800" s="8"/>
    </row>
    <row r="801" spans="1:6" x14ac:dyDescent="0.25">
      <c r="A801" s="8"/>
      <c r="B801" s="8"/>
      <c r="C801" s="8"/>
      <c r="D801" s="8"/>
      <c r="E801" s="8"/>
      <c r="F801" s="8"/>
    </row>
    <row r="802" spans="1:6" x14ac:dyDescent="0.25">
      <c r="A802" s="8"/>
      <c r="B802" s="8"/>
      <c r="C802" s="8"/>
      <c r="D802" s="8"/>
      <c r="E802" s="8"/>
      <c r="F802" s="8"/>
    </row>
    <row r="803" spans="1:6" x14ac:dyDescent="0.25">
      <c r="A803" s="8"/>
      <c r="B803" s="8"/>
      <c r="C803" s="8"/>
      <c r="D803" s="8"/>
      <c r="E803" s="8"/>
      <c r="F803" s="8"/>
    </row>
    <row r="804" spans="1:6" x14ac:dyDescent="0.25">
      <c r="A804" s="8"/>
      <c r="B804" s="8"/>
      <c r="C804" s="8"/>
      <c r="D804" s="8"/>
      <c r="E804" s="8"/>
      <c r="F804" s="8"/>
    </row>
    <row r="805" spans="1:6" x14ac:dyDescent="0.25">
      <c r="A805" s="8"/>
      <c r="B805" s="8"/>
      <c r="C805" s="8"/>
      <c r="D805" s="8"/>
      <c r="E805" s="8"/>
      <c r="F805" s="8"/>
    </row>
    <row r="806" spans="1:6" x14ac:dyDescent="0.25">
      <c r="A806" s="8"/>
      <c r="B806" s="8"/>
      <c r="C806" s="8"/>
      <c r="D806" s="8"/>
      <c r="E806" s="8"/>
      <c r="F806" s="8"/>
    </row>
    <row r="807" spans="1:6" x14ac:dyDescent="0.25">
      <c r="A807" s="8"/>
      <c r="B807" s="8"/>
      <c r="C807" s="8"/>
      <c r="D807" s="8"/>
      <c r="E807" s="8"/>
      <c r="F807" s="8"/>
    </row>
    <row r="808" spans="1:6" x14ac:dyDescent="0.25">
      <c r="A808" s="8"/>
      <c r="B808" s="8"/>
      <c r="C808" s="8"/>
      <c r="D808" s="8"/>
      <c r="E808" s="8"/>
      <c r="F808" s="8"/>
    </row>
    <row r="809" spans="1:6" x14ac:dyDescent="0.25">
      <c r="A809" s="8"/>
      <c r="B809" s="8"/>
      <c r="C809" s="8"/>
      <c r="D809" s="8"/>
      <c r="E809" s="8"/>
      <c r="F809" s="8"/>
    </row>
    <row r="810" spans="1:6" x14ac:dyDescent="0.25">
      <c r="A810" s="8"/>
      <c r="B810" s="8"/>
      <c r="C810" s="8"/>
      <c r="D810" s="8"/>
      <c r="E810" s="8"/>
      <c r="F810" s="8"/>
    </row>
    <row r="811" spans="1:6" x14ac:dyDescent="0.25">
      <c r="A811" s="8"/>
      <c r="B811" s="8"/>
      <c r="C811" s="8"/>
      <c r="D811" s="8"/>
      <c r="E811" s="8"/>
      <c r="F811" s="8"/>
    </row>
    <row r="812" spans="1:6" x14ac:dyDescent="0.25">
      <c r="A812" s="8"/>
      <c r="B812" s="8"/>
      <c r="C812" s="8"/>
      <c r="D812" s="8"/>
      <c r="E812" s="8"/>
      <c r="F812" s="8"/>
    </row>
    <row r="813" spans="1:6" x14ac:dyDescent="0.25">
      <c r="A813" s="8"/>
      <c r="B813" s="8"/>
      <c r="C813" s="8"/>
      <c r="D813" s="8"/>
      <c r="E813" s="8"/>
      <c r="F813" s="8"/>
    </row>
    <row r="814" spans="1:6" x14ac:dyDescent="0.25">
      <c r="A814" s="8"/>
      <c r="B814" s="8"/>
      <c r="C814" s="8"/>
      <c r="D814" s="8"/>
      <c r="E814" s="8"/>
      <c r="F814" s="8"/>
    </row>
    <row r="815" spans="1:6" x14ac:dyDescent="0.25">
      <c r="A815" s="8"/>
      <c r="B815" s="8"/>
      <c r="C815" s="8"/>
      <c r="D815" s="8"/>
      <c r="E815" s="8"/>
      <c r="F815" s="8"/>
    </row>
    <row r="816" spans="1:6" x14ac:dyDescent="0.25">
      <c r="A816" s="8"/>
      <c r="B816" s="8"/>
      <c r="C816" s="8"/>
      <c r="D816" s="8"/>
      <c r="E816" s="8"/>
      <c r="F816" s="8"/>
    </row>
    <row r="817" spans="1:6" x14ac:dyDescent="0.25">
      <c r="A817" s="8"/>
      <c r="B817" s="8"/>
      <c r="C817" s="8"/>
      <c r="D817" s="8"/>
      <c r="E817" s="8"/>
      <c r="F817" s="8"/>
    </row>
    <row r="818" spans="1:6" x14ac:dyDescent="0.25">
      <c r="A818" s="8"/>
      <c r="B818" s="8"/>
      <c r="C818" s="8"/>
      <c r="D818" s="8"/>
      <c r="E818" s="8"/>
      <c r="F818" s="8"/>
    </row>
    <row r="819" spans="1:6" x14ac:dyDescent="0.25">
      <c r="A819" s="8"/>
      <c r="B819" s="8"/>
      <c r="C819" s="8"/>
      <c r="D819" s="8"/>
      <c r="E819" s="8"/>
      <c r="F819" s="8"/>
    </row>
    <row r="820" spans="1:6" x14ac:dyDescent="0.25">
      <c r="A820" s="8"/>
      <c r="B820" s="8"/>
      <c r="C820" s="8"/>
      <c r="D820" s="8"/>
      <c r="E820" s="8"/>
      <c r="F820" s="8"/>
    </row>
    <row r="821" spans="1:6" x14ac:dyDescent="0.25">
      <c r="A821" s="8"/>
      <c r="B821" s="8"/>
      <c r="C821" s="8"/>
      <c r="D821" s="8"/>
      <c r="E821" s="8"/>
      <c r="F821" s="8"/>
    </row>
    <row r="822" spans="1:6" x14ac:dyDescent="0.25">
      <c r="A822" s="8"/>
      <c r="B822" s="8"/>
      <c r="C822" s="8"/>
      <c r="D822" s="8"/>
      <c r="E822" s="8"/>
      <c r="F822" s="8"/>
    </row>
    <row r="823" spans="1:6" x14ac:dyDescent="0.25">
      <c r="A823" s="8"/>
      <c r="B823" s="8"/>
      <c r="C823" s="8"/>
      <c r="D823" s="8"/>
      <c r="E823" s="8"/>
      <c r="F823" s="8"/>
    </row>
    <row r="824" spans="1:6" x14ac:dyDescent="0.25">
      <c r="A824" s="8"/>
      <c r="B824" s="8"/>
      <c r="C824" s="8"/>
      <c r="D824" s="8"/>
      <c r="E824" s="8"/>
      <c r="F824" s="8"/>
    </row>
    <row r="825" spans="1:6" x14ac:dyDescent="0.25">
      <c r="A825" s="8"/>
      <c r="B825" s="8"/>
      <c r="C825" s="8"/>
      <c r="D825" s="8"/>
      <c r="E825" s="8"/>
      <c r="F825" s="8"/>
    </row>
    <row r="826" spans="1:6" x14ac:dyDescent="0.25">
      <c r="A826" s="8"/>
      <c r="B826" s="8"/>
      <c r="C826" s="8"/>
      <c r="D826" s="8"/>
      <c r="E826" s="8"/>
      <c r="F826" s="8"/>
    </row>
    <row r="827" spans="1:6" x14ac:dyDescent="0.25">
      <c r="A827" s="8"/>
      <c r="B827" s="8"/>
      <c r="C827" s="8"/>
      <c r="D827" s="8"/>
      <c r="E827" s="8"/>
      <c r="F827" s="8"/>
    </row>
    <row r="828" spans="1:6" x14ac:dyDescent="0.25">
      <c r="A828" s="8"/>
      <c r="B828" s="8"/>
      <c r="C828" s="8"/>
      <c r="D828" s="8"/>
      <c r="E828" s="8"/>
      <c r="F828" s="8"/>
    </row>
    <row r="829" spans="1:6" x14ac:dyDescent="0.25">
      <c r="A829" s="8"/>
      <c r="B829" s="8"/>
      <c r="C829" s="8"/>
      <c r="D829" s="8"/>
      <c r="E829" s="8"/>
      <c r="F829" s="8"/>
    </row>
    <row r="830" spans="1:6" x14ac:dyDescent="0.25">
      <c r="A830" s="8"/>
      <c r="B830" s="8"/>
      <c r="C830" s="8"/>
      <c r="D830" s="8"/>
      <c r="E830" s="8"/>
      <c r="F830" s="8"/>
    </row>
    <row r="831" spans="1:6" x14ac:dyDescent="0.25">
      <c r="A831" s="8"/>
      <c r="B831" s="8"/>
      <c r="C831" s="8"/>
      <c r="D831" s="8"/>
      <c r="E831" s="8"/>
      <c r="F831" s="8"/>
    </row>
    <row r="832" spans="1:6" x14ac:dyDescent="0.25">
      <c r="A832" s="8"/>
      <c r="B832" s="8"/>
      <c r="C832" s="8"/>
      <c r="D832" s="8"/>
      <c r="E832" s="8"/>
      <c r="F832" s="8"/>
    </row>
    <row r="833" spans="1:6" x14ac:dyDescent="0.25">
      <c r="A833" s="8"/>
      <c r="B833" s="8"/>
      <c r="C833" s="8"/>
      <c r="D833" s="8"/>
      <c r="E833" s="8"/>
      <c r="F833" s="8"/>
    </row>
    <row r="834" spans="1:6" x14ac:dyDescent="0.25">
      <c r="A834" s="8"/>
      <c r="B834" s="8"/>
      <c r="C834" s="8"/>
      <c r="D834" s="8"/>
      <c r="E834" s="8"/>
      <c r="F834" s="8"/>
    </row>
    <row r="835" spans="1:6" x14ac:dyDescent="0.25">
      <c r="A835" s="8"/>
      <c r="B835" s="8"/>
      <c r="C835" s="8"/>
      <c r="D835" s="8"/>
      <c r="E835" s="8"/>
      <c r="F835" s="8"/>
    </row>
    <row r="836" spans="1:6" x14ac:dyDescent="0.25">
      <c r="A836" s="8"/>
      <c r="B836" s="8"/>
      <c r="C836" s="8"/>
      <c r="D836" s="8"/>
      <c r="E836" s="8"/>
      <c r="F836" s="8"/>
    </row>
    <row r="837" spans="1:6" x14ac:dyDescent="0.25">
      <c r="A837" s="8"/>
      <c r="B837" s="8"/>
      <c r="C837" s="8"/>
      <c r="D837" s="8"/>
      <c r="E837" s="8"/>
      <c r="F837" s="8"/>
    </row>
    <row r="838" spans="1:6" x14ac:dyDescent="0.25">
      <c r="A838" s="8"/>
      <c r="B838" s="8"/>
      <c r="C838" s="8"/>
      <c r="D838" s="8"/>
      <c r="E838" s="8"/>
      <c r="F838" s="8"/>
    </row>
    <row r="839" spans="1:6" x14ac:dyDescent="0.25">
      <c r="A839" s="8"/>
      <c r="B839" s="8"/>
      <c r="C839" s="8"/>
      <c r="D839" s="8"/>
      <c r="E839" s="8"/>
      <c r="F839" s="8"/>
    </row>
    <row r="840" spans="1:6" x14ac:dyDescent="0.25">
      <c r="A840" s="8"/>
      <c r="B840" s="8"/>
      <c r="C840" s="8"/>
      <c r="D840" s="8"/>
      <c r="E840" s="8"/>
      <c r="F840" s="8"/>
    </row>
    <row r="841" spans="1:6" x14ac:dyDescent="0.25">
      <c r="A841" s="8"/>
      <c r="B841" s="8"/>
      <c r="C841" s="8"/>
      <c r="D841" s="8"/>
      <c r="E841" s="8"/>
      <c r="F841" s="8"/>
    </row>
    <row r="842" spans="1:6" x14ac:dyDescent="0.25">
      <c r="A842" s="8"/>
      <c r="B842" s="8"/>
      <c r="C842" s="8"/>
      <c r="D842" s="8"/>
      <c r="E842" s="8"/>
      <c r="F842" s="8"/>
    </row>
    <row r="843" spans="1:6" x14ac:dyDescent="0.25">
      <c r="A843" s="8"/>
      <c r="B843" s="8"/>
      <c r="C843" s="8"/>
      <c r="D843" s="8"/>
      <c r="E843" s="8"/>
      <c r="F843" s="8"/>
    </row>
    <row r="844" spans="1:6" x14ac:dyDescent="0.25">
      <c r="A844" s="8"/>
      <c r="B844" s="8"/>
      <c r="C844" s="8"/>
      <c r="D844" s="8"/>
      <c r="E844" s="8"/>
      <c r="F844" s="8"/>
    </row>
    <row r="845" spans="1:6" x14ac:dyDescent="0.25">
      <c r="A845" s="8"/>
      <c r="B845" s="8"/>
      <c r="C845" s="8"/>
      <c r="D845" s="8"/>
      <c r="E845" s="8"/>
      <c r="F845" s="8"/>
    </row>
    <row r="846" spans="1:6" x14ac:dyDescent="0.25">
      <c r="A846" s="8"/>
      <c r="B846" s="8"/>
      <c r="C846" s="8"/>
      <c r="D846" s="8"/>
      <c r="E846" s="8"/>
      <c r="F846" s="8"/>
    </row>
    <row r="847" spans="1:6" x14ac:dyDescent="0.25">
      <c r="A847" s="8"/>
      <c r="B847" s="8"/>
      <c r="C847" s="8"/>
      <c r="D847" s="8"/>
      <c r="E847" s="8"/>
      <c r="F847" s="8"/>
    </row>
    <row r="848" spans="1:6" x14ac:dyDescent="0.25">
      <c r="A848" s="8"/>
      <c r="B848" s="8"/>
      <c r="C848" s="8"/>
      <c r="D848" s="8"/>
      <c r="E848" s="8"/>
      <c r="F848" s="8"/>
    </row>
    <row r="849" spans="1:6" x14ac:dyDescent="0.25">
      <c r="A849" s="8"/>
      <c r="B849" s="8"/>
      <c r="C849" s="8"/>
      <c r="D849" s="8"/>
      <c r="E849" s="8"/>
      <c r="F849" s="8"/>
    </row>
    <row r="850" spans="1:6" x14ac:dyDescent="0.25">
      <c r="A850" s="8"/>
      <c r="B850" s="8"/>
      <c r="C850" s="8"/>
      <c r="D850" s="8"/>
      <c r="E850" s="8"/>
      <c r="F850" s="8"/>
    </row>
    <row r="851" spans="1:6" x14ac:dyDescent="0.25">
      <c r="A851" s="8"/>
      <c r="B851" s="8"/>
      <c r="C851" s="8"/>
      <c r="D851" s="8"/>
      <c r="E851" s="8"/>
      <c r="F851" s="8"/>
    </row>
    <row r="852" spans="1:6" x14ac:dyDescent="0.25">
      <c r="A852" s="8"/>
      <c r="B852" s="8"/>
      <c r="C852" s="8"/>
      <c r="D852" s="8"/>
      <c r="E852" s="8"/>
      <c r="F852" s="8"/>
    </row>
    <row r="853" spans="1:6" x14ac:dyDescent="0.25">
      <c r="A853" s="8"/>
      <c r="B853" s="8"/>
      <c r="C853" s="8"/>
      <c r="D853" s="8"/>
      <c r="E853" s="8"/>
      <c r="F853" s="8"/>
    </row>
    <row r="854" spans="1:6" x14ac:dyDescent="0.25">
      <c r="A854" s="8"/>
      <c r="B854" s="8"/>
      <c r="C854" s="8"/>
      <c r="D854" s="8"/>
      <c r="E854" s="8"/>
      <c r="F854" s="8"/>
    </row>
    <row r="855" spans="1:6" x14ac:dyDescent="0.25">
      <c r="A855" s="8"/>
      <c r="B855" s="8"/>
      <c r="C855" s="8"/>
      <c r="D855" s="8"/>
      <c r="E855" s="8"/>
      <c r="F855" s="8"/>
    </row>
    <row r="856" spans="1:6" x14ac:dyDescent="0.25">
      <c r="A856" s="8"/>
      <c r="B856" s="8"/>
      <c r="C856" s="8"/>
      <c r="D856" s="8"/>
      <c r="E856" s="8"/>
      <c r="F856" s="8"/>
    </row>
    <row r="857" spans="1:6" x14ac:dyDescent="0.25">
      <c r="A857" s="8"/>
      <c r="B857" s="8"/>
      <c r="C857" s="8"/>
      <c r="D857" s="8"/>
      <c r="E857" s="8"/>
      <c r="F857" s="8"/>
    </row>
    <row r="858" spans="1:6" x14ac:dyDescent="0.25">
      <c r="A858" s="8"/>
      <c r="B858" s="8"/>
      <c r="C858" s="8"/>
      <c r="D858" s="8"/>
      <c r="E858" s="8"/>
      <c r="F858" s="8"/>
    </row>
    <row r="859" spans="1:6" x14ac:dyDescent="0.25">
      <c r="A859" s="8"/>
      <c r="B859" s="8"/>
      <c r="C859" s="8"/>
      <c r="D859" s="8"/>
      <c r="E859" s="8"/>
      <c r="F859" s="8"/>
    </row>
    <row r="860" spans="1:6" x14ac:dyDescent="0.25">
      <c r="A860" s="8"/>
      <c r="B860" s="8"/>
      <c r="C860" s="8"/>
      <c r="D860" s="8"/>
      <c r="E860" s="8"/>
      <c r="F860" s="8"/>
    </row>
    <row r="861" spans="1:6" x14ac:dyDescent="0.25">
      <c r="A861" s="8"/>
      <c r="B861" s="8"/>
      <c r="C861" s="8"/>
      <c r="D861" s="8"/>
      <c r="E861" s="8"/>
      <c r="F861" s="8"/>
    </row>
    <row r="862" spans="1:6" x14ac:dyDescent="0.25">
      <c r="A862" s="8"/>
      <c r="B862" s="8"/>
      <c r="C862" s="8"/>
      <c r="D862" s="8"/>
      <c r="E862" s="8"/>
      <c r="F862" s="8"/>
    </row>
    <row r="863" spans="1:6" x14ac:dyDescent="0.25">
      <c r="A863" s="8"/>
      <c r="B863" s="8"/>
      <c r="C863" s="8"/>
      <c r="D863" s="8"/>
      <c r="E863" s="8"/>
      <c r="F863" s="8"/>
    </row>
    <row r="864" spans="1:6" x14ac:dyDescent="0.25">
      <c r="A864" s="8"/>
      <c r="B864" s="8"/>
      <c r="C864" s="8"/>
      <c r="D864" s="8"/>
      <c r="E864" s="8"/>
      <c r="F864" s="8"/>
    </row>
    <row r="865" spans="1:6" x14ac:dyDescent="0.25">
      <c r="A865" s="8"/>
      <c r="B865" s="8"/>
      <c r="C865" s="8"/>
      <c r="D865" s="8"/>
      <c r="E865" s="8"/>
      <c r="F865" s="8"/>
    </row>
    <row r="866" spans="1:6" x14ac:dyDescent="0.25">
      <c r="A866" s="8"/>
      <c r="B866" s="8"/>
      <c r="C866" s="8"/>
      <c r="D866" s="8"/>
      <c r="E866" s="8"/>
      <c r="F866" s="8"/>
    </row>
    <row r="867" spans="1:6" x14ac:dyDescent="0.25">
      <c r="A867" s="8"/>
      <c r="B867" s="8"/>
      <c r="C867" s="8"/>
      <c r="D867" s="8"/>
      <c r="E867" s="8"/>
      <c r="F867" s="8"/>
    </row>
    <row r="868" spans="1:6" x14ac:dyDescent="0.25">
      <c r="A868" s="8"/>
      <c r="B868" s="8"/>
      <c r="C868" s="8"/>
      <c r="D868" s="8"/>
      <c r="E868" s="8"/>
      <c r="F868" s="8"/>
    </row>
    <row r="869" spans="1:6" x14ac:dyDescent="0.25">
      <c r="A869" s="8"/>
      <c r="B869" s="8"/>
      <c r="C869" s="8"/>
      <c r="D869" s="8"/>
      <c r="E869" s="8"/>
      <c r="F869" s="8"/>
    </row>
    <row r="870" spans="1:6" x14ac:dyDescent="0.25">
      <c r="A870" s="8"/>
      <c r="B870" s="8"/>
      <c r="C870" s="8"/>
      <c r="D870" s="8"/>
      <c r="E870" s="8"/>
      <c r="F870" s="8"/>
    </row>
    <row r="871" spans="1:6" x14ac:dyDescent="0.25">
      <c r="A871" s="8"/>
      <c r="B871" s="8"/>
      <c r="C871" s="8"/>
      <c r="D871" s="8"/>
      <c r="E871" s="8"/>
      <c r="F871" s="8"/>
    </row>
    <row r="872" spans="1:6" x14ac:dyDescent="0.25">
      <c r="A872" s="8"/>
      <c r="B872" s="8"/>
      <c r="C872" s="8"/>
      <c r="D872" s="8"/>
      <c r="E872" s="8"/>
      <c r="F872" s="8"/>
    </row>
    <row r="873" spans="1:6" x14ac:dyDescent="0.25">
      <c r="A873" s="8"/>
      <c r="B873" s="8"/>
      <c r="C873" s="8"/>
      <c r="D873" s="8"/>
      <c r="E873" s="8"/>
      <c r="F873" s="8"/>
    </row>
    <row r="874" spans="1:6" x14ac:dyDescent="0.25">
      <c r="A874" s="8"/>
      <c r="B874" s="8"/>
      <c r="C874" s="8"/>
      <c r="D874" s="8"/>
      <c r="E874" s="8"/>
      <c r="F874" s="8"/>
    </row>
    <row r="875" spans="1:6" x14ac:dyDescent="0.25">
      <c r="A875" s="8"/>
      <c r="B875" s="8"/>
      <c r="C875" s="8"/>
      <c r="D875" s="8"/>
      <c r="E875" s="8"/>
      <c r="F875" s="8"/>
    </row>
    <row r="876" spans="1:6" x14ac:dyDescent="0.25">
      <c r="A876" s="8"/>
      <c r="B876" s="8"/>
      <c r="C876" s="8"/>
      <c r="D876" s="8"/>
      <c r="E876" s="8"/>
      <c r="F876" s="8"/>
    </row>
    <row r="877" spans="1:6" x14ac:dyDescent="0.25">
      <c r="A877" s="8"/>
      <c r="B877" s="8"/>
      <c r="C877" s="8"/>
      <c r="D877" s="8"/>
      <c r="E877" s="8"/>
      <c r="F877" s="8"/>
    </row>
    <row r="878" spans="1:6" x14ac:dyDescent="0.25">
      <c r="A878" s="8"/>
      <c r="B878" s="8"/>
      <c r="C878" s="8"/>
      <c r="D878" s="8"/>
      <c r="E878" s="8"/>
      <c r="F878" s="8"/>
    </row>
    <row r="879" spans="1:6" x14ac:dyDescent="0.25">
      <c r="A879" s="8"/>
      <c r="B879" s="8"/>
      <c r="C879" s="8"/>
      <c r="D879" s="8"/>
      <c r="E879" s="8"/>
      <c r="F879" s="8"/>
    </row>
    <row r="880" spans="1:6" x14ac:dyDescent="0.25">
      <c r="A880" s="8"/>
      <c r="B880" s="8"/>
      <c r="C880" s="8"/>
      <c r="D880" s="8"/>
      <c r="E880" s="8"/>
      <c r="F880" s="8"/>
    </row>
    <row r="881" spans="1:6" x14ac:dyDescent="0.25">
      <c r="A881" s="8"/>
      <c r="B881" s="8"/>
      <c r="C881" s="8"/>
      <c r="D881" s="8"/>
      <c r="E881" s="8"/>
      <c r="F881" s="8"/>
    </row>
    <row r="882" spans="1:6" x14ac:dyDescent="0.25">
      <c r="A882" s="8"/>
      <c r="B882" s="8"/>
      <c r="C882" s="8"/>
      <c r="D882" s="8"/>
      <c r="E882" s="8"/>
      <c r="F882" s="8"/>
    </row>
    <row r="883" spans="1:6" x14ac:dyDescent="0.25">
      <c r="A883" s="8"/>
      <c r="B883" s="8"/>
      <c r="C883" s="8"/>
      <c r="D883" s="8"/>
      <c r="E883" s="8"/>
      <c r="F883" s="8"/>
    </row>
    <row r="884" spans="1:6" x14ac:dyDescent="0.25">
      <c r="A884" s="8"/>
      <c r="B884" s="8"/>
      <c r="C884" s="8"/>
      <c r="D884" s="8"/>
      <c r="E884" s="8"/>
      <c r="F884" s="8"/>
    </row>
    <row r="885" spans="1:6" x14ac:dyDescent="0.25">
      <c r="A885" s="8"/>
      <c r="B885" s="8"/>
      <c r="C885" s="8"/>
      <c r="D885" s="8"/>
      <c r="E885" s="8"/>
      <c r="F885" s="8"/>
    </row>
    <row r="886" spans="1:6" x14ac:dyDescent="0.25">
      <c r="A886" s="8"/>
      <c r="B886" s="8"/>
      <c r="C886" s="8"/>
      <c r="D886" s="8"/>
      <c r="E886" s="8"/>
      <c r="F886" s="8"/>
    </row>
    <row r="887" spans="1:6" x14ac:dyDescent="0.25">
      <c r="A887" s="8"/>
      <c r="B887" s="8"/>
      <c r="C887" s="8"/>
      <c r="D887" s="8"/>
      <c r="E887" s="8"/>
      <c r="F887" s="8"/>
    </row>
    <row r="888" spans="1:6" x14ac:dyDescent="0.25">
      <c r="A888" s="8"/>
      <c r="B888" s="8"/>
      <c r="C888" s="8"/>
      <c r="D888" s="8"/>
      <c r="E888" s="8"/>
      <c r="F888" s="8"/>
    </row>
    <row r="889" spans="1:6" x14ac:dyDescent="0.25">
      <c r="A889" s="8"/>
      <c r="B889" s="8"/>
      <c r="C889" s="8"/>
      <c r="D889" s="8"/>
      <c r="E889" s="8"/>
      <c r="F889" s="8"/>
    </row>
    <row r="890" spans="1:6" x14ac:dyDescent="0.25">
      <c r="A890" s="8"/>
      <c r="B890" s="8"/>
      <c r="C890" s="8"/>
      <c r="D890" s="8"/>
      <c r="E890" s="8"/>
      <c r="F890" s="8"/>
    </row>
    <row r="891" spans="1:6" x14ac:dyDescent="0.25">
      <c r="A891" s="8"/>
      <c r="B891" s="8"/>
      <c r="C891" s="8"/>
      <c r="D891" s="8"/>
      <c r="E891" s="8"/>
      <c r="F891" s="8"/>
    </row>
    <row r="892" spans="1:6" x14ac:dyDescent="0.25">
      <c r="A892" s="8"/>
      <c r="B892" s="8"/>
      <c r="C892" s="8"/>
      <c r="D892" s="8"/>
      <c r="E892" s="8"/>
      <c r="F892" s="8"/>
    </row>
    <row r="893" spans="1:6" x14ac:dyDescent="0.25">
      <c r="A893" s="8"/>
      <c r="B893" s="8"/>
      <c r="C893" s="8"/>
      <c r="D893" s="8"/>
      <c r="E893" s="8"/>
      <c r="F893" s="8"/>
    </row>
    <row r="894" spans="1:6" x14ac:dyDescent="0.25">
      <c r="A894" s="8"/>
      <c r="B894" s="8"/>
      <c r="C894" s="8"/>
      <c r="D894" s="8"/>
      <c r="E894" s="8"/>
      <c r="F894" s="8"/>
    </row>
    <row r="895" spans="1:6" x14ac:dyDescent="0.25">
      <c r="A895" s="8"/>
      <c r="B895" s="8"/>
      <c r="C895" s="8"/>
      <c r="D895" s="8"/>
      <c r="E895" s="8"/>
      <c r="F895" s="8"/>
    </row>
    <row r="896" spans="1:6" x14ac:dyDescent="0.25">
      <c r="A896" s="8"/>
      <c r="B896" s="8"/>
      <c r="C896" s="8"/>
      <c r="D896" s="8"/>
      <c r="E896" s="8"/>
      <c r="F896" s="8"/>
    </row>
    <row r="897" spans="1:6" x14ac:dyDescent="0.25">
      <c r="A897" s="8"/>
      <c r="B897" s="8"/>
      <c r="C897" s="8"/>
      <c r="D897" s="8"/>
      <c r="E897" s="8"/>
      <c r="F897" s="8"/>
    </row>
    <row r="898" spans="1:6" x14ac:dyDescent="0.25">
      <c r="A898" s="8"/>
      <c r="B898" s="8"/>
      <c r="C898" s="8"/>
      <c r="D898" s="8"/>
      <c r="E898" s="8"/>
      <c r="F898" s="8"/>
    </row>
    <row r="899" spans="1:6" x14ac:dyDescent="0.25">
      <c r="A899" s="8"/>
      <c r="B899" s="8"/>
      <c r="C899" s="8"/>
      <c r="D899" s="8"/>
      <c r="E899" s="8"/>
      <c r="F899" s="8"/>
    </row>
    <row r="900" spans="1:6" x14ac:dyDescent="0.25">
      <c r="A900" s="8"/>
      <c r="B900" s="8"/>
      <c r="C900" s="8"/>
      <c r="D900" s="8"/>
      <c r="E900" s="8"/>
      <c r="F900" s="8"/>
    </row>
    <row r="901" spans="1:6" x14ac:dyDescent="0.25">
      <c r="A901" s="8"/>
      <c r="B901" s="8"/>
      <c r="C901" s="8"/>
      <c r="D901" s="8"/>
      <c r="E901" s="8"/>
      <c r="F901" s="8"/>
    </row>
    <row r="902" spans="1:6" x14ac:dyDescent="0.25">
      <c r="A902" s="8"/>
      <c r="B902" s="8"/>
      <c r="C902" s="8"/>
      <c r="D902" s="8"/>
      <c r="E902" s="8"/>
      <c r="F902" s="8"/>
    </row>
    <row r="903" spans="1:6" x14ac:dyDescent="0.25">
      <c r="A903" s="8"/>
      <c r="B903" s="8"/>
      <c r="C903" s="8"/>
      <c r="D903" s="8"/>
      <c r="E903" s="8"/>
      <c r="F903" s="8"/>
    </row>
    <row r="904" spans="1:6" x14ac:dyDescent="0.25">
      <c r="A904" s="8"/>
      <c r="B904" s="8"/>
      <c r="C904" s="8"/>
      <c r="D904" s="8"/>
      <c r="E904" s="8"/>
      <c r="F904" s="8"/>
    </row>
    <row r="905" spans="1:6" x14ac:dyDescent="0.25">
      <c r="A905" s="8"/>
      <c r="B905" s="8"/>
      <c r="C905" s="8"/>
      <c r="D905" s="8"/>
      <c r="E905" s="8"/>
      <c r="F905" s="8"/>
    </row>
    <row r="906" spans="1:6" x14ac:dyDescent="0.25">
      <c r="A906" s="8"/>
      <c r="B906" s="8"/>
      <c r="C906" s="8"/>
      <c r="D906" s="8"/>
      <c r="E906" s="8"/>
      <c r="F906" s="8"/>
    </row>
    <row r="907" spans="1:6" x14ac:dyDescent="0.25">
      <c r="A907" s="8"/>
      <c r="B907" s="8"/>
      <c r="C907" s="8"/>
      <c r="D907" s="8"/>
      <c r="E907" s="8"/>
      <c r="F907" s="8"/>
    </row>
    <row r="908" spans="1:6" x14ac:dyDescent="0.25">
      <c r="A908" s="8"/>
      <c r="B908" s="8"/>
      <c r="C908" s="8"/>
      <c r="D908" s="8"/>
      <c r="E908" s="8"/>
      <c r="F908" s="8"/>
    </row>
    <row r="909" spans="1:6" x14ac:dyDescent="0.25">
      <c r="A909" s="8"/>
      <c r="B909" s="8"/>
      <c r="C909" s="8"/>
      <c r="D909" s="8"/>
      <c r="E909" s="8"/>
      <c r="F909" s="8"/>
    </row>
    <row r="910" spans="1:6" x14ac:dyDescent="0.25">
      <c r="A910" s="8"/>
      <c r="B910" s="8"/>
      <c r="C910" s="8"/>
      <c r="D910" s="8"/>
      <c r="E910" s="8"/>
      <c r="F910" s="8"/>
    </row>
    <row r="911" spans="1:6" x14ac:dyDescent="0.25">
      <c r="A911" s="8"/>
      <c r="B911" s="8"/>
      <c r="C911" s="8"/>
      <c r="D911" s="8"/>
      <c r="E911" s="8"/>
      <c r="F911" s="8"/>
    </row>
    <row r="912" spans="1:6" x14ac:dyDescent="0.25">
      <c r="A912" s="8"/>
      <c r="B912" s="8"/>
      <c r="C912" s="8"/>
      <c r="D912" s="8"/>
      <c r="E912" s="8"/>
      <c r="F912" s="8"/>
    </row>
    <row r="913" spans="1:6" x14ac:dyDescent="0.25">
      <c r="A913" s="8"/>
      <c r="B913" s="8"/>
      <c r="C913" s="8"/>
      <c r="D913" s="8"/>
      <c r="E913" s="8"/>
      <c r="F913" s="8"/>
    </row>
    <row r="914" spans="1:6" x14ac:dyDescent="0.25">
      <c r="A914" s="8"/>
      <c r="B914" s="8"/>
      <c r="C914" s="8"/>
      <c r="D914" s="8"/>
      <c r="E914" s="8"/>
      <c r="F914" s="8"/>
    </row>
    <row r="915" spans="1:6" x14ac:dyDescent="0.25">
      <c r="A915" s="8"/>
      <c r="B915" s="8"/>
      <c r="C915" s="8"/>
      <c r="D915" s="8"/>
      <c r="E915" s="8"/>
      <c r="F915" s="8"/>
    </row>
    <row r="916" spans="1:6" x14ac:dyDescent="0.25">
      <c r="A916" s="8"/>
      <c r="B916" s="8"/>
      <c r="C916" s="8"/>
      <c r="D916" s="8"/>
      <c r="E916" s="8"/>
      <c r="F916" s="8"/>
    </row>
    <row r="917" spans="1:6" x14ac:dyDescent="0.25">
      <c r="A917" s="8"/>
      <c r="B917" s="8"/>
      <c r="C917" s="8"/>
      <c r="D917" s="8"/>
      <c r="E917" s="8"/>
      <c r="F917" s="8"/>
    </row>
    <row r="918" spans="1:6" x14ac:dyDescent="0.25">
      <c r="A918" s="8"/>
      <c r="B918" s="8"/>
      <c r="C918" s="8"/>
      <c r="D918" s="8"/>
      <c r="E918" s="8"/>
      <c r="F918" s="8"/>
    </row>
    <row r="919" spans="1:6" x14ac:dyDescent="0.25">
      <c r="A919" s="8"/>
      <c r="B919" s="8"/>
      <c r="C919" s="8"/>
      <c r="D919" s="8"/>
      <c r="E919" s="8"/>
      <c r="F919" s="8"/>
    </row>
    <row r="920" spans="1:6" x14ac:dyDescent="0.25">
      <c r="A920" s="8"/>
      <c r="B920" s="8"/>
      <c r="C920" s="8"/>
      <c r="D920" s="8"/>
      <c r="E920" s="8"/>
      <c r="F920" s="8"/>
    </row>
    <row r="921" spans="1:6" x14ac:dyDescent="0.25">
      <c r="A921" s="8"/>
      <c r="B921" s="8"/>
      <c r="C921" s="8"/>
      <c r="D921" s="8"/>
      <c r="E921" s="8"/>
      <c r="F921" s="8"/>
    </row>
    <row r="922" spans="1:6" x14ac:dyDescent="0.25">
      <c r="A922" s="8"/>
      <c r="B922" s="8"/>
      <c r="C922" s="8"/>
      <c r="D922" s="8"/>
      <c r="E922" s="8"/>
      <c r="F922" s="8"/>
    </row>
    <row r="923" spans="1:6" x14ac:dyDescent="0.25">
      <c r="A923" s="8"/>
      <c r="B923" s="8"/>
      <c r="C923" s="8"/>
      <c r="D923" s="8"/>
      <c r="E923" s="8"/>
      <c r="F923" s="8"/>
    </row>
    <row r="924" spans="1:6" x14ac:dyDescent="0.25">
      <c r="A924" s="8"/>
      <c r="B924" s="8"/>
      <c r="C924" s="8"/>
      <c r="D924" s="8"/>
      <c r="E924" s="8"/>
      <c r="F924" s="8"/>
    </row>
    <row r="925" spans="1:6" x14ac:dyDescent="0.25">
      <c r="A925" s="8"/>
      <c r="B925" s="8"/>
      <c r="C925" s="8"/>
      <c r="D925" s="8"/>
      <c r="E925" s="8"/>
      <c r="F925" s="8"/>
    </row>
    <row r="926" spans="1:6" x14ac:dyDescent="0.25">
      <c r="A926" s="8"/>
      <c r="B926" s="8"/>
      <c r="C926" s="8"/>
      <c r="D926" s="8"/>
      <c r="E926" s="8"/>
      <c r="F926" s="8"/>
    </row>
    <row r="927" spans="1:6" x14ac:dyDescent="0.25">
      <c r="A927" s="8"/>
      <c r="B927" s="8"/>
      <c r="C927" s="8"/>
      <c r="D927" s="8"/>
      <c r="E927" s="8"/>
      <c r="F927" s="8"/>
    </row>
    <row r="928" spans="1:6" x14ac:dyDescent="0.25">
      <c r="A928" s="8"/>
      <c r="B928" s="8"/>
      <c r="C928" s="8"/>
      <c r="D928" s="8"/>
      <c r="E928" s="8"/>
      <c r="F928" s="8"/>
    </row>
    <row r="929" spans="1:6" x14ac:dyDescent="0.25">
      <c r="A929" s="8"/>
      <c r="B929" s="8"/>
      <c r="C929" s="8"/>
      <c r="D929" s="8"/>
      <c r="E929" s="8"/>
      <c r="F929" s="8"/>
    </row>
    <row r="930" spans="1:6" x14ac:dyDescent="0.25">
      <c r="A930" s="8"/>
      <c r="B930" s="8"/>
      <c r="C930" s="8"/>
      <c r="D930" s="8"/>
      <c r="E930" s="8"/>
      <c r="F930" s="8"/>
    </row>
    <row r="931" spans="1:6" x14ac:dyDescent="0.25">
      <c r="A931" s="8"/>
      <c r="B931" s="8"/>
      <c r="C931" s="8"/>
      <c r="D931" s="8"/>
      <c r="E931" s="8"/>
      <c r="F931" s="8"/>
    </row>
    <row r="932" spans="1:6" x14ac:dyDescent="0.25">
      <c r="A932" s="8"/>
      <c r="B932" s="8"/>
      <c r="C932" s="8"/>
      <c r="D932" s="8"/>
      <c r="E932" s="8"/>
      <c r="F932" s="8"/>
    </row>
    <row r="933" spans="1:6" x14ac:dyDescent="0.25">
      <c r="A933" s="8"/>
      <c r="B933" s="8"/>
      <c r="C933" s="8"/>
      <c r="D933" s="8"/>
      <c r="E933" s="8"/>
      <c r="F933" s="8"/>
    </row>
    <row r="934" spans="1:6" x14ac:dyDescent="0.25">
      <c r="A934" s="8"/>
      <c r="B934" s="8"/>
      <c r="C934" s="8"/>
      <c r="D934" s="8"/>
      <c r="E934" s="8"/>
      <c r="F934" s="8"/>
    </row>
    <row r="935" spans="1:6" x14ac:dyDescent="0.25">
      <c r="A935" s="8"/>
      <c r="B935" s="8"/>
      <c r="C935" s="8"/>
      <c r="D935" s="8"/>
      <c r="E935" s="8"/>
      <c r="F935" s="8"/>
    </row>
    <row r="936" spans="1:6" x14ac:dyDescent="0.25">
      <c r="A936" s="8"/>
      <c r="B936" s="8"/>
      <c r="C936" s="8"/>
      <c r="D936" s="8"/>
      <c r="E936" s="8"/>
      <c r="F936" s="8"/>
    </row>
    <row r="937" spans="1:6" x14ac:dyDescent="0.25">
      <c r="A937" s="8"/>
      <c r="B937" s="8"/>
      <c r="C937" s="8"/>
      <c r="D937" s="8"/>
      <c r="E937" s="8"/>
      <c r="F937" s="8"/>
    </row>
    <row r="938" spans="1:6" x14ac:dyDescent="0.25">
      <c r="A938" s="8"/>
      <c r="B938" s="8"/>
      <c r="C938" s="8"/>
      <c r="D938" s="8"/>
      <c r="E938" s="8"/>
      <c r="F938" s="8"/>
    </row>
    <row r="939" spans="1:6" x14ac:dyDescent="0.25">
      <c r="A939" s="8"/>
      <c r="B939" s="8"/>
      <c r="C939" s="8"/>
      <c r="D939" s="8"/>
      <c r="E939" s="8"/>
      <c r="F939" s="8"/>
    </row>
    <row r="940" spans="1:6" x14ac:dyDescent="0.25">
      <c r="A940" s="8"/>
      <c r="B940" s="8"/>
      <c r="C940" s="8"/>
      <c r="D940" s="8"/>
      <c r="E940" s="8"/>
      <c r="F940" s="8"/>
    </row>
    <row r="941" spans="1:6" x14ac:dyDescent="0.25">
      <c r="A941" s="8"/>
      <c r="B941" s="8"/>
      <c r="C941" s="8"/>
      <c r="D941" s="8"/>
      <c r="E941" s="8"/>
      <c r="F941" s="8"/>
    </row>
    <row r="942" spans="1:6" x14ac:dyDescent="0.25">
      <c r="A942" s="8"/>
      <c r="B942" s="8"/>
      <c r="C942" s="8"/>
      <c r="D942" s="8"/>
      <c r="E942" s="8"/>
      <c r="F942" s="8"/>
    </row>
    <row r="943" spans="1:6" x14ac:dyDescent="0.25">
      <c r="A943" s="8"/>
      <c r="B943" s="8"/>
      <c r="C943" s="8"/>
      <c r="D943" s="8"/>
      <c r="E943" s="8"/>
      <c r="F943" s="8"/>
    </row>
    <row r="944" spans="1:6" x14ac:dyDescent="0.25">
      <c r="A944" s="8"/>
      <c r="B944" s="8"/>
      <c r="C944" s="8"/>
      <c r="D944" s="8"/>
      <c r="E944" s="8"/>
      <c r="F944" s="8"/>
    </row>
    <row r="945" spans="1:6" x14ac:dyDescent="0.25">
      <c r="A945" s="8"/>
      <c r="B945" s="8"/>
      <c r="C945" s="8"/>
      <c r="D945" s="8"/>
      <c r="E945" s="8"/>
      <c r="F945" s="8"/>
    </row>
    <row r="946" spans="1:6" x14ac:dyDescent="0.25">
      <c r="A946" s="8"/>
      <c r="B946" s="8"/>
      <c r="C946" s="8"/>
      <c r="D946" s="8"/>
      <c r="E946" s="8"/>
      <c r="F946" s="8"/>
    </row>
    <row r="947" spans="1:6" x14ac:dyDescent="0.25">
      <c r="A947" s="8"/>
      <c r="B947" s="8"/>
      <c r="C947" s="8"/>
      <c r="D947" s="8"/>
      <c r="E947" s="8"/>
      <c r="F947" s="8"/>
    </row>
    <row r="948" spans="1:6" x14ac:dyDescent="0.25">
      <c r="A948" s="8"/>
      <c r="B948" s="8"/>
      <c r="C948" s="8"/>
      <c r="D948" s="8"/>
      <c r="E948" s="8"/>
      <c r="F948" s="8"/>
    </row>
    <row r="949" spans="1:6" x14ac:dyDescent="0.25">
      <c r="A949" s="8"/>
      <c r="B949" s="8"/>
      <c r="C949" s="8"/>
      <c r="D949" s="8"/>
      <c r="E949" s="8"/>
      <c r="F949" s="8"/>
    </row>
    <row r="950" spans="1:6" x14ac:dyDescent="0.25">
      <c r="A950" s="8"/>
      <c r="B950" s="8"/>
      <c r="C950" s="8"/>
      <c r="D950" s="8"/>
      <c r="E950" s="8"/>
      <c r="F950" s="8"/>
    </row>
    <row r="951" spans="1:6" x14ac:dyDescent="0.25">
      <c r="A951" s="8"/>
      <c r="B951" s="8"/>
      <c r="C951" s="8"/>
      <c r="D951" s="8"/>
      <c r="E951" s="8"/>
      <c r="F951" s="8"/>
    </row>
    <row r="952" spans="1:6" x14ac:dyDescent="0.25">
      <c r="A952" s="8"/>
      <c r="B952" s="8"/>
      <c r="C952" s="8"/>
      <c r="D952" s="8"/>
      <c r="E952" s="8"/>
      <c r="F952" s="8"/>
    </row>
    <row r="953" spans="1:6" x14ac:dyDescent="0.25">
      <c r="A953" s="8"/>
      <c r="B953" s="8"/>
      <c r="C953" s="8"/>
      <c r="D953" s="8"/>
      <c r="E953" s="8"/>
      <c r="F953" s="8"/>
    </row>
    <row r="954" spans="1:6" x14ac:dyDescent="0.25">
      <c r="A954" s="8"/>
      <c r="B954" s="8"/>
      <c r="C954" s="8"/>
      <c r="D954" s="8"/>
      <c r="E954" s="8"/>
      <c r="F954" s="8"/>
    </row>
    <row r="955" spans="1:6" x14ac:dyDescent="0.25">
      <c r="A955" s="8"/>
      <c r="B955" s="8"/>
      <c r="C955" s="8"/>
      <c r="D955" s="8"/>
      <c r="E955" s="8"/>
      <c r="F955" s="8"/>
    </row>
    <row r="956" spans="1:6" x14ac:dyDescent="0.25">
      <c r="A956" s="8"/>
      <c r="B956" s="8"/>
      <c r="C956" s="8"/>
      <c r="D956" s="8"/>
      <c r="E956" s="8"/>
      <c r="F956" s="8"/>
    </row>
    <row r="957" spans="1:6" x14ac:dyDescent="0.25">
      <c r="A957" s="8"/>
      <c r="B957" s="8"/>
      <c r="C957" s="8"/>
      <c r="D957" s="8"/>
      <c r="E957" s="8"/>
      <c r="F957" s="8"/>
    </row>
    <row r="958" spans="1:6" x14ac:dyDescent="0.25">
      <c r="A958" s="8"/>
      <c r="B958" s="8"/>
      <c r="C958" s="8"/>
      <c r="D958" s="8"/>
      <c r="E958" s="8"/>
      <c r="F958" s="8"/>
    </row>
    <row r="959" spans="1:6" x14ac:dyDescent="0.25">
      <c r="A959" s="8"/>
      <c r="B959" s="8"/>
      <c r="C959" s="8"/>
      <c r="D959" s="8"/>
      <c r="E959" s="8"/>
      <c r="F959" s="8"/>
    </row>
    <row r="960" spans="1:6" x14ac:dyDescent="0.25">
      <c r="A960" s="8"/>
      <c r="B960" s="8"/>
      <c r="C960" s="8"/>
      <c r="D960" s="8"/>
      <c r="E960" s="8"/>
      <c r="F960" s="8"/>
    </row>
    <row r="961" spans="1:6" x14ac:dyDescent="0.25">
      <c r="A961" s="8"/>
      <c r="B961" s="8"/>
      <c r="C961" s="8"/>
      <c r="D961" s="8"/>
      <c r="E961" s="8"/>
      <c r="F961" s="8"/>
    </row>
    <row r="962" spans="1:6" x14ac:dyDescent="0.25">
      <c r="A962" s="8"/>
      <c r="B962" s="8"/>
      <c r="C962" s="8"/>
      <c r="D962" s="8"/>
      <c r="E962" s="8"/>
      <c r="F962" s="8"/>
    </row>
    <row r="963" spans="1:6" x14ac:dyDescent="0.25">
      <c r="A963" s="8"/>
      <c r="B963" s="8"/>
      <c r="C963" s="8"/>
      <c r="D963" s="8"/>
      <c r="E963" s="8"/>
      <c r="F963" s="8"/>
    </row>
    <row r="964" spans="1:6" x14ac:dyDescent="0.25">
      <c r="A964" s="8"/>
      <c r="B964" s="8"/>
      <c r="C964" s="8"/>
      <c r="D964" s="8"/>
      <c r="E964" s="8"/>
      <c r="F964" s="8"/>
    </row>
    <row r="965" spans="1:6" x14ac:dyDescent="0.25">
      <c r="A965" s="8"/>
      <c r="B965" s="8"/>
      <c r="C965" s="8"/>
      <c r="D965" s="8"/>
      <c r="E965" s="8"/>
      <c r="F965" s="8"/>
    </row>
    <row r="966" spans="1:6" x14ac:dyDescent="0.25">
      <c r="A966" s="8"/>
      <c r="B966" s="8"/>
      <c r="C966" s="8"/>
      <c r="D966" s="8"/>
      <c r="E966" s="8"/>
      <c r="F966" s="8"/>
    </row>
    <row r="967" spans="1:6" x14ac:dyDescent="0.25">
      <c r="A967" s="8"/>
      <c r="B967" s="8"/>
      <c r="C967" s="8"/>
      <c r="D967" s="8"/>
      <c r="E967" s="8"/>
      <c r="F967" s="8"/>
    </row>
    <row r="968" spans="1:6" x14ac:dyDescent="0.25">
      <c r="A968" s="8"/>
      <c r="B968" s="8"/>
      <c r="C968" s="8"/>
      <c r="D968" s="8"/>
      <c r="E968" s="8"/>
      <c r="F968" s="8"/>
    </row>
    <row r="969" spans="1:6" x14ac:dyDescent="0.25">
      <c r="A969" s="8"/>
      <c r="B969" s="8"/>
      <c r="C969" s="8"/>
      <c r="D969" s="8"/>
      <c r="E969" s="8"/>
      <c r="F969" s="8"/>
    </row>
    <row r="970" spans="1:6" x14ac:dyDescent="0.25">
      <c r="A970" s="8"/>
      <c r="B970" s="8"/>
      <c r="C970" s="8"/>
      <c r="D970" s="8"/>
      <c r="E970" s="8"/>
      <c r="F970" s="8"/>
    </row>
    <row r="971" spans="1:6" x14ac:dyDescent="0.25">
      <c r="A971" s="8"/>
      <c r="B971" s="8"/>
      <c r="C971" s="8"/>
      <c r="D971" s="8"/>
      <c r="E971" s="8"/>
      <c r="F971" s="8"/>
    </row>
    <row r="972" spans="1:6" x14ac:dyDescent="0.25">
      <c r="A972" s="8"/>
      <c r="B972" s="8"/>
      <c r="C972" s="8"/>
      <c r="D972" s="8"/>
      <c r="E972" s="8"/>
      <c r="F972" s="8"/>
    </row>
    <row r="973" spans="1:6" x14ac:dyDescent="0.25">
      <c r="A973" s="8"/>
      <c r="B973" s="8"/>
      <c r="C973" s="8"/>
      <c r="D973" s="8"/>
      <c r="E973" s="8"/>
      <c r="F973" s="8"/>
    </row>
    <row r="974" spans="1:6" x14ac:dyDescent="0.25">
      <c r="A974" s="8"/>
      <c r="B974" s="8"/>
      <c r="C974" s="8"/>
      <c r="D974" s="8"/>
      <c r="E974" s="8"/>
      <c r="F974" s="8"/>
    </row>
    <row r="975" spans="1:6" x14ac:dyDescent="0.25">
      <c r="A975" s="8"/>
      <c r="B975" s="8"/>
      <c r="C975" s="8"/>
      <c r="D975" s="8"/>
      <c r="E975" s="8"/>
      <c r="F975" s="8"/>
    </row>
    <row r="976" spans="1:6" x14ac:dyDescent="0.25">
      <c r="A976" s="8"/>
      <c r="B976" s="8"/>
      <c r="C976" s="8"/>
      <c r="D976" s="8"/>
      <c r="E976" s="8"/>
      <c r="F976" s="8"/>
    </row>
    <row r="977" spans="1:6" x14ac:dyDescent="0.25">
      <c r="A977" s="8"/>
      <c r="B977" s="8"/>
      <c r="C977" s="8"/>
      <c r="D977" s="8"/>
      <c r="E977" s="8"/>
      <c r="F977" s="8"/>
    </row>
    <row r="978" spans="1:6" x14ac:dyDescent="0.25">
      <c r="A978" s="8"/>
      <c r="B978" s="8"/>
      <c r="C978" s="8"/>
      <c r="D978" s="8"/>
      <c r="E978" s="8"/>
      <c r="F978" s="8"/>
    </row>
    <row r="979" spans="1:6" x14ac:dyDescent="0.25">
      <c r="A979" s="8"/>
      <c r="B979" s="8"/>
      <c r="C979" s="8"/>
      <c r="D979" s="8"/>
      <c r="E979" s="8"/>
      <c r="F979" s="8"/>
    </row>
    <row r="980" spans="1:6" x14ac:dyDescent="0.25">
      <c r="A980" s="8"/>
      <c r="B980" s="8"/>
      <c r="C980" s="8"/>
      <c r="D980" s="8"/>
      <c r="E980" s="8"/>
      <c r="F980" s="8"/>
    </row>
    <row r="981" spans="1:6" x14ac:dyDescent="0.25">
      <c r="A981" s="8"/>
      <c r="B981" s="8"/>
      <c r="C981" s="8"/>
      <c r="D981" s="8"/>
      <c r="E981" s="8"/>
      <c r="F981" s="8"/>
    </row>
    <row r="982" spans="1:6" x14ac:dyDescent="0.25">
      <c r="A982" s="8"/>
      <c r="B982" s="8"/>
      <c r="C982" s="8"/>
      <c r="D982" s="8"/>
      <c r="E982" s="8"/>
      <c r="F982" s="8"/>
    </row>
    <row r="983" spans="1:6" x14ac:dyDescent="0.25">
      <c r="A983" s="8"/>
      <c r="B983" s="8"/>
      <c r="C983" s="8"/>
      <c r="D983" s="8"/>
      <c r="E983" s="8"/>
      <c r="F983" s="8"/>
    </row>
    <row r="984" spans="1:6" x14ac:dyDescent="0.25">
      <c r="A984" s="8"/>
      <c r="B984" s="8"/>
      <c r="C984" s="8"/>
      <c r="D984" s="8"/>
      <c r="E984" s="8"/>
      <c r="F984" s="8"/>
    </row>
    <row r="985" spans="1:6" x14ac:dyDescent="0.25">
      <c r="A985" s="8"/>
      <c r="B985" s="8"/>
      <c r="C985" s="8"/>
      <c r="D985" s="8"/>
      <c r="E985" s="8"/>
      <c r="F985" s="8"/>
    </row>
    <row r="986" spans="1:6" x14ac:dyDescent="0.25">
      <c r="A986" s="8"/>
      <c r="B986" s="8"/>
      <c r="C986" s="8"/>
      <c r="D986" s="8"/>
      <c r="E986" s="8"/>
      <c r="F986" s="8"/>
    </row>
    <row r="987" spans="1:6" x14ac:dyDescent="0.25">
      <c r="A987" s="8"/>
      <c r="B987" s="8"/>
      <c r="C987" s="8"/>
      <c r="D987" s="8"/>
      <c r="E987" s="8"/>
      <c r="F987" s="8"/>
    </row>
    <row r="988" spans="1:6" x14ac:dyDescent="0.25">
      <c r="A988" s="8"/>
      <c r="B988" s="8"/>
      <c r="C988" s="8"/>
      <c r="D988" s="8"/>
      <c r="E988" s="8"/>
      <c r="F988" s="8"/>
    </row>
    <row r="989" spans="1:6" x14ac:dyDescent="0.25">
      <c r="A989" s="8"/>
      <c r="B989" s="8"/>
      <c r="C989" s="8"/>
      <c r="D989" s="8"/>
      <c r="E989" s="8"/>
      <c r="F989" s="8"/>
    </row>
    <row r="990" spans="1:6" x14ac:dyDescent="0.25">
      <c r="A990" s="8"/>
      <c r="B990" s="8"/>
      <c r="C990" s="8"/>
      <c r="D990" s="8"/>
      <c r="E990" s="8"/>
      <c r="F990" s="8"/>
    </row>
    <row r="991" spans="1:6" x14ac:dyDescent="0.25">
      <c r="A991" s="8"/>
      <c r="B991" s="8"/>
      <c r="C991" s="8"/>
      <c r="D991" s="8"/>
      <c r="E991" s="8"/>
      <c r="F991" s="8"/>
    </row>
    <row r="992" spans="1:6" x14ac:dyDescent="0.25">
      <c r="A992" s="8"/>
      <c r="B992" s="8"/>
      <c r="C992" s="8"/>
      <c r="D992" s="8"/>
      <c r="E992" s="8"/>
      <c r="F992" s="8"/>
    </row>
    <row r="993" spans="1:6" x14ac:dyDescent="0.25">
      <c r="A993" s="8"/>
      <c r="B993" s="8"/>
      <c r="C993" s="8"/>
      <c r="D993" s="8"/>
      <c r="E993" s="8"/>
      <c r="F993" s="8"/>
    </row>
    <row r="994" spans="1:6" x14ac:dyDescent="0.25">
      <c r="A994" s="8"/>
      <c r="B994" s="8"/>
      <c r="C994" s="8"/>
      <c r="D994" s="8"/>
      <c r="E994" s="8"/>
      <c r="F994" s="8"/>
    </row>
    <row r="995" spans="1:6" x14ac:dyDescent="0.25">
      <c r="A995" s="8"/>
      <c r="B995" s="8"/>
      <c r="C995" s="8"/>
      <c r="D995" s="8"/>
      <c r="E995" s="8"/>
      <c r="F995" s="8"/>
    </row>
    <row r="996" spans="1:6" x14ac:dyDescent="0.25">
      <c r="A996" s="8"/>
      <c r="B996" s="8"/>
      <c r="C996" s="8"/>
      <c r="D996" s="8"/>
      <c r="E996" s="8"/>
      <c r="F996" s="8"/>
    </row>
    <row r="997" spans="1:6" x14ac:dyDescent="0.25">
      <c r="A997" s="8"/>
      <c r="B997" s="8"/>
      <c r="C997" s="8"/>
      <c r="D997" s="8"/>
      <c r="E997" s="8"/>
      <c r="F997" s="8"/>
    </row>
    <row r="998" spans="1:6" x14ac:dyDescent="0.25">
      <c r="A998" s="8"/>
      <c r="B998" s="8"/>
      <c r="C998" s="8"/>
      <c r="D998" s="8"/>
      <c r="E998" s="8"/>
      <c r="F998" s="8"/>
    </row>
    <row r="999" spans="1:6" x14ac:dyDescent="0.25">
      <c r="A999" s="8"/>
      <c r="B999" s="8"/>
      <c r="C999" s="8"/>
      <c r="D999" s="8"/>
      <c r="E999" s="8"/>
      <c r="F999" s="8"/>
    </row>
    <row r="1000" spans="1:6" x14ac:dyDescent="0.25">
      <c r="A1000" s="8"/>
      <c r="B1000" s="8"/>
      <c r="C1000" s="8"/>
      <c r="D1000" s="8"/>
      <c r="E1000" s="8"/>
      <c r="F1000" s="8"/>
    </row>
  </sheetData>
  <mergeCells count="1">
    <mergeCell ref="E166:G16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H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51.109375" customWidth="1"/>
    <col min="2" max="2" width="25.6640625" customWidth="1"/>
    <col min="3" max="3" width="25.44140625" customWidth="1"/>
  </cols>
  <sheetData>
    <row r="1" spans="1:8" x14ac:dyDescent="0.25">
      <c r="A1" s="38" t="s">
        <v>0</v>
      </c>
      <c r="B1" s="38" t="s">
        <v>4354</v>
      </c>
      <c r="C1" s="38" t="s">
        <v>4355</v>
      </c>
      <c r="D1" s="38" t="s">
        <v>6</v>
      </c>
      <c r="E1" s="8"/>
      <c r="F1" s="8"/>
      <c r="G1" s="8"/>
    </row>
    <row r="2" spans="1:8" x14ac:dyDescent="0.25">
      <c r="A2" s="8" t="s">
        <v>2594</v>
      </c>
      <c r="B2" s="8">
        <v>4026335152.6999998</v>
      </c>
      <c r="C2" s="8">
        <v>4993856129.6999998</v>
      </c>
      <c r="D2" s="8">
        <f t="shared" ref="D2:D178" si="0">((C2-B2)/B2)*100</f>
        <v>24.029817198679922</v>
      </c>
      <c r="E2" s="8"/>
      <c r="F2" s="8"/>
      <c r="G2" s="8"/>
    </row>
    <row r="3" spans="1:8" x14ac:dyDescent="0.25">
      <c r="A3" s="8" t="s">
        <v>3867</v>
      </c>
      <c r="B3" s="8">
        <v>3922099721.1000004</v>
      </c>
      <c r="C3" s="8">
        <v>4826741841.8999996</v>
      </c>
      <c r="D3" s="8">
        <f t="shared" si="0"/>
        <v>23.065250379362649</v>
      </c>
      <c r="E3" s="8"/>
      <c r="F3" s="8"/>
      <c r="G3" s="8"/>
    </row>
    <row r="4" spans="1:8" x14ac:dyDescent="0.25">
      <c r="A4" s="8" t="s">
        <v>1315</v>
      </c>
      <c r="B4" s="8">
        <v>107388902079.2</v>
      </c>
      <c r="C4" s="8">
        <v>130602471154.64999</v>
      </c>
      <c r="D4" s="8">
        <f t="shared" si="0"/>
        <v>21.616357580720809</v>
      </c>
      <c r="E4" s="8"/>
      <c r="F4" s="8"/>
      <c r="G4" s="8"/>
    </row>
    <row r="5" spans="1:8" x14ac:dyDescent="0.25">
      <c r="A5" s="8" t="s">
        <v>2778</v>
      </c>
      <c r="B5" s="8">
        <v>3541065799.2000003</v>
      </c>
      <c r="C5" s="8">
        <v>4189075103.23</v>
      </c>
      <c r="D5" s="8">
        <f t="shared" si="0"/>
        <v>18.299837980316504</v>
      </c>
      <c r="E5" s="8"/>
      <c r="F5" s="8"/>
      <c r="G5" s="8"/>
    </row>
    <row r="6" spans="1:8" x14ac:dyDescent="0.25">
      <c r="A6" s="8" t="s">
        <v>1584</v>
      </c>
      <c r="B6" s="8">
        <v>170416897552.56</v>
      </c>
      <c r="C6" s="8">
        <v>200470564886.76001</v>
      </c>
      <c r="D6" s="8">
        <f t="shared" si="0"/>
        <v>17.635379921718652</v>
      </c>
      <c r="E6" s="8"/>
      <c r="F6" s="8"/>
      <c r="G6" s="8"/>
    </row>
    <row r="7" spans="1:8" x14ac:dyDescent="0.25">
      <c r="A7" s="8" t="s">
        <v>4057</v>
      </c>
      <c r="B7" s="8">
        <v>2400118272.7999997</v>
      </c>
      <c r="C7" s="8">
        <v>2820198102.9000001</v>
      </c>
      <c r="D7" s="8">
        <f t="shared" si="0"/>
        <v>17.502463726920066</v>
      </c>
      <c r="E7" s="8"/>
      <c r="F7" s="8"/>
      <c r="G7" s="8"/>
    </row>
    <row r="8" spans="1:8" x14ac:dyDescent="0.25">
      <c r="A8" s="8" t="s">
        <v>3262</v>
      </c>
      <c r="B8" s="8">
        <v>4068421318577.3501</v>
      </c>
      <c r="C8" s="8">
        <v>4659952815476.2998</v>
      </c>
      <c r="D8" s="8">
        <f t="shared" si="0"/>
        <v>14.539583061318663</v>
      </c>
      <c r="E8" s="8"/>
      <c r="F8" s="8"/>
      <c r="G8" s="8"/>
    </row>
    <row r="9" spans="1:8" x14ac:dyDescent="0.25">
      <c r="A9" s="8" t="s">
        <v>1046</v>
      </c>
      <c r="B9" s="8">
        <v>659703959389.50012</v>
      </c>
      <c r="C9" s="8">
        <v>754830358659.80017</v>
      </c>
      <c r="D9" s="8">
        <f t="shared" si="0"/>
        <v>14.419558639352633</v>
      </c>
      <c r="E9" s="8"/>
      <c r="F9" s="8"/>
      <c r="G9" s="8"/>
    </row>
    <row r="10" spans="1:8" x14ac:dyDescent="0.25">
      <c r="A10" s="8" t="s">
        <v>2998</v>
      </c>
      <c r="B10" s="8">
        <v>13966958689.440001</v>
      </c>
      <c r="C10" s="8">
        <v>15979173413.539999</v>
      </c>
      <c r="D10" s="8">
        <f t="shared" si="0"/>
        <v>14.406964098929953</v>
      </c>
      <c r="E10" s="8"/>
      <c r="F10" s="8"/>
      <c r="G10" s="8"/>
    </row>
    <row r="11" spans="1:8" x14ac:dyDescent="0.25">
      <c r="A11" s="8" t="s">
        <v>1598</v>
      </c>
      <c r="B11" s="8">
        <v>1328262772763.4399</v>
      </c>
      <c r="C11" s="8">
        <v>1519524983447.6799</v>
      </c>
      <c r="D11" s="8">
        <f t="shared" si="0"/>
        <v>14.39942567134668</v>
      </c>
      <c r="E11" s="8"/>
      <c r="F11" s="8"/>
      <c r="G11" s="8"/>
    </row>
    <row r="12" spans="1:8" x14ac:dyDescent="0.25">
      <c r="A12" s="8" t="s">
        <v>4145</v>
      </c>
      <c r="B12" s="8">
        <v>7638983656291.0498</v>
      </c>
      <c r="C12" s="8">
        <v>8702113667866.6299</v>
      </c>
      <c r="D12" s="8">
        <f t="shared" si="0"/>
        <v>13.917165678186052</v>
      </c>
      <c r="E12" s="8"/>
      <c r="F12" s="8"/>
      <c r="G12" s="8"/>
    </row>
    <row r="13" spans="1:8" x14ac:dyDescent="0.25">
      <c r="A13" s="8" t="s">
        <v>3209</v>
      </c>
      <c r="B13" s="8">
        <v>305335709928.62</v>
      </c>
      <c r="C13" s="8">
        <v>347196566153.89996</v>
      </c>
      <c r="D13" s="8">
        <f t="shared" si="0"/>
        <v>13.709780698453519</v>
      </c>
      <c r="E13" s="8"/>
      <c r="F13" s="8"/>
      <c r="G13" s="8"/>
    </row>
    <row r="14" spans="1:8" x14ac:dyDescent="0.25">
      <c r="A14" s="8" t="s">
        <v>4128</v>
      </c>
      <c r="B14" s="8">
        <v>19228000000</v>
      </c>
      <c r="C14" s="8">
        <v>21822212500</v>
      </c>
      <c r="D14" s="8">
        <f t="shared" si="0"/>
        <v>13.491847826086955</v>
      </c>
      <c r="E14" s="69" t="s">
        <v>4500</v>
      </c>
      <c r="F14" s="67"/>
      <c r="G14" s="67"/>
      <c r="H14" s="60"/>
    </row>
    <row r="15" spans="1:8" x14ac:dyDescent="0.25">
      <c r="A15" s="8" t="s">
        <v>2577</v>
      </c>
      <c r="B15" s="8">
        <v>410295823198.54999</v>
      </c>
      <c r="C15" s="8">
        <v>462434471285.95001</v>
      </c>
      <c r="D15" s="8">
        <f t="shared" si="0"/>
        <v>12.707574666722635</v>
      </c>
      <c r="E15" s="8"/>
      <c r="F15" s="8"/>
      <c r="G15" s="8"/>
    </row>
    <row r="16" spans="1:8" x14ac:dyDescent="0.25">
      <c r="A16" s="8" t="s">
        <v>3906</v>
      </c>
      <c r="B16" s="8">
        <v>167577646669.69998</v>
      </c>
      <c r="C16" s="8">
        <v>188664662613.36002</v>
      </c>
      <c r="D16" s="8">
        <f t="shared" si="0"/>
        <v>12.583430047339849</v>
      </c>
      <c r="E16" s="8"/>
      <c r="F16" s="8"/>
      <c r="G16" s="8"/>
    </row>
    <row r="17" spans="1:7" x14ac:dyDescent="0.25">
      <c r="A17" s="8" t="s">
        <v>3501</v>
      </c>
      <c r="B17" s="8">
        <v>21091011483.950001</v>
      </c>
      <c r="C17" s="8">
        <v>23312360102.400002</v>
      </c>
      <c r="D17" s="8">
        <f t="shared" si="0"/>
        <v>10.532205248384695</v>
      </c>
      <c r="E17" s="8"/>
      <c r="F17" s="8"/>
      <c r="G17" s="8"/>
    </row>
    <row r="18" spans="1:7" x14ac:dyDescent="0.25">
      <c r="A18" s="8" t="s">
        <v>677</v>
      </c>
      <c r="B18" s="8">
        <v>249172818140.04999</v>
      </c>
      <c r="C18" s="8">
        <v>275395260020.54999</v>
      </c>
      <c r="D18" s="8">
        <f t="shared" si="0"/>
        <v>10.523797128530056</v>
      </c>
      <c r="E18" s="8"/>
      <c r="F18" s="8"/>
      <c r="G18" s="8"/>
    </row>
    <row r="19" spans="1:7" x14ac:dyDescent="0.25">
      <c r="A19" s="8" t="s">
        <v>4133</v>
      </c>
      <c r="B19" s="8">
        <v>2914898716.8000002</v>
      </c>
      <c r="C19" s="8">
        <v>3220882560</v>
      </c>
      <c r="D19" s="8">
        <f t="shared" si="0"/>
        <v>10.497237569060767</v>
      </c>
      <c r="E19" s="69" t="s">
        <v>4501</v>
      </c>
      <c r="F19" s="67"/>
      <c r="G19" s="67"/>
    </row>
    <row r="20" spans="1:7" x14ac:dyDescent="0.25">
      <c r="A20" s="8" t="s">
        <v>1001</v>
      </c>
      <c r="B20" s="8">
        <v>597044153223.95007</v>
      </c>
      <c r="C20" s="8">
        <v>659044514675.5</v>
      </c>
      <c r="D20" s="8">
        <f t="shared" si="0"/>
        <v>10.384552150248377</v>
      </c>
      <c r="E20" s="8"/>
      <c r="F20" s="8"/>
      <c r="G20" s="8"/>
    </row>
    <row r="21" spans="1:7" x14ac:dyDescent="0.25">
      <c r="A21" s="8" t="s">
        <v>108</v>
      </c>
      <c r="B21" s="8">
        <v>1437416922167.05</v>
      </c>
      <c r="C21" s="8">
        <v>1586213905206.55</v>
      </c>
      <c r="D21" s="8">
        <f t="shared" si="0"/>
        <v>10.351692730538725</v>
      </c>
      <c r="E21" s="8"/>
      <c r="F21" s="8"/>
      <c r="G21" s="8"/>
    </row>
    <row r="22" spans="1:7" x14ac:dyDescent="0.25">
      <c r="A22" s="8" t="s">
        <v>3672</v>
      </c>
      <c r="B22" s="8">
        <v>9292921968.8999996</v>
      </c>
      <c r="C22" s="8">
        <v>10254786878.700001</v>
      </c>
      <c r="D22" s="8">
        <f t="shared" si="0"/>
        <v>10.350510991257757</v>
      </c>
      <c r="E22" s="8"/>
      <c r="F22" s="8"/>
      <c r="G22" s="8"/>
    </row>
    <row r="23" spans="1:7" x14ac:dyDescent="0.25">
      <c r="A23" s="8" t="s">
        <v>2749</v>
      </c>
      <c r="B23" s="8">
        <v>246690000</v>
      </c>
      <c r="C23" s="8">
        <v>271359000</v>
      </c>
      <c r="D23" s="8">
        <f t="shared" si="0"/>
        <v>10</v>
      </c>
      <c r="E23" s="8"/>
      <c r="F23" s="8"/>
      <c r="G23" s="8"/>
    </row>
    <row r="24" spans="1:7" x14ac:dyDescent="0.25">
      <c r="A24" s="8" t="s">
        <v>3683</v>
      </c>
      <c r="B24" s="8">
        <v>3235288198486.0708</v>
      </c>
      <c r="C24" s="8">
        <v>3558776022277.8301</v>
      </c>
      <c r="D24" s="8">
        <f t="shared" si="0"/>
        <v>9.9987328468336454</v>
      </c>
      <c r="E24" s="8"/>
      <c r="F24" s="8"/>
      <c r="G24" s="8"/>
    </row>
    <row r="25" spans="1:7" x14ac:dyDescent="0.25">
      <c r="A25" s="8" t="s">
        <v>3068</v>
      </c>
      <c r="B25" s="8">
        <v>1928379091.97</v>
      </c>
      <c r="C25" s="8">
        <v>2105747126.23</v>
      </c>
      <c r="D25" s="8">
        <f t="shared" si="0"/>
        <v>9.197778330961043</v>
      </c>
      <c r="E25" s="8"/>
      <c r="F25" s="8"/>
      <c r="G25" s="8"/>
    </row>
    <row r="26" spans="1:7" x14ac:dyDescent="0.25">
      <c r="A26" s="8" t="s">
        <v>11</v>
      </c>
      <c r="B26" s="8">
        <v>832691043966.42993</v>
      </c>
      <c r="C26" s="8">
        <v>905708948881.03992</v>
      </c>
      <c r="D26" s="8">
        <f t="shared" si="0"/>
        <v>8.7689072007785054</v>
      </c>
      <c r="E26" s="8"/>
      <c r="F26" s="8"/>
      <c r="G26" s="8"/>
    </row>
    <row r="27" spans="1:7" x14ac:dyDescent="0.25">
      <c r="A27" s="8" t="s">
        <v>659</v>
      </c>
      <c r="B27" s="8">
        <v>82884805676.399994</v>
      </c>
      <c r="C27" s="8">
        <v>90109555906.5</v>
      </c>
      <c r="D27" s="8">
        <f t="shared" si="0"/>
        <v>8.7166159963105621</v>
      </c>
      <c r="E27" s="8"/>
      <c r="F27" s="8"/>
      <c r="G27" s="8"/>
    </row>
    <row r="28" spans="1:7" x14ac:dyDescent="0.25">
      <c r="A28" s="8" t="s">
        <v>3402</v>
      </c>
      <c r="B28" s="8">
        <v>5611261125707.1006</v>
      </c>
      <c r="C28" s="8">
        <v>6099590846347.1494</v>
      </c>
      <c r="D28" s="8">
        <f t="shared" si="0"/>
        <v>8.7026732440385608</v>
      </c>
      <c r="E28" s="8"/>
      <c r="F28" s="8"/>
      <c r="G28" s="8"/>
    </row>
    <row r="29" spans="1:7" x14ac:dyDescent="0.25">
      <c r="A29" s="8" t="s">
        <v>9</v>
      </c>
      <c r="B29" s="8">
        <v>2887695313454.02</v>
      </c>
      <c r="C29" s="8">
        <v>3138180494377.9102</v>
      </c>
      <c r="D29" s="8">
        <f t="shared" si="0"/>
        <v>8.6742247271330264</v>
      </c>
      <c r="E29" s="8"/>
      <c r="F29" s="8"/>
      <c r="G29" s="8"/>
    </row>
    <row r="30" spans="1:7" x14ac:dyDescent="0.25">
      <c r="A30" s="8" t="s">
        <v>680</v>
      </c>
      <c r="B30" s="8">
        <v>22587856117022.324</v>
      </c>
      <c r="C30" s="8">
        <v>24402431359771.789</v>
      </c>
      <c r="D30" s="8">
        <f t="shared" si="0"/>
        <v>8.0334106669910632</v>
      </c>
      <c r="E30" s="69" t="s">
        <v>4502</v>
      </c>
      <c r="F30" s="67"/>
      <c r="G30" s="8"/>
    </row>
    <row r="31" spans="1:7" x14ac:dyDescent="0.25">
      <c r="A31" s="8" t="s">
        <v>2321</v>
      </c>
      <c r="B31" s="8">
        <v>102221670593.35001</v>
      </c>
      <c r="C31" s="8">
        <v>110415223798.70001</v>
      </c>
      <c r="D31" s="8">
        <f t="shared" si="0"/>
        <v>8.0154757379625874</v>
      </c>
      <c r="E31" s="8"/>
      <c r="F31" s="8"/>
      <c r="G31" s="8"/>
    </row>
    <row r="32" spans="1:7" x14ac:dyDescent="0.25">
      <c r="A32" s="8" t="s">
        <v>356</v>
      </c>
      <c r="B32" s="8">
        <v>2750597833837.1904</v>
      </c>
      <c r="C32" s="8">
        <v>2965226128406.6104</v>
      </c>
      <c r="D32" s="8">
        <f t="shared" si="0"/>
        <v>7.802968937483862</v>
      </c>
      <c r="E32" s="8"/>
      <c r="F32" s="8"/>
      <c r="G32" s="8"/>
    </row>
    <row r="33" spans="1:7" x14ac:dyDescent="0.25">
      <c r="A33" s="8" t="s">
        <v>3874</v>
      </c>
      <c r="B33" s="8">
        <v>189267777823.29999</v>
      </c>
      <c r="C33" s="8">
        <v>203504827926.35001</v>
      </c>
      <c r="D33" s="8">
        <f t="shared" si="0"/>
        <v>7.5221732229252991</v>
      </c>
      <c r="E33" s="8"/>
      <c r="F33" s="8"/>
      <c r="G33" s="8"/>
    </row>
    <row r="34" spans="1:7" x14ac:dyDescent="0.25">
      <c r="A34" s="8" t="s">
        <v>1935</v>
      </c>
      <c r="B34" s="8">
        <v>351885251010.10004</v>
      </c>
      <c r="C34" s="8">
        <v>378332960483.40002</v>
      </c>
      <c r="D34" s="8">
        <f t="shared" si="0"/>
        <v>7.5160039806672279</v>
      </c>
      <c r="E34" s="8"/>
      <c r="F34" s="8"/>
      <c r="G34" s="8"/>
    </row>
    <row r="35" spans="1:7" x14ac:dyDescent="0.25">
      <c r="A35" s="8" t="s">
        <v>2905</v>
      </c>
      <c r="B35" s="8">
        <v>14905237402.690001</v>
      </c>
      <c r="C35" s="8">
        <v>16023810405.800001</v>
      </c>
      <c r="D35" s="8">
        <f t="shared" si="0"/>
        <v>7.5045634825522995</v>
      </c>
      <c r="E35" s="8"/>
      <c r="F35" s="8"/>
      <c r="G35" s="8"/>
    </row>
    <row r="36" spans="1:7" x14ac:dyDescent="0.25">
      <c r="A36" s="8" t="s">
        <v>3976</v>
      </c>
      <c r="B36" s="8">
        <v>987675569952.1499</v>
      </c>
      <c r="C36" s="8">
        <v>1061179436811.6</v>
      </c>
      <c r="D36" s="8">
        <f t="shared" si="0"/>
        <v>7.442106405751348</v>
      </c>
      <c r="E36" s="8"/>
      <c r="F36" s="8"/>
      <c r="G36" s="8"/>
    </row>
    <row r="37" spans="1:7" x14ac:dyDescent="0.25">
      <c r="A37" s="8" t="s">
        <v>833</v>
      </c>
      <c r="B37" s="8">
        <v>211263463231.04004</v>
      </c>
      <c r="C37" s="8">
        <v>226494502713.25998</v>
      </c>
      <c r="D37" s="8">
        <f t="shared" si="0"/>
        <v>7.2095000476079045</v>
      </c>
      <c r="E37" s="8"/>
      <c r="F37" s="8"/>
      <c r="G37" s="8"/>
    </row>
    <row r="38" spans="1:7" x14ac:dyDescent="0.25">
      <c r="A38" s="8" t="s">
        <v>4033</v>
      </c>
      <c r="B38" s="8">
        <v>5178254405561.2998</v>
      </c>
      <c r="C38" s="8">
        <v>5545901710373.6504</v>
      </c>
      <c r="D38" s="8">
        <f t="shared" si="0"/>
        <v>7.0998308699840571</v>
      </c>
      <c r="E38" s="8"/>
      <c r="F38" s="8"/>
      <c r="G38" s="8"/>
    </row>
    <row r="39" spans="1:7" x14ac:dyDescent="0.25">
      <c r="A39" s="8" t="s">
        <v>2346</v>
      </c>
      <c r="B39" s="8">
        <v>30272082952.869999</v>
      </c>
      <c r="C39" s="8">
        <v>32377116912.299999</v>
      </c>
      <c r="D39" s="8">
        <f t="shared" si="0"/>
        <v>6.9537136334730771</v>
      </c>
      <c r="E39" s="8"/>
      <c r="F39" s="8"/>
      <c r="G39" s="8"/>
    </row>
    <row r="40" spans="1:7" x14ac:dyDescent="0.25">
      <c r="A40" s="8" t="s">
        <v>4082</v>
      </c>
      <c r="B40" s="8">
        <v>1120028842786</v>
      </c>
      <c r="C40" s="8">
        <v>1197314295117.5</v>
      </c>
      <c r="D40" s="8">
        <f t="shared" si="0"/>
        <v>6.9003091151882652</v>
      </c>
      <c r="E40" s="8"/>
      <c r="F40" s="8"/>
      <c r="G40" s="8"/>
    </row>
    <row r="41" spans="1:7" x14ac:dyDescent="0.25">
      <c r="A41" s="8" t="s">
        <v>3287</v>
      </c>
      <c r="B41" s="8">
        <v>172350491693.35001</v>
      </c>
      <c r="C41" s="8">
        <v>184157875452.75</v>
      </c>
      <c r="D41" s="8">
        <f t="shared" si="0"/>
        <v>6.8507978384001165</v>
      </c>
      <c r="E41" s="8"/>
      <c r="F41" s="8"/>
      <c r="G41" s="8"/>
    </row>
    <row r="42" spans="1:7" x14ac:dyDescent="0.25">
      <c r="A42" s="8" t="s">
        <v>1968</v>
      </c>
      <c r="B42" s="8">
        <v>25891436102352.492</v>
      </c>
      <c r="C42" s="8">
        <v>27654351022927.172</v>
      </c>
      <c r="D42" s="8">
        <f t="shared" si="0"/>
        <v>6.8088726851829655</v>
      </c>
      <c r="E42" s="8"/>
      <c r="F42" s="8"/>
      <c r="G42" s="8"/>
    </row>
    <row r="43" spans="1:7" x14ac:dyDescent="0.25">
      <c r="A43" s="8" t="s">
        <v>1807</v>
      </c>
      <c r="B43" s="8">
        <v>1305728503438.8999</v>
      </c>
      <c r="C43" s="8">
        <v>1392943763331.4502</v>
      </c>
      <c r="D43" s="8">
        <f t="shared" si="0"/>
        <v>6.6794329497174401</v>
      </c>
      <c r="E43" s="8"/>
      <c r="F43" s="8"/>
      <c r="G43" s="8"/>
    </row>
    <row r="44" spans="1:7" x14ac:dyDescent="0.25">
      <c r="A44" s="8" t="s">
        <v>1376</v>
      </c>
      <c r="B44" s="8">
        <v>4969944005476.9287</v>
      </c>
      <c r="C44" s="8">
        <v>5297692561231.1299</v>
      </c>
      <c r="D44" s="8">
        <f t="shared" si="0"/>
        <v>6.5946126433822778</v>
      </c>
      <c r="E44" s="8"/>
      <c r="F44" s="8"/>
      <c r="G44" s="8"/>
    </row>
    <row r="45" spans="1:7" x14ac:dyDescent="0.25">
      <c r="A45" s="8" t="s">
        <v>1606</v>
      </c>
      <c r="B45" s="8">
        <v>172585022845.57999</v>
      </c>
      <c r="C45" s="8">
        <v>183740663622.54001</v>
      </c>
      <c r="D45" s="8">
        <f t="shared" si="0"/>
        <v>6.4638521889245872</v>
      </c>
      <c r="E45" s="8"/>
      <c r="F45" s="8"/>
      <c r="G45" s="8"/>
    </row>
    <row r="46" spans="1:7" x14ac:dyDescent="0.25">
      <c r="A46" s="8" t="s">
        <v>788</v>
      </c>
      <c r="B46" s="8">
        <v>17987444894419.301</v>
      </c>
      <c r="C46" s="8">
        <v>19130727714135.902</v>
      </c>
      <c r="D46" s="8">
        <f t="shared" si="0"/>
        <v>6.3560045711178859</v>
      </c>
      <c r="E46" s="8"/>
      <c r="F46" s="8"/>
      <c r="G46" s="8"/>
    </row>
    <row r="47" spans="1:7" x14ac:dyDescent="0.25">
      <c r="A47" s="8" t="s">
        <v>56</v>
      </c>
      <c r="B47" s="8">
        <v>9397792731.2099991</v>
      </c>
      <c r="C47" s="8">
        <v>9984452375.3699989</v>
      </c>
      <c r="D47" s="8">
        <f t="shared" si="0"/>
        <v>6.24252588814507</v>
      </c>
      <c r="E47" s="8"/>
      <c r="F47" s="8"/>
      <c r="G47" s="8"/>
    </row>
    <row r="48" spans="1:7" x14ac:dyDescent="0.25">
      <c r="A48" s="8" t="s">
        <v>2228</v>
      </c>
      <c r="B48" s="8">
        <v>3721652528617.9302</v>
      </c>
      <c r="C48" s="8">
        <v>3952122175289.8599</v>
      </c>
      <c r="D48" s="8">
        <f t="shared" si="0"/>
        <v>6.1926696514442385</v>
      </c>
      <c r="E48" s="8"/>
      <c r="F48" s="8"/>
      <c r="G48" s="8"/>
    </row>
    <row r="49" spans="1:7" x14ac:dyDescent="0.25">
      <c r="A49" s="8" t="s">
        <v>2892</v>
      </c>
      <c r="B49" s="8">
        <v>3603306536193.3501</v>
      </c>
      <c r="C49" s="8">
        <v>3823122412602.2998</v>
      </c>
      <c r="D49" s="8">
        <f t="shared" si="0"/>
        <v>6.1003934636427104</v>
      </c>
      <c r="E49" s="8"/>
      <c r="F49" s="8"/>
      <c r="G49" s="8"/>
    </row>
    <row r="50" spans="1:7" x14ac:dyDescent="0.25">
      <c r="A50" s="8" t="s">
        <v>2261</v>
      </c>
      <c r="B50" s="8">
        <v>51137914174.949997</v>
      </c>
      <c r="C50" s="8">
        <v>54232747461.200005</v>
      </c>
      <c r="D50" s="8">
        <f t="shared" si="0"/>
        <v>6.0519349218314762</v>
      </c>
      <c r="E50" s="8"/>
      <c r="F50" s="8"/>
      <c r="G50" s="8"/>
    </row>
    <row r="51" spans="1:7" x14ac:dyDescent="0.25">
      <c r="A51" s="8" t="s">
        <v>204</v>
      </c>
      <c r="B51" s="8">
        <v>977728483608.40002</v>
      </c>
      <c r="C51" s="8">
        <v>1036832635426.25</v>
      </c>
      <c r="D51" s="8">
        <f t="shared" si="0"/>
        <v>6.0450475575509959</v>
      </c>
      <c r="E51" s="8"/>
      <c r="F51" s="8"/>
      <c r="G51" s="8"/>
    </row>
    <row r="52" spans="1:7" x14ac:dyDescent="0.25">
      <c r="A52" s="8" t="s">
        <v>1538</v>
      </c>
      <c r="B52" s="8">
        <v>795631631.55000007</v>
      </c>
      <c r="C52" s="8">
        <v>843480658.39999998</v>
      </c>
      <c r="D52" s="8">
        <f t="shared" si="0"/>
        <v>6.0139673879963027</v>
      </c>
      <c r="E52" s="8"/>
      <c r="F52" s="8"/>
      <c r="G52" s="8"/>
    </row>
    <row r="53" spans="1:7" x14ac:dyDescent="0.25">
      <c r="A53" s="8" t="s">
        <v>985</v>
      </c>
      <c r="B53" s="8">
        <v>1763915080974.6003</v>
      </c>
      <c r="C53" s="8">
        <v>1869062002536.4502</v>
      </c>
      <c r="D53" s="8">
        <f t="shared" si="0"/>
        <v>5.9609968017141712</v>
      </c>
      <c r="E53" s="8"/>
      <c r="F53" s="8"/>
      <c r="G53" s="8"/>
    </row>
    <row r="54" spans="1:7" x14ac:dyDescent="0.25">
      <c r="A54" s="8" t="s">
        <v>1136</v>
      </c>
      <c r="B54" s="8">
        <v>6280326796469.6699</v>
      </c>
      <c r="C54" s="8">
        <v>6641484507468.1504</v>
      </c>
      <c r="D54" s="8">
        <f t="shared" si="0"/>
        <v>5.7506197161825447</v>
      </c>
      <c r="E54" s="8"/>
      <c r="F54" s="8"/>
      <c r="G54" s="8"/>
    </row>
    <row r="55" spans="1:7" x14ac:dyDescent="0.25">
      <c r="A55" s="8" t="s">
        <v>3707</v>
      </c>
      <c r="B55" s="8">
        <v>179090505245.94998</v>
      </c>
      <c r="C55" s="8">
        <v>189010288510.60001</v>
      </c>
      <c r="D55" s="8">
        <f t="shared" si="0"/>
        <v>5.5389777649166323</v>
      </c>
      <c r="E55" s="8"/>
      <c r="F55" s="8"/>
      <c r="G55" s="8"/>
    </row>
    <row r="56" spans="1:7" x14ac:dyDescent="0.25">
      <c r="A56" s="8" t="s">
        <v>807</v>
      </c>
      <c r="B56" s="8">
        <v>3038445459221.9805</v>
      </c>
      <c r="C56" s="8">
        <v>3203682462849.4204</v>
      </c>
      <c r="D56" s="8">
        <f t="shared" si="0"/>
        <v>5.4382086446847149</v>
      </c>
      <c r="E56" s="8"/>
      <c r="F56" s="8"/>
      <c r="G56" s="8"/>
    </row>
    <row r="57" spans="1:7" x14ac:dyDescent="0.25">
      <c r="A57" s="8" t="s">
        <v>2787</v>
      </c>
      <c r="B57" s="8">
        <v>742381809928.54993</v>
      </c>
      <c r="C57" s="8">
        <v>781076446820.05005</v>
      </c>
      <c r="D57" s="8">
        <f t="shared" si="0"/>
        <v>5.21222858292073</v>
      </c>
      <c r="E57" s="8"/>
      <c r="F57" s="8"/>
      <c r="G57" s="8"/>
    </row>
    <row r="58" spans="1:7" x14ac:dyDescent="0.25">
      <c r="A58" s="8" t="s">
        <v>711</v>
      </c>
      <c r="B58" s="8">
        <v>387863938237</v>
      </c>
      <c r="C58" s="8">
        <v>407824322681.29999</v>
      </c>
      <c r="D58" s="8">
        <f t="shared" si="0"/>
        <v>5.1462336341522459</v>
      </c>
      <c r="E58" s="8"/>
      <c r="F58" s="8"/>
      <c r="G58" s="8"/>
    </row>
    <row r="59" spans="1:7" x14ac:dyDescent="0.25">
      <c r="A59" s="8" t="s">
        <v>4168</v>
      </c>
      <c r="B59" s="8">
        <v>55887552332.899994</v>
      </c>
      <c r="C59" s="8">
        <v>58745696488.600006</v>
      </c>
      <c r="D59" s="8">
        <f t="shared" si="0"/>
        <v>5.1140979277016472</v>
      </c>
      <c r="E59" s="8"/>
      <c r="F59" s="8"/>
      <c r="G59" s="8"/>
    </row>
    <row r="60" spans="1:7" x14ac:dyDescent="0.25">
      <c r="A60" s="8" t="s">
        <v>1333</v>
      </c>
      <c r="B60" s="8">
        <v>69655005043.400009</v>
      </c>
      <c r="C60" s="8">
        <v>73212420559.100006</v>
      </c>
      <c r="D60" s="8">
        <f t="shared" si="0"/>
        <v>5.1071929626355992</v>
      </c>
      <c r="E60" s="8"/>
      <c r="F60" s="8"/>
      <c r="G60" s="8"/>
    </row>
    <row r="61" spans="1:7" x14ac:dyDescent="0.25">
      <c r="A61" s="8" t="s">
        <v>2755</v>
      </c>
      <c r="B61" s="8">
        <v>3081492389287.521</v>
      </c>
      <c r="C61" s="8">
        <v>3238149628103.3799</v>
      </c>
      <c r="D61" s="8">
        <f t="shared" si="0"/>
        <v>5.0838106678588932</v>
      </c>
      <c r="E61" s="8"/>
      <c r="F61" s="8"/>
      <c r="G61" s="8"/>
    </row>
    <row r="62" spans="1:7" x14ac:dyDescent="0.25">
      <c r="A62" s="8" t="s">
        <v>3503</v>
      </c>
      <c r="B62" s="8">
        <v>1796062514537.6001</v>
      </c>
      <c r="C62" s="8">
        <v>1887218967944.25</v>
      </c>
      <c r="D62" s="8">
        <f t="shared" si="0"/>
        <v>5.075349697954044</v>
      </c>
      <c r="E62" s="8"/>
      <c r="F62" s="8"/>
      <c r="G62" s="8"/>
    </row>
    <row r="63" spans="1:7" x14ac:dyDescent="0.25">
      <c r="A63" s="8" t="s">
        <v>3652</v>
      </c>
      <c r="B63" s="8">
        <v>91651922684.960007</v>
      </c>
      <c r="C63" s="8">
        <v>96269105181.999985</v>
      </c>
      <c r="D63" s="8">
        <f t="shared" si="0"/>
        <v>5.0377366472832907</v>
      </c>
      <c r="E63" s="8"/>
      <c r="F63" s="8"/>
      <c r="G63" s="8"/>
    </row>
    <row r="64" spans="1:7" x14ac:dyDescent="0.25">
      <c r="A64" s="8" t="s">
        <v>4111</v>
      </c>
      <c r="B64" s="8">
        <v>41416455609.380005</v>
      </c>
      <c r="C64" s="8">
        <v>43452643211.599998</v>
      </c>
      <c r="D64" s="8">
        <f t="shared" si="0"/>
        <v>4.9163733889358641</v>
      </c>
      <c r="E64" s="8"/>
      <c r="F64" s="8"/>
      <c r="G64" s="8"/>
    </row>
    <row r="65" spans="1:7" x14ac:dyDescent="0.25">
      <c r="A65" s="8" t="s">
        <v>4016</v>
      </c>
      <c r="B65" s="8">
        <v>1701052323426.5</v>
      </c>
      <c r="C65" s="8">
        <v>1784443926514.51</v>
      </c>
      <c r="D65" s="8">
        <f t="shared" si="0"/>
        <v>4.9023537923884</v>
      </c>
      <c r="E65" s="8"/>
      <c r="F65" s="8"/>
      <c r="G65" s="8"/>
    </row>
    <row r="66" spans="1:7" x14ac:dyDescent="0.25">
      <c r="A66" s="8" t="s">
        <v>858</v>
      </c>
      <c r="B66" s="8">
        <v>3232757448120.7891</v>
      </c>
      <c r="C66" s="8">
        <v>3389169458636.439</v>
      </c>
      <c r="D66" s="8">
        <f t="shared" si="0"/>
        <v>4.8383466135565678</v>
      </c>
      <c r="E66" s="8"/>
      <c r="F66" s="8"/>
      <c r="G66" s="8"/>
    </row>
    <row r="67" spans="1:7" x14ac:dyDescent="0.25">
      <c r="A67" s="8" t="s">
        <v>342</v>
      </c>
      <c r="B67" s="8">
        <v>842509365838.44995</v>
      </c>
      <c r="C67" s="8">
        <v>883229318148.6499</v>
      </c>
      <c r="D67" s="8">
        <f t="shared" si="0"/>
        <v>4.8331750317904421</v>
      </c>
      <c r="E67" s="8"/>
      <c r="F67" s="8"/>
      <c r="G67" s="8"/>
    </row>
    <row r="68" spans="1:7" x14ac:dyDescent="0.25">
      <c r="A68" s="8" t="s">
        <v>350</v>
      </c>
      <c r="B68" s="8">
        <v>783881546991.35999</v>
      </c>
      <c r="C68" s="8">
        <v>820987228314.90002</v>
      </c>
      <c r="D68" s="8">
        <f t="shared" si="0"/>
        <v>4.733582703401618</v>
      </c>
      <c r="E68" s="8"/>
      <c r="F68" s="8"/>
      <c r="G68" s="8"/>
    </row>
    <row r="69" spans="1:7" x14ac:dyDescent="0.25">
      <c r="A69" s="8" t="s">
        <v>3131</v>
      </c>
      <c r="B69" s="8">
        <v>996286762892.80005</v>
      </c>
      <c r="C69" s="8">
        <v>1043388986925.25</v>
      </c>
      <c r="D69" s="8">
        <f t="shared" si="0"/>
        <v>4.7277777630694189</v>
      </c>
      <c r="E69" s="8"/>
      <c r="F69" s="8"/>
      <c r="G69" s="8"/>
    </row>
    <row r="70" spans="1:7" x14ac:dyDescent="0.25">
      <c r="A70" s="8" t="s">
        <v>295</v>
      </c>
      <c r="B70" s="8">
        <v>83031587132.849991</v>
      </c>
      <c r="C70" s="8">
        <v>86934727342.699997</v>
      </c>
      <c r="D70" s="8">
        <f t="shared" si="0"/>
        <v>4.7007895966206306</v>
      </c>
      <c r="E70" s="8"/>
      <c r="F70" s="8"/>
      <c r="G70" s="8"/>
    </row>
    <row r="71" spans="1:7" x14ac:dyDescent="0.25">
      <c r="A71" s="8" t="s">
        <v>1351</v>
      </c>
      <c r="B71" s="8">
        <v>36304669705.900002</v>
      </c>
      <c r="C71" s="8">
        <v>37834631973.400002</v>
      </c>
      <c r="D71" s="8">
        <f t="shared" si="0"/>
        <v>4.2142299596554667</v>
      </c>
      <c r="E71" s="8"/>
      <c r="F71" s="8"/>
      <c r="G71" s="8"/>
    </row>
    <row r="72" spans="1:7" x14ac:dyDescent="0.25">
      <c r="A72" s="8" t="s">
        <v>3900</v>
      </c>
      <c r="B72" s="8">
        <v>197700595081.90002</v>
      </c>
      <c r="C72" s="8">
        <v>205590331042.75</v>
      </c>
      <c r="D72" s="8">
        <f t="shared" si="0"/>
        <v>3.9907497281844555</v>
      </c>
      <c r="E72" s="8"/>
      <c r="F72" s="8"/>
      <c r="G72" s="8"/>
    </row>
    <row r="73" spans="1:7" x14ac:dyDescent="0.25">
      <c r="A73" s="8" t="s">
        <v>2867</v>
      </c>
      <c r="B73" s="8">
        <v>4365474755.3000002</v>
      </c>
      <c r="C73" s="8">
        <v>4539670726</v>
      </c>
      <c r="D73" s="8">
        <f t="shared" si="0"/>
        <v>3.9903098852768162</v>
      </c>
      <c r="E73" s="8"/>
      <c r="F73" s="8"/>
      <c r="G73" s="8"/>
    </row>
    <row r="74" spans="1:7" x14ac:dyDescent="0.25">
      <c r="A74" s="8" t="s">
        <v>4068</v>
      </c>
      <c r="B74" s="8">
        <v>18837922108.300003</v>
      </c>
      <c r="C74" s="8">
        <v>19542439326.799999</v>
      </c>
      <c r="D74" s="8">
        <f t="shared" si="0"/>
        <v>3.7398881599026539</v>
      </c>
      <c r="E74" s="8"/>
      <c r="F74" s="8"/>
      <c r="G74" s="8"/>
    </row>
    <row r="75" spans="1:7" x14ac:dyDescent="0.25">
      <c r="A75" s="8" t="s">
        <v>3475</v>
      </c>
      <c r="B75" s="8">
        <v>8485001784497.1182</v>
      </c>
      <c r="C75" s="8">
        <v>8798233485406.998</v>
      </c>
      <c r="D75" s="8">
        <f t="shared" si="0"/>
        <v>3.6915926344551058</v>
      </c>
      <c r="E75" s="8"/>
      <c r="F75" s="8"/>
      <c r="G75" s="8"/>
    </row>
    <row r="76" spans="1:7" x14ac:dyDescent="0.25">
      <c r="A76" s="8" t="s">
        <v>935</v>
      </c>
      <c r="B76" s="8">
        <v>1233740182556.3499</v>
      </c>
      <c r="C76" s="8">
        <v>1277392146948.3499</v>
      </c>
      <c r="D76" s="8">
        <f t="shared" si="0"/>
        <v>3.5381812969365809</v>
      </c>
      <c r="E76" s="8"/>
      <c r="F76" s="8"/>
      <c r="G76" s="8"/>
    </row>
    <row r="77" spans="1:7" x14ac:dyDescent="0.25">
      <c r="A77" s="8" t="s">
        <v>1685</v>
      </c>
      <c r="B77" s="8">
        <v>224616010251.54001</v>
      </c>
      <c r="C77" s="8">
        <v>232562649914.05997</v>
      </c>
      <c r="D77" s="8">
        <f t="shared" si="0"/>
        <v>3.5378776666991727</v>
      </c>
      <c r="E77" s="8"/>
      <c r="F77" s="8"/>
      <c r="G77" s="8"/>
    </row>
    <row r="78" spans="1:7" x14ac:dyDescent="0.25">
      <c r="A78" s="8" t="s">
        <v>3561</v>
      </c>
      <c r="B78" s="8">
        <v>363009808575.25995</v>
      </c>
      <c r="C78" s="8">
        <v>375605781606.28003</v>
      </c>
      <c r="D78" s="8">
        <f t="shared" si="0"/>
        <v>3.469871263384515</v>
      </c>
      <c r="E78" s="8"/>
      <c r="F78" s="8"/>
      <c r="G78" s="8"/>
    </row>
    <row r="79" spans="1:7" x14ac:dyDescent="0.25">
      <c r="A79" s="8" t="s">
        <v>1970</v>
      </c>
      <c r="B79" s="8">
        <v>690583987090.80005</v>
      </c>
      <c r="C79" s="8">
        <v>713857764729.3501</v>
      </c>
      <c r="D79" s="8">
        <f t="shared" si="0"/>
        <v>3.3701588906795701</v>
      </c>
      <c r="E79" s="8"/>
      <c r="F79" s="8"/>
      <c r="G79" s="8"/>
    </row>
    <row r="80" spans="1:7" x14ac:dyDescent="0.25">
      <c r="A80" s="8" t="s">
        <v>3611</v>
      </c>
      <c r="B80" s="8">
        <v>175638546122.62</v>
      </c>
      <c r="C80" s="8">
        <v>181514141652.67999</v>
      </c>
      <c r="D80" s="8">
        <f t="shared" si="0"/>
        <v>3.3452767970181325</v>
      </c>
      <c r="E80" s="8"/>
      <c r="F80" s="8"/>
      <c r="G80" s="8"/>
    </row>
    <row r="81" spans="1:7" x14ac:dyDescent="0.25">
      <c r="A81" s="8" t="s">
        <v>4053</v>
      </c>
      <c r="B81" s="8">
        <v>13871148899.299999</v>
      </c>
      <c r="C81" s="8">
        <v>14335144790.299999</v>
      </c>
      <c r="D81" s="8">
        <f t="shared" si="0"/>
        <v>3.3450429691762253</v>
      </c>
      <c r="E81" s="8"/>
      <c r="F81" s="8"/>
      <c r="G81" s="8"/>
    </row>
    <row r="82" spans="1:7" x14ac:dyDescent="0.25">
      <c r="A82" s="8" t="s">
        <v>2721</v>
      </c>
      <c r="B82" s="8">
        <v>5564191571234.1201</v>
      </c>
      <c r="C82" s="8">
        <v>5746756331453.9697</v>
      </c>
      <c r="D82" s="8">
        <f t="shared" si="0"/>
        <v>3.2810653242723871</v>
      </c>
      <c r="E82" s="8"/>
      <c r="F82" s="8"/>
      <c r="G82" s="8"/>
    </row>
    <row r="83" spans="1:7" x14ac:dyDescent="0.25">
      <c r="A83" s="8" t="s">
        <v>3454</v>
      </c>
      <c r="B83" s="8">
        <v>29233128571.459999</v>
      </c>
      <c r="C83" s="8">
        <v>30176669939.059998</v>
      </c>
      <c r="D83" s="8">
        <f t="shared" si="0"/>
        <v>3.2276441616350571</v>
      </c>
      <c r="E83" s="8"/>
      <c r="F83" s="8"/>
      <c r="G83" s="8"/>
    </row>
    <row r="84" spans="1:7" x14ac:dyDescent="0.25">
      <c r="A84" s="8" t="s">
        <v>1999</v>
      </c>
      <c r="B84" s="8">
        <v>759660697208.53003</v>
      </c>
      <c r="C84" s="8">
        <v>783594261627.03979</v>
      </c>
      <c r="D84" s="8">
        <f t="shared" si="0"/>
        <v>3.1505597836582431</v>
      </c>
      <c r="E84" s="8"/>
      <c r="F84" s="8"/>
      <c r="G84" s="8"/>
    </row>
    <row r="85" spans="1:7" x14ac:dyDescent="0.25">
      <c r="A85" s="8" t="s">
        <v>2286</v>
      </c>
      <c r="B85" s="8">
        <v>534760520574.39014</v>
      </c>
      <c r="C85" s="8">
        <v>551299430568.20007</v>
      </c>
      <c r="D85" s="8">
        <f t="shared" si="0"/>
        <v>3.092769446788139</v>
      </c>
      <c r="E85" s="8"/>
      <c r="F85" s="8"/>
      <c r="G85" s="8"/>
    </row>
    <row r="86" spans="1:7" x14ac:dyDescent="0.25">
      <c r="A86" s="8" t="s">
        <v>893</v>
      </c>
      <c r="B86" s="8">
        <v>1258654843205.8999</v>
      </c>
      <c r="C86" s="8">
        <v>1297028348048.6899</v>
      </c>
      <c r="D86" s="8">
        <f t="shared" si="0"/>
        <v>3.0487710788963787</v>
      </c>
      <c r="E86" s="8"/>
      <c r="F86" s="8"/>
      <c r="G86" s="8"/>
    </row>
    <row r="87" spans="1:7" x14ac:dyDescent="0.25">
      <c r="A87" s="59" t="s">
        <v>2567</v>
      </c>
      <c r="B87" s="8">
        <v>123943426137</v>
      </c>
      <c r="C87" s="8">
        <v>127300707651</v>
      </c>
      <c r="D87" s="8">
        <f t="shared" si="0"/>
        <v>2.7087209210184753</v>
      </c>
      <c r="E87" s="8"/>
      <c r="F87" s="8"/>
      <c r="G87" s="8"/>
    </row>
    <row r="88" spans="1:7" x14ac:dyDescent="0.25">
      <c r="A88" s="8" t="s">
        <v>642</v>
      </c>
      <c r="B88" s="8">
        <v>1318611555937.2</v>
      </c>
      <c r="C88" s="8">
        <v>1354057647671.05</v>
      </c>
      <c r="D88" s="8">
        <f t="shared" si="0"/>
        <v>2.6881375014688746</v>
      </c>
      <c r="E88" s="8"/>
      <c r="F88" s="8"/>
      <c r="G88" s="8"/>
    </row>
    <row r="89" spans="1:7" x14ac:dyDescent="0.25">
      <c r="A89" s="8" t="s">
        <v>1337</v>
      </c>
      <c r="B89" s="8">
        <v>879926723409.02002</v>
      </c>
      <c r="C89" s="8">
        <v>903287905811.56018</v>
      </c>
      <c r="D89" s="8">
        <f t="shared" si="0"/>
        <v>2.6549008890233563</v>
      </c>
      <c r="E89" s="8"/>
      <c r="F89" s="8"/>
      <c r="G89" s="8"/>
    </row>
    <row r="90" spans="1:7" x14ac:dyDescent="0.25">
      <c r="A90" s="8" t="s">
        <v>758</v>
      </c>
      <c r="B90" s="8">
        <v>53534708142.199997</v>
      </c>
      <c r="C90" s="8">
        <v>54913167199.899994</v>
      </c>
      <c r="D90" s="8">
        <f t="shared" si="0"/>
        <v>2.5748885265956911</v>
      </c>
      <c r="E90" s="8"/>
      <c r="F90" s="8"/>
      <c r="G90" s="8"/>
    </row>
    <row r="91" spans="1:7" x14ac:dyDescent="0.25">
      <c r="A91" s="8" t="s">
        <v>2951</v>
      </c>
      <c r="B91" s="8">
        <v>283398045439.73993</v>
      </c>
      <c r="C91" s="8">
        <v>290523333139.32001</v>
      </c>
      <c r="D91" s="8">
        <f t="shared" si="0"/>
        <v>2.5142331834095719</v>
      </c>
      <c r="E91" s="8"/>
      <c r="F91" s="8"/>
      <c r="G91" s="8"/>
    </row>
    <row r="92" spans="1:7" x14ac:dyDescent="0.25">
      <c r="A92" s="8" t="s">
        <v>2681</v>
      </c>
      <c r="B92" s="8">
        <v>358271104317.45007</v>
      </c>
      <c r="C92" s="8">
        <v>366364908099.23999</v>
      </c>
      <c r="D92" s="8">
        <f t="shared" si="0"/>
        <v>2.2591282646725293</v>
      </c>
      <c r="E92" s="8"/>
      <c r="F92" s="8"/>
      <c r="G92" s="8"/>
    </row>
    <row r="93" spans="1:7" x14ac:dyDescent="0.25">
      <c r="A93" s="8" t="s">
        <v>1616</v>
      </c>
      <c r="B93" s="8">
        <v>483177212113.25</v>
      </c>
      <c r="C93" s="8">
        <v>493289337110.10004</v>
      </c>
      <c r="D93" s="8">
        <f t="shared" si="0"/>
        <v>2.0928397994233006</v>
      </c>
      <c r="E93" s="8"/>
      <c r="F93" s="8"/>
      <c r="G93" s="8"/>
    </row>
    <row r="94" spans="1:7" x14ac:dyDescent="0.25">
      <c r="A94" s="8" t="s">
        <v>2265</v>
      </c>
      <c r="B94" s="8">
        <v>13168639253.189999</v>
      </c>
      <c r="C94" s="8">
        <v>13427321541.57</v>
      </c>
      <c r="D94" s="8">
        <f t="shared" si="0"/>
        <v>1.9643813108278241</v>
      </c>
      <c r="E94" s="8"/>
      <c r="F94" s="8"/>
      <c r="G94" s="8"/>
    </row>
    <row r="95" spans="1:7" x14ac:dyDescent="0.25">
      <c r="A95" s="8" t="s">
        <v>3536</v>
      </c>
      <c r="B95" s="8">
        <v>1887195245907.2002</v>
      </c>
      <c r="C95" s="8">
        <v>1921574823666.1001</v>
      </c>
      <c r="D95" s="8">
        <f t="shared" si="0"/>
        <v>1.8217287179723249</v>
      </c>
      <c r="E95" s="8"/>
      <c r="F95" s="8"/>
      <c r="G95" s="8"/>
    </row>
    <row r="96" spans="1:7" x14ac:dyDescent="0.25">
      <c r="A96" s="8" t="s">
        <v>2297</v>
      </c>
      <c r="B96" s="8">
        <v>1045196333521.7299</v>
      </c>
      <c r="C96" s="8">
        <v>1063229374630.4399</v>
      </c>
      <c r="D96" s="8">
        <f t="shared" si="0"/>
        <v>1.725325714447234</v>
      </c>
      <c r="E96" s="69" t="s">
        <v>4503</v>
      </c>
      <c r="F96" s="67"/>
      <c r="G96" s="8"/>
    </row>
    <row r="97" spans="1:7" x14ac:dyDescent="0.25">
      <c r="A97" s="8" t="s">
        <v>96</v>
      </c>
      <c r="B97" s="8">
        <v>19723414941.299999</v>
      </c>
      <c r="C97" s="8">
        <v>20055227207.700001</v>
      </c>
      <c r="D97" s="8">
        <f t="shared" si="0"/>
        <v>1.6823266528008831</v>
      </c>
      <c r="E97" s="8"/>
      <c r="F97" s="8"/>
      <c r="G97" s="8"/>
    </row>
    <row r="98" spans="1:7" x14ac:dyDescent="0.25">
      <c r="A98" s="8" t="s">
        <v>3312</v>
      </c>
      <c r="B98" s="8">
        <v>185287906528.93005</v>
      </c>
      <c r="C98" s="8">
        <v>188057366568.83002</v>
      </c>
      <c r="D98" s="8">
        <f t="shared" si="0"/>
        <v>1.4946793300120491</v>
      </c>
      <c r="E98" s="8"/>
      <c r="F98" s="8"/>
      <c r="G98" s="8"/>
    </row>
    <row r="99" spans="1:7" x14ac:dyDescent="0.25">
      <c r="A99" s="8" t="s">
        <v>206</v>
      </c>
      <c r="B99" s="8">
        <v>1118017460001.2</v>
      </c>
      <c r="C99" s="8">
        <v>1134507987931.4497</v>
      </c>
      <c r="D99" s="8">
        <f t="shared" si="0"/>
        <v>1.474979463221626</v>
      </c>
      <c r="E99" s="8"/>
      <c r="F99" s="8"/>
      <c r="G99" s="8"/>
    </row>
    <row r="100" spans="1:7" x14ac:dyDescent="0.25">
      <c r="A100" s="8" t="s">
        <v>1633</v>
      </c>
      <c r="B100" s="8">
        <v>1332878824596.9204</v>
      </c>
      <c r="C100" s="8">
        <v>1351931600653.8801</v>
      </c>
      <c r="D100" s="8">
        <f t="shared" si="0"/>
        <v>1.4294454758647335</v>
      </c>
      <c r="E100" s="8"/>
      <c r="F100" s="8"/>
      <c r="G100" s="8"/>
    </row>
    <row r="101" spans="1:7" x14ac:dyDescent="0.25">
      <c r="A101" s="8" t="s">
        <v>3831</v>
      </c>
      <c r="B101" s="8">
        <v>3044800142.6000004</v>
      </c>
      <c r="C101" s="8">
        <v>3082501323.4099998</v>
      </c>
      <c r="D101" s="8">
        <f t="shared" si="0"/>
        <v>1.2382152865312817</v>
      </c>
      <c r="E101" s="8"/>
      <c r="F101" s="8"/>
      <c r="G101" s="8"/>
    </row>
    <row r="102" spans="1:7" x14ac:dyDescent="0.25">
      <c r="A102" s="8" t="s">
        <v>3361</v>
      </c>
      <c r="B102" s="8">
        <v>141645119193.79999</v>
      </c>
      <c r="C102" s="8">
        <v>143328344162.60001</v>
      </c>
      <c r="D102" s="8">
        <f t="shared" si="0"/>
        <v>1.1883395477235021</v>
      </c>
      <c r="E102" s="8"/>
      <c r="F102" s="8"/>
      <c r="G102" s="8"/>
    </row>
    <row r="103" spans="1:7" x14ac:dyDescent="0.25">
      <c r="A103" s="8" t="s">
        <v>3118</v>
      </c>
      <c r="B103" s="8">
        <v>9544406935598</v>
      </c>
      <c r="C103" s="8">
        <v>9656477759118</v>
      </c>
      <c r="D103" s="8">
        <f t="shared" si="0"/>
        <v>1.1742041624609152</v>
      </c>
      <c r="E103" s="8"/>
      <c r="F103" s="8"/>
      <c r="G103" s="8"/>
    </row>
    <row r="104" spans="1:7" x14ac:dyDescent="0.25">
      <c r="A104" s="8" t="s">
        <v>262</v>
      </c>
      <c r="B104" s="8">
        <v>12788965906.060001</v>
      </c>
      <c r="C104" s="8">
        <v>12924692593.6</v>
      </c>
      <c r="D104" s="8">
        <f t="shared" si="0"/>
        <v>1.0612796103841784</v>
      </c>
      <c r="E104" s="8"/>
      <c r="F104" s="8"/>
      <c r="G104" s="8"/>
    </row>
    <row r="105" spans="1:7" x14ac:dyDescent="0.25">
      <c r="A105" s="8" t="s">
        <v>13</v>
      </c>
      <c r="B105" s="8">
        <v>8185645539510.8418</v>
      </c>
      <c r="C105" s="8">
        <v>8256748300039.6299</v>
      </c>
      <c r="D105" s="8">
        <f t="shared" si="0"/>
        <v>0.86862740617812095</v>
      </c>
      <c r="E105" s="8"/>
      <c r="F105" s="8"/>
      <c r="G105" s="8"/>
    </row>
    <row r="106" spans="1:7" x14ac:dyDescent="0.25">
      <c r="A106" s="8" t="s">
        <v>15</v>
      </c>
      <c r="B106" s="8">
        <v>11150744369886.32</v>
      </c>
      <c r="C106" s="8">
        <v>11244910860804.902</v>
      </c>
      <c r="D106" s="8">
        <f t="shared" si="0"/>
        <v>0.84448614186589976</v>
      </c>
      <c r="E106" s="8"/>
      <c r="F106" s="8"/>
      <c r="G106" s="8"/>
    </row>
    <row r="107" spans="1:7" x14ac:dyDescent="0.25">
      <c r="A107" s="8" t="s">
        <v>2834</v>
      </c>
      <c r="B107" s="8">
        <v>28956010018.650002</v>
      </c>
      <c r="C107" s="8">
        <v>29176101182</v>
      </c>
      <c r="D107" s="8">
        <f t="shared" si="0"/>
        <v>0.76008802044287893</v>
      </c>
      <c r="E107" s="8"/>
      <c r="F107" s="8"/>
      <c r="G107" s="8"/>
    </row>
    <row r="108" spans="1:7" x14ac:dyDescent="0.25">
      <c r="A108" s="8" t="s">
        <v>3772</v>
      </c>
      <c r="B108" s="8">
        <v>502175116832.34998</v>
      </c>
      <c r="C108" s="8">
        <v>505258310261.75</v>
      </c>
      <c r="D108" s="8">
        <f t="shared" si="0"/>
        <v>0.61396778256325701</v>
      </c>
      <c r="E108" s="8"/>
      <c r="F108" s="8"/>
      <c r="G108" s="8"/>
    </row>
    <row r="109" spans="1:7" x14ac:dyDescent="0.25">
      <c r="A109" s="8" t="s">
        <v>4036</v>
      </c>
      <c r="B109" s="8">
        <v>220253560066.46002</v>
      </c>
      <c r="C109" s="8">
        <v>221486938147.52002</v>
      </c>
      <c r="D109" s="8">
        <f t="shared" si="0"/>
        <v>0.55998099676020396</v>
      </c>
      <c r="E109" s="8"/>
      <c r="F109" s="8"/>
      <c r="G109" s="8"/>
    </row>
    <row r="110" spans="1:7" x14ac:dyDescent="0.25">
      <c r="A110" s="8" t="s">
        <v>3951</v>
      </c>
      <c r="B110" s="8">
        <v>719796473638.59998</v>
      </c>
      <c r="C110" s="8">
        <v>723424652171.06995</v>
      </c>
      <c r="D110" s="8">
        <f t="shared" si="0"/>
        <v>0.50405616939596598</v>
      </c>
      <c r="E110" s="8"/>
      <c r="F110" s="8"/>
      <c r="G110" s="8"/>
    </row>
    <row r="111" spans="1:7" x14ac:dyDescent="0.25">
      <c r="A111" s="8" t="s">
        <v>3872</v>
      </c>
      <c r="B111" s="8">
        <v>671444867379.81006</v>
      </c>
      <c r="C111" s="8">
        <v>673468833390.04004</v>
      </c>
      <c r="D111" s="8">
        <f t="shared" si="0"/>
        <v>0.3014344302203299</v>
      </c>
      <c r="E111" s="8"/>
      <c r="F111" s="8"/>
      <c r="G111" s="8"/>
    </row>
    <row r="112" spans="1:7" x14ac:dyDescent="0.25">
      <c r="A112" s="8" t="s">
        <v>3369</v>
      </c>
      <c r="B112" s="8">
        <v>68095237270.640007</v>
      </c>
      <c r="C112" s="8">
        <v>68191380761.180008</v>
      </c>
      <c r="D112" s="8">
        <f t="shared" si="0"/>
        <v>0.1411897430621836</v>
      </c>
      <c r="E112" s="8"/>
      <c r="F112" s="8"/>
      <c r="G112" s="8"/>
    </row>
    <row r="113" spans="1:7" x14ac:dyDescent="0.25">
      <c r="A113" s="8" t="s">
        <v>3519</v>
      </c>
      <c r="B113" s="8">
        <v>7835495864.3000002</v>
      </c>
      <c r="C113" s="8">
        <v>7846092479.1000004</v>
      </c>
      <c r="D113" s="8">
        <f t="shared" si="0"/>
        <v>0.13523859859693591</v>
      </c>
      <c r="E113" s="8"/>
      <c r="F113" s="8"/>
      <c r="G113" s="8"/>
    </row>
    <row r="114" spans="1:7" x14ac:dyDescent="0.25">
      <c r="A114" s="8" t="s">
        <v>2753</v>
      </c>
      <c r="B114" s="8">
        <v>1070786315354.9001</v>
      </c>
      <c r="C114" s="8">
        <v>1072044361332.05</v>
      </c>
      <c r="D114" s="8">
        <f t="shared" si="0"/>
        <v>0.11748805145431253</v>
      </c>
      <c r="E114" s="8"/>
      <c r="F114" s="8"/>
      <c r="G114" s="8"/>
    </row>
    <row r="115" spans="1:7" x14ac:dyDescent="0.25">
      <c r="A115" s="8" t="s">
        <v>876</v>
      </c>
      <c r="B115" s="8">
        <v>1053928246.6</v>
      </c>
      <c r="C115" s="8">
        <v>1055155433.5</v>
      </c>
      <c r="D115" s="8">
        <f t="shared" si="0"/>
        <v>0.11643932155333278</v>
      </c>
      <c r="E115" s="8"/>
      <c r="F115" s="8"/>
      <c r="G115" s="8"/>
    </row>
    <row r="116" spans="1:7" x14ac:dyDescent="0.25">
      <c r="A116" s="8" t="s">
        <v>4094</v>
      </c>
      <c r="B116" s="8">
        <v>32446997439.540001</v>
      </c>
      <c r="C116" s="8">
        <v>32407257256.119999</v>
      </c>
      <c r="D116" s="8">
        <f t="shared" si="0"/>
        <v>-0.12247722919216705</v>
      </c>
      <c r="E116" s="8"/>
      <c r="F116" s="8"/>
      <c r="G116" s="8"/>
    </row>
    <row r="117" spans="1:7" x14ac:dyDescent="0.25">
      <c r="A117" s="8" t="s">
        <v>2671</v>
      </c>
      <c r="B117" s="8">
        <v>239989529475.41</v>
      </c>
      <c r="C117" s="8">
        <v>239529827253.20999</v>
      </c>
      <c r="D117" s="8">
        <f t="shared" si="0"/>
        <v>-0.19155094941219697</v>
      </c>
      <c r="E117" s="8"/>
      <c r="F117" s="8"/>
      <c r="G117" s="8"/>
    </row>
    <row r="118" spans="1:7" x14ac:dyDescent="0.25">
      <c r="A118" s="8" t="s">
        <v>1760</v>
      </c>
      <c r="B118" s="8">
        <v>204212118097.86002</v>
      </c>
      <c r="C118" s="8">
        <v>203621946803.56</v>
      </c>
      <c r="D118" s="8">
        <f t="shared" si="0"/>
        <v>-0.28899915430934597</v>
      </c>
      <c r="E118" s="8"/>
      <c r="F118" s="8"/>
      <c r="G118" s="8"/>
    </row>
    <row r="119" spans="1:7" x14ac:dyDescent="0.25">
      <c r="A119" s="8" t="s">
        <v>3085</v>
      </c>
      <c r="B119" s="8">
        <v>7512938306339.7002</v>
      </c>
      <c r="C119" s="8">
        <v>7485844254986.75</v>
      </c>
      <c r="D119" s="8">
        <f t="shared" si="0"/>
        <v>-0.36063188925812439</v>
      </c>
      <c r="E119" s="8"/>
      <c r="F119" s="8"/>
      <c r="G119" s="8"/>
    </row>
    <row r="120" spans="1:7" x14ac:dyDescent="0.25">
      <c r="A120" s="8" t="s">
        <v>3190</v>
      </c>
      <c r="B120" s="8">
        <v>107521909936.85001</v>
      </c>
      <c r="C120" s="8">
        <v>106955411501.70001</v>
      </c>
      <c r="D120" s="8">
        <f t="shared" si="0"/>
        <v>-0.5268679057902812</v>
      </c>
      <c r="E120" s="8"/>
      <c r="F120" s="8"/>
      <c r="G120" s="8"/>
    </row>
    <row r="121" spans="1:7" x14ac:dyDescent="0.25">
      <c r="A121" s="8" t="s">
        <v>767</v>
      </c>
      <c r="B121" s="8">
        <v>703302830304.47998</v>
      </c>
      <c r="C121" s="8">
        <v>699559495347.03003</v>
      </c>
      <c r="D121" s="8">
        <f t="shared" si="0"/>
        <v>-0.53225080237901989</v>
      </c>
      <c r="E121" s="8"/>
      <c r="F121" s="8"/>
      <c r="G121" s="8"/>
    </row>
    <row r="122" spans="1:7" x14ac:dyDescent="0.25">
      <c r="A122" s="8" t="s">
        <v>183</v>
      </c>
      <c r="B122" s="8">
        <v>729802285093.65002</v>
      </c>
      <c r="C122" s="8">
        <v>725804633521.3999</v>
      </c>
      <c r="D122" s="8">
        <f t="shared" si="0"/>
        <v>-0.54777186285969681</v>
      </c>
      <c r="E122" s="8"/>
      <c r="F122" s="8"/>
      <c r="G122" s="8"/>
    </row>
    <row r="123" spans="1:7" x14ac:dyDescent="0.25">
      <c r="A123" s="8" t="s">
        <v>3918</v>
      </c>
      <c r="B123" s="8">
        <v>52744545751.559998</v>
      </c>
      <c r="C123" s="8">
        <v>52418619371.029999</v>
      </c>
      <c r="D123" s="8">
        <f t="shared" si="0"/>
        <v>-0.61793380886280369</v>
      </c>
      <c r="E123" s="8"/>
      <c r="F123" s="8"/>
      <c r="G123" s="8"/>
    </row>
    <row r="124" spans="1:7" x14ac:dyDescent="0.25">
      <c r="A124" s="8" t="s">
        <v>1453</v>
      </c>
      <c r="B124" s="8">
        <v>402046890653.20001</v>
      </c>
      <c r="C124" s="8">
        <v>399461704173.51001</v>
      </c>
      <c r="D124" s="8">
        <f t="shared" si="0"/>
        <v>-0.64300621141227721</v>
      </c>
      <c r="E124" s="8"/>
      <c r="F124" s="8"/>
      <c r="G124" s="8"/>
    </row>
    <row r="125" spans="1:7" x14ac:dyDescent="0.25">
      <c r="A125" s="8" t="s">
        <v>41</v>
      </c>
      <c r="B125" s="8">
        <v>411443214552.40002</v>
      </c>
      <c r="C125" s="8">
        <v>408568271022.40002</v>
      </c>
      <c r="D125" s="8">
        <f t="shared" si="0"/>
        <v>-0.69874612785329016</v>
      </c>
      <c r="E125" s="8"/>
      <c r="F125" s="8"/>
      <c r="G125" s="8"/>
    </row>
    <row r="126" spans="1:7" x14ac:dyDescent="0.25">
      <c r="A126" s="8" t="s">
        <v>3639</v>
      </c>
      <c r="B126" s="8">
        <v>7046929491.6000004</v>
      </c>
      <c r="C126" s="8">
        <v>6986110138.75</v>
      </c>
      <c r="D126" s="8">
        <f t="shared" si="0"/>
        <v>-0.8630617479924777</v>
      </c>
      <c r="E126" s="8"/>
      <c r="F126" s="8"/>
      <c r="G126" s="8"/>
    </row>
    <row r="127" spans="1:7" x14ac:dyDescent="0.25">
      <c r="A127" s="8" t="s">
        <v>1064</v>
      </c>
      <c r="B127" s="8">
        <v>1037907543961.7502</v>
      </c>
      <c r="C127" s="8">
        <v>1028144059029.48</v>
      </c>
      <c r="D127" s="8">
        <f t="shared" si="0"/>
        <v>-0.94068927324706619</v>
      </c>
      <c r="E127" s="8"/>
      <c r="F127" s="8"/>
      <c r="G127" s="8"/>
    </row>
    <row r="128" spans="1:7" x14ac:dyDescent="0.25">
      <c r="A128" s="8" t="s">
        <v>1793</v>
      </c>
      <c r="B128" s="8">
        <v>1014140059522.1698</v>
      </c>
      <c r="C128" s="8">
        <v>1004567782156.1997</v>
      </c>
      <c r="D128" s="8">
        <f t="shared" si="0"/>
        <v>-0.94388120024370625</v>
      </c>
      <c r="E128" s="8"/>
      <c r="F128" s="8"/>
      <c r="G128" s="8"/>
    </row>
    <row r="129" spans="1:7" x14ac:dyDescent="0.25">
      <c r="A129" s="8" t="s">
        <v>2575</v>
      </c>
      <c r="B129" s="8">
        <v>847278854117.34998</v>
      </c>
      <c r="C129" s="8">
        <v>838851491829.20007</v>
      </c>
      <c r="D129" s="8">
        <f t="shared" si="0"/>
        <v>-0.99463857113831544</v>
      </c>
      <c r="E129" s="8"/>
      <c r="F129" s="8"/>
      <c r="G129" s="8"/>
    </row>
    <row r="130" spans="1:7" x14ac:dyDescent="0.25">
      <c r="A130" s="8" t="s">
        <v>3883</v>
      </c>
      <c r="B130" s="8">
        <v>376910295738.40002</v>
      </c>
      <c r="C130" s="8">
        <v>372883547759.20001</v>
      </c>
      <c r="D130" s="8">
        <f t="shared" si="0"/>
        <v>-1.0683571196460058</v>
      </c>
      <c r="E130" s="8"/>
      <c r="F130" s="8"/>
      <c r="G130" s="8"/>
    </row>
    <row r="131" spans="1:7" x14ac:dyDescent="0.25">
      <c r="A131" s="8" t="s">
        <v>1501</v>
      </c>
      <c r="B131" s="8">
        <v>860466796503.6499</v>
      </c>
      <c r="C131" s="8">
        <v>851226057443.05005</v>
      </c>
      <c r="D131" s="8">
        <f t="shared" si="0"/>
        <v>-1.0739216316245919</v>
      </c>
      <c r="E131" s="8"/>
      <c r="F131" s="8"/>
      <c r="G131" s="8"/>
    </row>
    <row r="132" spans="1:7" x14ac:dyDescent="0.25">
      <c r="A132" s="8" t="s">
        <v>4066</v>
      </c>
      <c r="B132" s="8">
        <v>54192873434.629997</v>
      </c>
      <c r="C132" s="8">
        <v>53602517462.37001</v>
      </c>
      <c r="D132" s="8">
        <f t="shared" si="0"/>
        <v>-1.0893608971890043</v>
      </c>
      <c r="E132" s="8"/>
      <c r="F132" s="8"/>
      <c r="G132" s="8"/>
    </row>
    <row r="133" spans="1:7" x14ac:dyDescent="0.25">
      <c r="A133" s="8" t="s">
        <v>2501</v>
      </c>
      <c r="B133" s="8">
        <v>103379764087.52</v>
      </c>
      <c r="C133" s="8">
        <v>102153423589.47998</v>
      </c>
      <c r="D133" s="8">
        <f t="shared" si="0"/>
        <v>-1.186248110415322</v>
      </c>
      <c r="E133" s="8"/>
      <c r="F133" s="8"/>
      <c r="G133" s="8"/>
    </row>
    <row r="134" spans="1:7" x14ac:dyDescent="0.25">
      <c r="A134" s="8" t="s">
        <v>2627</v>
      </c>
      <c r="B134" s="8">
        <v>468416321177.66998</v>
      </c>
      <c r="C134" s="8">
        <v>462809043519.78992</v>
      </c>
      <c r="D134" s="8">
        <f t="shared" si="0"/>
        <v>-1.1970713667240536</v>
      </c>
      <c r="E134" s="8"/>
      <c r="F134" s="8"/>
      <c r="G134" s="8"/>
    </row>
    <row r="135" spans="1:7" x14ac:dyDescent="0.25">
      <c r="A135" s="8" t="s">
        <v>1695</v>
      </c>
      <c r="B135" s="8">
        <v>127136236706.85001</v>
      </c>
      <c r="C135" s="8">
        <v>125369322112.7</v>
      </c>
      <c r="D135" s="8">
        <f t="shared" si="0"/>
        <v>-1.3897804748021216</v>
      </c>
      <c r="E135" s="69" t="s">
        <v>4504</v>
      </c>
      <c r="F135" s="67"/>
      <c r="G135" s="8"/>
    </row>
    <row r="136" spans="1:7" x14ac:dyDescent="0.25">
      <c r="A136" s="8" t="s">
        <v>3232</v>
      </c>
      <c r="B136" s="8">
        <v>1482658852389.7693</v>
      </c>
      <c r="C136" s="8">
        <v>1461895124547.21</v>
      </c>
      <c r="D136" s="8">
        <f t="shared" si="0"/>
        <v>-1.4004386652460257</v>
      </c>
      <c r="E136" s="8"/>
      <c r="F136" s="8"/>
      <c r="G136" s="8"/>
    </row>
    <row r="137" spans="1:7" x14ac:dyDescent="0.25">
      <c r="A137" s="8" t="s">
        <v>3690</v>
      </c>
      <c r="B137" s="8">
        <v>63781457714.510002</v>
      </c>
      <c r="C137" s="8">
        <v>62877091931.479996</v>
      </c>
      <c r="D137" s="8">
        <f t="shared" si="0"/>
        <v>-1.4179133175005298</v>
      </c>
      <c r="E137" s="8"/>
      <c r="F137" s="8"/>
      <c r="G137" s="8"/>
    </row>
    <row r="138" spans="1:7" x14ac:dyDescent="0.25">
      <c r="A138" s="8" t="s">
        <v>3618</v>
      </c>
      <c r="B138" s="8">
        <v>127465681386.95</v>
      </c>
      <c r="C138" s="8">
        <v>125608159613.39999</v>
      </c>
      <c r="D138" s="8">
        <f t="shared" si="0"/>
        <v>-1.4572720698923571</v>
      </c>
      <c r="E138" s="8"/>
      <c r="F138" s="8"/>
      <c r="G138" s="8"/>
    </row>
    <row r="139" spans="1:7" x14ac:dyDescent="0.25">
      <c r="A139" s="8" t="s">
        <v>3814</v>
      </c>
      <c r="B139" s="8">
        <v>3753369598.25</v>
      </c>
      <c r="C139" s="8">
        <v>3698445393.25</v>
      </c>
      <c r="D139" s="8">
        <f t="shared" si="0"/>
        <v>-1.4633305770262615</v>
      </c>
      <c r="E139" s="8"/>
      <c r="F139" s="8"/>
      <c r="G139" s="8"/>
    </row>
    <row r="140" spans="1:7" x14ac:dyDescent="0.25">
      <c r="A140" s="8" t="s">
        <v>1171</v>
      </c>
      <c r="B140" s="8">
        <v>681108707562.03015</v>
      </c>
      <c r="C140" s="8">
        <v>671113857296.90015</v>
      </c>
      <c r="D140" s="8">
        <f t="shared" si="0"/>
        <v>-1.4674383331415199</v>
      </c>
      <c r="E140" s="8"/>
      <c r="F140" s="8"/>
      <c r="G140" s="8"/>
    </row>
    <row r="141" spans="1:7" x14ac:dyDescent="0.25">
      <c r="A141" s="8" t="s">
        <v>2247</v>
      </c>
      <c r="B141" s="8">
        <v>124649585447.5</v>
      </c>
      <c r="C141" s="8">
        <v>122771242178.95999</v>
      </c>
      <c r="D141" s="8">
        <f t="shared" si="0"/>
        <v>-1.506898929343917</v>
      </c>
      <c r="E141" s="8"/>
      <c r="F141" s="8"/>
      <c r="G141" s="8"/>
    </row>
    <row r="142" spans="1:7" x14ac:dyDescent="0.25">
      <c r="A142" s="8" t="s">
        <v>3431</v>
      </c>
      <c r="B142" s="8">
        <v>3882009081596.3003</v>
      </c>
      <c r="C142" s="8">
        <v>3820494542065.3506</v>
      </c>
      <c r="D142" s="8">
        <f t="shared" si="0"/>
        <v>-1.584605760521679</v>
      </c>
      <c r="E142" s="8"/>
      <c r="F142" s="8"/>
      <c r="G142" s="8"/>
    </row>
    <row r="143" spans="1:7" x14ac:dyDescent="0.25">
      <c r="A143" s="8" t="s">
        <v>1868</v>
      </c>
      <c r="B143" s="8">
        <v>5348519151540.6777</v>
      </c>
      <c r="C143" s="8">
        <v>5252870485073.1709</v>
      </c>
      <c r="D143" s="8">
        <f t="shared" si="0"/>
        <v>-1.7883205380306917</v>
      </c>
      <c r="E143" s="8"/>
      <c r="F143" s="8"/>
      <c r="G143" s="8"/>
    </row>
    <row r="144" spans="1:7" x14ac:dyDescent="0.25">
      <c r="A144" s="8" t="s">
        <v>3140</v>
      </c>
      <c r="B144" s="8">
        <v>2965080912135.5498</v>
      </c>
      <c r="C144" s="8">
        <v>2903880354983.7397</v>
      </c>
      <c r="D144" s="8">
        <f t="shared" si="0"/>
        <v>-2.0640434094505498</v>
      </c>
      <c r="E144" s="8"/>
      <c r="F144" s="8"/>
      <c r="G144" s="8"/>
    </row>
    <row r="145" spans="1:7" x14ac:dyDescent="0.25">
      <c r="A145" s="8" t="s">
        <v>2816</v>
      </c>
      <c r="B145" s="8">
        <v>292516435499.29999</v>
      </c>
      <c r="C145" s="8">
        <v>286356130890.75</v>
      </c>
      <c r="D145" s="8">
        <f t="shared" si="0"/>
        <v>-2.1059687118212302</v>
      </c>
      <c r="E145" s="8"/>
      <c r="F145" s="8"/>
      <c r="G145" s="8"/>
    </row>
    <row r="146" spans="1:7" x14ac:dyDescent="0.25">
      <c r="A146" s="8" t="s">
        <v>815</v>
      </c>
      <c r="B146" s="8">
        <v>27624136073.499996</v>
      </c>
      <c r="C146" s="8">
        <v>27035840097.999996</v>
      </c>
      <c r="D146" s="8">
        <f t="shared" si="0"/>
        <v>-2.1296447929980911</v>
      </c>
      <c r="E146" s="8"/>
      <c r="F146" s="8"/>
      <c r="G146" s="8"/>
    </row>
    <row r="147" spans="1:7" x14ac:dyDescent="0.25">
      <c r="A147" s="8" t="s">
        <v>3793</v>
      </c>
      <c r="B147" s="8">
        <v>695821521209.29993</v>
      </c>
      <c r="C147" s="8">
        <v>680275527314.6001</v>
      </c>
      <c r="D147" s="8">
        <f t="shared" si="0"/>
        <v>-2.2341927377701309</v>
      </c>
      <c r="E147" s="8"/>
      <c r="F147" s="8"/>
      <c r="G147" s="8"/>
    </row>
    <row r="148" spans="1:7" x14ac:dyDescent="0.25">
      <c r="A148" s="8" t="s">
        <v>376</v>
      </c>
      <c r="B148" s="8">
        <v>4250567344994.8706</v>
      </c>
      <c r="C148" s="8">
        <v>4155269611769.75</v>
      </c>
      <c r="D148" s="8">
        <f t="shared" si="0"/>
        <v>-2.2420003140836156</v>
      </c>
      <c r="E148" s="8"/>
      <c r="F148" s="8"/>
      <c r="G148" s="8"/>
    </row>
    <row r="149" spans="1:7" x14ac:dyDescent="0.25">
      <c r="A149" s="8" t="s">
        <v>166</v>
      </c>
      <c r="B149" s="8">
        <v>514761465912.89996</v>
      </c>
      <c r="C149" s="8">
        <v>502958952469.15002</v>
      </c>
      <c r="D149" s="8">
        <f t="shared" si="0"/>
        <v>-2.2928121519000761</v>
      </c>
      <c r="E149" s="8"/>
      <c r="F149" s="8"/>
      <c r="G149" s="8"/>
    </row>
    <row r="150" spans="1:7" x14ac:dyDescent="0.25">
      <c r="A150" s="8" t="s">
        <v>1645</v>
      </c>
      <c r="B150" s="8">
        <v>507206206963.59003</v>
      </c>
      <c r="C150" s="8">
        <v>495345335197.41992</v>
      </c>
      <c r="D150" s="8">
        <f t="shared" si="0"/>
        <v>-2.3384713363773053</v>
      </c>
      <c r="E150" s="8"/>
      <c r="F150" s="8"/>
      <c r="G150" s="8"/>
    </row>
    <row r="151" spans="1:7" x14ac:dyDescent="0.25">
      <c r="A151" s="8" t="s">
        <v>831</v>
      </c>
      <c r="B151" s="8">
        <v>157122798537.40002</v>
      </c>
      <c r="C151" s="8">
        <v>153417376231.04999</v>
      </c>
      <c r="D151" s="8">
        <f t="shared" si="0"/>
        <v>-2.3582970395400848</v>
      </c>
      <c r="E151" s="8"/>
      <c r="F151" s="8"/>
      <c r="G151" s="8"/>
    </row>
    <row r="152" spans="1:7" x14ac:dyDescent="0.25">
      <c r="A152" s="8" t="s">
        <v>67</v>
      </c>
      <c r="B152" s="8">
        <v>925005646511.65002</v>
      </c>
      <c r="C152" s="8">
        <v>901304071675.55005</v>
      </c>
      <c r="D152" s="8">
        <f t="shared" si="0"/>
        <v>-2.5623167734686323</v>
      </c>
      <c r="E152" s="8"/>
      <c r="F152" s="8"/>
      <c r="G152" s="8"/>
    </row>
    <row r="153" spans="1:7" x14ac:dyDescent="0.25">
      <c r="A153" s="8" t="s">
        <v>668</v>
      </c>
      <c r="B153" s="8">
        <v>76682790783.799988</v>
      </c>
      <c r="C153" s="8">
        <v>74571918987.600006</v>
      </c>
      <c r="D153" s="8">
        <f t="shared" si="0"/>
        <v>-2.7527320988504305</v>
      </c>
      <c r="E153" s="8"/>
      <c r="F153" s="8"/>
      <c r="G153" s="8"/>
    </row>
    <row r="154" spans="1:7" x14ac:dyDescent="0.25">
      <c r="A154" s="8" t="s">
        <v>2825</v>
      </c>
      <c r="B154" s="8">
        <v>1344880466.0999999</v>
      </c>
      <c r="C154" s="8">
        <v>1307055422</v>
      </c>
      <c r="D154" s="8">
        <f t="shared" si="0"/>
        <v>-2.8125208933763624</v>
      </c>
      <c r="E154" s="8"/>
      <c r="F154" s="8"/>
      <c r="G154" s="8"/>
    </row>
    <row r="155" spans="1:7" x14ac:dyDescent="0.25">
      <c r="A155" s="8" t="s">
        <v>2757</v>
      </c>
      <c r="B155" s="8">
        <v>668237935061.09009</v>
      </c>
      <c r="C155" s="8">
        <v>648590126831.29004</v>
      </c>
      <c r="D155" s="8">
        <f t="shared" si="0"/>
        <v>-2.940241371960401</v>
      </c>
      <c r="E155" s="8"/>
      <c r="F155" s="8"/>
      <c r="G155" s="8"/>
    </row>
    <row r="156" spans="1:7" x14ac:dyDescent="0.25">
      <c r="A156" s="8" t="s">
        <v>1271</v>
      </c>
      <c r="B156" s="8">
        <v>1069437993269.25</v>
      </c>
      <c r="C156" s="8">
        <v>1037591633330.75</v>
      </c>
      <c r="D156" s="8">
        <f t="shared" si="0"/>
        <v>-2.9778594120399942</v>
      </c>
      <c r="E156" s="8"/>
      <c r="F156" s="8"/>
      <c r="G156" s="8"/>
    </row>
    <row r="157" spans="1:7" x14ac:dyDescent="0.25">
      <c r="A157" s="8" t="s">
        <v>324</v>
      </c>
      <c r="B157" s="8">
        <v>312505954567.04999</v>
      </c>
      <c r="C157" s="8">
        <v>302785821415.45001</v>
      </c>
      <c r="D157" s="8">
        <f t="shared" si="0"/>
        <v>-3.1103833413562891</v>
      </c>
      <c r="E157" s="8"/>
      <c r="F157" s="8"/>
      <c r="G157" s="8"/>
    </row>
    <row r="158" spans="1:7" x14ac:dyDescent="0.25">
      <c r="A158" s="8" t="s">
        <v>2422</v>
      </c>
      <c r="B158" s="8">
        <v>430832785358.68005</v>
      </c>
      <c r="C158" s="8">
        <v>416056150633.34998</v>
      </c>
      <c r="D158" s="8">
        <f t="shared" si="0"/>
        <v>-3.4297841825171518</v>
      </c>
      <c r="E158" s="8"/>
      <c r="F158" s="8"/>
      <c r="G158" s="8"/>
    </row>
    <row r="159" spans="1:7" x14ac:dyDescent="0.25">
      <c r="A159" s="8" t="s">
        <v>3023</v>
      </c>
      <c r="B159" s="8">
        <v>67329348485.199997</v>
      </c>
      <c r="C159" s="8">
        <v>64825012087.360001</v>
      </c>
      <c r="D159" s="8">
        <f t="shared" si="0"/>
        <v>-3.7195316072165578</v>
      </c>
      <c r="E159" s="8"/>
      <c r="F159" s="8"/>
      <c r="G159" s="8"/>
    </row>
    <row r="160" spans="1:7" x14ac:dyDescent="0.25">
      <c r="A160" s="8" t="s">
        <v>3663</v>
      </c>
      <c r="B160" s="8">
        <v>73314218360.900009</v>
      </c>
      <c r="C160" s="8">
        <v>70569076022.600006</v>
      </c>
      <c r="D160" s="8">
        <f t="shared" si="0"/>
        <v>-3.7443519138220047</v>
      </c>
      <c r="E160" s="8"/>
      <c r="F160" s="8"/>
      <c r="G160" s="8"/>
    </row>
    <row r="161" spans="1:7" x14ac:dyDescent="0.25">
      <c r="A161" s="8" t="s">
        <v>3744</v>
      </c>
      <c r="B161" s="8">
        <v>1031504166825.72</v>
      </c>
      <c r="C161" s="8">
        <v>991741539158.64014</v>
      </c>
      <c r="D161" s="8">
        <f t="shared" si="0"/>
        <v>-3.8548198781826164</v>
      </c>
      <c r="E161" s="8"/>
      <c r="F161" s="8"/>
      <c r="G161" s="8"/>
    </row>
    <row r="162" spans="1:7" x14ac:dyDescent="0.25">
      <c r="A162" s="8" t="s">
        <v>3974</v>
      </c>
      <c r="B162" s="8">
        <v>260050313393.94998</v>
      </c>
      <c r="C162" s="8">
        <v>249948017712</v>
      </c>
      <c r="D162" s="8">
        <f t="shared" si="0"/>
        <v>-3.8847465900362228</v>
      </c>
      <c r="E162" s="8"/>
      <c r="F162" s="8"/>
      <c r="G162" s="8"/>
    </row>
    <row r="163" spans="1:7" x14ac:dyDescent="0.25">
      <c r="A163" s="8" t="s">
        <v>850</v>
      </c>
      <c r="B163" s="8">
        <v>475464870511.95001</v>
      </c>
      <c r="C163" s="8">
        <v>455915817199.84998</v>
      </c>
      <c r="D163" s="8">
        <f t="shared" si="0"/>
        <v>-4.1115662848131915</v>
      </c>
      <c r="E163" s="8"/>
      <c r="F163" s="8"/>
      <c r="G163" s="8"/>
    </row>
    <row r="164" spans="1:7" x14ac:dyDescent="0.25">
      <c r="A164" s="8" t="s">
        <v>2444</v>
      </c>
      <c r="B164" s="8">
        <v>1245484113040.3</v>
      </c>
      <c r="C164" s="8">
        <v>1194016729900.1501</v>
      </c>
      <c r="D164" s="8">
        <f t="shared" si="0"/>
        <v>-4.1323195214843</v>
      </c>
      <c r="E164" s="8"/>
      <c r="F164" s="8"/>
      <c r="G164" s="8"/>
    </row>
    <row r="165" spans="1:7" x14ac:dyDescent="0.25">
      <c r="A165" s="8" t="s">
        <v>2929</v>
      </c>
      <c r="B165" s="8">
        <v>417970182028.2702</v>
      </c>
      <c r="C165" s="8">
        <v>399605770681.08002</v>
      </c>
      <c r="D165" s="8">
        <f t="shared" si="0"/>
        <v>-4.3937132687489351</v>
      </c>
      <c r="E165" s="8"/>
      <c r="F165" s="8"/>
      <c r="G165" s="8"/>
    </row>
    <row r="166" spans="1:7" x14ac:dyDescent="0.25">
      <c r="A166" s="8" t="s">
        <v>4077</v>
      </c>
      <c r="B166" s="8">
        <v>4815722047.5</v>
      </c>
      <c r="C166" s="8">
        <v>4599673796.25</v>
      </c>
      <c r="D166" s="8">
        <f t="shared" si="0"/>
        <v>-4.4863106532935761</v>
      </c>
      <c r="E166" s="8"/>
      <c r="F166" s="8"/>
      <c r="G166" s="8"/>
    </row>
    <row r="167" spans="1:7" x14ac:dyDescent="0.25">
      <c r="A167" s="8" t="s">
        <v>3183</v>
      </c>
      <c r="B167" s="8">
        <v>4177698343212.4502</v>
      </c>
      <c r="C167" s="8">
        <v>3964138811448.9004</v>
      </c>
      <c r="D167" s="8">
        <f t="shared" si="0"/>
        <v>-5.1118944983311732</v>
      </c>
      <c r="E167" s="8"/>
      <c r="F167" s="8"/>
      <c r="G167" s="8"/>
    </row>
    <row r="168" spans="1:7" x14ac:dyDescent="0.25">
      <c r="A168" s="8" t="s">
        <v>3847</v>
      </c>
      <c r="B168" s="8">
        <v>1037205847956.3501</v>
      </c>
      <c r="C168" s="8">
        <v>983350108855.3501</v>
      </c>
      <c r="D168" s="8">
        <f t="shared" si="0"/>
        <v>-5.192386757856621</v>
      </c>
      <c r="E168" s="8"/>
      <c r="F168" s="8"/>
      <c r="G168" s="8"/>
    </row>
    <row r="169" spans="1:7" x14ac:dyDescent="0.25">
      <c r="A169" s="8" t="s">
        <v>110</v>
      </c>
      <c r="B169" s="8">
        <v>455369049693.03003</v>
      </c>
      <c r="C169" s="8">
        <v>430914245577.56</v>
      </c>
      <c r="D169" s="8">
        <f t="shared" si="0"/>
        <v>-5.3703263609934231</v>
      </c>
      <c r="E169" s="8"/>
      <c r="F169" s="8"/>
      <c r="G169" s="8"/>
    </row>
    <row r="170" spans="1:7" x14ac:dyDescent="0.25">
      <c r="A170" s="8" t="s">
        <v>1478</v>
      </c>
      <c r="B170" s="8">
        <v>369038569975.18988</v>
      </c>
      <c r="C170" s="8">
        <v>348134212852.32996</v>
      </c>
      <c r="D170" s="8">
        <f t="shared" si="0"/>
        <v>-5.6645453412268818</v>
      </c>
      <c r="E170" s="8"/>
      <c r="F170" s="8"/>
      <c r="G170" s="8"/>
    </row>
    <row r="171" spans="1:7" x14ac:dyDescent="0.25">
      <c r="A171" s="8" t="s">
        <v>4051</v>
      </c>
      <c r="B171" s="8">
        <v>21879321759</v>
      </c>
      <c r="C171" s="8">
        <v>20563702411.400002</v>
      </c>
      <c r="D171" s="8">
        <f t="shared" si="0"/>
        <v>-6.0130718954248294</v>
      </c>
      <c r="E171" s="8"/>
      <c r="F171" s="8"/>
      <c r="G171" s="8"/>
    </row>
    <row r="172" spans="1:7" x14ac:dyDescent="0.25">
      <c r="A172" s="8" t="s">
        <v>1672</v>
      </c>
      <c r="B172" s="8">
        <v>284454315512.65002</v>
      </c>
      <c r="C172" s="8">
        <v>264468928656.99997</v>
      </c>
      <c r="D172" s="8">
        <f t="shared" si="0"/>
        <v>-7.025868747897861</v>
      </c>
      <c r="E172" s="8"/>
      <c r="F172" s="8"/>
      <c r="G172" s="8"/>
    </row>
    <row r="173" spans="1:7" x14ac:dyDescent="0.25">
      <c r="A173" s="8" t="s">
        <v>959</v>
      </c>
      <c r="B173" s="8">
        <v>216437048574.15002</v>
      </c>
      <c r="C173" s="8">
        <v>199720613932.89999</v>
      </c>
      <c r="D173" s="8">
        <f t="shared" si="0"/>
        <v>-7.7234626656457488</v>
      </c>
      <c r="E173" s="8"/>
      <c r="F173" s="8"/>
      <c r="G173" s="8"/>
    </row>
    <row r="174" spans="1:7" x14ac:dyDescent="0.25">
      <c r="A174" s="8" t="s">
        <v>1563</v>
      </c>
      <c r="B174" s="8">
        <v>43588230391.25</v>
      </c>
      <c r="C174" s="8">
        <v>40007331386.5</v>
      </c>
      <c r="D174" s="8">
        <f t="shared" si="0"/>
        <v>-8.2152887892159931</v>
      </c>
      <c r="E174" s="8"/>
      <c r="F174" s="8"/>
      <c r="G174" s="8"/>
    </row>
    <row r="175" spans="1:7" x14ac:dyDescent="0.25">
      <c r="A175" s="8" t="s">
        <v>3110</v>
      </c>
      <c r="B175" s="8">
        <v>1491453754320.5505</v>
      </c>
      <c r="C175" s="8">
        <v>1368542739396.9202</v>
      </c>
      <c r="D175" s="8">
        <f t="shared" si="0"/>
        <v>-8.2410208541547405</v>
      </c>
      <c r="E175" s="8"/>
      <c r="F175" s="8"/>
      <c r="G175" s="8"/>
    </row>
    <row r="176" spans="1:7" x14ac:dyDescent="0.25">
      <c r="A176" s="8" t="s">
        <v>52</v>
      </c>
      <c r="B176" s="8">
        <v>639721826952.44995</v>
      </c>
      <c r="C176" s="8">
        <v>586595964094.08008</v>
      </c>
      <c r="D176" s="8">
        <f t="shared" si="0"/>
        <v>-8.3045255953598538</v>
      </c>
      <c r="E176" s="8"/>
      <c r="F176" s="8"/>
      <c r="G176" s="8"/>
    </row>
    <row r="177" spans="1:7" x14ac:dyDescent="0.25">
      <c r="A177" s="59" t="s">
        <v>2522</v>
      </c>
      <c r="B177" s="8">
        <v>313364105906.95001</v>
      </c>
      <c r="C177" s="8">
        <v>287248400424.09998</v>
      </c>
      <c r="D177" s="8">
        <f t="shared" si="0"/>
        <v>-8.3339811390538792</v>
      </c>
      <c r="E177" s="8"/>
      <c r="F177" s="8"/>
      <c r="G177" s="8"/>
    </row>
    <row r="178" spans="1:7" x14ac:dyDescent="0.25">
      <c r="A178" s="8" t="s">
        <v>1907</v>
      </c>
      <c r="B178" s="8">
        <v>505495484481.67004</v>
      </c>
      <c r="C178" s="8">
        <v>434286776625.67993</v>
      </c>
      <c r="D178" s="8">
        <f t="shared" si="0"/>
        <v>-14.086912750369432</v>
      </c>
      <c r="E178" s="8"/>
      <c r="F178" s="8"/>
      <c r="G178" s="8"/>
    </row>
    <row r="179" spans="1:7" x14ac:dyDescent="0.25">
      <c r="A179" s="8"/>
      <c r="B179" s="8"/>
      <c r="C179" s="8"/>
      <c r="D179" s="8"/>
      <c r="E179" s="8"/>
      <c r="F179" s="8"/>
      <c r="G179" s="8"/>
    </row>
    <row r="180" spans="1:7" x14ac:dyDescent="0.25">
      <c r="A180" s="8"/>
      <c r="B180" s="8"/>
      <c r="C180" s="8"/>
      <c r="D180" s="8"/>
      <c r="E180" s="8"/>
      <c r="F180" s="8"/>
      <c r="G180" s="8"/>
    </row>
    <row r="181" spans="1:7" x14ac:dyDescent="0.25">
      <c r="A181" s="8"/>
      <c r="B181" s="8"/>
      <c r="C181" s="8"/>
      <c r="D181" s="8"/>
      <c r="E181" s="8"/>
      <c r="F181" s="8"/>
      <c r="G181" s="8"/>
    </row>
    <row r="182" spans="1:7" x14ac:dyDescent="0.25">
      <c r="A182" s="8"/>
      <c r="B182" s="8"/>
      <c r="C182" s="8"/>
      <c r="D182" s="8"/>
      <c r="E182" s="8"/>
      <c r="F182" s="8"/>
      <c r="G182" s="8"/>
    </row>
    <row r="183" spans="1:7" x14ac:dyDescent="0.25">
      <c r="A183" s="8"/>
      <c r="B183" s="8"/>
      <c r="C183" s="8"/>
      <c r="D183" s="8"/>
      <c r="E183" s="8"/>
      <c r="F183" s="8"/>
      <c r="G183" s="8"/>
    </row>
    <row r="184" spans="1:7" x14ac:dyDescent="0.25">
      <c r="A184" s="8"/>
      <c r="B184" s="8"/>
      <c r="C184" s="8"/>
      <c r="D184" s="8"/>
      <c r="E184" s="8"/>
      <c r="F184" s="8"/>
      <c r="G184" s="8"/>
    </row>
    <row r="185" spans="1:7" x14ac:dyDescent="0.25">
      <c r="A185" s="8"/>
      <c r="B185" s="8"/>
      <c r="C185" s="8"/>
      <c r="D185" s="8"/>
      <c r="E185" s="8"/>
      <c r="F185" s="8"/>
      <c r="G185" s="8"/>
    </row>
    <row r="186" spans="1:7" x14ac:dyDescent="0.25">
      <c r="A186" s="8"/>
      <c r="B186" s="8"/>
      <c r="C186" s="8"/>
      <c r="D186" s="8"/>
      <c r="E186" s="8"/>
      <c r="F186" s="8"/>
      <c r="G186" s="8"/>
    </row>
    <row r="187" spans="1:7" x14ac:dyDescent="0.25">
      <c r="A187" s="8"/>
      <c r="B187" s="8"/>
      <c r="C187" s="8"/>
      <c r="D187" s="8"/>
      <c r="E187" s="8"/>
      <c r="F187" s="8"/>
      <c r="G187" s="8"/>
    </row>
    <row r="188" spans="1:7" x14ac:dyDescent="0.25">
      <c r="A188" s="8"/>
      <c r="B188" s="8"/>
      <c r="C188" s="8"/>
      <c r="D188" s="8"/>
      <c r="E188" s="8"/>
      <c r="F188" s="8"/>
      <c r="G188" s="8"/>
    </row>
    <row r="189" spans="1:7" x14ac:dyDescent="0.25">
      <c r="A189" s="8"/>
      <c r="B189" s="8"/>
      <c r="C189" s="8"/>
      <c r="D189" s="8"/>
      <c r="E189" s="8"/>
      <c r="F189" s="8"/>
      <c r="G189" s="8"/>
    </row>
    <row r="190" spans="1:7" x14ac:dyDescent="0.25">
      <c r="A190" s="8"/>
      <c r="B190" s="8"/>
      <c r="C190" s="8"/>
      <c r="D190" s="8"/>
      <c r="E190" s="8"/>
      <c r="F190" s="8"/>
      <c r="G190" s="8"/>
    </row>
    <row r="191" spans="1:7" x14ac:dyDescent="0.25">
      <c r="A191" s="8"/>
      <c r="B191" s="8"/>
      <c r="C191" s="8"/>
      <c r="D191" s="8"/>
      <c r="E191" s="8"/>
      <c r="F191" s="8"/>
      <c r="G191" s="8"/>
    </row>
    <row r="192" spans="1:7" x14ac:dyDescent="0.25">
      <c r="A192" s="8"/>
      <c r="B192" s="8"/>
      <c r="C192" s="8"/>
      <c r="D192" s="8"/>
      <c r="E192" s="8"/>
      <c r="F192" s="8"/>
      <c r="G192" s="8"/>
    </row>
    <row r="193" spans="1:7" x14ac:dyDescent="0.25">
      <c r="A193" s="8"/>
      <c r="B193" s="8"/>
      <c r="C193" s="8"/>
      <c r="D193" s="8"/>
      <c r="E193" s="8"/>
      <c r="F193" s="8"/>
      <c r="G193" s="8"/>
    </row>
    <row r="194" spans="1:7" x14ac:dyDescent="0.25">
      <c r="A194" s="8"/>
      <c r="B194" s="8"/>
      <c r="C194" s="8"/>
      <c r="D194" s="8"/>
      <c r="E194" s="8"/>
      <c r="F194" s="8"/>
      <c r="G194" s="8"/>
    </row>
    <row r="195" spans="1:7" x14ac:dyDescent="0.25">
      <c r="A195" s="8"/>
      <c r="B195" s="8"/>
      <c r="C195" s="8"/>
      <c r="D195" s="8"/>
      <c r="E195" s="8"/>
      <c r="F195" s="8"/>
      <c r="G195" s="8"/>
    </row>
    <row r="196" spans="1:7" x14ac:dyDescent="0.25">
      <c r="A196" s="8"/>
      <c r="B196" s="8"/>
      <c r="C196" s="8"/>
      <c r="D196" s="8"/>
      <c r="E196" s="8"/>
      <c r="F196" s="8"/>
      <c r="G196" s="8"/>
    </row>
    <row r="197" spans="1:7" x14ac:dyDescent="0.25">
      <c r="A197" s="8"/>
      <c r="B197" s="8"/>
      <c r="C197" s="8"/>
      <c r="D197" s="8"/>
      <c r="E197" s="8"/>
      <c r="F197" s="8"/>
      <c r="G197" s="8"/>
    </row>
    <row r="198" spans="1:7" x14ac:dyDescent="0.25">
      <c r="A198" s="8"/>
      <c r="B198" s="8"/>
      <c r="C198" s="8"/>
      <c r="D198" s="8"/>
      <c r="E198" s="8"/>
      <c r="F198" s="8"/>
      <c r="G198" s="8"/>
    </row>
    <row r="199" spans="1:7" x14ac:dyDescent="0.25">
      <c r="A199" s="8"/>
      <c r="B199" s="8"/>
      <c r="C199" s="8"/>
      <c r="D199" s="8"/>
      <c r="E199" s="8"/>
      <c r="F199" s="8"/>
      <c r="G199" s="8"/>
    </row>
    <row r="200" spans="1:7" x14ac:dyDescent="0.25">
      <c r="A200" s="8"/>
      <c r="B200" s="8"/>
      <c r="C200" s="8"/>
      <c r="D200" s="8"/>
      <c r="E200" s="8"/>
      <c r="F200" s="8"/>
      <c r="G200" s="8"/>
    </row>
    <row r="201" spans="1:7" x14ac:dyDescent="0.25">
      <c r="A201" s="8"/>
      <c r="B201" s="8"/>
      <c r="C201" s="8"/>
      <c r="D201" s="8"/>
      <c r="E201" s="8"/>
      <c r="F201" s="8"/>
      <c r="G201" s="8"/>
    </row>
    <row r="202" spans="1:7" x14ac:dyDescent="0.25">
      <c r="A202" s="8"/>
      <c r="B202" s="8"/>
      <c r="C202" s="8"/>
      <c r="D202" s="8"/>
      <c r="E202" s="8"/>
      <c r="F202" s="8"/>
      <c r="G202" s="8"/>
    </row>
    <row r="203" spans="1:7" x14ac:dyDescent="0.25">
      <c r="A203" s="8"/>
      <c r="B203" s="8"/>
      <c r="C203" s="8"/>
      <c r="D203" s="8"/>
      <c r="E203" s="8"/>
      <c r="F203" s="8"/>
      <c r="G203" s="8"/>
    </row>
    <row r="204" spans="1:7" x14ac:dyDescent="0.25">
      <c r="A204" s="8"/>
      <c r="B204" s="8"/>
      <c r="C204" s="8"/>
      <c r="D204" s="8"/>
      <c r="E204" s="8"/>
      <c r="F204" s="8"/>
      <c r="G204" s="8"/>
    </row>
    <row r="205" spans="1:7" x14ac:dyDescent="0.25">
      <c r="A205" s="8"/>
      <c r="B205" s="8"/>
      <c r="C205" s="8"/>
      <c r="D205" s="8"/>
      <c r="E205" s="8"/>
      <c r="F205" s="8"/>
      <c r="G205" s="8"/>
    </row>
    <row r="206" spans="1:7" x14ac:dyDescent="0.25">
      <c r="A206" s="8"/>
      <c r="B206" s="8"/>
      <c r="C206" s="8"/>
      <c r="D206" s="8"/>
      <c r="E206" s="8"/>
      <c r="F206" s="8"/>
      <c r="G206" s="8"/>
    </row>
    <row r="207" spans="1:7" x14ac:dyDescent="0.25">
      <c r="A207" s="8"/>
      <c r="B207" s="8"/>
      <c r="C207" s="8"/>
      <c r="D207" s="8"/>
      <c r="E207" s="8"/>
      <c r="F207" s="8"/>
      <c r="G207" s="8"/>
    </row>
    <row r="208" spans="1:7" x14ac:dyDescent="0.25">
      <c r="A208" s="8"/>
      <c r="B208" s="8"/>
      <c r="C208" s="8"/>
      <c r="D208" s="8"/>
      <c r="E208" s="8"/>
      <c r="F208" s="8"/>
      <c r="G208" s="8"/>
    </row>
    <row r="209" spans="1:7" x14ac:dyDescent="0.25">
      <c r="A209" s="8"/>
      <c r="B209" s="8"/>
      <c r="C209" s="8"/>
      <c r="D209" s="8"/>
      <c r="E209" s="8"/>
      <c r="F209" s="8"/>
      <c r="G209" s="8"/>
    </row>
    <row r="210" spans="1:7" x14ac:dyDescent="0.25">
      <c r="A210" s="8"/>
      <c r="B210" s="8"/>
      <c r="C210" s="8"/>
      <c r="D210" s="8"/>
      <c r="E210" s="8"/>
      <c r="F210" s="8"/>
      <c r="G210" s="8"/>
    </row>
    <row r="211" spans="1:7" x14ac:dyDescent="0.25">
      <c r="A211" s="8"/>
      <c r="B211" s="8"/>
      <c r="C211" s="8"/>
      <c r="D211" s="8"/>
      <c r="E211" s="8"/>
      <c r="F211" s="8"/>
      <c r="G211" s="8"/>
    </row>
    <row r="212" spans="1:7" x14ac:dyDescent="0.25">
      <c r="A212" s="8"/>
      <c r="B212" s="8"/>
      <c r="C212" s="8"/>
      <c r="D212" s="8"/>
      <c r="E212" s="8"/>
      <c r="F212" s="8"/>
      <c r="G212" s="8"/>
    </row>
    <row r="213" spans="1:7" x14ac:dyDescent="0.25">
      <c r="A213" s="8"/>
      <c r="B213" s="8"/>
      <c r="C213" s="8"/>
      <c r="D213" s="8"/>
      <c r="E213" s="8"/>
      <c r="F213" s="8"/>
      <c r="G213" s="8"/>
    </row>
    <row r="214" spans="1:7" x14ac:dyDescent="0.25">
      <c r="A214" s="8"/>
      <c r="B214" s="8"/>
      <c r="C214" s="8"/>
      <c r="D214" s="8"/>
      <c r="E214" s="8"/>
      <c r="F214" s="8"/>
      <c r="G214" s="8"/>
    </row>
    <row r="215" spans="1:7" x14ac:dyDescent="0.25">
      <c r="A215" s="8"/>
      <c r="B215" s="8"/>
      <c r="C215" s="8"/>
      <c r="D215" s="8"/>
      <c r="E215" s="8"/>
      <c r="F215" s="8"/>
      <c r="G215" s="8"/>
    </row>
    <row r="216" spans="1:7" x14ac:dyDescent="0.25">
      <c r="A216" s="8"/>
      <c r="B216" s="8"/>
      <c r="C216" s="8"/>
      <c r="D216" s="8"/>
      <c r="E216" s="8"/>
      <c r="F216" s="8"/>
      <c r="G216" s="8"/>
    </row>
    <row r="217" spans="1:7" x14ac:dyDescent="0.25">
      <c r="A217" s="8"/>
      <c r="B217" s="8"/>
      <c r="C217" s="8"/>
      <c r="D217" s="8"/>
      <c r="E217" s="8"/>
      <c r="F217" s="8"/>
      <c r="G217" s="8"/>
    </row>
    <row r="218" spans="1:7" x14ac:dyDescent="0.25">
      <c r="A218" s="8"/>
      <c r="B218" s="8"/>
      <c r="C218" s="8"/>
      <c r="D218" s="8"/>
      <c r="E218" s="8"/>
      <c r="F218" s="8"/>
      <c r="G218" s="8"/>
    </row>
    <row r="219" spans="1:7" x14ac:dyDescent="0.25">
      <c r="A219" s="8"/>
      <c r="B219" s="8"/>
      <c r="C219" s="8"/>
      <c r="D219" s="8"/>
      <c r="E219" s="8"/>
      <c r="F219" s="8"/>
      <c r="G219" s="8"/>
    </row>
    <row r="220" spans="1:7" x14ac:dyDescent="0.25">
      <c r="A220" s="8"/>
      <c r="B220" s="8"/>
      <c r="C220" s="8"/>
      <c r="D220" s="8"/>
      <c r="E220" s="8"/>
      <c r="F220" s="8"/>
      <c r="G220" s="8"/>
    </row>
    <row r="221" spans="1:7" x14ac:dyDescent="0.25">
      <c r="A221" s="8"/>
      <c r="B221" s="8"/>
      <c r="C221" s="8"/>
      <c r="D221" s="8"/>
      <c r="E221" s="8"/>
      <c r="F221" s="8"/>
      <c r="G221" s="8"/>
    </row>
    <row r="222" spans="1:7" x14ac:dyDescent="0.25">
      <c r="A222" s="8"/>
      <c r="B222" s="8"/>
      <c r="C222" s="8"/>
      <c r="D222" s="8"/>
      <c r="E222" s="8"/>
      <c r="F222" s="8"/>
      <c r="G222" s="8"/>
    </row>
    <row r="223" spans="1:7" x14ac:dyDescent="0.25">
      <c r="A223" s="8"/>
      <c r="B223" s="8"/>
      <c r="C223" s="8"/>
      <c r="D223" s="8"/>
      <c r="E223" s="8"/>
      <c r="F223" s="8"/>
      <c r="G223" s="8"/>
    </row>
    <row r="224" spans="1:7" x14ac:dyDescent="0.25">
      <c r="A224" s="8"/>
      <c r="B224" s="8"/>
      <c r="C224" s="8"/>
      <c r="D224" s="8"/>
      <c r="E224" s="8"/>
      <c r="F224" s="8"/>
      <c r="G224" s="8"/>
    </row>
    <row r="225" spans="1:7" x14ac:dyDescent="0.25">
      <c r="A225" s="8"/>
      <c r="B225" s="8"/>
      <c r="C225" s="8"/>
      <c r="D225" s="8"/>
      <c r="E225" s="8"/>
      <c r="F225" s="8"/>
      <c r="G225" s="8"/>
    </row>
    <row r="226" spans="1:7" x14ac:dyDescent="0.25">
      <c r="A226" s="8"/>
      <c r="B226" s="8"/>
      <c r="C226" s="8"/>
      <c r="D226" s="8"/>
      <c r="E226" s="8"/>
      <c r="F226" s="8"/>
      <c r="G226" s="8"/>
    </row>
    <row r="227" spans="1:7" x14ac:dyDescent="0.25">
      <c r="A227" s="8"/>
      <c r="B227" s="8"/>
      <c r="C227" s="8"/>
      <c r="D227" s="8"/>
      <c r="E227" s="8"/>
      <c r="F227" s="8"/>
      <c r="G227" s="8"/>
    </row>
    <row r="228" spans="1:7" x14ac:dyDescent="0.25">
      <c r="A228" s="8"/>
      <c r="B228" s="8"/>
      <c r="C228" s="8"/>
      <c r="D228" s="8"/>
      <c r="E228" s="8"/>
      <c r="F228" s="8"/>
      <c r="G228" s="8"/>
    </row>
    <row r="229" spans="1:7" x14ac:dyDescent="0.25">
      <c r="A229" s="8"/>
      <c r="B229" s="8"/>
      <c r="C229" s="8"/>
      <c r="D229" s="8"/>
      <c r="E229" s="8"/>
      <c r="F229" s="8"/>
      <c r="G229" s="8"/>
    </row>
    <row r="230" spans="1:7" x14ac:dyDescent="0.25">
      <c r="A230" s="8"/>
      <c r="B230" s="8"/>
      <c r="C230" s="8"/>
      <c r="D230" s="8"/>
      <c r="E230" s="8"/>
      <c r="F230" s="8"/>
      <c r="G230" s="8"/>
    </row>
    <row r="231" spans="1:7" x14ac:dyDescent="0.25">
      <c r="A231" s="8"/>
      <c r="B231" s="8"/>
      <c r="C231" s="8"/>
      <c r="D231" s="8"/>
      <c r="E231" s="8"/>
      <c r="F231" s="8"/>
      <c r="G231" s="8"/>
    </row>
    <row r="232" spans="1:7" x14ac:dyDescent="0.25">
      <c r="A232" s="8"/>
      <c r="B232" s="8"/>
      <c r="C232" s="8"/>
      <c r="D232" s="8"/>
      <c r="E232" s="8"/>
      <c r="F232" s="8"/>
      <c r="G232" s="8"/>
    </row>
    <row r="233" spans="1:7" x14ac:dyDescent="0.25">
      <c r="A233" s="8"/>
      <c r="B233" s="8"/>
      <c r="C233" s="8"/>
      <c r="D233" s="8"/>
      <c r="E233" s="8"/>
      <c r="F233" s="8"/>
      <c r="G233" s="8"/>
    </row>
    <row r="234" spans="1:7" x14ac:dyDescent="0.25">
      <c r="A234" s="8"/>
      <c r="B234" s="8"/>
      <c r="C234" s="8"/>
      <c r="D234" s="8"/>
      <c r="E234" s="8"/>
      <c r="F234" s="8"/>
      <c r="G234" s="8"/>
    </row>
    <row r="235" spans="1:7" x14ac:dyDescent="0.25">
      <c r="A235" s="8"/>
      <c r="B235" s="8"/>
      <c r="C235" s="8"/>
      <c r="D235" s="8"/>
      <c r="E235" s="8"/>
      <c r="F235" s="8"/>
      <c r="G235" s="8"/>
    </row>
    <row r="236" spans="1:7" x14ac:dyDescent="0.25">
      <c r="A236" s="8"/>
      <c r="B236" s="8"/>
      <c r="C236" s="8"/>
      <c r="D236" s="8"/>
      <c r="E236" s="8"/>
      <c r="F236" s="8"/>
      <c r="G236" s="8"/>
    </row>
    <row r="237" spans="1:7" x14ac:dyDescent="0.25">
      <c r="A237" s="8"/>
      <c r="B237" s="8"/>
      <c r="C237" s="8"/>
      <c r="D237" s="8"/>
      <c r="E237" s="8"/>
      <c r="F237" s="8"/>
      <c r="G237" s="8"/>
    </row>
    <row r="238" spans="1:7" x14ac:dyDescent="0.25">
      <c r="A238" s="8"/>
      <c r="B238" s="8"/>
      <c r="C238" s="8"/>
      <c r="D238" s="8"/>
      <c r="E238" s="8"/>
      <c r="F238" s="8"/>
      <c r="G238" s="8"/>
    </row>
    <row r="239" spans="1:7" x14ac:dyDescent="0.25">
      <c r="A239" s="8"/>
      <c r="B239" s="8"/>
      <c r="C239" s="8"/>
      <c r="D239" s="8"/>
      <c r="E239" s="8"/>
      <c r="F239" s="8"/>
      <c r="G239" s="8"/>
    </row>
    <row r="240" spans="1:7" x14ac:dyDescent="0.25">
      <c r="A240" s="8"/>
      <c r="B240" s="8"/>
      <c r="C240" s="8"/>
      <c r="D240" s="8"/>
      <c r="E240" s="8"/>
      <c r="F240" s="8"/>
      <c r="G240" s="8"/>
    </row>
    <row r="241" spans="1:7" x14ac:dyDescent="0.25">
      <c r="A241" s="8"/>
      <c r="B241" s="8"/>
      <c r="C241" s="8"/>
      <c r="D241" s="8"/>
      <c r="E241" s="8"/>
      <c r="F241" s="8"/>
      <c r="G241" s="8"/>
    </row>
    <row r="242" spans="1:7" x14ac:dyDescent="0.25">
      <c r="A242" s="8"/>
      <c r="B242" s="8"/>
      <c r="C242" s="8"/>
      <c r="D242" s="8"/>
      <c r="E242" s="8"/>
      <c r="F242" s="8"/>
      <c r="G242" s="8"/>
    </row>
    <row r="243" spans="1:7" x14ac:dyDescent="0.25">
      <c r="A243" s="8"/>
      <c r="B243" s="8"/>
      <c r="C243" s="8"/>
      <c r="D243" s="8"/>
      <c r="E243" s="8"/>
      <c r="F243" s="8"/>
      <c r="G243" s="8"/>
    </row>
    <row r="244" spans="1:7" x14ac:dyDescent="0.25">
      <c r="A244" s="8"/>
      <c r="B244" s="8"/>
      <c r="C244" s="8"/>
      <c r="D244" s="8"/>
      <c r="E244" s="8"/>
      <c r="F244" s="8"/>
      <c r="G244" s="8"/>
    </row>
    <row r="245" spans="1:7" x14ac:dyDescent="0.25">
      <c r="A245" s="8"/>
      <c r="B245" s="8"/>
      <c r="C245" s="8"/>
      <c r="D245" s="8"/>
      <c r="E245" s="8"/>
      <c r="F245" s="8"/>
      <c r="G245" s="8"/>
    </row>
    <row r="246" spans="1:7" x14ac:dyDescent="0.25">
      <c r="A246" s="8"/>
      <c r="B246" s="8"/>
      <c r="C246" s="8"/>
      <c r="D246" s="8"/>
      <c r="E246" s="8"/>
      <c r="F246" s="8"/>
      <c r="G246" s="8"/>
    </row>
    <row r="247" spans="1:7" x14ac:dyDescent="0.25">
      <c r="A247" s="8"/>
      <c r="B247" s="8"/>
      <c r="C247" s="8"/>
      <c r="D247" s="8"/>
      <c r="E247" s="8"/>
      <c r="F247" s="8"/>
      <c r="G247" s="8"/>
    </row>
    <row r="248" spans="1:7" x14ac:dyDescent="0.25">
      <c r="A248" s="8"/>
      <c r="B248" s="8"/>
      <c r="C248" s="8"/>
      <c r="D248" s="8"/>
      <c r="E248" s="8"/>
      <c r="F248" s="8"/>
      <c r="G248" s="8"/>
    </row>
    <row r="249" spans="1:7" x14ac:dyDescent="0.25">
      <c r="A249" s="8"/>
      <c r="B249" s="8"/>
      <c r="C249" s="8"/>
      <c r="D249" s="8"/>
      <c r="E249" s="8"/>
      <c r="F249" s="8"/>
      <c r="G249" s="8"/>
    </row>
    <row r="250" spans="1:7" x14ac:dyDescent="0.25">
      <c r="A250" s="8"/>
      <c r="B250" s="8"/>
      <c r="C250" s="8"/>
      <c r="D250" s="8"/>
      <c r="E250" s="8"/>
      <c r="F250" s="8"/>
      <c r="G250" s="8"/>
    </row>
    <row r="251" spans="1:7" x14ac:dyDescent="0.25">
      <c r="A251" s="8"/>
      <c r="B251" s="8"/>
      <c r="C251" s="8"/>
      <c r="D251" s="8"/>
      <c r="E251" s="8"/>
      <c r="F251" s="8"/>
      <c r="G251" s="8"/>
    </row>
    <row r="252" spans="1:7" x14ac:dyDescent="0.25">
      <c r="A252" s="8"/>
      <c r="B252" s="8"/>
      <c r="C252" s="8"/>
      <c r="D252" s="8"/>
      <c r="E252" s="8"/>
      <c r="F252" s="8"/>
      <c r="G252" s="8"/>
    </row>
    <row r="253" spans="1:7" x14ac:dyDescent="0.25">
      <c r="A253" s="8"/>
      <c r="B253" s="8"/>
      <c r="C253" s="8"/>
      <c r="D253" s="8"/>
      <c r="E253" s="8"/>
      <c r="F253" s="8"/>
      <c r="G253" s="8"/>
    </row>
    <row r="254" spans="1:7" x14ac:dyDescent="0.25">
      <c r="A254" s="8"/>
      <c r="B254" s="8"/>
      <c r="C254" s="8"/>
      <c r="D254" s="8"/>
      <c r="E254" s="8"/>
      <c r="F254" s="8"/>
      <c r="G254" s="8"/>
    </row>
    <row r="255" spans="1:7" x14ac:dyDescent="0.25">
      <c r="A255" s="8"/>
      <c r="B255" s="8"/>
      <c r="C255" s="8"/>
      <c r="D255" s="8"/>
      <c r="E255" s="8"/>
      <c r="F255" s="8"/>
      <c r="G255" s="8"/>
    </row>
    <row r="256" spans="1:7" x14ac:dyDescent="0.25">
      <c r="A256" s="8"/>
      <c r="B256" s="8"/>
      <c r="C256" s="8"/>
      <c r="D256" s="8"/>
      <c r="E256" s="8"/>
      <c r="F256" s="8"/>
      <c r="G256" s="8"/>
    </row>
    <row r="257" spans="1:7" x14ac:dyDescent="0.25">
      <c r="A257" s="8"/>
      <c r="B257" s="8"/>
      <c r="C257" s="8"/>
      <c r="D257" s="8"/>
      <c r="E257" s="8"/>
      <c r="F257" s="8"/>
      <c r="G257" s="8"/>
    </row>
    <row r="258" spans="1:7" x14ac:dyDescent="0.25">
      <c r="A258" s="8"/>
      <c r="B258" s="8"/>
      <c r="C258" s="8"/>
      <c r="D258" s="8"/>
      <c r="E258" s="8"/>
      <c r="F258" s="8"/>
      <c r="G258" s="8"/>
    </row>
    <row r="259" spans="1:7" x14ac:dyDescent="0.25">
      <c r="A259" s="8"/>
      <c r="B259" s="8"/>
      <c r="C259" s="8"/>
      <c r="D259" s="8"/>
      <c r="E259" s="8"/>
      <c r="F259" s="8"/>
      <c r="G259" s="8"/>
    </row>
    <row r="260" spans="1:7" x14ac:dyDescent="0.25">
      <c r="A260" s="8"/>
      <c r="B260" s="8"/>
      <c r="C260" s="8"/>
      <c r="D260" s="8"/>
      <c r="E260" s="8"/>
      <c r="F260" s="8"/>
      <c r="G260" s="8"/>
    </row>
    <row r="261" spans="1:7" x14ac:dyDescent="0.25">
      <c r="A261" s="8"/>
      <c r="B261" s="8"/>
      <c r="C261" s="8"/>
      <c r="D261" s="8"/>
      <c r="E261" s="8"/>
      <c r="F261" s="8"/>
      <c r="G261" s="8"/>
    </row>
    <row r="262" spans="1:7" x14ac:dyDescent="0.25">
      <c r="A262" s="8"/>
      <c r="B262" s="8"/>
      <c r="C262" s="8"/>
      <c r="D262" s="8"/>
      <c r="E262" s="8"/>
      <c r="F262" s="8"/>
      <c r="G262" s="8"/>
    </row>
    <row r="263" spans="1:7" x14ac:dyDescent="0.25">
      <c r="A263" s="8"/>
      <c r="B263" s="8"/>
      <c r="C263" s="8"/>
      <c r="D263" s="8"/>
      <c r="E263" s="8"/>
      <c r="F263" s="8"/>
      <c r="G263" s="8"/>
    </row>
    <row r="264" spans="1:7" x14ac:dyDescent="0.25">
      <c r="A264" s="8"/>
      <c r="B264" s="8"/>
      <c r="C264" s="8"/>
      <c r="D264" s="8"/>
      <c r="E264" s="8"/>
      <c r="F264" s="8"/>
      <c r="G264" s="8"/>
    </row>
    <row r="265" spans="1:7" x14ac:dyDescent="0.25">
      <c r="A265" s="8"/>
      <c r="B265" s="8"/>
      <c r="C265" s="8"/>
      <c r="D265" s="8"/>
      <c r="E265" s="8"/>
      <c r="F265" s="8"/>
      <c r="G265" s="8"/>
    </row>
    <row r="266" spans="1:7" x14ac:dyDescent="0.25">
      <c r="A266" s="8"/>
      <c r="B266" s="8"/>
      <c r="C266" s="8"/>
      <c r="D266" s="8"/>
      <c r="E266" s="8"/>
      <c r="F266" s="8"/>
      <c r="G266" s="8"/>
    </row>
    <row r="267" spans="1:7" x14ac:dyDescent="0.25">
      <c r="A267" s="8"/>
      <c r="B267" s="8"/>
      <c r="C267" s="8"/>
      <c r="D267" s="8"/>
      <c r="E267" s="8"/>
      <c r="F267" s="8"/>
      <c r="G267" s="8"/>
    </row>
    <row r="268" spans="1:7" x14ac:dyDescent="0.25">
      <c r="A268" s="8"/>
      <c r="B268" s="8"/>
      <c r="C268" s="8"/>
      <c r="D268" s="8"/>
      <c r="E268" s="8"/>
      <c r="F268" s="8"/>
      <c r="G268" s="8"/>
    </row>
    <row r="269" spans="1:7" x14ac:dyDescent="0.25">
      <c r="A269" s="8"/>
      <c r="B269" s="8"/>
      <c r="C269" s="8"/>
      <c r="D269" s="8"/>
      <c r="E269" s="8"/>
      <c r="F269" s="8"/>
      <c r="G269" s="8"/>
    </row>
    <row r="270" spans="1:7" x14ac:dyDescent="0.25">
      <c r="A270" s="8"/>
      <c r="B270" s="8"/>
      <c r="C270" s="8"/>
      <c r="D270" s="8"/>
      <c r="E270" s="8"/>
      <c r="F270" s="8"/>
      <c r="G270" s="8"/>
    </row>
    <row r="271" spans="1:7" x14ac:dyDescent="0.25">
      <c r="A271" s="8"/>
      <c r="B271" s="8"/>
      <c r="C271" s="8"/>
      <c r="D271" s="8"/>
      <c r="E271" s="8"/>
      <c r="F271" s="8"/>
      <c r="G271" s="8"/>
    </row>
    <row r="272" spans="1:7" x14ac:dyDescent="0.25">
      <c r="A272" s="8"/>
      <c r="B272" s="8"/>
      <c r="C272" s="8"/>
      <c r="D272" s="8"/>
      <c r="E272" s="8"/>
      <c r="F272" s="8"/>
      <c r="G272" s="8"/>
    </row>
    <row r="273" spans="1:7" x14ac:dyDescent="0.25">
      <c r="A273" s="8"/>
      <c r="B273" s="8"/>
      <c r="C273" s="8"/>
      <c r="D273" s="8"/>
      <c r="E273" s="8"/>
      <c r="F273" s="8"/>
      <c r="G273" s="8"/>
    </row>
    <row r="274" spans="1:7" x14ac:dyDescent="0.25">
      <c r="A274" s="8"/>
      <c r="B274" s="8"/>
      <c r="C274" s="8"/>
      <c r="D274" s="8"/>
      <c r="E274" s="8"/>
      <c r="F274" s="8"/>
      <c r="G274" s="8"/>
    </row>
    <row r="275" spans="1:7" x14ac:dyDescent="0.25">
      <c r="A275" s="8"/>
      <c r="B275" s="8"/>
      <c r="C275" s="8"/>
      <c r="D275" s="8"/>
      <c r="E275" s="8"/>
      <c r="F275" s="8"/>
      <c r="G275" s="8"/>
    </row>
    <row r="276" spans="1:7" x14ac:dyDescent="0.25">
      <c r="A276" s="8"/>
      <c r="B276" s="8"/>
      <c r="C276" s="8"/>
      <c r="D276" s="8"/>
      <c r="E276" s="8"/>
      <c r="F276" s="8"/>
      <c r="G276" s="8"/>
    </row>
    <row r="277" spans="1:7" x14ac:dyDescent="0.25">
      <c r="A277" s="8"/>
      <c r="B277" s="8"/>
      <c r="C277" s="8"/>
      <c r="D277" s="8"/>
      <c r="E277" s="8"/>
      <c r="F277" s="8"/>
      <c r="G277" s="8"/>
    </row>
    <row r="278" spans="1:7" x14ac:dyDescent="0.25">
      <c r="A278" s="8"/>
      <c r="B278" s="8"/>
      <c r="C278" s="8"/>
      <c r="D278" s="8"/>
      <c r="E278" s="8"/>
      <c r="F278" s="8"/>
      <c r="G278" s="8"/>
    </row>
    <row r="279" spans="1:7" x14ac:dyDescent="0.25">
      <c r="A279" s="8"/>
      <c r="B279" s="8"/>
      <c r="C279" s="8"/>
      <c r="D279" s="8"/>
      <c r="E279" s="8"/>
      <c r="F279" s="8"/>
      <c r="G279" s="8"/>
    </row>
    <row r="280" spans="1:7" x14ac:dyDescent="0.25">
      <c r="A280" s="8"/>
      <c r="B280" s="8"/>
      <c r="C280" s="8"/>
      <c r="D280" s="8"/>
      <c r="E280" s="8"/>
      <c r="F280" s="8"/>
      <c r="G280" s="8"/>
    </row>
    <row r="281" spans="1:7" x14ac:dyDescent="0.25">
      <c r="A281" s="8"/>
      <c r="B281" s="8"/>
      <c r="C281" s="8"/>
      <c r="D281" s="8"/>
      <c r="E281" s="8"/>
      <c r="F281" s="8"/>
      <c r="G281" s="8"/>
    </row>
    <row r="282" spans="1:7" x14ac:dyDescent="0.25">
      <c r="A282" s="8"/>
      <c r="B282" s="8"/>
      <c r="C282" s="8"/>
      <c r="D282" s="8"/>
      <c r="E282" s="8"/>
      <c r="F282" s="8"/>
      <c r="G282" s="8"/>
    </row>
    <row r="283" spans="1:7" x14ac:dyDescent="0.25">
      <c r="A283" s="8"/>
      <c r="B283" s="8"/>
      <c r="C283" s="8"/>
      <c r="D283" s="8"/>
      <c r="E283" s="8"/>
      <c r="F283" s="8"/>
      <c r="G283" s="8"/>
    </row>
    <row r="284" spans="1:7" x14ac:dyDescent="0.25">
      <c r="A284" s="8"/>
      <c r="B284" s="8"/>
      <c r="C284" s="8"/>
      <c r="D284" s="8"/>
      <c r="E284" s="8"/>
      <c r="F284" s="8"/>
      <c r="G284" s="8"/>
    </row>
    <row r="285" spans="1:7" x14ac:dyDescent="0.25">
      <c r="A285" s="8"/>
      <c r="B285" s="8"/>
      <c r="C285" s="8"/>
      <c r="D285" s="8"/>
      <c r="E285" s="8"/>
      <c r="F285" s="8"/>
      <c r="G285" s="8"/>
    </row>
    <row r="286" spans="1:7" x14ac:dyDescent="0.25">
      <c r="A286" s="8"/>
      <c r="B286" s="8"/>
      <c r="C286" s="8"/>
      <c r="D286" s="8"/>
      <c r="E286" s="8"/>
      <c r="F286" s="8"/>
      <c r="G286" s="8"/>
    </row>
    <row r="287" spans="1:7" x14ac:dyDescent="0.25">
      <c r="A287" s="8"/>
      <c r="B287" s="8"/>
      <c r="C287" s="8"/>
      <c r="D287" s="8"/>
      <c r="E287" s="8"/>
      <c r="F287" s="8"/>
      <c r="G287" s="8"/>
    </row>
    <row r="288" spans="1:7" x14ac:dyDescent="0.25">
      <c r="A288" s="8"/>
      <c r="B288" s="8"/>
      <c r="C288" s="8"/>
      <c r="D288" s="8"/>
      <c r="E288" s="8"/>
      <c r="F288" s="8"/>
      <c r="G288" s="8"/>
    </row>
    <row r="289" spans="1:7" x14ac:dyDescent="0.25">
      <c r="A289" s="8"/>
      <c r="B289" s="8"/>
      <c r="C289" s="8"/>
      <c r="D289" s="8"/>
      <c r="E289" s="8"/>
      <c r="F289" s="8"/>
      <c r="G289" s="8"/>
    </row>
    <row r="290" spans="1:7" x14ac:dyDescent="0.25">
      <c r="A290" s="8"/>
      <c r="B290" s="8"/>
      <c r="C290" s="8"/>
      <c r="D290" s="8"/>
      <c r="E290" s="8"/>
      <c r="F290" s="8"/>
      <c r="G290" s="8"/>
    </row>
    <row r="291" spans="1:7" x14ac:dyDescent="0.25">
      <c r="A291" s="8"/>
      <c r="B291" s="8"/>
      <c r="C291" s="8"/>
      <c r="D291" s="8"/>
      <c r="E291" s="8"/>
      <c r="F291" s="8"/>
      <c r="G291" s="8"/>
    </row>
    <row r="292" spans="1:7" x14ac:dyDescent="0.25">
      <c r="A292" s="8"/>
      <c r="B292" s="8"/>
      <c r="C292" s="8"/>
      <c r="D292" s="8"/>
      <c r="E292" s="8"/>
      <c r="F292" s="8"/>
      <c r="G292" s="8"/>
    </row>
    <row r="293" spans="1:7" x14ac:dyDescent="0.25">
      <c r="A293" s="8"/>
      <c r="B293" s="8"/>
      <c r="C293" s="8"/>
      <c r="D293" s="8"/>
      <c r="E293" s="8"/>
      <c r="F293" s="8"/>
      <c r="G293" s="8"/>
    </row>
    <row r="294" spans="1:7" x14ac:dyDescent="0.25">
      <c r="A294" s="8"/>
      <c r="B294" s="8"/>
      <c r="C294" s="8"/>
      <c r="D294" s="8"/>
      <c r="E294" s="8"/>
      <c r="F294" s="8"/>
      <c r="G294" s="8"/>
    </row>
    <row r="295" spans="1:7" x14ac:dyDescent="0.25">
      <c r="A295" s="8"/>
      <c r="B295" s="8"/>
      <c r="C295" s="8"/>
      <c r="D295" s="8"/>
      <c r="E295" s="8"/>
      <c r="F295" s="8"/>
      <c r="G295" s="8"/>
    </row>
    <row r="296" spans="1:7" x14ac:dyDescent="0.25">
      <c r="A296" s="8"/>
      <c r="B296" s="8"/>
      <c r="C296" s="8"/>
      <c r="D296" s="8"/>
      <c r="E296" s="8"/>
      <c r="F296" s="8"/>
      <c r="G296" s="8"/>
    </row>
    <row r="297" spans="1:7" x14ac:dyDescent="0.25">
      <c r="A297" s="8"/>
      <c r="B297" s="8"/>
      <c r="C297" s="8"/>
      <c r="D297" s="8"/>
      <c r="E297" s="8"/>
      <c r="F297" s="8"/>
      <c r="G297" s="8"/>
    </row>
    <row r="298" spans="1:7" x14ac:dyDescent="0.25">
      <c r="A298" s="8"/>
      <c r="B298" s="8"/>
      <c r="C298" s="8"/>
      <c r="D298" s="8"/>
      <c r="E298" s="8"/>
      <c r="F298" s="8"/>
      <c r="G298" s="8"/>
    </row>
    <row r="299" spans="1:7" x14ac:dyDescent="0.25">
      <c r="A299" s="8"/>
      <c r="B299" s="8"/>
      <c r="C299" s="8"/>
      <c r="D299" s="8"/>
      <c r="E299" s="8"/>
      <c r="F299" s="8"/>
      <c r="G299" s="8"/>
    </row>
    <row r="300" spans="1:7" x14ac:dyDescent="0.25">
      <c r="A300" s="8"/>
      <c r="B300" s="8"/>
      <c r="C300" s="8"/>
      <c r="D300" s="8"/>
      <c r="E300" s="8"/>
      <c r="F300" s="8"/>
      <c r="G300" s="8"/>
    </row>
    <row r="301" spans="1:7" x14ac:dyDescent="0.25">
      <c r="A301" s="8"/>
      <c r="B301" s="8"/>
      <c r="C301" s="8"/>
      <c r="D301" s="8"/>
      <c r="E301" s="8"/>
      <c r="F301" s="8"/>
      <c r="G301" s="8"/>
    </row>
    <row r="302" spans="1:7" x14ac:dyDescent="0.25">
      <c r="A302" s="8"/>
      <c r="B302" s="8"/>
      <c r="C302" s="8"/>
      <c r="D302" s="8"/>
      <c r="E302" s="8"/>
      <c r="F302" s="8"/>
      <c r="G302" s="8"/>
    </row>
    <row r="303" spans="1:7" x14ac:dyDescent="0.25">
      <c r="A303" s="8"/>
      <c r="B303" s="8"/>
      <c r="C303" s="8"/>
      <c r="D303" s="8"/>
      <c r="E303" s="8"/>
      <c r="F303" s="8"/>
      <c r="G303" s="8"/>
    </row>
    <row r="304" spans="1:7" x14ac:dyDescent="0.25">
      <c r="A304" s="8"/>
      <c r="B304" s="8"/>
      <c r="C304" s="8"/>
      <c r="D304" s="8"/>
      <c r="E304" s="8"/>
      <c r="F304" s="8"/>
      <c r="G304" s="8"/>
    </row>
    <row r="305" spans="1:7" x14ac:dyDescent="0.25">
      <c r="A305" s="8"/>
      <c r="B305" s="8"/>
      <c r="C305" s="8"/>
      <c r="D305" s="8"/>
      <c r="E305" s="8"/>
      <c r="F305" s="8"/>
      <c r="G305" s="8"/>
    </row>
    <row r="306" spans="1:7" x14ac:dyDescent="0.25">
      <c r="A306" s="8"/>
      <c r="B306" s="8"/>
      <c r="C306" s="8"/>
      <c r="D306" s="8"/>
      <c r="E306" s="8"/>
      <c r="F306" s="8"/>
      <c r="G306" s="8"/>
    </row>
    <row r="307" spans="1:7" x14ac:dyDescent="0.25">
      <c r="A307" s="8"/>
      <c r="B307" s="8"/>
      <c r="C307" s="8"/>
      <c r="D307" s="8"/>
      <c r="E307" s="8"/>
      <c r="F307" s="8"/>
      <c r="G307" s="8"/>
    </row>
    <row r="308" spans="1:7" x14ac:dyDescent="0.25">
      <c r="A308" s="8"/>
      <c r="B308" s="8"/>
      <c r="C308" s="8"/>
      <c r="D308" s="8"/>
      <c r="E308" s="8"/>
      <c r="F308" s="8"/>
      <c r="G308" s="8"/>
    </row>
    <row r="309" spans="1:7" x14ac:dyDescent="0.25">
      <c r="A309" s="8"/>
      <c r="B309" s="8"/>
      <c r="C309" s="8"/>
      <c r="D309" s="8"/>
      <c r="E309" s="8"/>
      <c r="F309" s="8"/>
      <c r="G309" s="8"/>
    </row>
    <row r="310" spans="1:7" x14ac:dyDescent="0.25">
      <c r="A310" s="8"/>
      <c r="B310" s="8"/>
      <c r="C310" s="8"/>
      <c r="D310" s="8"/>
      <c r="E310" s="8"/>
      <c r="F310" s="8"/>
      <c r="G310" s="8"/>
    </row>
    <row r="311" spans="1:7" x14ac:dyDescent="0.25">
      <c r="A311" s="8"/>
      <c r="B311" s="8"/>
      <c r="C311" s="8"/>
      <c r="D311" s="8"/>
      <c r="E311" s="8"/>
      <c r="F311" s="8"/>
      <c r="G311" s="8"/>
    </row>
    <row r="312" spans="1:7" x14ac:dyDescent="0.25">
      <c r="A312" s="8"/>
      <c r="B312" s="8"/>
      <c r="C312" s="8"/>
      <c r="D312" s="8"/>
      <c r="E312" s="8"/>
      <c r="F312" s="8"/>
      <c r="G312" s="8"/>
    </row>
    <row r="313" spans="1:7" x14ac:dyDescent="0.25">
      <c r="A313" s="8"/>
      <c r="B313" s="8"/>
      <c r="C313" s="8"/>
      <c r="D313" s="8"/>
      <c r="E313" s="8"/>
      <c r="F313" s="8"/>
      <c r="G313" s="8"/>
    </row>
    <row r="314" spans="1:7" x14ac:dyDescent="0.25">
      <c r="A314" s="8"/>
      <c r="B314" s="8"/>
      <c r="C314" s="8"/>
      <c r="D314" s="8"/>
      <c r="E314" s="8"/>
      <c r="F314" s="8"/>
      <c r="G314" s="8"/>
    </row>
    <row r="315" spans="1:7" x14ac:dyDescent="0.25">
      <c r="A315" s="8"/>
      <c r="B315" s="8"/>
      <c r="C315" s="8"/>
      <c r="D315" s="8"/>
      <c r="E315" s="8"/>
      <c r="F315" s="8"/>
      <c r="G315" s="8"/>
    </row>
    <row r="316" spans="1:7" x14ac:dyDescent="0.25">
      <c r="A316" s="8"/>
      <c r="B316" s="8"/>
      <c r="C316" s="8"/>
      <c r="D316" s="8"/>
      <c r="E316" s="8"/>
      <c r="F316" s="8"/>
      <c r="G316" s="8"/>
    </row>
    <row r="317" spans="1:7" x14ac:dyDescent="0.25">
      <c r="A317" s="8"/>
      <c r="B317" s="8"/>
      <c r="C317" s="8"/>
      <c r="D317" s="8"/>
      <c r="E317" s="8"/>
      <c r="F317" s="8"/>
      <c r="G317" s="8"/>
    </row>
    <row r="318" spans="1:7" x14ac:dyDescent="0.25">
      <c r="A318" s="8"/>
      <c r="B318" s="8"/>
      <c r="C318" s="8"/>
      <c r="D318" s="8"/>
      <c r="E318" s="8"/>
      <c r="F318" s="8"/>
      <c r="G318" s="8"/>
    </row>
    <row r="319" spans="1:7" x14ac:dyDescent="0.25">
      <c r="A319" s="8"/>
      <c r="B319" s="8"/>
      <c r="C319" s="8"/>
      <c r="D319" s="8"/>
      <c r="E319" s="8"/>
      <c r="F319" s="8"/>
      <c r="G319" s="8"/>
    </row>
    <row r="320" spans="1:7" x14ac:dyDescent="0.25">
      <c r="A320" s="8"/>
      <c r="B320" s="8"/>
      <c r="C320" s="8"/>
      <c r="D320" s="8"/>
      <c r="E320" s="8"/>
      <c r="F320" s="8"/>
      <c r="G320" s="8"/>
    </row>
    <row r="321" spans="1:7" x14ac:dyDescent="0.25">
      <c r="A321" s="8"/>
      <c r="B321" s="8"/>
      <c r="C321" s="8"/>
      <c r="D321" s="8"/>
      <c r="E321" s="8"/>
      <c r="F321" s="8"/>
      <c r="G321" s="8"/>
    </row>
    <row r="322" spans="1:7" x14ac:dyDescent="0.25">
      <c r="A322" s="8"/>
      <c r="B322" s="8"/>
      <c r="C322" s="8"/>
      <c r="D322" s="8"/>
      <c r="E322" s="8"/>
      <c r="F322" s="8"/>
      <c r="G322" s="8"/>
    </row>
    <row r="323" spans="1:7" x14ac:dyDescent="0.25">
      <c r="A323" s="8"/>
      <c r="B323" s="8"/>
      <c r="C323" s="8"/>
      <c r="D323" s="8"/>
      <c r="E323" s="8"/>
      <c r="F323" s="8"/>
      <c r="G323" s="8"/>
    </row>
    <row r="324" spans="1:7" x14ac:dyDescent="0.25">
      <c r="A324" s="8"/>
      <c r="B324" s="8"/>
      <c r="C324" s="8"/>
      <c r="D324" s="8"/>
      <c r="E324" s="8"/>
      <c r="F324" s="8"/>
      <c r="G324" s="8"/>
    </row>
    <row r="325" spans="1:7" x14ac:dyDescent="0.25">
      <c r="A325" s="8"/>
      <c r="B325" s="8"/>
      <c r="C325" s="8"/>
      <c r="D325" s="8"/>
      <c r="E325" s="8"/>
      <c r="F325" s="8"/>
      <c r="G325" s="8"/>
    </row>
    <row r="326" spans="1:7" x14ac:dyDescent="0.25">
      <c r="A326" s="8"/>
      <c r="B326" s="8"/>
      <c r="C326" s="8"/>
      <c r="D326" s="8"/>
      <c r="E326" s="8"/>
      <c r="F326" s="8"/>
      <c r="G326" s="8"/>
    </row>
    <row r="327" spans="1:7" x14ac:dyDescent="0.25">
      <c r="A327" s="8"/>
      <c r="B327" s="8"/>
      <c r="C327" s="8"/>
      <c r="D327" s="8"/>
      <c r="E327" s="8"/>
      <c r="F327" s="8"/>
      <c r="G327" s="8"/>
    </row>
    <row r="328" spans="1:7" x14ac:dyDescent="0.25">
      <c r="A328" s="8"/>
      <c r="B328" s="8"/>
      <c r="C328" s="8"/>
      <c r="D328" s="8"/>
      <c r="E328" s="8"/>
      <c r="F328" s="8"/>
      <c r="G328" s="8"/>
    </row>
    <row r="329" spans="1:7" x14ac:dyDescent="0.25">
      <c r="A329" s="8"/>
      <c r="B329" s="8"/>
      <c r="C329" s="8"/>
      <c r="D329" s="8"/>
      <c r="E329" s="8"/>
      <c r="F329" s="8"/>
      <c r="G329" s="8"/>
    </row>
    <row r="330" spans="1:7" x14ac:dyDescent="0.25">
      <c r="A330" s="8"/>
      <c r="B330" s="8"/>
      <c r="C330" s="8"/>
      <c r="D330" s="8"/>
      <c r="E330" s="8"/>
      <c r="F330" s="8"/>
      <c r="G330" s="8"/>
    </row>
    <row r="331" spans="1:7" x14ac:dyDescent="0.25">
      <c r="A331" s="8"/>
      <c r="B331" s="8"/>
      <c r="C331" s="8"/>
      <c r="D331" s="8"/>
      <c r="E331" s="8"/>
      <c r="F331" s="8"/>
      <c r="G331" s="8"/>
    </row>
    <row r="332" spans="1:7" x14ac:dyDescent="0.25">
      <c r="A332" s="8"/>
      <c r="B332" s="8"/>
      <c r="C332" s="8"/>
      <c r="D332" s="8"/>
      <c r="E332" s="8"/>
      <c r="F332" s="8"/>
      <c r="G332" s="8"/>
    </row>
    <row r="333" spans="1:7" x14ac:dyDescent="0.25">
      <c r="A333" s="8"/>
      <c r="B333" s="8"/>
      <c r="C333" s="8"/>
      <c r="D333" s="8"/>
      <c r="E333" s="8"/>
      <c r="F333" s="8"/>
      <c r="G333" s="8"/>
    </row>
    <row r="334" spans="1:7" x14ac:dyDescent="0.25">
      <c r="A334" s="8"/>
      <c r="B334" s="8"/>
      <c r="C334" s="8"/>
      <c r="D334" s="8"/>
      <c r="E334" s="8"/>
      <c r="F334" s="8"/>
      <c r="G334" s="8"/>
    </row>
    <row r="335" spans="1:7" x14ac:dyDescent="0.25">
      <c r="A335" s="8"/>
      <c r="B335" s="8"/>
      <c r="C335" s="8"/>
      <c r="D335" s="8"/>
      <c r="E335" s="8"/>
      <c r="F335" s="8"/>
      <c r="G335" s="8"/>
    </row>
    <row r="336" spans="1:7" x14ac:dyDescent="0.25">
      <c r="A336" s="8"/>
      <c r="B336" s="8"/>
      <c r="C336" s="8"/>
      <c r="D336" s="8"/>
      <c r="E336" s="8"/>
      <c r="F336" s="8"/>
      <c r="G336" s="8"/>
    </row>
    <row r="337" spans="1:7" x14ac:dyDescent="0.25">
      <c r="A337" s="8"/>
      <c r="B337" s="8"/>
      <c r="C337" s="8"/>
      <c r="D337" s="8"/>
      <c r="E337" s="8"/>
      <c r="F337" s="8"/>
      <c r="G337" s="8"/>
    </row>
    <row r="338" spans="1:7" x14ac:dyDescent="0.25">
      <c r="A338" s="8"/>
      <c r="B338" s="8"/>
      <c r="C338" s="8"/>
      <c r="D338" s="8"/>
      <c r="E338" s="8"/>
      <c r="F338" s="8"/>
      <c r="G338" s="8"/>
    </row>
    <row r="339" spans="1:7" x14ac:dyDescent="0.25">
      <c r="A339" s="8"/>
      <c r="B339" s="8"/>
      <c r="C339" s="8"/>
      <c r="D339" s="8"/>
      <c r="E339" s="8"/>
      <c r="F339" s="8"/>
      <c r="G339" s="8"/>
    </row>
    <row r="340" spans="1:7" x14ac:dyDescent="0.25">
      <c r="A340" s="8"/>
      <c r="B340" s="8"/>
      <c r="C340" s="8"/>
      <c r="D340" s="8"/>
      <c r="E340" s="8"/>
      <c r="F340" s="8"/>
      <c r="G340" s="8"/>
    </row>
    <row r="341" spans="1:7" x14ac:dyDescent="0.25">
      <c r="A341" s="8"/>
      <c r="B341" s="8"/>
      <c r="C341" s="8"/>
      <c r="D341" s="8"/>
      <c r="E341" s="8"/>
      <c r="F341" s="8"/>
      <c r="G341" s="8"/>
    </row>
    <row r="342" spans="1:7" x14ac:dyDescent="0.25">
      <c r="A342" s="8"/>
      <c r="B342" s="8"/>
      <c r="C342" s="8"/>
      <c r="D342" s="8"/>
      <c r="E342" s="8"/>
      <c r="F342" s="8"/>
      <c r="G342" s="8"/>
    </row>
    <row r="343" spans="1:7" x14ac:dyDescent="0.25">
      <c r="A343" s="8"/>
      <c r="B343" s="8"/>
      <c r="C343" s="8"/>
      <c r="D343" s="8"/>
      <c r="E343" s="8"/>
      <c r="F343" s="8"/>
      <c r="G343" s="8"/>
    </row>
    <row r="344" spans="1:7" x14ac:dyDescent="0.25">
      <c r="A344" s="8"/>
      <c r="B344" s="8"/>
      <c r="C344" s="8"/>
      <c r="D344" s="8"/>
      <c r="E344" s="8"/>
      <c r="F344" s="8"/>
      <c r="G344" s="8"/>
    </row>
    <row r="345" spans="1:7" x14ac:dyDescent="0.25">
      <c r="A345" s="8"/>
      <c r="B345" s="8"/>
      <c r="C345" s="8"/>
      <c r="D345" s="8"/>
      <c r="E345" s="8"/>
      <c r="F345" s="8"/>
      <c r="G345" s="8"/>
    </row>
    <row r="346" spans="1:7" x14ac:dyDescent="0.25">
      <c r="A346" s="8"/>
      <c r="B346" s="8"/>
      <c r="C346" s="8"/>
      <c r="D346" s="8"/>
      <c r="E346" s="8"/>
      <c r="F346" s="8"/>
      <c r="G346" s="8"/>
    </row>
    <row r="347" spans="1:7" x14ac:dyDescent="0.25">
      <c r="A347" s="8"/>
      <c r="B347" s="8"/>
      <c r="C347" s="8"/>
      <c r="D347" s="8"/>
      <c r="E347" s="8"/>
      <c r="F347" s="8"/>
      <c r="G347" s="8"/>
    </row>
    <row r="348" spans="1:7" x14ac:dyDescent="0.25">
      <c r="A348" s="8"/>
      <c r="B348" s="8"/>
      <c r="C348" s="8"/>
      <c r="D348" s="8"/>
      <c r="E348" s="8"/>
      <c r="F348" s="8"/>
      <c r="G348" s="8"/>
    </row>
    <row r="349" spans="1:7" x14ac:dyDescent="0.25">
      <c r="A349" s="8"/>
      <c r="B349" s="8"/>
      <c r="C349" s="8"/>
      <c r="D349" s="8"/>
      <c r="E349" s="8"/>
      <c r="F349" s="8"/>
      <c r="G349" s="8"/>
    </row>
    <row r="350" spans="1:7" x14ac:dyDescent="0.25">
      <c r="A350" s="8"/>
      <c r="B350" s="8"/>
      <c r="C350" s="8"/>
      <c r="D350" s="8"/>
      <c r="E350" s="8"/>
      <c r="F350" s="8"/>
      <c r="G350" s="8"/>
    </row>
    <row r="351" spans="1:7" x14ac:dyDescent="0.25">
      <c r="A351" s="8"/>
      <c r="B351" s="8"/>
      <c r="C351" s="8"/>
      <c r="D351" s="8"/>
      <c r="E351" s="8"/>
      <c r="F351" s="8"/>
      <c r="G351" s="8"/>
    </row>
    <row r="352" spans="1:7" x14ac:dyDescent="0.25">
      <c r="A352" s="8"/>
      <c r="B352" s="8"/>
      <c r="C352" s="8"/>
      <c r="D352" s="8"/>
      <c r="E352" s="8"/>
      <c r="F352" s="8"/>
      <c r="G352" s="8"/>
    </row>
    <row r="353" spans="1:7" x14ac:dyDescent="0.25">
      <c r="A353" s="8"/>
      <c r="B353" s="8"/>
      <c r="C353" s="8"/>
      <c r="D353" s="8"/>
      <c r="E353" s="8"/>
      <c r="F353" s="8"/>
      <c r="G353" s="8"/>
    </row>
    <row r="354" spans="1:7" x14ac:dyDescent="0.25">
      <c r="A354" s="8"/>
      <c r="B354" s="8"/>
      <c r="C354" s="8"/>
      <c r="D354" s="8"/>
      <c r="E354" s="8"/>
      <c r="F354" s="8"/>
      <c r="G354" s="8"/>
    </row>
    <row r="355" spans="1:7" x14ac:dyDescent="0.25">
      <c r="A355" s="8"/>
      <c r="B355" s="8"/>
      <c r="C355" s="8"/>
      <c r="D355" s="8"/>
      <c r="E355" s="8"/>
      <c r="F355" s="8"/>
      <c r="G355" s="8"/>
    </row>
    <row r="356" spans="1:7" x14ac:dyDescent="0.25">
      <c r="A356" s="8"/>
      <c r="B356" s="8"/>
      <c r="C356" s="8"/>
      <c r="D356" s="8"/>
      <c r="E356" s="8"/>
      <c r="F356" s="8"/>
      <c r="G356" s="8"/>
    </row>
    <row r="357" spans="1:7" x14ac:dyDescent="0.25">
      <c r="A357" s="8"/>
      <c r="B357" s="8"/>
      <c r="C357" s="8"/>
      <c r="D357" s="8"/>
      <c r="E357" s="8"/>
      <c r="F357" s="8"/>
      <c r="G357" s="8"/>
    </row>
    <row r="358" spans="1:7" x14ac:dyDescent="0.25">
      <c r="A358" s="8"/>
      <c r="B358" s="8"/>
      <c r="C358" s="8"/>
      <c r="D358" s="8"/>
      <c r="E358" s="8"/>
      <c r="F358" s="8"/>
      <c r="G358" s="8"/>
    </row>
    <row r="359" spans="1:7" x14ac:dyDescent="0.25">
      <c r="A359" s="8"/>
      <c r="B359" s="8"/>
      <c r="C359" s="8"/>
      <c r="D359" s="8"/>
      <c r="E359" s="8"/>
      <c r="F359" s="8"/>
      <c r="G359" s="8"/>
    </row>
    <row r="360" spans="1:7" x14ac:dyDescent="0.25">
      <c r="A360" s="8"/>
      <c r="B360" s="8"/>
      <c r="C360" s="8"/>
      <c r="D360" s="8"/>
      <c r="E360" s="8"/>
      <c r="F360" s="8"/>
      <c r="G360" s="8"/>
    </row>
    <row r="361" spans="1:7" x14ac:dyDescent="0.25">
      <c r="A361" s="8"/>
      <c r="B361" s="8"/>
      <c r="C361" s="8"/>
      <c r="D361" s="8"/>
      <c r="E361" s="8"/>
      <c r="F361" s="8"/>
      <c r="G361" s="8"/>
    </row>
    <row r="362" spans="1:7" x14ac:dyDescent="0.25">
      <c r="A362" s="8"/>
      <c r="B362" s="8"/>
      <c r="C362" s="8"/>
      <c r="D362" s="8"/>
      <c r="E362" s="8"/>
      <c r="F362" s="8"/>
      <c r="G362" s="8"/>
    </row>
    <row r="363" spans="1:7" x14ac:dyDescent="0.25">
      <c r="A363" s="8"/>
      <c r="B363" s="8"/>
      <c r="C363" s="8"/>
      <c r="D363" s="8"/>
      <c r="E363" s="8"/>
      <c r="F363" s="8"/>
      <c r="G363" s="8"/>
    </row>
    <row r="364" spans="1:7" x14ac:dyDescent="0.25">
      <c r="A364" s="8"/>
      <c r="B364" s="8"/>
      <c r="C364" s="8"/>
      <c r="D364" s="8"/>
      <c r="E364" s="8"/>
      <c r="F364" s="8"/>
      <c r="G364" s="8"/>
    </row>
    <row r="365" spans="1:7" x14ac:dyDescent="0.25">
      <c r="A365" s="8"/>
      <c r="B365" s="8"/>
      <c r="C365" s="8"/>
      <c r="D365" s="8"/>
      <c r="E365" s="8"/>
      <c r="F365" s="8"/>
      <c r="G365" s="8"/>
    </row>
    <row r="366" spans="1:7" x14ac:dyDescent="0.25">
      <c r="A366" s="8"/>
      <c r="B366" s="8"/>
      <c r="C366" s="8"/>
      <c r="D366" s="8"/>
      <c r="E366" s="8"/>
      <c r="F366" s="8"/>
      <c r="G366" s="8"/>
    </row>
    <row r="367" spans="1:7" x14ac:dyDescent="0.25">
      <c r="A367" s="8"/>
      <c r="B367" s="8"/>
      <c r="C367" s="8"/>
      <c r="D367" s="8"/>
      <c r="E367" s="8"/>
      <c r="F367" s="8"/>
      <c r="G367" s="8"/>
    </row>
    <row r="368" spans="1:7" x14ac:dyDescent="0.25">
      <c r="A368" s="8"/>
      <c r="B368" s="8"/>
      <c r="C368" s="8"/>
      <c r="D368" s="8"/>
      <c r="E368" s="8"/>
      <c r="F368" s="8"/>
      <c r="G368" s="8"/>
    </row>
    <row r="369" spans="1:7" x14ac:dyDescent="0.25">
      <c r="A369" s="8"/>
      <c r="B369" s="8"/>
      <c r="C369" s="8"/>
      <c r="D369" s="8"/>
      <c r="E369" s="8"/>
      <c r="F369" s="8"/>
      <c r="G369" s="8"/>
    </row>
    <row r="370" spans="1:7" x14ac:dyDescent="0.25">
      <c r="A370" s="8"/>
      <c r="B370" s="8"/>
      <c r="C370" s="8"/>
      <c r="D370" s="8"/>
      <c r="E370" s="8"/>
      <c r="F370" s="8"/>
      <c r="G370" s="8"/>
    </row>
    <row r="371" spans="1:7" x14ac:dyDescent="0.25">
      <c r="A371" s="8"/>
      <c r="B371" s="8"/>
      <c r="C371" s="8"/>
      <c r="D371" s="8"/>
      <c r="E371" s="8"/>
      <c r="F371" s="8"/>
      <c r="G371" s="8"/>
    </row>
    <row r="372" spans="1:7" x14ac:dyDescent="0.25">
      <c r="A372" s="8"/>
      <c r="B372" s="8"/>
      <c r="C372" s="8"/>
      <c r="D372" s="8"/>
      <c r="E372" s="8"/>
      <c r="F372" s="8"/>
      <c r="G372" s="8"/>
    </row>
    <row r="373" spans="1:7" x14ac:dyDescent="0.25">
      <c r="A373" s="8"/>
      <c r="B373" s="8"/>
      <c r="C373" s="8"/>
      <c r="D373" s="8"/>
      <c r="E373" s="8"/>
      <c r="F373" s="8"/>
      <c r="G373" s="8"/>
    </row>
    <row r="374" spans="1:7" x14ac:dyDescent="0.25">
      <c r="A374" s="8"/>
      <c r="B374" s="8"/>
      <c r="C374" s="8"/>
      <c r="D374" s="8"/>
      <c r="E374" s="8"/>
      <c r="F374" s="8"/>
      <c r="G374" s="8"/>
    </row>
    <row r="375" spans="1:7" x14ac:dyDescent="0.25">
      <c r="A375" s="8"/>
      <c r="B375" s="8"/>
      <c r="C375" s="8"/>
      <c r="D375" s="8"/>
      <c r="E375" s="8"/>
      <c r="F375" s="8"/>
      <c r="G375" s="8"/>
    </row>
    <row r="376" spans="1:7" x14ac:dyDescent="0.25">
      <c r="A376" s="8"/>
      <c r="B376" s="8"/>
      <c r="C376" s="8"/>
      <c r="D376" s="8"/>
      <c r="E376" s="8"/>
      <c r="F376" s="8"/>
      <c r="G376" s="8"/>
    </row>
    <row r="377" spans="1:7" x14ac:dyDescent="0.25">
      <c r="A377" s="8"/>
      <c r="B377" s="8"/>
      <c r="C377" s="8"/>
      <c r="D377" s="8"/>
      <c r="E377" s="8"/>
      <c r="F377" s="8"/>
      <c r="G377" s="8"/>
    </row>
    <row r="378" spans="1:7" x14ac:dyDescent="0.25">
      <c r="A378" s="8"/>
      <c r="B378" s="8"/>
      <c r="C378" s="8"/>
      <c r="D378" s="8"/>
      <c r="E378" s="8"/>
      <c r="F378" s="8"/>
      <c r="G378" s="8"/>
    </row>
    <row r="379" spans="1:7" x14ac:dyDescent="0.25">
      <c r="A379" s="8"/>
      <c r="B379" s="8"/>
      <c r="C379" s="8"/>
      <c r="D379" s="8"/>
      <c r="E379" s="8"/>
      <c r="F379" s="8"/>
      <c r="G379" s="8"/>
    </row>
    <row r="380" spans="1:7" x14ac:dyDescent="0.25">
      <c r="A380" s="8"/>
      <c r="B380" s="8"/>
      <c r="C380" s="8"/>
      <c r="D380" s="8"/>
      <c r="E380" s="8"/>
      <c r="F380" s="8"/>
      <c r="G380" s="8"/>
    </row>
    <row r="381" spans="1:7" x14ac:dyDescent="0.25">
      <c r="A381" s="8"/>
      <c r="B381" s="8"/>
      <c r="C381" s="8"/>
      <c r="D381" s="8"/>
      <c r="E381" s="8"/>
      <c r="F381" s="8"/>
      <c r="G381" s="8"/>
    </row>
    <row r="382" spans="1:7" x14ac:dyDescent="0.25">
      <c r="A382" s="8"/>
      <c r="B382" s="8"/>
      <c r="C382" s="8"/>
      <c r="D382" s="8"/>
      <c r="E382" s="8"/>
      <c r="F382" s="8"/>
      <c r="G382" s="8"/>
    </row>
    <row r="383" spans="1:7" x14ac:dyDescent="0.25">
      <c r="A383" s="8"/>
      <c r="B383" s="8"/>
      <c r="C383" s="8"/>
      <c r="D383" s="8"/>
      <c r="E383" s="8"/>
      <c r="F383" s="8"/>
      <c r="G383" s="8"/>
    </row>
    <row r="384" spans="1:7" x14ac:dyDescent="0.25">
      <c r="A384" s="8"/>
      <c r="B384" s="8"/>
      <c r="C384" s="8"/>
      <c r="D384" s="8"/>
      <c r="E384" s="8"/>
      <c r="F384" s="8"/>
      <c r="G384" s="8"/>
    </row>
    <row r="385" spans="1:7" x14ac:dyDescent="0.25">
      <c r="A385" s="8"/>
      <c r="B385" s="8"/>
      <c r="C385" s="8"/>
      <c r="D385" s="8"/>
      <c r="E385" s="8"/>
      <c r="F385" s="8"/>
      <c r="G385" s="8"/>
    </row>
    <row r="386" spans="1:7" x14ac:dyDescent="0.25">
      <c r="A386" s="8"/>
      <c r="B386" s="8"/>
      <c r="C386" s="8"/>
      <c r="D386" s="8"/>
      <c r="E386" s="8"/>
      <c r="F386" s="8"/>
      <c r="G386" s="8"/>
    </row>
    <row r="387" spans="1:7" x14ac:dyDescent="0.25">
      <c r="A387" s="8"/>
      <c r="B387" s="8"/>
      <c r="C387" s="8"/>
      <c r="D387" s="8"/>
      <c r="E387" s="8"/>
      <c r="F387" s="8"/>
      <c r="G387" s="8"/>
    </row>
    <row r="388" spans="1:7" x14ac:dyDescent="0.25">
      <c r="A388" s="8"/>
      <c r="B388" s="8"/>
      <c r="C388" s="8"/>
      <c r="D388" s="8"/>
      <c r="E388" s="8"/>
      <c r="F388" s="8"/>
      <c r="G388" s="8"/>
    </row>
    <row r="389" spans="1:7" x14ac:dyDescent="0.25">
      <c r="A389" s="8"/>
      <c r="B389" s="8"/>
      <c r="C389" s="8"/>
      <c r="D389" s="8"/>
      <c r="E389" s="8"/>
      <c r="F389" s="8"/>
      <c r="G389" s="8"/>
    </row>
    <row r="390" spans="1:7" x14ac:dyDescent="0.25">
      <c r="A390" s="8"/>
      <c r="B390" s="8"/>
      <c r="C390" s="8"/>
      <c r="D390" s="8"/>
      <c r="E390" s="8"/>
      <c r="F390" s="8"/>
      <c r="G390" s="8"/>
    </row>
    <row r="391" spans="1:7" x14ac:dyDescent="0.25">
      <c r="A391" s="8"/>
      <c r="B391" s="8"/>
      <c r="C391" s="8"/>
      <c r="D391" s="8"/>
      <c r="E391" s="8"/>
      <c r="F391" s="8"/>
      <c r="G391" s="8"/>
    </row>
    <row r="392" spans="1:7" x14ac:dyDescent="0.25">
      <c r="A392" s="8"/>
      <c r="B392" s="8"/>
      <c r="C392" s="8"/>
      <c r="D392" s="8"/>
      <c r="E392" s="8"/>
      <c r="F392" s="8"/>
      <c r="G392" s="8"/>
    </row>
    <row r="393" spans="1:7" x14ac:dyDescent="0.25">
      <c r="A393" s="8"/>
      <c r="B393" s="8"/>
      <c r="C393" s="8"/>
      <c r="D393" s="8"/>
      <c r="E393" s="8"/>
      <c r="F393" s="8"/>
      <c r="G393" s="8"/>
    </row>
    <row r="394" spans="1:7" x14ac:dyDescent="0.25">
      <c r="A394" s="8"/>
      <c r="B394" s="8"/>
      <c r="C394" s="8"/>
      <c r="D394" s="8"/>
      <c r="E394" s="8"/>
      <c r="F394" s="8"/>
      <c r="G394" s="8"/>
    </row>
    <row r="395" spans="1:7" x14ac:dyDescent="0.25">
      <c r="A395" s="8"/>
      <c r="B395" s="8"/>
      <c r="C395" s="8"/>
      <c r="D395" s="8"/>
      <c r="E395" s="8"/>
      <c r="F395" s="8"/>
      <c r="G395" s="8"/>
    </row>
    <row r="396" spans="1:7" x14ac:dyDescent="0.25">
      <c r="A396" s="8"/>
      <c r="B396" s="8"/>
      <c r="C396" s="8"/>
      <c r="D396" s="8"/>
      <c r="E396" s="8"/>
      <c r="F396" s="8"/>
      <c r="G396" s="8"/>
    </row>
    <row r="397" spans="1:7" x14ac:dyDescent="0.25">
      <c r="A397" s="8"/>
      <c r="B397" s="8"/>
      <c r="C397" s="8"/>
      <c r="D397" s="8"/>
      <c r="E397" s="8"/>
      <c r="F397" s="8"/>
      <c r="G397" s="8"/>
    </row>
    <row r="398" spans="1:7" x14ac:dyDescent="0.25">
      <c r="A398" s="8"/>
      <c r="B398" s="8"/>
      <c r="C398" s="8"/>
      <c r="D398" s="8"/>
      <c r="E398" s="8"/>
      <c r="F398" s="8"/>
      <c r="G398" s="8"/>
    </row>
    <row r="399" spans="1:7" x14ac:dyDescent="0.25">
      <c r="A399" s="8"/>
      <c r="B399" s="8"/>
      <c r="C399" s="8"/>
      <c r="D399" s="8"/>
      <c r="E399" s="8"/>
      <c r="F399" s="8"/>
      <c r="G399" s="8"/>
    </row>
    <row r="400" spans="1:7" x14ac:dyDescent="0.25">
      <c r="A400" s="8"/>
      <c r="B400" s="8"/>
      <c r="C400" s="8"/>
      <c r="D400" s="8"/>
      <c r="E400" s="8"/>
      <c r="F400" s="8"/>
      <c r="G400" s="8"/>
    </row>
    <row r="401" spans="1:7" x14ac:dyDescent="0.25">
      <c r="A401" s="8"/>
      <c r="B401" s="8"/>
      <c r="C401" s="8"/>
      <c r="D401" s="8"/>
      <c r="E401" s="8"/>
      <c r="F401" s="8"/>
      <c r="G401" s="8"/>
    </row>
    <row r="402" spans="1:7" x14ac:dyDescent="0.25">
      <c r="A402" s="8"/>
      <c r="B402" s="8"/>
      <c r="C402" s="8"/>
      <c r="D402" s="8"/>
      <c r="E402" s="8"/>
      <c r="F402" s="8"/>
      <c r="G402" s="8"/>
    </row>
    <row r="403" spans="1:7" x14ac:dyDescent="0.25">
      <c r="A403" s="8"/>
      <c r="B403" s="8"/>
      <c r="C403" s="8"/>
      <c r="D403" s="8"/>
      <c r="E403" s="8"/>
      <c r="F403" s="8"/>
      <c r="G403" s="8"/>
    </row>
    <row r="404" spans="1:7" x14ac:dyDescent="0.25">
      <c r="A404" s="8"/>
      <c r="B404" s="8"/>
      <c r="C404" s="8"/>
      <c r="D404" s="8"/>
      <c r="E404" s="8"/>
      <c r="F404" s="8"/>
      <c r="G404" s="8"/>
    </row>
    <row r="405" spans="1:7" x14ac:dyDescent="0.25">
      <c r="A405" s="8"/>
      <c r="B405" s="8"/>
      <c r="C405" s="8"/>
      <c r="D405" s="8"/>
      <c r="E405" s="8"/>
      <c r="F405" s="8"/>
      <c r="G405" s="8"/>
    </row>
    <row r="406" spans="1:7" x14ac:dyDescent="0.25">
      <c r="A406" s="8"/>
      <c r="B406" s="8"/>
      <c r="C406" s="8"/>
      <c r="D406" s="8"/>
      <c r="E406" s="8"/>
      <c r="F406" s="8"/>
      <c r="G406" s="8"/>
    </row>
    <row r="407" spans="1:7" x14ac:dyDescent="0.25">
      <c r="A407" s="8"/>
      <c r="B407" s="8"/>
      <c r="C407" s="8"/>
      <c r="D407" s="8"/>
      <c r="E407" s="8"/>
      <c r="F407" s="8"/>
      <c r="G407" s="8"/>
    </row>
    <row r="408" spans="1:7" x14ac:dyDescent="0.25">
      <c r="A408" s="8"/>
      <c r="B408" s="8"/>
      <c r="C408" s="8"/>
      <c r="D408" s="8"/>
      <c r="E408" s="8"/>
      <c r="F408" s="8"/>
      <c r="G408" s="8"/>
    </row>
    <row r="409" spans="1:7" x14ac:dyDescent="0.25">
      <c r="A409" s="8"/>
      <c r="B409" s="8"/>
      <c r="C409" s="8"/>
      <c r="D409" s="8"/>
      <c r="E409" s="8"/>
      <c r="F409" s="8"/>
      <c r="G409" s="8"/>
    </row>
    <row r="410" spans="1:7" x14ac:dyDescent="0.25">
      <c r="A410" s="8"/>
      <c r="B410" s="8"/>
      <c r="C410" s="8"/>
      <c r="D410" s="8"/>
      <c r="E410" s="8"/>
      <c r="F410" s="8"/>
      <c r="G410" s="8"/>
    </row>
    <row r="411" spans="1:7" x14ac:dyDescent="0.25">
      <c r="A411" s="8"/>
      <c r="B411" s="8"/>
      <c r="C411" s="8"/>
      <c r="D411" s="8"/>
      <c r="E411" s="8"/>
      <c r="F411" s="8"/>
      <c r="G411" s="8"/>
    </row>
    <row r="412" spans="1:7" x14ac:dyDescent="0.25">
      <c r="A412" s="8"/>
      <c r="B412" s="8"/>
      <c r="C412" s="8"/>
      <c r="D412" s="8"/>
      <c r="E412" s="8"/>
      <c r="F412" s="8"/>
      <c r="G412" s="8"/>
    </row>
    <row r="413" spans="1:7" x14ac:dyDescent="0.25">
      <c r="A413" s="8"/>
      <c r="B413" s="8"/>
      <c r="C413" s="8"/>
      <c r="D413" s="8"/>
      <c r="E413" s="8"/>
      <c r="F413" s="8"/>
      <c r="G413" s="8"/>
    </row>
    <row r="414" spans="1:7" x14ac:dyDescent="0.25">
      <c r="A414" s="8"/>
      <c r="B414" s="8"/>
      <c r="C414" s="8"/>
      <c r="D414" s="8"/>
      <c r="E414" s="8"/>
      <c r="F414" s="8"/>
      <c r="G414" s="8"/>
    </row>
    <row r="415" spans="1:7" x14ac:dyDescent="0.25">
      <c r="A415" s="8"/>
      <c r="B415" s="8"/>
      <c r="C415" s="8"/>
      <c r="D415" s="8"/>
      <c r="E415" s="8"/>
      <c r="F415" s="8"/>
      <c r="G415" s="8"/>
    </row>
    <row r="416" spans="1:7" x14ac:dyDescent="0.25">
      <c r="A416" s="8"/>
      <c r="B416" s="8"/>
      <c r="C416" s="8"/>
      <c r="D416" s="8"/>
      <c r="E416" s="8"/>
      <c r="F416" s="8"/>
      <c r="G416" s="8"/>
    </row>
    <row r="417" spans="1:7" x14ac:dyDescent="0.25">
      <c r="A417" s="8"/>
      <c r="B417" s="8"/>
      <c r="C417" s="8"/>
      <c r="D417" s="8"/>
      <c r="E417" s="8"/>
      <c r="F417" s="8"/>
      <c r="G417" s="8"/>
    </row>
    <row r="418" spans="1:7" x14ac:dyDescent="0.25">
      <c r="A418" s="8"/>
      <c r="B418" s="8"/>
      <c r="C418" s="8"/>
      <c r="D418" s="8"/>
      <c r="E418" s="8"/>
      <c r="F418" s="8"/>
      <c r="G418" s="8"/>
    </row>
    <row r="419" spans="1:7" x14ac:dyDescent="0.25">
      <c r="A419" s="8"/>
      <c r="B419" s="8"/>
      <c r="C419" s="8"/>
      <c r="D419" s="8"/>
      <c r="E419" s="8"/>
      <c r="F419" s="8"/>
      <c r="G419" s="8"/>
    </row>
    <row r="420" spans="1:7" x14ac:dyDescent="0.25">
      <c r="A420" s="8"/>
      <c r="B420" s="8"/>
      <c r="C420" s="8"/>
      <c r="D420" s="8"/>
      <c r="E420" s="8"/>
      <c r="F420" s="8"/>
      <c r="G420" s="8"/>
    </row>
    <row r="421" spans="1:7" x14ac:dyDescent="0.25">
      <c r="A421" s="8"/>
      <c r="B421" s="8"/>
      <c r="C421" s="8"/>
      <c r="D421" s="8"/>
      <c r="E421" s="8"/>
      <c r="F421" s="8"/>
      <c r="G421" s="8"/>
    </row>
    <row r="422" spans="1:7" x14ac:dyDescent="0.25">
      <c r="A422" s="8"/>
      <c r="B422" s="8"/>
      <c r="C422" s="8"/>
      <c r="D422" s="8"/>
      <c r="E422" s="8"/>
      <c r="F422" s="8"/>
      <c r="G422" s="8"/>
    </row>
    <row r="423" spans="1:7" x14ac:dyDescent="0.25">
      <c r="A423" s="8"/>
      <c r="B423" s="8"/>
      <c r="C423" s="8"/>
      <c r="D423" s="8"/>
      <c r="E423" s="8"/>
      <c r="F423" s="8"/>
      <c r="G423" s="8"/>
    </row>
    <row r="424" spans="1:7" x14ac:dyDescent="0.25">
      <c r="A424" s="8"/>
      <c r="B424" s="8"/>
      <c r="C424" s="8"/>
      <c r="D424" s="8"/>
      <c r="E424" s="8"/>
      <c r="F424" s="8"/>
      <c r="G424" s="8"/>
    </row>
    <row r="425" spans="1:7" x14ac:dyDescent="0.25">
      <c r="A425" s="8"/>
      <c r="B425" s="8"/>
      <c r="C425" s="8"/>
      <c r="D425" s="8"/>
      <c r="E425" s="8"/>
      <c r="F425" s="8"/>
      <c r="G425" s="8"/>
    </row>
    <row r="426" spans="1:7" x14ac:dyDescent="0.25">
      <c r="A426" s="8"/>
      <c r="B426" s="8"/>
      <c r="C426" s="8"/>
      <c r="D426" s="8"/>
      <c r="E426" s="8"/>
      <c r="F426" s="8"/>
      <c r="G426" s="8"/>
    </row>
    <row r="427" spans="1:7" x14ac:dyDescent="0.25">
      <c r="A427" s="8"/>
      <c r="B427" s="8"/>
      <c r="C427" s="8"/>
      <c r="D427" s="8"/>
      <c r="E427" s="8"/>
      <c r="F427" s="8"/>
      <c r="G427" s="8"/>
    </row>
    <row r="428" spans="1:7" x14ac:dyDescent="0.25">
      <c r="A428" s="8"/>
      <c r="B428" s="8"/>
      <c r="C428" s="8"/>
      <c r="D428" s="8"/>
      <c r="E428" s="8"/>
      <c r="F428" s="8"/>
      <c r="G428" s="8"/>
    </row>
    <row r="429" spans="1:7" x14ac:dyDescent="0.25">
      <c r="A429" s="8"/>
      <c r="B429" s="8"/>
      <c r="C429" s="8"/>
      <c r="D429" s="8"/>
      <c r="E429" s="8"/>
      <c r="F429" s="8"/>
      <c r="G429" s="8"/>
    </row>
    <row r="430" spans="1:7" x14ac:dyDescent="0.25">
      <c r="A430" s="8"/>
      <c r="B430" s="8"/>
      <c r="C430" s="8"/>
      <c r="D430" s="8"/>
      <c r="E430" s="8"/>
      <c r="F430" s="8"/>
      <c r="G430" s="8"/>
    </row>
    <row r="431" spans="1:7" x14ac:dyDescent="0.25">
      <c r="A431" s="8"/>
      <c r="B431" s="8"/>
      <c r="C431" s="8"/>
      <c r="D431" s="8"/>
      <c r="E431" s="8"/>
      <c r="F431" s="8"/>
      <c r="G431" s="8"/>
    </row>
    <row r="432" spans="1:7" x14ac:dyDescent="0.25">
      <c r="A432" s="8"/>
      <c r="B432" s="8"/>
      <c r="C432" s="8"/>
      <c r="D432" s="8"/>
      <c r="E432" s="8"/>
      <c r="F432" s="8"/>
      <c r="G432" s="8"/>
    </row>
    <row r="433" spans="1:7" x14ac:dyDescent="0.25">
      <c r="A433" s="8"/>
      <c r="B433" s="8"/>
      <c r="C433" s="8"/>
      <c r="D433" s="8"/>
      <c r="E433" s="8"/>
      <c r="F433" s="8"/>
      <c r="G433" s="8"/>
    </row>
    <row r="434" spans="1:7" x14ac:dyDescent="0.25">
      <c r="A434" s="8"/>
      <c r="B434" s="8"/>
      <c r="C434" s="8"/>
      <c r="D434" s="8"/>
      <c r="E434" s="8"/>
      <c r="F434" s="8"/>
      <c r="G434" s="8"/>
    </row>
    <row r="435" spans="1:7" x14ac:dyDescent="0.25">
      <c r="A435" s="8"/>
      <c r="B435" s="8"/>
      <c r="C435" s="8"/>
      <c r="D435" s="8"/>
      <c r="E435" s="8"/>
      <c r="F435" s="8"/>
      <c r="G435" s="8"/>
    </row>
    <row r="436" spans="1:7" x14ac:dyDescent="0.25">
      <c r="A436" s="8"/>
      <c r="B436" s="8"/>
      <c r="C436" s="8"/>
      <c r="D436" s="8"/>
      <c r="E436" s="8"/>
      <c r="F436" s="8"/>
      <c r="G436" s="8"/>
    </row>
    <row r="437" spans="1:7" x14ac:dyDescent="0.25">
      <c r="A437" s="8"/>
      <c r="B437" s="8"/>
      <c r="C437" s="8"/>
      <c r="D437" s="8"/>
      <c r="E437" s="8"/>
      <c r="F437" s="8"/>
      <c r="G437" s="8"/>
    </row>
    <row r="438" spans="1:7" x14ac:dyDescent="0.25">
      <c r="A438" s="8"/>
      <c r="B438" s="8"/>
      <c r="C438" s="8"/>
      <c r="D438" s="8"/>
      <c r="E438" s="8"/>
      <c r="F438" s="8"/>
      <c r="G438" s="8"/>
    </row>
    <row r="439" spans="1:7" x14ac:dyDescent="0.25">
      <c r="A439" s="8"/>
      <c r="B439" s="8"/>
      <c r="C439" s="8"/>
      <c r="D439" s="8"/>
      <c r="E439" s="8"/>
      <c r="F439" s="8"/>
      <c r="G439" s="8"/>
    </row>
    <row r="440" spans="1:7" x14ac:dyDescent="0.25">
      <c r="A440" s="8"/>
      <c r="B440" s="8"/>
      <c r="C440" s="8"/>
      <c r="D440" s="8"/>
      <c r="E440" s="8"/>
      <c r="F440" s="8"/>
      <c r="G440" s="8"/>
    </row>
    <row r="441" spans="1:7" x14ac:dyDescent="0.25">
      <c r="A441" s="8"/>
      <c r="B441" s="8"/>
      <c r="C441" s="8"/>
      <c r="D441" s="8"/>
      <c r="E441" s="8"/>
      <c r="F441" s="8"/>
      <c r="G441" s="8"/>
    </row>
    <row r="442" spans="1:7" x14ac:dyDescent="0.25">
      <c r="A442" s="8"/>
      <c r="B442" s="8"/>
      <c r="C442" s="8"/>
      <c r="D442" s="8"/>
      <c r="E442" s="8"/>
      <c r="F442" s="8"/>
      <c r="G442" s="8"/>
    </row>
    <row r="443" spans="1:7" x14ac:dyDescent="0.25">
      <c r="A443" s="8"/>
      <c r="B443" s="8"/>
      <c r="C443" s="8"/>
      <c r="D443" s="8"/>
      <c r="E443" s="8"/>
      <c r="F443" s="8"/>
      <c r="G443" s="8"/>
    </row>
    <row r="444" spans="1:7" x14ac:dyDescent="0.25">
      <c r="A444" s="8"/>
      <c r="B444" s="8"/>
      <c r="C444" s="8"/>
      <c r="D444" s="8"/>
      <c r="E444" s="8"/>
      <c r="F444" s="8"/>
      <c r="G444" s="8"/>
    </row>
    <row r="445" spans="1:7" x14ac:dyDescent="0.25">
      <c r="A445" s="8"/>
      <c r="B445" s="8"/>
      <c r="C445" s="8"/>
      <c r="D445" s="8"/>
      <c r="E445" s="8"/>
      <c r="F445" s="8"/>
      <c r="G445" s="8"/>
    </row>
    <row r="446" spans="1:7" x14ac:dyDescent="0.25">
      <c r="A446" s="8"/>
      <c r="B446" s="8"/>
      <c r="C446" s="8"/>
      <c r="D446" s="8"/>
      <c r="E446" s="8"/>
      <c r="F446" s="8"/>
      <c r="G446" s="8"/>
    </row>
    <row r="447" spans="1:7" x14ac:dyDescent="0.25">
      <c r="A447" s="8"/>
      <c r="B447" s="8"/>
      <c r="C447" s="8"/>
      <c r="D447" s="8"/>
      <c r="E447" s="8"/>
      <c r="F447" s="8"/>
      <c r="G447" s="8"/>
    </row>
    <row r="448" spans="1:7" x14ac:dyDescent="0.25">
      <c r="A448" s="8"/>
      <c r="B448" s="8"/>
      <c r="C448" s="8"/>
      <c r="D448" s="8"/>
      <c r="E448" s="8"/>
      <c r="F448" s="8"/>
      <c r="G448" s="8"/>
    </row>
    <row r="449" spans="1:7" x14ac:dyDescent="0.25">
      <c r="A449" s="8"/>
      <c r="B449" s="8"/>
      <c r="C449" s="8"/>
      <c r="D449" s="8"/>
      <c r="E449" s="8"/>
      <c r="F449" s="8"/>
      <c r="G449" s="8"/>
    </row>
    <row r="450" spans="1:7" x14ac:dyDescent="0.25">
      <c r="A450" s="8"/>
      <c r="B450" s="8"/>
      <c r="C450" s="8"/>
      <c r="D450" s="8"/>
      <c r="E450" s="8"/>
      <c r="F450" s="8"/>
      <c r="G450" s="8"/>
    </row>
    <row r="451" spans="1:7" x14ac:dyDescent="0.25">
      <c r="A451" s="8"/>
      <c r="B451" s="8"/>
      <c r="C451" s="8"/>
      <c r="D451" s="8"/>
      <c r="E451" s="8"/>
      <c r="F451" s="8"/>
      <c r="G451" s="8"/>
    </row>
    <row r="452" spans="1:7" x14ac:dyDescent="0.25">
      <c r="A452" s="8"/>
      <c r="B452" s="8"/>
      <c r="C452" s="8"/>
      <c r="D452" s="8"/>
      <c r="E452" s="8"/>
      <c r="F452" s="8"/>
      <c r="G452" s="8"/>
    </row>
    <row r="453" spans="1:7" x14ac:dyDescent="0.25">
      <c r="A453" s="8"/>
      <c r="B453" s="8"/>
      <c r="C453" s="8"/>
      <c r="D453" s="8"/>
      <c r="E453" s="8"/>
      <c r="F453" s="8"/>
      <c r="G453" s="8"/>
    </row>
    <row r="454" spans="1:7" x14ac:dyDescent="0.25">
      <c r="A454" s="8"/>
      <c r="B454" s="8"/>
      <c r="C454" s="8"/>
      <c r="D454" s="8"/>
      <c r="E454" s="8"/>
      <c r="F454" s="8"/>
      <c r="G454" s="8"/>
    </row>
    <row r="455" spans="1:7" x14ac:dyDescent="0.25">
      <c r="A455" s="8"/>
      <c r="B455" s="8"/>
      <c r="C455" s="8"/>
      <c r="D455" s="8"/>
      <c r="E455" s="8"/>
      <c r="F455" s="8"/>
      <c r="G455" s="8"/>
    </row>
    <row r="456" spans="1:7" x14ac:dyDescent="0.25">
      <c r="A456" s="8"/>
      <c r="B456" s="8"/>
      <c r="C456" s="8"/>
      <c r="D456" s="8"/>
      <c r="E456" s="8"/>
      <c r="F456" s="8"/>
      <c r="G456" s="8"/>
    </row>
    <row r="457" spans="1:7" x14ac:dyDescent="0.25">
      <c r="A457" s="8"/>
      <c r="B457" s="8"/>
      <c r="C457" s="8"/>
      <c r="D457" s="8"/>
      <c r="E457" s="8"/>
      <c r="F457" s="8"/>
      <c r="G457" s="8"/>
    </row>
    <row r="458" spans="1:7" x14ac:dyDescent="0.25">
      <c r="A458" s="8"/>
      <c r="B458" s="8"/>
      <c r="C458" s="8"/>
      <c r="D458" s="8"/>
      <c r="E458" s="8"/>
      <c r="F458" s="8"/>
      <c r="G458" s="8"/>
    </row>
    <row r="459" spans="1:7" x14ac:dyDescent="0.25">
      <c r="A459" s="8"/>
      <c r="B459" s="8"/>
      <c r="C459" s="8"/>
      <c r="D459" s="8"/>
      <c r="E459" s="8"/>
      <c r="F459" s="8"/>
      <c r="G459" s="8"/>
    </row>
    <row r="460" spans="1:7" x14ac:dyDescent="0.25">
      <c r="A460" s="8"/>
      <c r="B460" s="8"/>
      <c r="C460" s="8"/>
      <c r="D460" s="8"/>
      <c r="E460" s="8"/>
      <c r="F460" s="8"/>
      <c r="G460" s="8"/>
    </row>
    <row r="461" spans="1:7" x14ac:dyDescent="0.25">
      <c r="A461" s="8"/>
      <c r="B461" s="8"/>
      <c r="C461" s="8"/>
      <c r="D461" s="8"/>
      <c r="E461" s="8"/>
      <c r="F461" s="8"/>
      <c r="G461" s="8"/>
    </row>
    <row r="462" spans="1:7" x14ac:dyDescent="0.25">
      <c r="A462" s="8"/>
      <c r="B462" s="8"/>
      <c r="C462" s="8"/>
      <c r="D462" s="8"/>
      <c r="E462" s="8"/>
      <c r="F462" s="8"/>
      <c r="G462" s="8"/>
    </row>
    <row r="463" spans="1:7" x14ac:dyDescent="0.25">
      <c r="A463" s="8"/>
      <c r="B463" s="8"/>
      <c r="C463" s="8"/>
      <c r="D463" s="8"/>
      <c r="E463" s="8"/>
      <c r="F463" s="8"/>
      <c r="G463" s="8"/>
    </row>
    <row r="464" spans="1:7" x14ac:dyDescent="0.25">
      <c r="A464" s="8"/>
      <c r="B464" s="8"/>
      <c r="C464" s="8"/>
      <c r="D464" s="8"/>
      <c r="E464" s="8"/>
      <c r="F464" s="8"/>
      <c r="G464" s="8"/>
    </row>
    <row r="465" spans="1:7" x14ac:dyDescent="0.25">
      <c r="A465" s="8"/>
      <c r="B465" s="8"/>
      <c r="C465" s="8"/>
      <c r="D465" s="8"/>
      <c r="E465" s="8"/>
      <c r="F465" s="8"/>
      <c r="G465" s="8"/>
    </row>
    <row r="466" spans="1:7" x14ac:dyDescent="0.25">
      <c r="A466" s="8"/>
      <c r="B466" s="8"/>
      <c r="C466" s="8"/>
      <c r="D466" s="8"/>
      <c r="E466" s="8"/>
      <c r="F466" s="8"/>
      <c r="G466" s="8"/>
    </row>
    <row r="467" spans="1:7" x14ac:dyDescent="0.25">
      <c r="A467" s="8"/>
      <c r="B467" s="8"/>
      <c r="C467" s="8"/>
      <c r="D467" s="8"/>
      <c r="E467" s="8"/>
      <c r="F467" s="8"/>
      <c r="G467" s="8"/>
    </row>
    <row r="468" spans="1:7" x14ac:dyDescent="0.25">
      <c r="A468" s="8"/>
      <c r="B468" s="8"/>
      <c r="C468" s="8"/>
      <c r="D468" s="8"/>
      <c r="E468" s="8"/>
      <c r="F468" s="8"/>
      <c r="G468" s="8"/>
    </row>
    <row r="469" spans="1:7" x14ac:dyDescent="0.25">
      <c r="A469" s="8"/>
      <c r="B469" s="8"/>
      <c r="C469" s="8"/>
      <c r="D469" s="8"/>
      <c r="E469" s="8"/>
      <c r="F469" s="8"/>
      <c r="G469" s="8"/>
    </row>
    <row r="470" spans="1:7" x14ac:dyDescent="0.25">
      <c r="A470" s="8"/>
      <c r="B470" s="8"/>
      <c r="C470" s="8"/>
      <c r="D470" s="8"/>
      <c r="E470" s="8"/>
      <c r="F470" s="8"/>
      <c r="G470" s="8"/>
    </row>
    <row r="471" spans="1:7" x14ac:dyDescent="0.25">
      <c r="A471" s="8"/>
      <c r="B471" s="8"/>
      <c r="C471" s="8"/>
      <c r="D471" s="8"/>
      <c r="E471" s="8"/>
      <c r="F471" s="8"/>
      <c r="G471" s="8"/>
    </row>
    <row r="472" spans="1:7" x14ac:dyDescent="0.25">
      <c r="A472" s="8"/>
      <c r="B472" s="8"/>
      <c r="C472" s="8"/>
      <c r="D472" s="8"/>
      <c r="E472" s="8"/>
      <c r="F472" s="8"/>
      <c r="G472" s="8"/>
    </row>
    <row r="473" spans="1:7" x14ac:dyDescent="0.25">
      <c r="A473" s="8"/>
      <c r="B473" s="8"/>
      <c r="C473" s="8"/>
      <c r="D473" s="8"/>
      <c r="E473" s="8"/>
      <c r="F473" s="8"/>
      <c r="G473" s="8"/>
    </row>
    <row r="474" spans="1:7" x14ac:dyDescent="0.25">
      <c r="A474" s="8"/>
      <c r="B474" s="8"/>
      <c r="C474" s="8"/>
      <c r="D474" s="8"/>
      <c r="E474" s="8"/>
      <c r="F474" s="8"/>
      <c r="G474" s="8"/>
    </row>
    <row r="475" spans="1:7" x14ac:dyDescent="0.25">
      <c r="A475" s="8"/>
      <c r="B475" s="8"/>
      <c r="C475" s="8"/>
      <c r="D475" s="8"/>
      <c r="E475" s="8"/>
      <c r="F475" s="8"/>
      <c r="G475" s="8"/>
    </row>
    <row r="476" spans="1:7" x14ac:dyDescent="0.25">
      <c r="A476" s="8"/>
      <c r="B476" s="8"/>
      <c r="C476" s="8"/>
      <c r="D476" s="8"/>
      <c r="E476" s="8"/>
      <c r="F476" s="8"/>
      <c r="G476" s="8"/>
    </row>
    <row r="477" spans="1:7" x14ac:dyDescent="0.25">
      <c r="A477" s="8"/>
      <c r="B477" s="8"/>
      <c r="C477" s="8"/>
      <c r="D477" s="8"/>
      <c r="E477" s="8"/>
      <c r="F477" s="8"/>
      <c r="G477" s="8"/>
    </row>
    <row r="478" spans="1:7" x14ac:dyDescent="0.25">
      <c r="A478" s="8"/>
      <c r="B478" s="8"/>
      <c r="C478" s="8"/>
      <c r="D478" s="8"/>
      <c r="E478" s="8"/>
      <c r="F478" s="8"/>
      <c r="G478" s="8"/>
    </row>
    <row r="479" spans="1:7" x14ac:dyDescent="0.25">
      <c r="A479" s="8"/>
      <c r="B479" s="8"/>
      <c r="C479" s="8"/>
      <c r="D479" s="8"/>
      <c r="E479" s="8"/>
      <c r="F479" s="8"/>
      <c r="G479" s="8"/>
    </row>
    <row r="480" spans="1:7" x14ac:dyDescent="0.25">
      <c r="A480" s="8"/>
      <c r="B480" s="8"/>
      <c r="C480" s="8"/>
      <c r="D480" s="8"/>
      <c r="E480" s="8"/>
      <c r="F480" s="8"/>
      <c r="G480" s="8"/>
    </row>
    <row r="481" spans="1:7" x14ac:dyDescent="0.25">
      <c r="A481" s="8"/>
      <c r="B481" s="8"/>
      <c r="C481" s="8"/>
      <c r="D481" s="8"/>
      <c r="E481" s="8"/>
      <c r="F481" s="8"/>
      <c r="G481" s="8"/>
    </row>
    <row r="482" spans="1:7" x14ac:dyDescent="0.25">
      <c r="A482" s="8"/>
      <c r="B482" s="8"/>
      <c r="C482" s="8"/>
      <c r="D482" s="8"/>
      <c r="E482" s="8"/>
      <c r="F482" s="8"/>
      <c r="G482" s="8"/>
    </row>
    <row r="483" spans="1:7" x14ac:dyDescent="0.25">
      <c r="A483" s="8"/>
      <c r="B483" s="8"/>
      <c r="C483" s="8"/>
      <c r="D483" s="8"/>
      <c r="E483" s="8"/>
      <c r="F483" s="8"/>
      <c r="G483" s="8"/>
    </row>
    <row r="484" spans="1:7" x14ac:dyDescent="0.25">
      <c r="A484" s="8"/>
      <c r="B484" s="8"/>
      <c r="C484" s="8"/>
      <c r="D484" s="8"/>
      <c r="E484" s="8"/>
      <c r="F484" s="8"/>
      <c r="G484" s="8"/>
    </row>
    <row r="485" spans="1:7" x14ac:dyDescent="0.25">
      <c r="A485" s="8"/>
      <c r="B485" s="8"/>
      <c r="C485" s="8"/>
      <c r="D485" s="8"/>
      <c r="E485" s="8"/>
      <c r="F485" s="8"/>
      <c r="G485" s="8"/>
    </row>
    <row r="486" spans="1:7" x14ac:dyDescent="0.25">
      <c r="A486" s="8"/>
      <c r="B486" s="8"/>
      <c r="C486" s="8"/>
      <c r="D486" s="8"/>
      <c r="E486" s="8"/>
      <c r="F486" s="8"/>
      <c r="G486" s="8"/>
    </row>
    <row r="487" spans="1:7" x14ac:dyDescent="0.25">
      <c r="A487" s="8"/>
      <c r="B487" s="8"/>
      <c r="C487" s="8"/>
      <c r="D487" s="8"/>
      <c r="E487" s="8"/>
      <c r="F487" s="8"/>
      <c r="G487" s="8"/>
    </row>
    <row r="488" spans="1:7" x14ac:dyDescent="0.25">
      <c r="A488" s="8"/>
      <c r="B488" s="8"/>
      <c r="C488" s="8"/>
      <c r="D488" s="8"/>
      <c r="E488" s="8"/>
      <c r="F488" s="8"/>
      <c r="G488" s="8"/>
    </row>
    <row r="489" spans="1:7" x14ac:dyDescent="0.25">
      <c r="A489" s="8"/>
      <c r="B489" s="8"/>
      <c r="C489" s="8"/>
      <c r="D489" s="8"/>
      <c r="E489" s="8"/>
      <c r="F489" s="8"/>
      <c r="G489" s="8"/>
    </row>
    <row r="490" spans="1:7" x14ac:dyDescent="0.25">
      <c r="A490" s="8"/>
      <c r="B490" s="8"/>
      <c r="C490" s="8"/>
      <c r="D490" s="8"/>
      <c r="E490" s="8"/>
      <c r="F490" s="8"/>
      <c r="G490" s="8"/>
    </row>
    <row r="491" spans="1:7" x14ac:dyDescent="0.25">
      <c r="A491" s="8"/>
      <c r="B491" s="8"/>
      <c r="C491" s="8"/>
      <c r="D491" s="8"/>
      <c r="E491" s="8"/>
      <c r="F491" s="8"/>
      <c r="G491" s="8"/>
    </row>
    <row r="492" spans="1:7" x14ac:dyDescent="0.25">
      <c r="A492" s="8"/>
      <c r="B492" s="8"/>
      <c r="C492" s="8"/>
      <c r="D492" s="8"/>
      <c r="E492" s="8"/>
      <c r="F492" s="8"/>
      <c r="G492" s="8"/>
    </row>
    <row r="493" spans="1:7" x14ac:dyDescent="0.25">
      <c r="A493" s="8"/>
      <c r="B493" s="8"/>
      <c r="C493" s="8"/>
      <c r="D493" s="8"/>
      <c r="E493" s="8"/>
      <c r="F493" s="8"/>
      <c r="G493" s="8"/>
    </row>
    <row r="494" spans="1:7" x14ac:dyDescent="0.25">
      <c r="A494" s="8"/>
      <c r="B494" s="8"/>
      <c r="C494" s="8"/>
      <c r="D494" s="8"/>
      <c r="E494" s="8"/>
      <c r="F494" s="8"/>
      <c r="G494" s="8"/>
    </row>
    <row r="495" spans="1:7" x14ac:dyDescent="0.25">
      <c r="A495" s="8"/>
      <c r="B495" s="8"/>
      <c r="C495" s="8"/>
      <c r="D495" s="8"/>
      <c r="E495" s="8"/>
      <c r="F495" s="8"/>
      <c r="G495" s="8"/>
    </row>
    <row r="496" spans="1:7" x14ac:dyDescent="0.25">
      <c r="A496" s="8"/>
      <c r="B496" s="8"/>
      <c r="C496" s="8"/>
      <c r="D496" s="8"/>
      <c r="E496" s="8"/>
      <c r="F496" s="8"/>
      <c r="G496" s="8"/>
    </row>
    <row r="497" spans="1:7" x14ac:dyDescent="0.25">
      <c r="A497" s="8"/>
      <c r="B497" s="8"/>
      <c r="C497" s="8"/>
      <c r="D497" s="8"/>
      <c r="E497" s="8"/>
      <c r="F497" s="8"/>
      <c r="G497" s="8"/>
    </row>
    <row r="498" spans="1:7" x14ac:dyDescent="0.25">
      <c r="A498" s="8"/>
      <c r="B498" s="8"/>
      <c r="C498" s="8"/>
      <c r="D498" s="8"/>
      <c r="E498" s="8"/>
      <c r="F498" s="8"/>
      <c r="G498" s="8"/>
    </row>
    <row r="499" spans="1:7" x14ac:dyDescent="0.25">
      <c r="A499" s="8"/>
      <c r="B499" s="8"/>
      <c r="C499" s="8"/>
      <c r="D499" s="8"/>
      <c r="E499" s="8"/>
      <c r="F499" s="8"/>
      <c r="G499" s="8"/>
    </row>
    <row r="500" spans="1:7" x14ac:dyDescent="0.25">
      <c r="A500" s="8"/>
      <c r="B500" s="8"/>
      <c r="C500" s="8"/>
      <c r="D500" s="8"/>
      <c r="E500" s="8"/>
      <c r="F500" s="8"/>
      <c r="G500" s="8"/>
    </row>
    <row r="501" spans="1:7" x14ac:dyDescent="0.25">
      <c r="A501" s="8"/>
      <c r="B501" s="8"/>
      <c r="C501" s="8"/>
      <c r="D501" s="8"/>
      <c r="E501" s="8"/>
      <c r="F501" s="8"/>
      <c r="G501" s="8"/>
    </row>
    <row r="502" spans="1:7" x14ac:dyDescent="0.25">
      <c r="A502" s="8"/>
      <c r="B502" s="8"/>
      <c r="C502" s="8"/>
      <c r="D502" s="8"/>
      <c r="E502" s="8"/>
      <c r="F502" s="8"/>
      <c r="G502" s="8"/>
    </row>
    <row r="503" spans="1:7" x14ac:dyDescent="0.25">
      <c r="A503" s="8"/>
      <c r="B503" s="8"/>
      <c r="C503" s="8"/>
      <c r="D503" s="8"/>
      <c r="E503" s="8"/>
      <c r="F503" s="8"/>
      <c r="G503" s="8"/>
    </row>
    <row r="504" spans="1:7" x14ac:dyDescent="0.25">
      <c r="A504" s="8"/>
      <c r="B504" s="8"/>
      <c r="C504" s="8"/>
      <c r="D504" s="8"/>
      <c r="E504" s="8"/>
      <c r="F504" s="8"/>
      <c r="G504" s="8"/>
    </row>
    <row r="505" spans="1:7" x14ac:dyDescent="0.25">
      <c r="A505" s="8"/>
      <c r="B505" s="8"/>
      <c r="C505" s="8"/>
      <c r="D505" s="8"/>
      <c r="E505" s="8"/>
      <c r="F505" s="8"/>
      <c r="G505" s="8"/>
    </row>
    <row r="506" spans="1:7" x14ac:dyDescent="0.25">
      <c r="A506" s="8"/>
      <c r="B506" s="8"/>
      <c r="C506" s="8"/>
      <c r="D506" s="8"/>
      <c r="E506" s="8"/>
      <c r="F506" s="8"/>
      <c r="G506" s="8"/>
    </row>
    <row r="507" spans="1:7" x14ac:dyDescent="0.25">
      <c r="A507" s="8"/>
      <c r="B507" s="8"/>
      <c r="C507" s="8"/>
      <c r="D507" s="8"/>
      <c r="E507" s="8"/>
      <c r="F507" s="8"/>
      <c r="G507" s="8"/>
    </row>
    <row r="508" spans="1:7" x14ac:dyDescent="0.25">
      <c r="A508" s="8"/>
      <c r="B508" s="8"/>
      <c r="C508" s="8"/>
      <c r="D508" s="8"/>
      <c r="E508" s="8"/>
      <c r="F508" s="8"/>
      <c r="G508" s="8"/>
    </row>
    <row r="509" spans="1:7" x14ac:dyDescent="0.25">
      <c r="A509" s="8"/>
      <c r="B509" s="8"/>
      <c r="C509" s="8"/>
      <c r="D509" s="8"/>
      <c r="E509" s="8"/>
      <c r="F509" s="8"/>
      <c r="G509" s="8"/>
    </row>
    <row r="510" spans="1:7" x14ac:dyDescent="0.25">
      <c r="A510" s="8"/>
      <c r="B510" s="8"/>
      <c r="C510" s="8"/>
      <c r="D510" s="8"/>
      <c r="E510" s="8"/>
      <c r="F510" s="8"/>
      <c r="G510" s="8"/>
    </row>
    <row r="511" spans="1:7" x14ac:dyDescent="0.25">
      <c r="A511" s="8"/>
      <c r="B511" s="8"/>
      <c r="C511" s="8"/>
      <c r="D511" s="8"/>
      <c r="E511" s="8"/>
      <c r="F511" s="8"/>
      <c r="G511" s="8"/>
    </row>
    <row r="512" spans="1:7" x14ac:dyDescent="0.25">
      <c r="A512" s="8"/>
      <c r="B512" s="8"/>
      <c r="C512" s="8"/>
      <c r="D512" s="8"/>
      <c r="E512" s="8"/>
      <c r="F512" s="8"/>
      <c r="G512" s="8"/>
    </row>
    <row r="513" spans="1:7" x14ac:dyDescent="0.25">
      <c r="A513" s="8"/>
      <c r="B513" s="8"/>
      <c r="C513" s="8"/>
      <c r="D513" s="8"/>
      <c r="E513" s="8"/>
      <c r="F513" s="8"/>
      <c r="G513" s="8"/>
    </row>
    <row r="514" spans="1:7" x14ac:dyDescent="0.25">
      <c r="A514" s="8"/>
      <c r="B514" s="8"/>
      <c r="C514" s="8"/>
      <c r="D514" s="8"/>
      <c r="E514" s="8"/>
      <c r="F514" s="8"/>
      <c r="G514" s="8"/>
    </row>
    <row r="515" spans="1:7" x14ac:dyDescent="0.25">
      <c r="A515" s="8"/>
      <c r="B515" s="8"/>
      <c r="C515" s="8"/>
      <c r="D515" s="8"/>
      <c r="E515" s="8"/>
      <c r="F515" s="8"/>
      <c r="G515" s="8"/>
    </row>
    <row r="516" spans="1:7" x14ac:dyDescent="0.25">
      <c r="A516" s="8"/>
      <c r="B516" s="8"/>
      <c r="C516" s="8"/>
      <c r="D516" s="8"/>
      <c r="E516" s="8"/>
      <c r="F516" s="8"/>
      <c r="G516" s="8"/>
    </row>
    <row r="517" spans="1:7" x14ac:dyDescent="0.25">
      <c r="A517" s="8"/>
      <c r="B517" s="8"/>
      <c r="C517" s="8"/>
      <c r="D517" s="8"/>
      <c r="E517" s="8"/>
      <c r="F517" s="8"/>
      <c r="G517" s="8"/>
    </row>
    <row r="518" spans="1:7" x14ac:dyDescent="0.25">
      <c r="A518" s="8"/>
      <c r="B518" s="8"/>
      <c r="C518" s="8"/>
      <c r="D518" s="8"/>
      <c r="E518" s="8"/>
      <c r="F518" s="8"/>
      <c r="G518" s="8"/>
    </row>
    <row r="519" spans="1:7" x14ac:dyDescent="0.25">
      <c r="A519" s="8"/>
      <c r="B519" s="8"/>
      <c r="C519" s="8"/>
      <c r="D519" s="8"/>
      <c r="E519" s="8"/>
      <c r="F519" s="8"/>
      <c r="G519" s="8"/>
    </row>
    <row r="520" spans="1:7" x14ac:dyDescent="0.25">
      <c r="A520" s="8"/>
      <c r="B520" s="8"/>
      <c r="C520" s="8"/>
      <c r="D520" s="8"/>
      <c r="E520" s="8"/>
      <c r="F520" s="8"/>
      <c r="G520" s="8"/>
    </row>
    <row r="521" spans="1:7" x14ac:dyDescent="0.25">
      <c r="A521" s="8"/>
      <c r="B521" s="8"/>
      <c r="C521" s="8"/>
      <c r="D521" s="8"/>
      <c r="E521" s="8"/>
      <c r="F521" s="8"/>
      <c r="G521" s="8"/>
    </row>
    <row r="522" spans="1:7" x14ac:dyDescent="0.25">
      <c r="A522" s="8"/>
      <c r="B522" s="8"/>
      <c r="C522" s="8"/>
      <c r="D522" s="8"/>
      <c r="E522" s="8"/>
      <c r="F522" s="8"/>
      <c r="G522" s="8"/>
    </row>
    <row r="523" spans="1:7" x14ac:dyDescent="0.25">
      <c r="A523" s="8"/>
      <c r="B523" s="8"/>
      <c r="C523" s="8"/>
      <c r="D523" s="8"/>
      <c r="E523" s="8"/>
      <c r="F523" s="8"/>
      <c r="G523" s="8"/>
    </row>
    <row r="524" spans="1:7" x14ac:dyDescent="0.25">
      <c r="A524" s="8"/>
      <c r="B524" s="8"/>
      <c r="C524" s="8"/>
      <c r="D524" s="8"/>
      <c r="E524" s="8"/>
      <c r="F524" s="8"/>
      <c r="G524" s="8"/>
    </row>
    <row r="525" spans="1:7" x14ac:dyDescent="0.25">
      <c r="A525" s="8"/>
      <c r="B525" s="8"/>
      <c r="C525" s="8"/>
      <c r="D525" s="8"/>
      <c r="E525" s="8"/>
      <c r="F525" s="8"/>
      <c r="G525" s="8"/>
    </row>
    <row r="526" spans="1:7" x14ac:dyDescent="0.25">
      <c r="A526" s="8"/>
      <c r="B526" s="8"/>
      <c r="C526" s="8"/>
      <c r="D526" s="8"/>
      <c r="E526" s="8"/>
      <c r="F526" s="8"/>
      <c r="G526" s="8"/>
    </row>
    <row r="527" spans="1:7" x14ac:dyDescent="0.25">
      <c r="A527" s="8"/>
      <c r="B527" s="8"/>
      <c r="C527" s="8"/>
      <c r="D527" s="8"/>
      <c r="E527" s="8"/>
      <c r="F527" s="8"/>
      <c r="G527" s="8"/>
    </row>
    <row r="528" spans="1:7" x14ac:dyDescent="0.25">
      <c r="A528" s="8"/>
      <c r="B528" s="8"/>
      <c r="C528" s="8"/>
      <c r="D528" s="8"/>
      <c r="E528" s="8"/>
      <c r="F528" s="8"/>
      <c r="G528" s="8"/>
    </row>
    <row r="529" spans="1:7" x14ac:dyDescent="0.25">
      <c r="A529" s="8"/>
      <c r="B529" s="8"/>
      <c r="C529" s="8"/>
      <c r="D529" s="8"/>
      <c r="E529" s="8"/>
      <c r="F529" s="8"/>
      <c r="G529" s="8"/>
    </row>
    <row r="530" spans="1:7" x14ac:dyDescent="0.25">
      <c r="A530" s="8"/>
      <c r="B530" s="8"/>
      <c r="C530" s="8"/>
      <c r="D530" s="8"/>
      <c r="E530" s="8"/>
      <c r="F530" s="8"/>
      <c r="G530" s="8"/>
    </row>
    <row r="531" spans="1:7" x14ac:dyDescent="0.25">
      <c r="A531" s="8"/>
      <c r="B531" s="8"/>
      <c r="C531" s="8"/>
      <c r="D531" s="8"/>
      <c r="E531" s="8"/>
      <c r="F531" s="8"/>
      <c r="G531" s="8"/>
    </row>
    <row r="532" spans="1:7" x14ac:dyDescent="0.25">
      <c r="A532" s="8"/>
      <c r="B532" s="8"/>
      <c r="C532" s="8"/>
      <c r="D532" s="8"/>
      <c r="E532" s="8"/>
      <c r="F532" s="8"/>
      <c r="G532" s="8"/>
    </row>
    <row r="533" spans="1:7" x14ac:dyDescent="0.25">
      <c r="A533" s="8"/>
      <c r="B533" s="8"/>
      <c r="C533" s="8"/>
      <c r="D533" s="8"/>
      <c r="E533" s="8"/>
      <c r="F533" s="8"/>
      <c r="G533" s="8"/>
    </row>
    <row r="534" spans="1:7" x14ac:dyDescent="0.25">
      <c r="A534" s="8"/>
      <c r="B534" s="8"/>
      <c r="C534" s="8"/>
      <c r="D534" s="8"/>
      <c r="E534" s="8"/>
      <c r="F534" s="8"/>
      <c r="G534" s="8"/>
    </row>
    <row r="535" spans="1:7" x14ac:dyDescent="0.25">
      <c r="A535" s="8"/>
      <c r="B535" s="8"/>
      <c r="C535" s="8"/>
      <c r="D535" s="8"/>
      <c r="E535" s="8"/>
      <c r="F535" s="8"/>
      <c r="G535" s="8"/>
    </row>
    <row r="536" spans="1:7" x14ac:dyDescent="0.25">
      <c r="A536" s="8"/>
      <c r="B536" s="8"/>
      <c r="C536" s="8"/>
      <c r="D536" s="8"/>
      <c r="E536" s="8"/>
      <c r="F536" s="8"/>
      <c r="G536" s="8"/>
    </row>
    <row r="537" spans="1:7" x14ac:dyDescent="0.25">
      <c r="A537" s="8"/>
      <c r="B537" s="8"/>
      <c r="C537" s="8"/>
      <c r="D537" s="8"/>
      <c r="E537" s="8"/>
      <c r="F537" s="8"/>
      <c r="G537" s="8"/>
    </row>
    <row r="538" spans="1:7" x14ac:dyDescent="0.25">
      <c r="A538" s="8"/>
      <c r="B538" s="8"/>
      <c r="C538" s="8"/>
      <c r="D538" s="8"/>
      <c r="E538" s="8"/>
      <c r="F538" s="8"/>
      <c r="G538" s="8"/>
    </row>
    <row r="539" spans="1:7" x14ac:dyDescent="0.25">
      <c r="A539" s="8"/>
      <c r="B539" s="8"/>
      <c r="C539" s="8"/>
      <c r="D539" s="8"/>
      <c r="E539" s="8"/>
      <c r="F539" s="8"/>
      <c r="G539" s="8"/>
    </row>
    <row r="540" spans="1:7" x14ac:dyDescent="0.25">
      <c r="A540" s="8"/>
      <c r="B540" s="8"/>
      <c r="C540" s="8"/>
      <c r="D540" s="8"/>
      <c r="E540" s="8"/>
      <c r="F540" s="8"/>
      <c r="G540" s="8"/>
    </row>
    <row r="541" spans="1:7" x14ac:dyDescent="0.25">
      <c r="A541" s="8"/>
      <c r="B541" s="8"/>
      <c r="C541" s="8"/>
      <c r="D541" s="8"/>
      <c r="E541" s="8"/>
      <c r="F541" s="8"/>
      <c r="G541" s="8"/>
    </row>
    <row r="542" spans="1:7" x14ac:dyDescent="0.25">
      <c r="A542" s="8"/>
      <c r="B542" s="8"/>
      <c r="C542" s="8"/>
      <c r="D542" s="8"/>
      <c r="E542" s="8"/>
      <c r="F542" s="8"/>
      <c r="G542" s="8"/>
    </row>
    <row r="543" spans="1:7" x14ac:dyDescent="0.25">
      <c r="A543" s="8"/>
      <c r="B543" s="8"/>
      <c r="C543" s="8"/>
      <c r="D543" s="8"/>
      <c r="E543" s="8"/>
      <c r="F543" s="8"/>
      <c r="G543" s="8"/>
    </row>
    <row r="544" spans="1:7" x14ac:dyDescent="0.25">
      <c r="A544" s="8"/>
      <c r="B544" s="8"/>
      <c r="C544" s="8"/>
      <c r="D544" s="8"/>
      <c r="E544" s="8"/>
      <c r="F544" s="8"/>
      <c r="G544" s="8"/>
    </row>
    <row r="545" spans="1:7" x14ac:dyDescent="0.25">
      <c r="A545" s="8"/>
      <c r="B545" s="8"/>
      <c r="C545" s="8"/>
      <c r="D545" s="8"/>
      <c r="E545" s="8"/>
      <c r="F545" s="8"/>
      <c r="G545" s="8"/>
    </row>
    <row r="546" spans="1:7" x14ac:dyDescent="0.25">
      <c r="A546" s="8"/>
      <c r="B546" s="8"/>
      <c r="C546" s="8"/>
      <c r="D546" s="8"/>
      <c r="E546" s="8"/>
      <c r="F546" s="8"/>
      <c r="G546" s="8"/>
    </row>
    <row r="547" spans="1:7" x14ac:dyDescent="0.25">
      <c r="A547" s="8"/>
      <c r="B547" s="8"/>
      <c r="C547" s="8"/>
      <c r="D547" s="8"/>
      <c r="E547" s="8"/>
      <c r="F547" s="8"/>
      <c r="G547" s="8"/>
    </row>
    <row r="548" spans="1:7" x14ac:dyDescent="0.25">
      <c r="A548" s="8"/>
      <c r="B548" s="8"/>
      <c r="C548" s="8"/>
      <c r="D548" s="8"/>
      <c r="E548" s="8"/>
      <c r="F548" s="8"/>
      <c r="G548" s="8"/>
    </row>
    <row r="549" spans="1:7" x14ac:dyDescent="0.25">
      <c r="A549" s="8"/>
      <c r="B549" s="8"/>
      <c r="C549" s="8"/>
      <c r="D549" s="8"/>
      <c r="E549" s="8"/>
      <c r="F549" s="8"/>
      <c r="G549" s="8"/>
    </row>
    <row r="550" spans="1:7" x14ac:dyDescent="0.25">
      <c r="A550" s="8"/>
      <c r="B550" s="8"/>
      <c r="C550" s="8"/>
      <c r="D550" s="8"/>
      <c r="E550" s="8"/>
      <c r="F550" s="8"/>
      <c r="G550" s="8"/>
    </row>
    <row r="551" spans="1:7" x14ac:dyDescent="0.25">
      <c r="A551" s="8"/>
      <c r="B551" s="8"/>
      <c r="C551" s="8"/>
      <c r="D551" s="8"/>
      <c r="E551" s="8"/>
      <c r="F551" s="8"/>
      <c r="G551" s="8"/>
    </row>
    <row r="552" spans="1:7" x14ac:dyDescent="0.25">
      <c r="A552" s="8"/>
      <c r="B552" s="8"/>
      <c r="C552" s="8"/>
      <c r="D552" s="8"/>
      <c r="E552" s="8"/>
      <c r="F552" s="8"/>
      <c r="G552" s="8"/>
    </row>
    <row r="553" spans="1:7" x14ac:dyDescent="0.25">
      <c r="A553" s="8"/>
      <c r="B553" s="8"/>
      <c r="C553" s="8"/>
      <c r="D553" s="8"/>
      <c r="E553" s="8"/>
      <c r="F553" s="8"/>
      <c r="G553" s="8"/>
    </row>
    <row r="554" spans="1:7" x14ac:dyDescent="0.25">
      <c r="A554" s="8"/>
      <c r="B554" s="8"/>
      <c r="C554" s="8"/>
      <c r="D554" s="8"/>
      <c r="E554" s="8"/>
      <c r="F554" s="8"/>
      <c r="G554" s="8"/>
    </row>
    <row r="555" spans="1:7" x14ac:dyDescent="0.25">
      <c r="A555" s="8"/>
      <c r="B555" s="8"/>
      <c r="C555" s="8"/>
      <c r="D555" s="8"/>
      <c r="E555" s="8"/>
      <c r="F555" s="8"/>
      <c r="G555" s="8"/>
    </row>
    <row r="556" spans="1:7" x14ac:dyDescent="0.25">
      <c r="A556" s="8"/>
      <c r="B556" s="8"/>
      <c r="C556" s="8"/>
      <c r="D556" s="8"/>
      <c r="E556" s="8"/>
      <c r="F556" s="8"/>
      <c r="G556" s="8"/>
    </row>
    <row r="557" spans="1:7" x14ac:dyDescent="0.25">
      <c r="A557" s="8"/>
      <c r="B557" s="8"/>
      <c r="C557" s="8"/>
      <c r="D557" s="8"/>
      <c r="E557" s="8"/>
      <c r="F557" s="8"/>
      <c r="G557" s="8"/>
    </row>
    <row r="558" spans="1:7" x14ac:dyDescent="0.25">
      <c r="A558" s="8"/>
      <c r="B558" s="8"/>
      <c r="C558" s="8"/>
      <c r="D558" s="8"/>
      <c r="E558" s="8"/>
      <c r="F558" s="8"/>
      <c r="G558" s="8"/>
    </row>
    <row r="559" spans="1:7" x14ac:dyDescent="0.25">
      <c r="A559" s="8"/>
      <c r="B559" s="8"/>
      <c r="C559" s="8"/>
      <c r="D559" s="8"/>
      <c r="E559" s="8"/>
      <c r="F559" s="8"/>
      <c r="G559" s="8"/>
    </row>
    <row r="560" spans="1:7" x14ac:dyDescent="0.25">
      <c r="A560" s="8"/>
      <c r="B560" s="8"/>
      <c r="C560" s="8"/>
      <c r="D560" s="8"/>
      <c r="E560" s="8"/>
      <c r="F560" s="8"/>
      <c r="G560" s="8"/>
    </row>
    <row r="561" spans="1:7" x14ac:dyDescent="0.25">
      <c r="A561" s="8"/>
      <c r="B561" s="8"/>
      <c r="C561" s="8"/>
      <c r="D561" s="8"/>
      <c r="E561" s="8"/>
      <c r="F561" s="8"/>
      <c r="G561" s="8"/>
    </row>
    <row r="562" spans="1:7" x14ac:dyDescent="0.25">
      <c r="A562" s="8"/>
      <c r="B562" s="8"/>
      <c r="C562" s="8"/>
      <c r="D562" s="8"/>
      <c r="E562" s="8"/>
      <c r="F562" s="8"/>
      <c r="G562" s="8"/>
    </row>
    <row r="563" spans="1:7" x14ac:dyDescent="0.25">
      <c r="A563" s="8"/>
      <c r="B563" s="8"/>
      <c r="C563" s="8"/>
      <c r="D563" s="8"/>
      <c r="E563" s="8"/>
      <c r="F563" s="8"/>
      <c r="G563" s="8"/>
    </row>
    <row r="564" spans="1:7" x14ac:dyDescent="0.25">
      <c r="A564" s="8"/>
      <c r="B564" s="8"/>
      <c r="C564" s="8"/>
      <c r="D564" s="8"/>
      <c r="E564" s="8"/>
      <c r="F564" s="8"/>
      <c r="G564" s="8"/>
    </row>
    <row r="565" spans="1:7" x14ac:dyDescent="0.25">
      <c r="A565" s="8"/>
      <c r="B565" s="8"/>
      <c r="C565" s="8"/>
      <c r="D565" s="8"/>
      <c r="E565" s="8"/>
      <c r="F565" s="8"/>
      <c r="G565" s="8"/>
    </row>
    <row r="566" spans="1:7" x14ac:dyDescent="0.25">
      <c r="A566" s="8"/>
      <c r="B566" s="8"/>
      <c r="C566" s="8"/>
      <c r="D566" s="8"/>
      <c r="E566" s="8"/>
      <c r="F566" s="8"/>
      <c r="G566" s="8"/>
    </row>
    <row r="567" spans="1:7" x14ac:dyDescent="0.25">
      <c r="A567" s="8"/>
      <c r="B567" s="8"/>
      <c r="C567" s="8"/>
      <c r="D567" s="8"/>
      <c r="E567" s="8"/>
      <c r="F567" s="8"/>
      <c r="G567" s="8"/>
    </row>
    <row r="568" spans="1:7" x14ac:dyDescent="0.25">
      <c r="A568" s="8"/>
      <c r="B568" s="8"/>
      <c r="C568" s="8"/>
      <c r="D568" s="8"/>
      <c r="E568" s="8"/>
      <c r="F568" s="8"/>
      <c r="G568" s="8"/>
    </row>
    <row r="569" spans="1:7" x14ac:dyDescent="0.25">
      <c r="A569" s="8"/>
      <c r="B569" s="8"/>
      <c r="C569" s="8"/>
      <c r="D569" s="8"/>
      <c r="E569" s="8"/>
      <c r="F569" s="8"/>
      <c r="G569" s="8"/>
    </row>
    <row r="570" spans="1:7" x14ac:dyDescent="0.25">
      <c r="A570" s="8"/>
      <c r="B570" s="8"/>
      <c r="C570" s="8"/>
      <c r="D570" s="8"/>
      <c r="E570" s="8"/>
      <c r="F570" s="8"/>
      <c r="G570" s="8"/>
    </row>
    <row r="571" spans="1:7" x14ac:dyDescent="0.25">
      <c r="A571" s="8"/>
      <c r="B571" s="8"/>
      <c r="C571" s="8"/>
      <c r="D571" s="8"/>
      <c r="E571" s="8"/>
      <c r="F571" s="8"/>
      <c r="G571" s="8"/>
    </row>
    <row r="572" spans="1:7" x14ac:dyDescent="0.25">
      <c r="A572" s="8"/>
      <c r="B572" s="8"/>
      <c r="C572" s="8"/>
      <c r="D572" s="8"/>
      <c r="E572" s="8"/>
      <c r="F572" s="8"/>
      <c r="G572" s="8"/>
    </row>
    <row r="573" spans="1:7" x14ac:dyDescent="0.25">
      <c r="A573" s="8"/>
      <c r="B573" s="8"/>
      <c r="C573" s="8"/>
      <c r="D573" s="8"/>
      <c r="E573" s="8"/>
      <c r="F573" s="8"/>
      <c r="G573" s="8"/>
    </row>
    <row r="574" spans="1:7" x14ac:dyDescent="0.25">
      <c r="A574" s="8"/>
      <c r="B574" s="8"/>
      <c r="C574" s="8"/>
      <c r="D574" s="8"/>
      <c r="E574" s="8"/>
      <c r="F574" s="8"/>
      <c r="G574" s="8"/>
    </row>
    <row r="575" spans="1:7" x14ac:dyDescent="0.25">
      <c r="A575" s="8"/>
      <c r="B575" s="8"/>
      <c r="C575" s="8"/>
      <c r="D575" s="8"/>
      <c r="E575" s="8"/>
      <c r="F575" s="8"/>
      <c r="G575" s="8"/>
    </row>
    <row r="576" spans="1:7" x14ac:dyDescent="0.25">
      <c r="A576" s="8"/>
      <c r="B576" s="8"/>
      <c r="C576" s="8"/>
      <c r="D576" s="8"/>
      <c r="E576" s="8"/>
      <c r="F576" s="8"/>
      <c r="G576" s="8"/>
    </row>
    <row r="577" spans="1:7" x14ac:dyDescent="0.25">
      <c r="A577" s="8"/>
      <c r="B577" s="8"/>
      <c r="C577" s="8"/>
      <c r="D577" s="8"/>
      <c r="E577" s="8"/>
      <c r="F577" s="8"/>
      <c r="G577" s="8"/>
    </row>
    <row r="578" spans="1:7" x14ac:dyDescent="0.25">
      <c r="A578" s="8"/>
      <c r="B578" s="8"/>
      <c r="C578" s="8"/>
      <c r="D578" s="8"/>
      <c r="E578" s="8"/>
      <c r="F578" s="8"/>
      <c r="G578" s="8"/>
    </row>
    <row r="579" spans="1:7" x14ac:dyDescent="0.25">
      <c r="A579" s="8"/>
      <c r="B579" s="8"/>
      <c r="C579" s="8"/>
      <c r="D579" s="8"/>
      <c r="E579" s="8"/>
      <c r="F579" s="8"/>
      <c r="G579" s="8"/>
    </row>
    <row r="580" spans="1:7" x14ac:dyDescent="0.25">
      <c r="A580" s="8"/>
      <c r="B580" s="8"/>
      <c r="C580" s="8"/>
      <c r="D580" s="8"/>
      <c r="E580" s="8"/>
      <c r="F580" s="8"/>
      <c r="G580" s="8"/>
    </row>
    <row r="581" spans="1:7" x14ac:dyDescent="0.25">
      <c r="A581" s="8"/>
      <c r="B581" s="8"/>
      <c r="C581" s="8"/>
      <c r="D581" s="8"/>
      <c r="E581" s="8"/>
      <c r="F581" s="8"/>
      <c r="G581" s="8"/>
    </row>
    <row r="582" spans="1:7" x14ac:dyDescent="0.25">
      <c r="A582" s="8"/>
      <c r="B582" s="8"/>
      <c r="C582" s="8"/>
      <c r="D582" s="8"/>
      <c r="E582" s="8"/>
      <c r="F582" s="8"/>
      <c r="G582" s="8"/>
    </row>
    <row r="583" spans="1:7" x14ac:dyDescent="0.25">
      <c r="A583" s="8"/>
      <c r="B583" s="8"/>
      <c r="C583" s="8"/>
      <c r="D583" s="8"/>
      <c r="E583" s="8"/>
      <c r="F583" s="8"/>
      <c r="G583" s="8"/>
    </row>
    <row r="584" spans="1:7" x14ac:dyDescent="0.25">
      <c r="A584" s="8"/>
      <c r="B584" s="8"/>
      <c r="C584" s="8"/>
      <c r="D584" s="8"/>
      <c r="E584" s="8"/>
      <c r="F584" s="8"/>
      <c r="G584" s="8"/>
    </row>
    <row r="585" spans="1:7" x14ac:dyDescent="0.25">
      <c r="A585" s="8"/>
      <c r="B585" s="8"/>
      <c r="C585" s="8"/>
      <c r="D585" s="8"/>
      <c r="E585" s="8"/>
      <c r="F585" s="8"/>
      <c r="G585" s="8"/>
    </row>
    <row r="586" spans="1:7" x14ac:dyDescent="0.25">
      <c r="A586" s="8"/>
      <c r="B586" s="8"/>
      <c r="C586" s="8"/>
      <c r="D586" s="8"/>
      <c r="E586" s="8"/>
      <c r="F586" s="8"/>
      <c r="G586" s="8"/>
    </row>
    <row r="587" spans="1:7" x14ac:dyDescent="0.25">
      <c r="A587" s="8"/>
      <c r="B587" s="8"/>
      <c r="C587" s="8"/>
      <c r="D587" s="8"/>
      <c r="E587" s="8"/>
      <c r="F587" s="8"/>
      <c r="G587" s="8"/>
    </row>
    <row r="588" spans="1:7" x14ac:dyDescent="0.25">
      <c r="A588" s="8"/>
      <c r="B588" s="8"/>
      <c r="C588" s="8"/>
      <c r="D588" s="8"/>
      <c r="E588" s="8"/>
      <c r="F588" s="8"/>
      <c r="G588" s="8"/>
    </row>
    <row r="589" spans="1:7" x14ac:dyDescent="0.25">
      <c r="A589" s="8"/>
      <c r="B589" s="8"/>
      <c r="C589" s="8"/>
      <c r="D589" s="8"/>
      <c r="E589" s="8"/>
      <c r="F589" s="8"/>
      <c r="G589" s="8"/>
    </row>
    <row r="590" spans="1:7" x14ac:dyDescent="0.25">
      <c r="A590" s="8"/>
      <c r="B590" s="8"/>
      <c r="C590" s="8"/>
      <c r="D590" s="8"/>
      <c r="E590" s="8"/>
      <c r="F590" s="8"/>
      <c r="G590" s="8"/>
    </row>
    <row r="591" spans="1:7" x14ac:dyDescent="0.25">
      <c r="A591" s="8"/>
      <c r="B591" s="8"/>
      <c r="C591" s="8"/>
      <c r="D591" s="8"/>
      <c r="E591" s="8"/>
      <c r="F591" s="8"/>
      <c r="G591" s="8"/>
    </row>
    <row r="592" spans="1:7" x14ac:dyDescent="0.25">
      <c r="A592" s="8"/>
      <c r="B592" s="8"/>
      <c r="C592" s="8"/>
      <c r="D592" s="8"/>
      <c r="E592" s="8"/>
      <c r="F592" s="8"/>
      <c r="G592" s="8"/>
    </row>
    <row r="593" spans="1:7" x14ac:dyDescent="0.25">
      <c r="A593" s="8"/>
      <c r="B593" s="8"/>
      <c r="C593" s="8"/>
      <c r="D593" s="8"/>
      <c r="E593" s="8"/>
      <c r="F593" s="8"/>
      <c r="G593" s="8"/>
    </row>
    <row r="594" spans="1:7" x14ac:dyDescent="0.25">
      <c r="A594" s="8"/>
      <c r="B594" s="8"/>
      <c r="C594" s="8"/>
      <c r="D594" s="8"/>
      <c r="E594" s="8"/>
      <c r="F594" s="8"/>
      <c r="G594" s="8"/>
    </row>
    <row r="595" spans="1:7" x14ac:dyDescent="0.25">
      <c r="A595" s="8"/>
      <c r="B595" s="8"/>
      <c r="C595" s="8"/>
      <c r="D595" s="8"/>
      <c r="E595" s="8"/>
      <c r="F595" s="8"/>
      <c r="G595" s="8"/>
    </row>
    <row r="596" spans="1:7" x14ac:dyDescent="0.25">
      <c r="A596" s="8"/>
      <c r="B596" s="8"/>
      <c r="C596" s="8"/>
      <c r="D596" s="8"/>
      <c r="E596" s="8"/>
      <c r="F596" s="8"/>
      <c r="G596" s="8"/>
    </row>
    <row r="597" spans="1:7" x14ac:dyDescent="0.25">
      <c r="A597" s="8"/>
      <c r="B597" s="8"/>
      <c r="C597" s="8"/>
      <c r="D597" s="8"/>
      <c r="E597" s="8"/>
      <c r="F597" s="8"/>
      <c r="G597" s="8"/>
    </row>
    <row r="598" spans="1:7" x14ac:dyDescent="0.25">
      <c r="A598" s="8"/>
      <c r="B598" s="8"/>
      <c r="C598" s="8"/>
      <c r="D598" s="8"/>
      <c r="E598" s="8"/>
      <c r="F598" s="8"/>
      <c r="G598" s="8"/>
    </row>
    <row r="599" spans="1:7" x14ac:dyDescent="0.25">
      <c r="A599" s="8"/>
      <c r="B599" s="8"/>
      <c r="C599" s="8"/>
      <c r="D599" s="8"/>
      <c r="E599" s="8"/>
      <c r="F599" s="8"/>
      <c r="G599" s="8"/>
    </row>
    <row r="600" spans="1:7" x14ac:dyDescent="0.25">
      <c r="A600" s="8"/>
      <c r="B600" s="8"/>
      <c r="C600" s="8"/>
      <c r="D600" s="8"/>
      <c r="E600" s="8"/>
      <c r="F600" s="8"/>
      <c r="G600" s="8"/>
    </row>
    <row r="601" spans="1:7" x14ac:dyDescent="0.25">
      <c r="A601" s="8"/>
      <c r="B601" s="8"/>
      <c r="C601" s="8"/>
      <c r="D601" s="8"/>
      <c r="E601" s="8"/>
      <c r="F601" s="8"/>
      <c r="G601" s="8"/>
    </row>
    <row r="602" spans="1:7" x14ac:dyDescent="0.25">
      <c r="A602" s="8"/>
      <c r="B602" s="8"/>
      <c r="C602" s="8"/>
      <c r="D602" s="8"/>
      <c r="E602" s="8"/>
      <c r="F602" s="8"/>
      <c r="G602" s="8"/>
    </row>
    <row r="603" spans="1:7" x14ac:dyDescent="0.25">
      <c r="A603" s="8"/>
      <c r="B603" s="8"/>
      <c r="C603" s="8"/>
      <c r="D603" s="8"/>
      <c r="E603" s="8"/>
      <c r="F603" s="8"/>
      <c r="G603" s="8"/>
    </row>
    <row r="604" spans="1:7" x14ac:dyDescent="0.25">
      <c r="A604" s="8"/>
      <c r="B604" s="8"/>
      <c r="C604" s="8"/>
      <c r="D604" s="8"/>
      <c r="E604" s="8"/>
      <c r="F604" s="8"/>
      <c r="G604" s="8"/>
    </row>
    <row r="605" spans="1:7" x14ac:dyDescent="0.25">
      <c r="A605" s="8"/>
      <c r="B605" s="8"/>
      <c r="C605" s="8"/>
      <c r="D605" s="8"/>
      <c r="E605" s="8"/>
      <c r="F605" s="8"/>
      <c r="G605" s="8"/>
    </row>
    <row r="606" spans="1:7" x14ac:dyDescent="0.25">
      <c r="A606" s="8"/>
      <c r="B606" s="8"/>
      <c r="C606" s="8"/>
      <c r="D606" s="8"/>
      <c r="E606" s="8"/>
      <c r="F606" s="8"/>
      <c r="G606" s="8"/>
    </row>
    <row r="607" spans="1:7" x14ac:dyDescent="0.25">
      <c r="A607" s="8"/>
      <c r="B607" s="8"/>
      <c r="C607" s="8"/>
      <c r="D607" s="8"/>
      <c r="E607" s="8"/>
      <c r="F607" s="8"/>
      <c r="G607" s="8"/>
    </row>
    <row r="608" spans="1:7" x14ac:dyDescent="0.25">
      <c r="A608" s="8"/>
      <c r="B608" s="8"/>
      <c r="C608" s="8"/>
      <c r="D608" s="8"/>
      <c r="E608" s="8"/>
      <c r="F608" s="8"/>
      <c r="G608" s="8"/>
    </row>
    <row r="609" spans="1:7" x14ac:dyDescent="0.25">
      <c r="A609" s="8"/>
      <c r="B609" s="8"/>
      <c r="C609" s="8"/>
      <c r="D609" s="8"/>
      <c r="E609" s="8"/>
      <c r="F609" s="8"/>
      <c r="G609" s="8"/>
    </row>
    <row r="610" spans="1:7" x14ac:dyDescent="0.25">
      <c r="A610" s="8"/>
      <c r="B610" s="8"/>
      <c r="C610" s="8"/>
      <c r="D610" s="8"/>
      <c r="E610" s="8"/>
      <c r="F610" s="8"/>
      <c r="G610" s="8"/>
    </row>
    <row r="611" spans="1:7" x14ac:dyDescent="0.25">
      <c r="A611" s="8"/>
      <c r="B611" s="8"/>
      <c r="C611" s="8"/>
      <c r="D611" s="8"/>
      <c r="E611" s="8"/>
      <c r="F611" s="8"/>
      <c r="G611" s="8"/>
    </row>
    <row r="612" spans="1:7" x14ac:dyDescent="0.25">
      <c r="A612" s="8"/>
      <c r="B612" s="8"/>
      <c r="C612" s="8"/>
      <c r="D612" s="8"/>
      <c r="E612" s="8"/>
      <c r="F612" s="8"/>
      <c r="G612" s="8"/>
    </row>
    <row r="613" spans="1:7" x14ac:dyDescent="0.25">
      <c r="A613" s="8"/>
      <c r="B613" s="8"/>
      <c r="C613" s="8"/>
      <c r="D613" s="8"/>
      <c r="E613" s="8"/>
      <c r="F613" s="8"/>
      <c r="G613" s="8"/>
    </row>
    <row r="614" spans="1:7" x14ac:dyDescent="0.25">
      <c r="A614" s="8"/>
      <c r="B614" s="8"/>
      <c r="C614" s="8"/>
      <c r="D614" s="8"/>
      <c r="E614" s="8"/>
      <c r="F614" s="8"/>
      <c r="G614" s="8"/>
    </row>
    <row r="615" spans="1:7" x14ac:dyDescent="0.25">
      <c r="A615" s="8"/>
      <c r="B615" s="8"/>
      <c r="C615" s="8"/>
      <c r="D615" s="8"/>
      <c r="E615" s="8"/>
      <c r="F615" s="8"/>
      <c r="G615" s="8"/>
    </row>
    <row r="616" spans="1:7" x14ac:dyDescent="0.25">
      <c r="A616" s="8"/>
      <c r="B616" s="8"/>
      <c r="C616" s="8"/>
      <c r="D616" s="8"/>
      <c r="E616" s="8"/>
      <c r="F616" s="8"/>
      <c r="G616" s="8"/>
    </row>
    <row r="617" spans="1:7" x14ac:dyDescent="0.25">
      <c r="A617" s="8"/>
      <c r="B617" s="8"/>
      <c r="C617" s="8"/>
      <c r="D617" s="8"/>
      <c r="E617" s="8"/>
      <c r="F617" s="8"/>
      <c r="G617" s="8"/>
    </row>
    <row r="618" spans="1:7" x14ac:dyDescent="0.25">
      <c r="A618" s="8"/>
      <c r="B618" s="8"/>
      <c r="C618" s="8"/>
      <c r="D618" s="8"/>
      <c r="E618" s="8"/>
      <c r="F618" s="8"/>
      <c r="G618" s="8"/>
    </row>
    <row r="619" spans="1:7" x14ac:dyDescent="0.25">
      <c r="A619" s="8"/>
      <c r="B619" s="8"/>
      <c r="C619" s="8"/>
      <c r="D619" s="8"/>
      <c r="E619" s="8"/>
      <c r="F619" s="8"/>
      <c r="G619" s="8"/>
    </row>
    <row r="620" spans="1:7" x14ac:dyDescent="0.25">
      <c r="A620" s="8"/>
      <c r="B620" s="8"/>
      <c r="C620" s="8"/>
      <c r="D620" s="8"/>
      <c r="E620" s="8"/>
      <c r="F620" s="8"/>
      <c r="G620" s="8"/>
    </row>
    <row r="621" spans="1:7" x14ac:dyDescent="0.25">
      <c r="A621" s="8"/>
      <c r="B621" s="8"/>
      <c r="C621" s="8"/>
      <c r="D621" s="8"/>
      <c r="E621" s="8"/>
      <c r="F621" s="8"/>
      <c r="G621" s="8"/>
    </row>
    <row r="622" spans="1:7" x14ac:dyDescent="0.25">
      <c r="A622" s="8"/>
      <c r="B622" s="8"/>
      <c r="C622" s="8"/>
      <c r="D622" s="8"/>
      <c r="E622" s="8"/>
      <c r="F622" s="8"/>
      <c r="G622" s="8"/>
    </row>
    <row r="623" spans="1:7" x14ac:dyDescent="0.25">
      <c r="A623" s="8"/>
      <c r="B623" s="8"/>
      <c r="C623" s="8"/>
      <c r="D623" s="8"/>
      <c r="E623" s="8"/>
      <c r="F623" s="8"/>
      <c r="G623" s="8"/>
    </row>
    <row r="624" spans="1:7" x14ac:dyDescent="0.25">
      <c r="A624" s="8"/>
      <c r="B624" s="8"/>
      <c r="C624" s="8"/>
      <c r="D624" s="8"/>
      <c r="E624" s="8"/>
      <c r="F624" s="8"/>
      <c r="G624" s="8"/>
    </row>
    <row r="625" spans="1:7" x14ac:dyDescent="0.25">
      <c r="A625" s="8"/>
      <c r="B625" s="8"/>
      <c r="C625" s="8"/>
      <c r="D625" s="8"/>
      <c r="E625" s="8"/>
      <c r="F625" s="8"/>
      <c r="G625" s="8"/>
    </row>
    <row r="626" spans="1:7" x14ac:dyDescent="0.25">
      <c r="A626" s="8"/>
      <c r="B626" s="8"/>
      <c r="C626" s="8"/>
      <c r="D626" s="8"/>
      <c r="E626" s="8"/>
      <c r="F626" s="8"/>
      <c r="G626" s="8"/>
    </row>
    <row r="627" spans="1:7" x14ac:dyDescent="0.25">
      <c r="A627" s="8"/>
      <c r="B627" s="8"/>
      <c r="C627" s="8"/>
      <c r="D627" s="8"/>
      <c r="E627" s="8"/>
      <c r="F627" s="8"/>
      <c r="G627" s="8"/>
    </row>
    <row r="628" spans="1:7" x14ac:dyDescent="0.25">
      <c r="A628" s="8"/>
      <c r="B628" s="8"/>
      <c r="C628" s="8"/>
      <c r="D628" s="8"/>
      <c r="E628" s="8"/>
      <c r="F628" s="8"/>
      <c r="G628" s="8"/>
    </row>
    <row r="629" spans="1:7" x14ac:dyDescent="0.25">
      <c r="A629" s="8"/>
      <c r="B629" s="8"/>
      <c r="C629" s="8"/>
      <c r="D629" s="8"/>
      <c r="E629" s="8"/>
      <c r="F629" s="8"/>
      <c r="G629" s="8"/>
    </row>
    <row r="630" spans="1:7" x14ac:dyDescent="0.25">
      <c r="A630" s="8"/>
      <c r="B630" s="8"/>
      <c r="C630" s="8"/>
      <c r="D630" s="8"/>
      <c r="E630" s="8"/>
      <c r="F630" s="8"/>
      <c r="G630" s="8"/>
    </row>
    <row r="631" spans="1:7" x14ac:dyDescent="0.25">
      <c r="A631" s="8"/>
      <c r="B631" s="8"/>
      <c r="C631" s="8"/>
      <c r="D631" s="8"/>
      <c r="E631" s="8"/>
      <c r="F631" s="8"/>
      <c r="G631" s="8"/>
    </row>
    <row r="632" spans="1:7" x14ac:dyDescent="0.25">
      <c r="A632" s="8"/>
      <c r="B632" s="8"/>
      <c r="C632" s="8"/>
      <c r="D632" s="8"/>
      <c r="E632" s="8"/>
      <c r="F632" s="8"/>
      <c r="G632" s="8"/>
    </row>
    <row r="633" spans="1:7" x14ac:dyDescent="0.25">
      <c r="A633" s="8"/>
      <c r="B633" s="8"/>
      <c r="C633" s="8"/>
      <c r="D633" s="8"/>
      <c r="E633" s="8"/>
      <c r="F633" s="8"/>
      <c r="G633" s="8"/>
    </row>
    <row r="634" spans="1:7" x14ac:dyDescent="0.25">
      <c r="A634" s="8"/>
      <c r="B634" s="8"/>
      <c r="C634" s="8"/>
      <c r="D634" s="8"/>
      <c r="E634" s="8"/>
      <c r="F634" s="8"/>
      <c r="G634" s="8"/>
    </row>
    <row r="635" spans="1:7" x14ac:dyDescent="0.25">
      <c r="A635" s="8"/>
      <c r="B635" s="8"/>
      <c r="C635" s="8"/>
      <c r="D635" s="8"/>
      <c r="E635" s="8"/>
      <c r="F635" s="8"/>
      <c r="G635" s="8"/>
    </row>
    <row r="636" spans="1:7" x14ac:dyDescent="0.25">
      <c r="A636" s="8"/>
      <c r="B636" s="8"/>
      <c r="C636" s="8"/>
      <c r="D636" s="8"/>
      <c r="E636" s="8"/>
      <c r="F636" s="8"/>
      <c r="G636" s="8"/>
    </row>
    <row r="637" spans="1:7" x14ac:dyDescent="0.25">
      <c r="A637" s="8"/>
      <c r="B637" s="8"/>
      <c r="C637" s="8"/>
      <c r="D637" s="8"/>
      <c r="E637" s="8"/>
      <c r="F637" s="8"/>
      <c r="G637" s="8"/>
    </row>
    <row r="638" spans="1:7" x14ac:dyDescent="0.25">
      <c r="A638" s="8"/>
      <c r="B638" s="8"/>
      <c r="C638" s="8"/>
      <c r="D638" s="8"/>
      <c r="E638" s="8"/>
      <c r="F638" s="8"/>
      <c r="G638" s="8"/>
    </row>
    <row r="639" spans="1:7" x14ac:dyDescent="0.25">
      <c r="A639" s="8"/>
      <c r="B639" s="8"/>
      <c r="C639" s="8"/>
      <c r="D639" s="8"/>
      <c r="E639" s="8"/>
      <c r="F639" s="8"/>
      <c r="G639" s="8"/>
    </row>
    <row r="640" spans="1:7" x14ac:dyDescent="0.25">
      <c r="A640" s="8"/>
      <c r="B640" s="8"/>
      <c r="C640" s="8"/>
      <c r="D640" s="8"/>
      <c r="E640" s="8"/>
      <c r="F640" s="8"/>
      <c r="G640" s="8"/>
    </row>
    <row r="641" spans="1:7" x14ac:dyDescent="0.25">
      <c r="A641" s="8"/>
      <c r="B641" s="8"/>
      <c r="C641" s="8"/>
      <c r="D641" s="8"/>
      <c r="E641" s="8"/>
      <c r="F641" s="8"/>
      <c r="G641" s="8"/>
    </row>
    <row r="642" spans="1:7" x14ac:dyDescent="0.25">
      <c r="A642" s="8"/>
      <c r="B642" s="8"/>
      <c r="C642" s="8"/>
      <c r="D642" s="8"/>
      <c r="E642" s="8"/>
      <c r="F642" s="8"/>
      <c r="G642" s="8"/>
    </row>
    <row r="643" spans="1:7" x14ac:dyDescent="0.25">
      <c r="A643" s="8"/>
      <c r="B643" s="8"/>
      <c r="C643" s="8"/>
      <c r="D643" s="8"/>
      <c r="E643" s="8"/>
      <c r="F643" s="8"/>
      <c r="G643" s="8"/>
    </row>
    <row r="644" spans="1:7" x14ac:dyDescent="0.25">
      <c r="A644" s="8"/>
      <c r="B644" s="8"/>
      <c r="C644" s="8"/>
      <c r="D644" s="8"/>
      <c r="E644" s="8"/>
      <c r="F644" s="8"/>
      <c r="G644" s="8"/>
    </row>
    <row r="645" spans="1:7" x14ac:dyDescent="0.25">
      <c r="A645" s="8"/>
      <c r="B645" s="8"/>
      <c r="C645" s="8"/>
      <c r="D645" s="8"/>
      <c r="E645" s="8"/>
      <c r="F645" s="8"/>
      <c r="G645" s="8"/>
    </row>
    <row r="646" spans="1:7" x14ac:dyDescent="0.25">
      <c r="A646" s="8"/>
      <c r="B646" s="8"/>
      <c r="C646" s="8"/>
      <c r="D646" s="8"/>
      <c r="E646" s="8"/>
      <c r="F646" s="8"/>
      <c r="G646" s="8"/>
    </row>
    <row r="647" spans="1:7" x14ac:dyDescent="0.25">
      <c r="A647" s="8"/>
      <c r="B647" s="8"/>
      <c r="C647" s="8"/>
      <c r="D647" s="8"/>
      <c r="E647" s="8"/>
      <c r="F647" s="8"/>
      <c r="G647" s="8"/>
    </row>
    <row r="648" spans="1:7" x14ac:dyDescent="0.25">
      <c r="A648" s="8"/>
      <c r="B648" s="8"/>
      <c r="C648" s="8"/>
      <c r="D648" s="8"/>
      <c r="E648" s="8"/>
      <c r="F648" s="8"/>
      <c r="G648" s="8"/>
    </row>
    <row r="649" spans="1:7" x14ac:dyDescent="0.25">
      <c r="A649" s="8"/>
      <c r="B649" s="8"/>
      <c r="C649" s="8"/>
      <c r="D649" s="8"/>
      <c r="E649" s="8"/>
      <c r="F649" s="8"/>
      <c r="G649" s="8"/>
    </row>
    <row r="650" spans="1:7" x14ac:dyDescent="0.25">
      <c r="A650" s="8"/>
      <c r="B650" s="8"/>
      <c r="C650" s="8"/>
      <c r="D650" s="8"/>
      <c r="E650" s="8"/>
      <c r="F650" s="8"/>
      <c r="G650" s="8"/>
    </row>
    <row r="651" spans="1:7" x14ac:dyDescent="0.25">
      <c r="A651" s="8"/>
      <c r="B651" s="8"/>
      <c r="C651" s="8"/>
      <c r="D651" s="8"/>
      <c r="E651" s="8"/>
      <c r="F651" s="8"/>
      <c r="G651" s="8"/>
    </row>
    <row r="652" spans="1:7" x14ac:dyDescent="0.25">
      <c r="A652" s="8"/>
      <c r="B652" s="8"/>
      <c r="C652" s="8"/>
      <c r="D652" s="8"/>
      <c r="E652" s="8"/>
      <c r="F652" s="8"/>
      <c r="G652" s="8"/>
    </row>
    <row r="653" spans="1:7" x14ac:dyDescent="0.25">
      <c r="A653" s="8"/>
      <c r="B653" s="8"/>
      <c r="C653" s="8"/>
      <c r="D653" s="8"/>
      <c r="E653" s="8"/>
      <c r="F653" s="8"/>
      <c r="G653" s="8"/>
    </row>
    <row r="654" spans="1:7" x14ac:dyDescent="0.25">
      <c r="A654" s="8"/>
      <c r="B654" s="8"/>
      <c r="C654" s="8"/>
      <c r="D654" s="8"/>
      <c r="E654" s="8"/>
      <c r="F654" s="8"/>
      <c r="G654" s="8"/>
    </row>
    <row r="655" spans="1:7" x14ac:dyDescent="0.25">
      <c r="A655" s="8"/>
      <c r="B655" s="8"/>
      <c r="C655" s="8"/>
      <c r="D655" s="8"/>
      <c r="E655" s="8"/>
      <c r="F655" s="8"/>
      <c r="G655" s="8"/>
    </row>
    <row r="656" spans="1:7" x14ac:dyDescent="0.25">
      <c r="A656" s="8"/>
      <c r="B656" s="8"/>
      <c r="C656" s="8"/>
      <c r="D656" s="8"/>
      <c r="E656" s="8"/>
      <c r="F656" s="8"/>
      <c r="G656" s="8"/>
    </row>
    <row r="657" spans="1:7" x14ac:dyDescent="0.25">
      <c r="A657" s="8"/>
      <c r="B657" s="8"/>
      <c r="C657" s="8"/>
      <c r="D657" s="8"/>
      <c r="E657" s="8"/>
      <c r="F657" s="8"/>
      <c r="G657" s="8"/>
    </row>
    <row r="658" spans="1:7" x14ac:dyDescent="0.25">
      <c r="A658" s="8"/>
      <c r="B658" s="8"/>
      <c r="C658" s="8"/>
      <c r="D658" s="8"/>
      <c r="E658" s="8"/>
      <c r="F658" s="8"/>
      <c r="G658" s="8"/>
    </row>
    <row r="659" spans="1:7" x14ac:dyDescent="0.25">
      <c r="A659" s="8"/>
      <c r="B659" s="8"/>
      <c r="C659" s="8"/>
      <c r="D659" s="8"/>
      <c r="E659" s="8"/>
      <c r="F659" s="8"/>
      <c r="G659" s="8"/>
    </row>
    <row r="660" spans="1:7" x14ac:dyDescent="0.25">
      <c r="A660" s="8"/>
      <c r="B660" s="8"/>
      <c r="C660" s="8"/>
      <c r="D660" s="8"/>
      <c r="E660" s="8"/>
      <c r="F660" s="8"/>
      <c r="G660" s="8"/>
    </row>
    <row r="661" spans="1:7" x14ac:dyDescent="0.25">
      <c r="A661" s="8"/>
      <c r="B661" s="8"/>
      <c r="C661" s="8"/>
      <c r="D661" s="8"/>
      <c r="E661" s="8"/>
      <c r="F661" s="8"/>
      <c r="G661" s="8"/>
    </row>
    <row r="662" spans="1:7" x14ac:dyDescent="0.25">
      <c r="A662" s="8"/>
      <c r="B662" s="8"/>
      <c r="C662" s="8"/>
      <c r="D662" s="8"/>
      <c r="E662" s="8"/>
      <c r="F662" s="8"/>
      <c r="G662" s="8"/>
    </row>
    <row r="663" spans="1:7" x14ac:dyDescent="0.25">
      <c r="A663" s="8"/>
      <c r="B663" s="8"/>
      <c r="C663" s="8"/>
      <c r="D663" s="8"/>
      <c r="E663" s="8"/>
      <c r="F663" s="8"/>
      <c r="G663" s="8"/>
    </row>
    <row r="664" spans="1:7" x14ac:dyDescent="0.25">
      <c r="A664" s="8"/>
      <c r="B664" s="8"/>
      <c r="C664" s="8"/>
      <c r="D664" s="8"/>
      <c r="E664" s="8"/>
      <c r="F664" s="8"/>
      <c r="G664" s="8"/>
    </row>
    <row r="665" spans="1:7" x14ac:dyDescent="0.25">
      <c r="A665" s="8"/>
      <c r="B665" s="8"/>
      <c r="C665" s="8"/>
      <c r="D665" s="8"/>
      <c r="E665" s="8"/>
      <c r="F665" s="8"/>
      <c r="G665" s="8"/>
    </row>
    <row r="666" spans="1:7" x14ac:dyDescent="0.25">
      <c r="A666" s="8"/>
      <c r="B666" s="8"/>
      <c r="C666" s="8"/>
      <c r="D666" s="8"/>
      <c r="E666" s="8"/>
      <c r="F666" s="8"/>
      <c r="G666" s="8"/>
    </row>
    <row r="667" spans="1:7" x14ac:dyDescent="0.25">
      <c r="A667" s="8"/>
      <c r="B667" s="8"/>
      <c r="C667" s="8"/>
      <c r="D667" s="8"/>
      <c r="E667" s="8"/>
      <c r="F667" s="8"/>
      <c r="G667" s="8"/>
    </row>
    <row r="668" spans="1:7" x14ac:dyDescent="0.25">
      <c r="A668" s="8"/>
      <c r="B668" s="8"/>
      <c r="C668" s="8"/>
      <c r="D668" s="8"/>
      <c r="E668" s="8"/>
      <c r="F668" s="8"/>
      <c r="G668" s="8"/>
    </row>
    <row r="669" spans="1:7" x14ac:dyDescent="0.25">
      <c r="A669" s="8"/>
      <c r="B669" s="8"/>
      <c r="C669" s="8"/>
      <c r="D669" s="8"/>
      <c r="E669" s="8"/>
      <c r="F669" s="8"/>
      <c r="G669" s="8"/>
    </row>
    <row r="670" spans="1:7" x14ac:dyDescent="0.25">
      <c r="A670" s="8"/>
      <c r="B670" s="8"/>
      <c r="C670" s="8"/>
      <c r="D670" s="8"/>
      <c r="E670" s="8"/>
      <c r="F670" s="8"/>
      <c r="G670" s="8"/>
    </row>
    <row r="671" spans="1:7" x14ac:dyDescent="0.25">
      <c r="A671" s="8"/>
      <c r="B671" s="8"/>
      <c r="C671" s="8"/>
      <c r="D671" s="8"/>
      <c r="E671" s="8"/>
      <c r="F671" s="8"/>
      <c r="G671" s="8"/>
    </row>
    <row r="672" spans="1:7" x14ac:dyDescent="0.25">
      <c r="A672" s="8"/>
      <c r="B672" s="8"/>
      <c r="C672" s="8"/>
      <c r="D672" s="8"/>
      <c r="E672" s="8"/>
      <c r="F672" s="8"/>
      <c r="G672" s="8"/>
    </row>
    <row r="673" spans="1:7" x14ac:dyDescent="0.25">
      <c r="A673" s="8"/>
      <c r="B673" s="8"/>
      <c r="C673" s="8"/>
      <c r="D673" s="8"/>
      <c r="E673" s="8"/>
      <c r="F673" s="8"/>
      <c r="G673" s="8"/>
    </row>
    <row r="674" spans="1:7" x14ac:dyDescent="0.25">
      <c r="A674" s="8"/>
      <c r="B674" s="8"/>
      <c r="C674" s="8"/>
      <c r="D674" s="8"/>
      <c r="E674" s="8"/>
      <c r="F674" s="8"/>
      <c r="G674" s="8"/>
    </row>
    <row r="675" spans="1:7" x14ac:dyDescent="0.25">
      <c r="A675" s="8"/>
      <c r="B675" s="8"/>
      <c r="C675" s="8"/>
      <c r="D675" s="8"/>
      <c r="E675" s="8"/>
      <c r="F675" s="8"/>
      <c r="G675" s="8"/>
    </row>
    <row r="676" spans="1:7" x14ac:dyDescent="0.25">
      <c r="A676" s="8"/>
      <c r="B676" s="8"/>
      <c r="C676" s="8"/>
      <c r="D676" s="8"/>
      <c r="E676" s="8"/>
      <c r="F676" s="8"/>
      <c r="G676" s="8"/>
    </row>
    <row r="677" spans="1:7" x14ac:dyDescent="0.25">
      <c r="A677" s="8"/>
      <c r="B677" s="8"/>
      <c r="C677" s="8"/>
      <c r="D677" s="8"/>
      <c r="E677" s="8"/>
      <c r="F677" s="8"/>
      <c r="G677" s="8"/>
    </row>
    <row r="678" spans="1:7" x14ac:dyDescent="0.25">
      <c r="A678" s="8"/>
      <c r="B678" s="8"/>
      <c r="C678" s="8"/>
      <c r="D678" s="8"/>
      <c r="E678" s="8"/>
      <c r="F678" s="8"/>
      <c r="G678" s="8"/>
    </row>
    <row r="679" spans="1:7" x14ac:dyDescent="0.25">
      <c r="A679" s="8"/>
      <c r="B679" s="8"/>
      <c r="C679" s="8"/>
      <c r="D679" s="8"/>
      <c r="E679" s="8"/>
      <c r="F679" s="8"/>
      <c r="G679" s="8"/>
    </row>
    <row r="680" spans="1:7" x14ac:dyDescent="0.25">
      <c r="A680" s="8"/>
      <c r="B680" s="8"/>
      <c r="C680" s="8"/>
      <c r="D680" s="8"/>
      <c r="E680" s="8"/>
      <c r="F680" s="8"/>
      <c r="G680" s="8"/>
    </row>
    <row r="681" spans="1:7" x14ac:dyDescent="0.25">
      <c r="A681" s="8"/>
      <c r="B681" s="8"/>
      <c r="C681" s="8"/>
      <c r="D681" s="8"/>
      <c r="E681" s="8"/>
      <c r="F681" s="8"/>
      <c r="G681" s="8"/>
    </row>
    <row r="682" spans="1:7" x14ac:dyDescent="0.25">
      <c r="A682" s="8"/>
      <c r="B682" s="8"/>
      <c r="C682" s="8"/>
      <c r="D682" s="8"/>
      <c r="E682" s="8"/>
      <c r="F682" s="8"/>
      <c r="G682" s="8"/>
    </row>
    <row r="683" spans="1:7" x14ac:dyDescent="0.25">
      <c r="A683" s="8"/>
      <c r="B683" s="8"/>
      <c r="C683" s="8"/>
      <c r="D683" s="8"/>
      <c r="E683" s="8"/>
      <c r="F683" s="8"/>
      <c r="G683" s="8"/>
    </row>
    <row r="684" spans="1:7" x14ac:dyDescent="0.25">
      <c r="A684" s="8"/>
      <c r="B684" s="8"/>
      <c r="C684" s="8"/>
      <c r="D684" s="8"/>
      <c r="E684" s="8"/>
      <c r="F684" s="8"/>
      <c r="G684" s="8"/>
    </row>
    <row r="685" spans="1:7" x14ac:dyDescent="0.25">
      <c r="A685" s="8"/>
      <c r="B685" s="8"/>
      <c r="C685" s="8"/>
      <c r="D685" s="8"/>
      <c r="E685" s="8"/>
      <c r="F685" s="8"/>
      <c r="G685" s="8"/>
    </row>
    <row r="686" spans="1:7" x14ac:dyDescent="0.25">
      <c r="A686" s="8"/>
      <c r="B686" s="8"/>
      <c r="C686" s="8"/>
      <c r="D686" s="8"/>
      <c r="E686" s="8"/>
      <c r="F686" s="8"/>
      <c r="G686" s="8"/>
    </row>
    <row r="687" spans="1:7" x14ac:dyDescent="0.25">
      <c r="A687" s="8"/>
      <c r="B687" s="8"/>
      <c r="C687" s="8"/>
      <c r="D687" s="8"/>
      <c r="E687" s="8"/>
      <c r="F687" s="8"/>
      <c r="G687" s="8"/>
    </row>
    <row r="688" spans="1:7" x14ac:dyDescent="0.25">
      <c r="A688" s="8"/>
      <c r="B688" s="8"/>
      <c r="C688" s="8"/>
      <c r="D688" s="8"/>
      <c r="E688" s="8"/>
      <c r="F688" s="8"/>
      <c r="G688" s="8"/>
    </row>
    <row r="689" spans="1:7" x14ac:dyDescent="0.25">
      <c r="A689" s="8"/>
      <c r="B689" s="8"/>
      <c r="C689" s="8"/>
      <c r="D689" s="8"/>
      <c r="E689" s="8"/>
      <c r="F689" s="8"/>
      <c r="G689" s="8"/>
    </row>
    <row r="690" spans="1:7" x14ac:dyDescent="0.25">
      <c r="A690" s="8"/>
      <c r="B690" s="8"/>
      <c r="C690" s="8"/>
      <c r="D690" s="8"/>
      <c r="E690" s="8"/>
      <c r="F690" s="8"/>
      <c r="G690" s="8"/>
    </row>
    <row r="691" spans="1:7" x14ac:dyDescent="0.25">
      <c r="A691" s="8"/>
      <c r="B691" s="8"/>
      <c r="C691" s="8"/>
      <c r="D691" s="8"/>
      <c r="E691" s="8"/>
      <c r="F691" s="8"/>
      <c r="G691" s="8"/>
    </row>
    <row r="692" spans="1:7" x14ac:dyDescent="0.25">
      <c r="A692" s="8"/>
      <c r="B692" s="8"/>
      <c r="C692" s="8"/>
      <c r="D692" s="8"/>
      <c r="E692" s="8"/>
      <c r="F692" s="8"/>
      <c r="G692" s="8"/>
    </row>
    <row r="693" spans="1:7" x14ac:dyDescent="0.25">
      <c r="A693" s="8"/>
      <c r="B693" s="8"/>
      <c r="C693" s="8"/>
      <c r="D693" s="8"/>
      <c r="E693" s="8"/>
      <c r="F693" s="8"/>
      <c r="G693" s="8"/>
    </row>
    <row r="694" spans="1:7" x14ac:dyDescent="0.25">
      <c r="A694" s="8"/>
      <c r="B694" s="8"/>
      <c r="C694" s="8"/>
      <c r="D694" s="8"/>
      <c r="E694" s="8"/>
      <c r="F694" s="8"/>
      <c r="G694" s="8"/>
    </row>
    <row r="695" spans="1:7" x14ac:dyDescent="0.25">
      <c r="A695" s="8"/>
      <c r="B695" s="8"/>
      <c r="C695" s="8"/>
      <c r="D695" s="8"/>
      <c r="E695" s="8"/>
      <c r="F695" s="8"/>
      <c r="G695" s="8"/>
    </row>
    <row r="696" spans="1:7" x14ac:dyDescent="0.25">
      <c r="A696" s="8"/>
      <c r="B696" s="8"/>
      <c r="C696" s="8"/>
      <c r="D696" s="8"/>
      <c r="E696" s="8"/>
      <c r="F696" s="8"/>
      <c r="G696" s="8"/>
    </row>
    <row r="697" spans="1:7" x14ac:dyDescent="0.25">
      <c r="A697" s="8"/>
      <c r="B697" s="8"/>
      <c r="C697" s="8"/>
      <c r="D697" s="8"/>
      <c r="E697" s="8"/>
      <c r="F697" s="8"/>
      <c r="G697" s="8"/>
    </row>
    <row r="698" spans="1:7" x14ac:dyDescent="0.25">
      <c r="A698" s="8"/>
      <c r="B698" s="8"/>
      <c r="C698" s="8"/>
      <c r="D698" s="8"/>
      <c r="E698" s="8"/>
      <c r="F698" s="8"/>
      <c r="G698" s="8"/>
    </row>
    <row r="699" spans="1:7" x14ac:dyDescent="0.25">
      <c r="A699" s="8"/>
      <c r="B699" s="8"/>
      <c r="C699" s="8"/>
      <c r="D699" s="8"/>
      <c r="E699" s="8"/>
      <c r="F699" s="8"/>
      <c r="G699" s="8"/>
    </row>
    <row r="700" spans="1:7" x14ac:dyDescent="0.25">
      <c r="A700" s="8"/>
      <c r="B700" s="8"/>
      <c r="C700" s="8"/>
      <c r="D700" s="8"/>
      <c r="E700" s="8"/>
      <c r="F700" s="8"/>
      <c r="G700" s="8"/>
    </row>
    <row r="701" spans="1:7" x14ac:dyDescent="0.25">
      <c r="A701" s="8"/>
      <c r="B701" s="8"/>
      <c r="C701" s="8"/>
      <c r="D701" s="8"/>
      <c r="E701" s="8"/>
      <c r="F701" s="8"/>
      <c r="G701" s="8"/>
    </row>
    <row r="702" spans="1:7" x14ac:dyDescent="0.25">
      <c r="A702" s="8"/>
      <c r="B702" s="8"/>
      <c r="C702" s="8"/>
      <c r="D702" s="8"/>
      <c r="E702" s="8"/>
      <c r="F702" s="8"/>
      <c r="G702" s="8"/>
    </row>
    <row r="703" spans="1:7" x14ac:dyDescent="0.25">
      <c r="A703" s="8"/>
      <c r="B703" s="8"/>
      <c r="C703" s="8"/>
      <c r="D703" s="8"/>
      <c r="E703" s="8"/>
      <c r="F703" s="8"/>
      <c r="G703" s="8"/>
    </row>
    <row r="704" spans="1:7" x14ac:dyDescent="0.25">
      <c r="A704" s="8"/>
      <c r="B704" s="8"/>
      <c r="C704" s="8"/>
      <c r="D704" s="8"/>
      <c r="E704" s="8"/>
      <c r="F704" s="8"/>
      <c r="G704" s="8"/>
    </row>
    <row r="705" spans="1:7" x14ac:dyDescent="0.25">
      <c r="A705" s="8"/>
      <c r="B705" s="8"/>
      <c r="C705" s="8"/>
      <c r="D705" s="8"/>
      <c r="E705" s="8"/>
      <c r="F705" s="8"/>
      <c r="G705" s="8"/>
    </row>
    <row r="706" spans="1:7" x14ac:dyDescent="0.25">
      <c r="A706" s="8"/>
      <c r="B706" s="8"/>
      <c r="C706" s="8"/>
      <c r="D706" s="8"/>
      <c r="E706" s="8"/>
      <c r="F706" s="8"/>
      <c r="G706" s="8"/>
    </row>
    <row r="707" spans="1:7" x14ac:dyDescent="0.25">
      <c r="A707" s="8"/>
      <c r="B707" s="8"/>
      <c r="C707" s="8"/>
      <c r="D707" s="8"/>
      <c r="E707" s="8"/>
      <c r="F707" s="8"/>
      <c r="G707" s="8"/>
    </row>
    <row r="708" spans="1:7" x14ac:dyDescent="0.25">
      <c r="A708" s="8"/>
      <c r="B708" s="8"/>
      <c r="C708" s="8"/>
      <c r="D708" s="8"/>
      <c r="E708" s="8"/>
      <c r="F708" s="8"/>
      <c r="G708" s="8"/>
    </row>
    <row r="709" spans="1:7" x14ac:dyDescent="0.25">
      <c r="A709" s="8"/>
      <c r="B709" s="8"/>
      <c r="C709" s="8"/>
      <c r="D709" s="8"/>
      <c r="E709" s="8"/>
      <c r="F709" s="8"/>
      <c r="G709" s="8"/>
    </row>
    <row r="710" spans="1:7" x14ac:dyDescent="0.25">
      <c r="A710" s="8"/>
      <c r="B710" s="8"/>
      <c r="C710" s="8"/>
      <c r="D710" s="8"/>
      <c r="E710" s="8"/>
      <c r="F710" s="8"/>
      <c r="G710" s="8"/>
    </row>
    <row r="711" spans="1:7" x14ac:dyDescent="0.25">
      <c r="A711" s="8"/>
      <c r="B711" s="8"/>
      <c r="C711" s="8"/>
      <c r="D711" s="8"/>
      <c r="E711" s="8"/>
      <c r="F711" s="8"/>
      <c r="G711" s="8"/>
    </row>
    <row r="712" spans="1:7" x14ac:dyDescent="0.25">
      <c r="A712" s="8"/>
      <c r="B712" s="8"/>
      <c r="C712" s="8"/>
      <c r="D712" s="8"/>
      <c r="E712" s="8"/>
      <c r="F712" s="8"/>
      <c r="G712" s="8"/>
    </row>
    <row r="713" spans="1:7" x14ac:dyDescent="0.25">
      <c r="A713" s="8"/>
      <c r="B713" s="8"/>
      <c r="C713" s="8"/>
      <c r="D713" s="8"/>
      <c r="E713" s="8"/>
      <c r="F713" s="8"/>
      <c r="G713" s="8"/>
    </row>
    <row r="714" spans="1:7" x14ac:dyDescent="0.25">
      <c r="A714" s="8"/>
      <c r="B714" s="8"/>
      <c r="C714" s="8"/>
      <c r="D714" s="8"/>
      <c r="E714" s="8"/>
      <c r="F714" s="8"/>
      <c r="G714" s="8"/>
    </row>
    <row r="715" spans="1:7" x14ac:dyDescent="0.25">
      <c r="A715" s="8"/>
      <c r="B715" s="8"/>
      <c r="C715" s="8"/>
      <c r="D715" s="8"/>
      <c r="E715" s="8"/>
      <c r="F715" s="8"/>
      <c r="G715" s="8"/>
    </row>
    <row r="716" spans="1:7" x14ac:dyDescent="0.25">
      <c r="A716" s="8"/>
      <c r="B716" s="8"/>
      <c r="C716" s="8"/>
      <c r="D716" s="8"/>
      <c r="E716" s="8"/>
      <c r="F716" s="8"/>
      <c r="G716" s="8"/>
    </row>
    <row r="717" spans="1:7" x14ac:dyDescent="0.25">
      <c r="A717" s="8"/>
      <c r="B717" s="8"/>
      <c r="C717" s="8"/>
      <c r="D717" s="8"/>
      <c r="E717" s="8"/>
      <c r="F717" s="8"/>
      <c r="G717" s="8"/>
    </row>
    <row r="718" spans="1:7" x14ac:dyDescent="0.25">
      <c r="A718" s="8"/>
      <c r="B718" s="8"/>
      <c r="C718" s="8"/>
      <c r="D718" s="8"/>
      <c r="E718" s="8"/>
      <c r="F718" s="8"/>
      <c r="G718" s="8"/>
    </row>
    <row r="719" spans="1:7" x14ac:dyDescent="0.25">
      <c r="A719" s="8"/>
      <c r="B719" s="8"/>
      <c r="C719" s="8"/>
      <c r="D719" s="8"/>
      <c r="E719" s="8"/>
      <c r="F719" s="8"/>
      <c r="G719" s="8"/>
    </row>
    <row r="720" spans="1:7" x14ac:dyDescent="0.25">
      <c r="A720" s="8"/>
      <c r="B720" s="8"/>
      <c r="C720" s="8"/>
      <c r="D720" s="8"/>
      <c r="E720" s="8"/>
      <c r="F720" s="8"/>
      <c r="G720" s="8"/>
    </row>
    <row r="721" spans="1:7" x14ac:dyDescent="0.25">
      <c r="A721" s="8"/>
      <c r="B721" s="8"/>
      <c r="C721" s="8"/>
      <c r="D721" s="8"/>
      <c r="E721" s="8"/>
      <c r="F721" s="8"/>
      <c r="G721" s="8"/>
    </row>
    <row r="722" spans="1:7" x14ac:dyDescent="0.25">
      <c r="A722" s="8"/>
      <c r="B722" s="8"/>
      <c r="C722" s="8"/>
      <c r="D722" s="8"/>
      <c r="E722" s="8"/>
      <c r="F722" s="8"/>
      <c r="G722" s="8"/>
    </row>
    <row r="723" spans="1:7" x14ac:dyDescent="0.25">
      <c r="A723" s="8"/>
      <c r="B723" s="8"/>
      <c r="C723" s="8"/>
      <c r="D723" s="8"/>
      <c r="E723" s="8"/>
      <c r="F723" s="8"/>
      <c r="G723" s="8"/>
    </row>
    <row r="724" spans="1:7" x14ac:dyDescent="0.25">
      <c r="A724" s="8"/>
      <c r="B724" s="8"/>
      <c r="C724" s="8"/>
      <c r="D724" s="8"/>
      <c r="E724" s="8"/>
      <c r="F724" s="8"/>
      <c r="G724" s="8"/>
    </row>
    <row r="725" spans="1:7" x14ac:dyDescent="0.25">
      <c r="A725" s="8"/>
      <c r="B725" s="8"/>
      <c r="C725" s="8"/>
      <c r="D725" s="8"/>
      <c r="E725" s="8"/>
      <c r="F725" s="8"/>
      <c r="G725" s="8"/>
    </row>
    <row r="726" spans="1:7" x14ac:dyDescent="0.25">
      <c r="A726" s="8"/>
      <c r="B726" s="8"/>
      <c r="C726" s="8"/>
      <c r="D726" s="8"/>
      <c r="E726" s="8"/>
      <c r="F726" s="8"/>
      <c r="G726" s="8"/>
    </row>
    <row r="727" spans="1:7" x14ac:dyDescent="0.25">
      <c r="A727" s="8"/>
      <c r="B727" s="8"/>
      <c r="C727" s="8"/>
      <c r="D727" s="8"/>
      <c r="E727" s="8"/>
      <c r="F727" s="8"/>
      <c r="G727" s="8"/>
    </row>
    <row r="728" spans="1:7" x14ac:dyDescent="0.25">
      <c r="A728" s="8"/>
      <c r="B728" s="8"/>
      <c r="C728" s="8"/>
      <c r="D728" s="8"/>
      <c r="E728" s="8"/>
      <c r="F728" s="8"/>
      <c r="G728" s="8"/>
    </row>
    <row r="729" spans="1:7" x14ac:dyDescent="0.25">
      <c r="A729" s="8"/>
      <c r="B729" s="8"/>
      <c r="C729" s="8"/>
      <c r="D729" s="8"/>
      <c r="E729" s="8"/>
      <c r="F729" s="8"/>
      <c r="G729" s="8"/>
    </row>
    <row r="730" spans="1:7" x14ac:dyDescent="0.25">
      <c r="A730" s="8"/>
      <c r="B730" s="8"/>
      <c r="C730" s="8"/>
      <c r="D730" s="8"/>
      <c r="E730" s="8"/>
      <c r="F730" s="8"/>
      <c r="G730" s="8"/>
    </row>
    <row r="731" spans="1:7" x14ac:dyDescent="0.25">
      <c r="A731" s="8"/>
      <c r="B731" s="8"/>
      <c r="C731" s="8"/>
      <c r="D731" s="8"/>
      <c r="E731" s="8"/>
      <c r="F731" s="8"/>
      <c r="G731" s="8"/>
    </row>
    <row r="732" spans="1:7" x14ac:dyDescent="0.25">
      <c r="A732" s="8"/>
      <c r="B732" s="8"/>
      <c r="C732" s="8"/>
      <c r="D732" s="8"/>
      <c r="E732" s="8"/>
      <c r="F732" s="8"/>
      <c r="G732" s="8"/>
    </row>
    <row r="733" spans="1:7" x14ac:dyDescent="0.25">
      <c r="A733" s="8"/>
      <c r="B733" s="8"/>
      <c r="C733" s="8"/>
      <c r="D733" s="8"/>
      <c r="E733" s="8"/>
      <c r="F733" s="8"/>
      <c r="G733" s="8"/>
    </row>
    <row r="734" spans="1:7" x14ac:dyDescent="0.25">
      <c r="A734" s="8"/>
      <c r="B734" s="8"/>
      <c r="C734" s="8"/>
      <c r="D734" s="8"/>
      <c r="E734" s="8"/>
      <c r="F734" s="8"/>
      <c r="G734" s="8"/>
    </row>
    <row r="735" spans="1:7" x14ac:dyDescent="0.25">
      <c r="A735" s="8"/>
      <c r="B735" s="8"/>
      <c r="C735" s="8"/>
      <c r="D735" s="8"/>
      <c r="E735" s="8"/>
      <c r="F735" s="8"/>
      <c r="G735" s="8"/>
    </row>
    <row r="736" spans="1:7" x14ac:dyDescent="0.25">
      <c r="A736" s="8"/>
      <c r="B736" s="8"/>
      <c r="C736" s="8"/>
      <c r="D736" s="8"/>
      <c r="E736" s="8"/>
      <c r="F736" s="8"/>
      <c r="G736" s="8"/>
    </row>
    <row r="737" spans="1:7" x14ac:dyDescent="0.25">
      <c r="A737" s="8"/>
      <c r="B737" s="8"/>
      <c r="C737" s="8"/>
      <c r="D737" s="8"/>
      <c r="E737" s="8"/>
      <c r="F737" s="8"/>
      <c r="G737" s="8"/>
    </row>
    <row r="738" spans="1:7" x14ac:dyDescent="0.25">
      <c r="A738" s="8"/>
      <c r="B738" s="8"/>
      <c r="C738" s="8"/>
      <c r="D738" s="8"/>
      <c r="E738" s="8"/>
      <c r="F738" s="8"/>
      <c r="G738" s="8"/>
    </row>
    <row r="739" spans="1:7" x14ac:dyDescent="0.25">
      <c r="A739" s="8"/>
      <c r="B739" s="8"/>
      <c r="C739" s="8"/>
      <c r="D739" s="8"/>
      <c r="E739" s="8"/>
      <c r="F739" s="8"/>
      <c r="G739" s="8"/>
    </row>
    <row r="740" spans="1:7" x14ac:dyDescent="0.25">
      <c r="A740" s="8"/>
      <c r="B740" s="8"/>
      <c r="C740" s="8"/>
      <c r="D740" s="8"/>
      <c r="E740" s="8"/>
      <c r="F740" s="8"/>
      <c r="G740" s="8"/>
    </row>
    <row r="741" spans="1:7" x14ac:dyDescent="0.25">
      <c r="A741" s="8"/>
      <c r="B741" s="8"/>
      <c r="C741" s="8"/>
      <c r="D741" s="8"/>
      <c r="E741" s="8"/>
      <c r="F741" s="8"/>
      <c r="G741" s="8"/>
    </row>
    <row r="742" spans="1:7" x14ac:dyDescent="0.25">
      <c r="A742" s="8"/>
      <c r="B742" s="8"/>
      <c r="C742" s="8"/>
      <c r="D742" s="8"/>
      <c r="E742" s="8"/>
      <c r="F742" s="8"/>
      <c r="G742" s="8"/>
    </row>
    <row r="743" spans="1:7" x14ac:dyDescent="0.25">
      <c r="A743" s="8"/>
      <c r="B743" s="8"/>
      <c r="C743" s="8"/>
      <c r="D743" s="8"/>
      <c r="E743" s="8"/>
      <c r="F743" s="8"/>
      <c r="G743" s="8"/>
    </row>
    <row r="744" spans="1:7" x14ac:dyDescent="0.25">
      <c r="A744" s="8"/>
      <c r="B744" s="8"/>
      <c r="C744" s="8"/>
      <c r="D744" s="8"/>
      <c r="E744" s="8"/>
      <c r="F744" s="8"/>
      <c r="G744" s="8"/>
    </row>
    <row r="745" spans="1:7" x14ac:dyDescent="0.25">
      <c r="A745" s="8"/>
      <c r="B745" s="8"/>
      <c r="C745" s="8"/>
      <c r="D745" s="8"/>
      <c r="E745" s="8"/>
      <c r="F745" s="8"/>
      <c r="G745" s="8"/>
    </row>
    <row r="746" spans="1:7" x14ac:dyDescent="0.25">
      <c r="A746" s="8"/>
      <c r="B746" s="8"/>
      <c r="C746" s="8"/>
      <c r="D746" s="8"/>
      <c r="E746" s="8"/>
      <c r="F746" s="8"/>
      <c r="G746" s="8"/>
    </row>
    <row r="747" spans="1:7" x14ac:dyDescent="0.25">
      <c r="A747" s="8"/>
      <c r="B747" s="8"/>
      <c r="C747" s="8"/>
      <c r="D747" s="8"/>
      <c r="E747" s="8"/>
      <c r="F747" s="8"/>
      <c r="G747" s="8"/>
    </row>
    <row r="748" spans="1:7" x14ac:dyDescent="0.25">
      <c r="A748" s="8"/>
      <c r="B748" s="8"/>
      <c r="C748" s="8"/>
      <c r="D748" s="8"/>
      <c r="E748" s="8"/>
      <c r="F748" s="8"/>
      <c r="G748" s="8"/>
    </row>
    <row r="749" spans="1:7" x14ac:dyDescent="0.25">
      <c r="A749" s="8"/>
      <c r="B749" s="8"/>
      <c r="C749" s="8"/>
      <c r="D749" s="8"/>
      <c r="E749" s="8"/>
      <c r="F749" s="8"/>
      <c r="G749" s="8"/>
    </row>
    <row r="750" spans="1:7" x14ac:dyDescent="0.25">
      <c r="A750" s="8"/>
      <c r="B750" s="8"/>
      <c r="C750" s="8"/>
      <c r="D750" s="8"/>
      <c r="E750" s="8"/>
      <c r="F750" s="8"/>
      <c r="G750" s="8"/>
    </row>
    <row r="751" spans="1:7" x14ac:dyDescent="0.25">
      <c r="A751" s="8"/>
      <c r="B751" s="8"/>
      <c r="C751" s="8"/>
      <c r="D751" s="8"/>
      <c r="E751" s="8"/>
      <c r="F751" s="8"/>
      <c r="G751" s="8"/>
    </row>
    <row r="752" spans="1:7" x14ac:dyDescent="0.25">
      <c r="A752" s="8"/>
      <c r="B752" s="8"/>
      <c r="C752" s="8"/>
      <c r="D752" s="8"/>
      <c r="E752" s="8"/>
      <c r="F752" s="8"/>
      <c r="G752" s="8"/>
    </row>
    <row r="753" spans="1:7" x14ac:dyDescent="0.25">
      <c r="A753" s="8"/>
      <c r="B753" s="8"/>
      <c r="C753" s="8"/>
      <c r="D753" s="8"/>
      <c r="E753" s="8"/>
      <c r="F753" s="8"/>
      <c r="G753" s="8"/>
    </row>
    <row r="754" spans="1:7" x14ac:dyDescent="0.25">
      <c r="A754" s="8"/>
      <c r="B754" s="8"/>
      <c r="C754" s="8"/>
      <c r="D754" s="8"/>
      <c r="E754" s="8"/>
      <c r="F754" s="8"/>
      <c r="G754" s="8"/>
    </row>
    <row r="755" spans="1:7" x14ac:dyDescent="0.25">
      <c r="A755" s="8"/>
      <c r="B755" s="8"/>
      <c r="C755" s="8"/>
      <c r="D755" s="8"/>
      <c r="E755" s="8"/>
      <c r="F755" s="8"/>
      <c r="G755" s="8"/>
    </row>
    <row r="756" spans="1:7" x14ac:dyDescent="0.25">
      <c r="A756" s="8"/>
      <c r="B756" s="8"/>
      <c r="C756" s="8"/>
      <c r="D756" s="8"/>
      <c r="E756" s="8"/>
      <c r="F756" s="8"/>
      <c r="G756" s="8"/>
    </row>
    <row r="757" spans="1:7" x14ac:dyDescent="0.25">
      <c r="A757" s="8"/>
      <c r="B757" s="8"/>
      <c r="C757" s="8"/>
      <c r="D757" s="8"/>
      <c r="E757" s="8"/>
      <c r="F757" s="8"/>
      <c r="G757" s="8"/>
    </row>
    <row r="758" spans="1:7" x14ac:dyDescent="0.25">
      <c r="A758" s="8"/>
      <c r="B758" s="8"/>
      <c r="C758" s="8"/>
      <c r="D758" s="8"/>
      <c r="E758" s="8"/>
      <c r="F758" s="8"/>
      <c r="G758" s="8"/>
    </row>
    <row r="759" spans="1:7" x14ac:dyDescent="0.25">
      <c r="A759" s="8"/>
      <c r="B759" s="8"/>
      <c r="C759" s="8"/>
      <c r="D759" s="8"/>
      <c r="E759" s="8"/>
      <c r="F759" s="8"/>
      <c r="G759" s="8"/>
    </row>
    <row r="760" spans="1:7" x14ac:dyDescent="0.25">
      <c r="A760" s="8"/>
      <c r="B760" s="8"/>
      <c r="C760" s="8"/>
      <c r="D760" s="8"/>
      <c r="E760" s="8"/>
      <c r="F760" s="8"/>
      <c r="G760" s="8"/>
    </row>
    <row r="761" spans="1:7" x14ac:dyDescent="0.25">
      <c r="A761" s="8"/>
      <c r="B761" s="8"/>
      <c r="C761" s="8"/>
      <c r="D761" s="8"/>
      <c r="E761" s="8"/>
      <c r="F761" s="8"/>
      <c r="G761" s="8"/>
    </row>
    <row r="762" spans="1:7" x14ac:dyDescent="0.25">
      <c r="A762" s="8"/>
      <c r="B762" s="8"/>
      <c r="C762" s="8"/>
      <c r="D762" s="8"/>
      <c r="E762" s="8"/>
      <c r="F762" s="8"/>
      <c r="G762" s="8"/>
    </row>
    <row r="763" spans="1:7" x14ac:dyDescent="0.25">
      <c r="A763" s="8"/>
      <c r="B763" s="8"/>
      <c r="C763" s="8"/>
      <c r="D763" s="8"/>
      <c r="E763" s="8"/>
      <c r="F763" s="8"/>
      <c r="G763" s="8"/>
    </row>
    <row r="764" spans="1:7" x14ac:dyDescent="0.25">
      <c r="A764" s="8"/>
      <c r="B764" s="8"/>
      <c r="C764" s="8"/>
      <c r="D764" s="8"/>
      <c r="E764" s="8"/>
      <c r="F764" s="8"/>
      <c r="G764" s="8"/>
    </row>
    <row r="765" spans="1:7" x14ac:dyDescent="0.25">
      <c r="A765" s="8"/>
      <c r="B765" s="8"/>
      <c r="C765" s="8"/>
      <c r="D765" s="8"/>
      <c r="E765" s="8"/>
      <c r="F765" s="8"/>
      <c r="G765" s="8"/>
    </row>
    <row r="766" spans="1:7" x14ac:dyDescent="0.25">
      <c r="A766" s="8"/>
      <c r="B766" s="8"/>
      <c r="C766" s="8"/>
      <c r="D766" s="8"/>
      <c r="E766" s="8"/>
      <c r="F766" s="8"/>
      <c r="G766" s="8"/>
    </row>
    <row r="767" spans="1:7" x14ac:dyDescent="0.25">
      <c r="A767" s="8"/>
      <c r="B767" s="8"/>
      <c r="C767" s="8"/>
      <c r="D767" s="8"/>
      <c r="E767" s="8"/>
      <c r="F767" s="8"/>
      <c r="G767" s="8"/>
    </row>
    <row r="768" spans="1:7" x14ac:dyDescent="0.25">
      <c r="A768" s="8"/>
      <c r="B768" s="8"/>
      <c r="C768" s="8"/>
      <c r="D768" s="8"/>
      <c r="E768" s="8"/>
      <c r="F768" s="8"/>
      <c r="G768" s="8"/>
    </row>
    <row r="769" spans="1:7" x14ac:dyDescent="0.25">
      <c r="A769" s="8"/>
      <c r="B769" s="8"/>
      <c r="C769" s="8"/>
      <c r="D769" s="8"/>
      <c r="E769" s="8"/>
      <c r="F769" s="8"/>
      <c r="G769" s="8"/>
    </row>
    <row r="770" spans="1:7" x14ac:dyDescent="0.25">
      <c r="A770" s="8"/>
      <c r="B770" s="8"/>
      <c r="C770" s="8"/>
      <c r="D770" s="8"/>
      <c r="E770" s="8"/>
      <c r="F770" s="8"/>
      <c r="G770" s="8"/>
    </row>
    <row r="771" spans="1:7" x14ac:dyDescent="0.25">
      <c r="A771" s="8"/>
      <c r="B771" s="8"/>
      <c r="C771" s="8"/>
      <c r="D771" s="8"/>
      <c r="E771" s="8"/>
      <c r="F771" s="8"/>
      <c r="G771" s="8"/>
    </row>
    <row r="772" spans="1:7" x14ac:dyDescent="0.25">
      <c r="A772" s="8"/>
      <c r="B772" s="8"/>
      <c r="C772" s="8"/>
      <c r="D772" s="8"/>
      <c r="E772" s="8"/>
      <c r="F772" s="8"/>
      <c r="G772" s="8"/>
    </row>
    <row r="773" spans="1:7" x14ac:dyDescent="0.25">
      <c r="A773" s="8"/>
      <c r="B773" s="8"/>
      <c r="C773" s="8"/>
      <c r="D773" s="8"/>
      <c r="E773" s="8"/>
      <c r="F773" s="8"/>
      <c r="G773" s="8"/>
    </row>
    <row r="774" spans="1:7" x14ac:dyDescent="0.25">
      <c r="A774" s="8"/>
      <c r="B774" s="8"/>
      <c r="C774" s="8"/>
      <c r="D774" s="8"/>
      <c r="E774" s="8"/>
      <c r="F774" s="8"/>
      <c r="G774" s="8"/>
    </row>
    <row r="775" spans="1:7" x14ac:dyDescent="0.25">
      <c r="A775" s="8"/>
      <c r="B775" s="8"/>
      <c r="C775" s="8"/>
      <c r="D775" s="8"/>
      <c r="E775" s="8"/>
      <c r="F775" s="8"/>
      <c r="G775" s="8"/>
    </row>
    <row r="776" spans="1:7" x14ac:dyDescent="0.25">
      <c r="A776" s="8"/>
      <c r="B776" s="8"/>
      <c r="C776" s="8"/>
      <c r="D776" s="8"/>
      <c r="E776" s="8"/>
      <c r="F776" s="8"/>
      <c r="G776" s="8"/>
    </row>
    <row r="777" spans="1:7" x14ac:dyDescent="0.25">
      <c r="A777" s="8"/>
      <c r="B777" s="8"/>
      <c r="C777" s="8"/>
      <c r="D777" s="8"/>
      <c r="E777" s="8"/>
      <c r="F777" s="8"/>
      <c r="G777" s="8"/>
    </row>
    <row r="778" spans="1:7" x14ac:dyDescent="0.25">
      <c r="A778" s="8"/>
      <c r="B778" s="8"/>
      <c r="C778" s="8"/>
      <c r="D778" s="8"/>
      <c r="E778" s="8"/>
      <c r="F778" s="8"/>
      <c r="G778" s="8"/>
    </row>
    <row r="779" spans="1:7" x14ac:dyDescent="0.25">
      <c r="A779" s="8"/>
      <c r="B779" s="8"/>
      <c r="C779" s="8"/>
      <c r="D779" s="8"/>
      <c r="E779" s="8"/>
      <c r="F779" s="8"/>
      <c r="G779" s="8"/>
    </row>
    <row r="780" spans="1:7" x14ac:dyDescent="0.25">
      <c r="A780" s="8"/>
      <c r="B780" s="8"/>
      <c r="C780" s="8"/>
      <c r="D780" s="8"/>
      <c r="E780" s="8"/>
      <c r="F780" s="8"/>
      <c r="G780" s="8"/>
    </row>
    <row r="781" spans="1:7" x14ac:dyDescent="0.25">
      <c r="A781" s="8"/>
      <c r="B781" s="8"/>
      <c r="C781" s="8"/>
      <c r="D781" s="8"/>
      <c r="E781" s="8"/>
      <c r="F781" s="8"/>
      <c r="G781" s="8"/>
    </row>
    <row r="782" spans="1:7" x14ac:dyDescent="0.25">
      <c r="A782" s="8"/>
      <c r="B782" s="8"/>
      <c r="C782" s="8"/>
      <c r="D782" s="8"/>
      <c r="E782" s="8"/>
      <c r="F782" s="8"/>
      <c r="G782" s="8"/>
    </row>
    <row r="783" spans="1:7" x14ac:dyDescent="0.25">
      <c r="A783" s="8"/>
      <c r="B783" s="8"/>
      <c r="C783" s="8"/>
      <c r="D783" s="8"/>
      <c r="E783" s="8"/>
      <c r="F783" s="8"/>
      <c r="G783" s="8"/>
    </row>
    <row r="784" spans="1:7" x14ac:dyDescent="0.25">
      <c r="A784" s="8"/>
      <c r="B784" s="8"/>
      <c r="C784" s="8"/>
      <c r="D784" s="8"/>
      <c r="E784" s="8"/>
      <c r="F784" s="8"/>
      <c r="G784" s="8"/>
    </row>
    <row r="785" spans="1:7" x14ac:dyDescent="0.25">
      <c r="A785" s="8"/>
      <c r="B785" s="8"/>
      <c r="C785" s="8"/>
      <c r="D785" s="8"/>
      <c r="E785" s="8"/>
      <c r="F785" s="8"/>
      <c r="G785" s="8"/>
    </row>
    <row r="786" spans="1:7" x14ac:dyDescent="0.25">
      <c r="A786" s="8"/>
      <c r="B786" s="8"/>
      <c r="C786" s="8"/>
      <c r="D786" s="8"/>
      <c r="E786" s="8"/>
      <c r="F786" s="8"/>
      <c r="G786" s="8"/>
    </row>
    <row r="787" spans="1:7" x14ac:dyDescent="0.25">
      <c r="A787" s="8"/>
      <c r="B787" s="8"/>
      <c r="C787" s="8"/>
      <c r="D787" s="8"/>
      <c r="E787" s="8"/>
      <c r="F787" s="8"/>
      <c r="G787" s="8"/>
    </row>
    <row r="788" spans="1:7" x14ac:dyDescent="0.25">
      <c r="A788" s="8"/>
      <c r="B788" s="8"/>
      <c r="C788" s="8"/>
      <c r="D788" s="8"/>
      <c r="E788" s="8"/>
      <c r="F788" s="8"/>
      <c r="G788" s="8"/>
    </row>
    <row r="789" spans="1:7" x14ac:dyDescent="0.25">
      <c r="A789" s="8"/>
      <c r="B789" s="8"/>
      <c r="C789" s="8"/>
      <c r="D789" s="8"/>
      <c r="E789" s="8"/>
      <c r="F789" s="8"/>
      <c r="G789" s="8"/>
    </row>
    <row r="790" spans="1:7" x14ac:dyDescent="0.25">
      <c r="A790" s="8"/>
      <c r="B790" s="8"/>
      <c r="C790" s="8"/>
      <c r="D790" s="8"/>
      <c r="E790" s="8"/>
      <c r="F790" s="8"/>
      <c r="G790" s="8"/>
    </row>
    <row r="791" spans="1:7" x14ac:dyDescent="0.25">
      <c r="A791" s="8"/>
      <c r="B791" s="8"/>
      <c r="C791" s="8"/>
      <c r="D791" s="8"/>
      <c r="E791" s="8"/>
      <c r="F791" s="8"/>
      <c r="G791" s="8"/>
    </row>
    <row r="792" spans="1:7" x14ac:dyDescent="0.25">
      <c r="A792" s="8"/>
      <c r="B792" s="8"/>
      <c r="C792" s="8"/>
      <c r="D792" s="8"/>
      <c r="E792" s="8"/>
      <c r="F792" s="8"/>
      <c r="G792" s="8"/>
    </row>
    <row r="793" spans="1:7" x14ac:dyDescent="0.25">
      <c r="A793" s="8"/>
      <c r="B793" s="8"/>
      <c r="C793" s="8"/>
      <c r="D793" s="8"/>
      <c r="E793" s="8"/>
      <c r="F793" s="8"/>
      <c r="G793" s="8"/>
    </row>
    <row r="794" spans="1:7" x14ac:dyDescent="0.25">
      <c r="A794" s="8"/>
      <c r="B794" s="8"/>
      <c r="C794" s="8"/>
      <c r="D794" s="8"/>
      <c r="E794" s="8"/>
      <c r="F794" s="8"/>
      <c r="G794" s="8"/>
    </row>
    <row r="795" spans="1:7" x14ac:dyDescent="0.25">
      <c r="A795" s="8"/>
      <c r="B795" s="8"/>
      <c r="C795" s="8"/>
      <c r="D795" s="8"/>
      <c r="E795" s="8"/>
      <c r="F795" s="8"/>
      <c r="G795" s="8"/>
    </row>
    <row r="796" spans="1:7" x14ac:dyDescent="0.25">
      <c r="A796" s="8"/>
      <c r="B796" s="8"/>
      <c r="C796" s="8"/>
      <c r="D796" s="8"/>
      <c r="E796" s="8"/>
      <c r="F796" s="8"/>
      <c r="G796" s="8"/>
    </row>
    <row r="797" spans="1:7" x14ac:dyDescent="0.25">
      <c r="A797" s="8"/>
      <c r="B797" s="8"/>
      <c r="C797" s="8"/>
      <c r="D797" s="8"/>
      <c r="E797" s="8"/>
      <c r="F797" s="8"/>
      <c r="G797" s="8"/>
    </row>
    <row r="798" spans="1:7" x14ac:dyDescent="0.25">
      <c r="A798" s="8"/>
      <c r="B798" s="8"/>
      <c r="C798" s="8"/>
      <c r="D798" s="8"/>
      <c r="E798" s="8"/>
      <c r="F798" s="8"/>
      <c r="G798" s="8"/>
    </row>
    <row r="799" spans="1:7" x14ac:dyDescent="0.25">
      <c r="A799" s="8"/>
      <c r="B799" s="8"/>
      <c r="C799" s="8"/>
      <c r="D799" s="8"/>
      <c r="E799" s="8"/>
      <c r="F799" s="8"/>
      <c r="G799" s="8"/>
    </row>
    <row r="800" spans="1:7" x14ac:dyDescent="0.25">
      <c r="A800" s="8"/>
      <c r="B800" s="8"/>
      <c r="C800" s="8"/>
      <c r="D800" s="8"/>
      <c r="E800" s="8"/>
      <c r="F800" s="8"/>
      <c r="G800" s="8"/>
    </row>
    <row r="801" spans="1:7" x14ac:dyDescent="0.25">
      <c r="A801" s="8"/>
      <c r="B801" s="8"/>
      <c r="C801" s="8"/>
      <c r="D801" s="8"/>
      <c r="E801" s="8"/>
      <c r="F801" s="8"/>
      <c r="G801" s="8"/>
    </row>
    <row r="802" spans="1:7" x14ac:dyDescent="0.25">
      <c r="A802" s="8"/>
      <c r="B802" s="8"/>
      <c r="C802" s="8"/>
      <c r="D802" s="8"/>
      <c r="E802" s="8"/>
      <c r="F802" s="8"/>
      <c r="G802" s="8"/>
    </row>
    <row r="803" spans="1:7" x14ac:dyDescent="0.25">
      <c r="A803" s="8"/>
      <c r="B803" s="8"/>
      <c r="C803" s="8"/>
      <c r="D803" s="8"/>
      <c r="E803" s="8"/>
      <c r="F803" s="8"/>
      <c r="G803" s="8"/>
    </row>
    <row r="804" spans="1:7" x14ac:dyDescent="0.25">
      <c r="A804" s="8"/>
      <c r="B804" s="8"/>
      <c r="C804" s="8"/>
      <c r="D804" s="8"/>
      <c r="E804" s="8"/>
      <c r="F804" s="8"/>
      <c r="G804" s="8"/>
    </row>
    <row r="805" spans="1:7" x14ac:dyDescent="0.25">
      <c r="A805" s="8"/>
      <c r="B805" s="8"/>
      <c r="C805" s="8"/>
      <c r="D805" s="8"/>
      <c r="E805" s="8"/>
      <c r="F805" s="8"/>
      <c r="G805" s="8"/>
    </row>
    <row r="806" spans="1:7" x14ac:dyDescent="0.25">
      <c r="A806" s="8"/>
      <c r="B806" s="8"/>
      <c r="C806" s="8"/>
      <c r="D806" s="8"/>
      <c r="E806" s="8"/>
      <c r="F806" s="8"/>
      <c r="G806" s="8"/>
    </row>
    <row r="807" spans="1:7" x14ac:dyDescent="0.25">
      <c r="A807" s="8"/>
      <c r="B807" s="8"/>
      <c r="C807" s="8"/>
      <c r="D807" s="8"/>
      <c r="E807" s="8"/>
      <c r="F807" s="8"/>
      <c r="G807" s="8"/>
    </row>
    <row r="808" spans="1:7" x14ac:dyDescent="0.25">
      <c r="A808" s="8"/>
      <c r="B808" s="8"/>
      <c r="C808" s="8"/>
      <c r="D808" s="8"/>
      <c r="E808" s="8"/>
      <c r="F808" s="8"/>
      <c r="G808" s="8"/>
    </row>
    <row r="809" spans="1:7" x14ac:dyDescent="0.25">
      <c r="A809" s="8"/>
      <c r="B809" s="8"/>
      <c r="C809" s="8"/>
      <c r="D809" s="8"/>
      <c r="E809" s="8"/>
      <c r="F809" s="8"/>
      <c r="G809" s="8"/>
    </row>
    <row r="810" spans="1:7" x14ac:dyDescent="0.25">
      <c r="A810" s="8"/>
      <c r="B810" s="8"/>
      <c r="C810" s="8"/>
      <c r="D810" s="8"/>
      <c r="E810" s="8"/>
      <c r="F810" s="8"/>
      <c r="G810" s="8"/>
    </row>
    <row r="811" spans="1:7" x14ac:dyDescent="0.25">
      <c r="A811" s="8"/>
      <c r="B811" s="8"/>
      <c r="C811" s="8"/>
      <c r="D811" s="8"/>
      <c r="E811" s="8"/>
      <c r="F811" s="8"/>
      <c r="G811" s="8"/>
    </row>
    <row r="812" spans="1:7" x14ac:dyDescent="0.25">
      <c r="A812" s="8"/>
      <c r="B812" s="8"/>
      <c r="C812" s="8"/>
      <c r="D812" s="8"/>
      <c r="E812" s="8"/>
      <c r="F812" s="8"/>
      <c r="G812" s="8"/>
    </row>
    <row r="813" spans="1:7" x14ac:dyDescent="0.25">
      <c r="A813" s="8"/>
      <c r="B813" s="8"/>
      <c r="C813" s="8"/>
      <c r="D813" s="8"/>
      <c r="E813" s="8"/>
      <c r="F813" s="8"/>
      <c r="G813" s="8"/>
    </row>
    <row r="814" spans="1:7" x14ac:dyDescent="0.25">
      <c r="A814" s="8"/>
      <c r="B814" s="8"/>
      <c r="C814" s="8"/>
      <c r="D814" s="8"/>
      <c r="E814" s="8"/>
      <c r="F814" s="8"/>
      <c r="G814" s="8"/>
    </row>
    <row r="815" spans="1:7" x14ac:dyDescent="0.25">
      <c r="A815" s="8"/>
      <c r="B815" s="8"/>
      <c r="C815" s="8"/>
      <c r="D815" s="8"/>
      <c r="E815" s="8"/>
      <c r="F815" s="8"/>
      <c r="G815" s="8"/>
    </row>
    <row r="816" spans="1:7" x14ac:dyDescent="0.25">
      <c r="A816" s="8"/>
      <c r="B816" s="8"/>
      <c r="C816" s="8"/>
      <c r="D816" s="8"/>
      <c r="E816" s="8"/>
      <c r="F816" s="8"/>
      <c r="G816" s="8"/>
    </row>
    <row r="817" spans="1:7" x14ac:dyDescent="0.25">
      <c r="A817" s="8"/>
      <c r="B817" s="8"/>
      <c r="C817" s="8"/>
      <c r="D817" s="8"/>
      <c r="E817" s="8"/>
      <c r="F817" s="8"/>
      <c r="G817" s="8"/>
    </row>
    <row r="818" spans="1:7" x14ac:dyDescent="0.25">
      <c r="A818" s="8"/>
      <c r="B818" s="8"/>
      <c r="C818" s="8"/>
      <c r="D818" s="8"/>
      <c r="E818" s="8"/>
      <c r="F818" s="8"/>
      <c r="G818" s="8"/>
    </row>
    <row r="819" spans="1:7" x14ac:dyDescent="0.25">
      <c r="A819" s="8"/>
      <c r="B819" s="8"/>
      <c r="C819" s="8"/>
      <c r="D819" s="8"/>
      <c r="E819" s="8"/>
      <c r="F819" s="8"/>
      <c r="G819" s="8"/>
    </row>
    <row r="820" spans="1:7" x14ac:dyDescent="0.25">
      <c r="A820" s="8"/>
      <c r="B820" s="8"/>
      <c r="C820" s="8"/>
      <c r="D820" s="8"/>
      <c r="E820" s="8"/>
      <c r="F820" s="8"/>
      <c r="G820" s="8"/>
    </row>
    <row r="821" spans="1:7" x14ac:dyDescent="0.25">
      <c r="A821" s="8"/>
      <c r="B821" s="8"/>
      <c r="C821" s="8"/>
      <c r="D821" s="8"/>
      <c r="E821" s="8"/>
      <c r="F821" s="8"/>
      <c r="G821" s="8"/>
    </row>
    <row r="822" spans="1:7" x14ac:dyDescent="0.25">
      <c r="A822" s="8"/>
      <c r="B822" s="8"/>
      <c r="C822" s="8"/>
      <c r="D822" s="8"/>
      <c r="E822" s="8"/>
      <c r="F822" s="8"/>
      <c r="G822" s="8"/>
    </row>
    <row r="823" spans="1:7" x14ac:dyDescent="0.25">
      <c r="A823" s="8"/>
      <c r="B823" s="8"/>
      <c r="C823" s="8"/>
      <c r="D823" s="8"/>
      <c r="E823" s="8"/>
      <c r="F823" s="8"/>
      <c r="G823" s="8"/>
    </row>
    <row r="824" spans="1:7" x14ac:dyDescent="0.25">
      <c r="A824" s="8"/>
      <c r="B824" s="8"/>
      <c r="C824" s="8"/>
      <c r="D824" s="8"/>
      <c r="E824" s="8"/>
      <c r="F824" s="8"/>
      <c r="G824" s="8"/>
    </row>
    <row r="825" spans="1:7" x14ac:dyDescent="0.25">
      <c r="A825" s="8"/>
      <c r="B825" s="8"/>
      <c r="C825" s="8"/>
      <c r="D825" s="8"/>
      <c r="E825" s="8"/>
      <c r="F825" s="8"/>
      <c r="G825" s="8"/>
    </row>
    <row r="826" spans="1:7" x14ac:dyDescent="0.25">
      <c r="A826" s="8"/>
      <c r="B826" s="8"/>
      <c r="C826" s="8"/>
      <c r="D826" s="8"/>
      <c r="E826" s="8"/>
      <c r="F826" s="8"/>
      <c r="G826" s="8"/>
    </row>
    <row r="827" spans="1:7" x14ac:dyDescent="0.25">
      <c r="A827" s="8"/>
      <c r="B827" s="8"/>
      <c r="C827" s="8"/>
      <c r="D827" s="8"/>
      <c r="E827" s="8"/>
      <c r="F827" s="8"/>
      <c r="G827" s="8"/>
    </row>
    <row r="828" spans="1:7" x14ac:dyDescent="0.25">
      <c r="A828" s="8"/>
      <c r="B828" s="8"/>
      <c r="C828" s="8"/>
      <c r="D828" s="8"/>
      <c r="E828" s="8"/>
      <c r="F828" s="8"/>
      <c r="G828" s="8"/>
    </row>
    <row r="829" spans="1:7" x14ac:dyDescent="0.25">
      <c r="A829" s="8"/>
      <c r="B829" s="8"/>
      <c r="C829" s="8"/>
      <c r="D829" s="8"/>
      <c r="E829" s="8"/>
      <c r="F829" s="8"/>
      <c r="G829" s="8"/>
    </row>
    <row r="830" spans="1:7" x14ac:dyDescent="0.25">
      <c r="A830" s="8"/>
      <c r="B830" s="8"/>
      <c r="C830" s="8"/>
      <c r="D830" s="8"/>
      <c r="E830" s="8"/>
      <c r="F830" s="8"/>
      <c r="G830" s="8"/>
    </row>
    <row r="831" spans="1:7" x14ac:dyDescent="0.25">
      <c r="A831" s="8"/>
      <c r="B831" s="8"/>
      <c r="C831" s="8"/>
      <c r="D831" s="8"/>
      <c r="E831" s="8"/>
      <c r="F831" s="8"/>
      <c r="G831" s="8"/>
    </row>
    <row r="832" spans="1:7" x14ac:dyDescent="0.25">
      <c r="A832" s="8"/>
      <c r="B832" s="8"/>
      <c r="C832" s="8"/>
      <c r="D832" s="8"/>
      <c r="E832" s="8"/>
      <c r="F832" s="8"/>
      <c r="G832" s="8"/>
    </row>
    <row r="833" spans="1:7" x14ac:dyDescent="0.25">
      <c r="A833" s="8"/>
      <c r="B833" s="8"/>
      <c r="C833" s="8"/>
      <c r="D833" s="8"/>
      <c r="E833" s="8"/>
      <c r="F833" s="8"/>
      <c r="G833" s="8"/>
    </row>
    <row r="834" spans="1:7" x14ac:dyDescent="0.25">
      <c r="A834" s="8"/>
      <c r="B834" s="8"/>
      <c r="C834" s="8"/>
      <c r="D834" s="8"/>
      <c r="E834" s="8"/>
      <c r="F834" s="8"/>
      <c r="G834" s="8"/>
    </row>
    <row r="835" spans="1:7" x14ac:dyDescent="0.25">
      <c r="A835" s="8"/>
      <c r="B835" s="8"/>
      <c r="C835" s="8"/>
      <c r="D835" s="8"/>
      <c r="E835" s="8"/>
      <c r="F835" s="8"/>
      <c r="G835" s="8"/>
    </row>
    <row r="836" spans="1:7" x14ac:dyDescent="0.25">
      <c r="A836" s="8"/>
      <c r="B836" s="8"/>
      <c r="C836" s="8"/>
      <c r="D836" s="8"/>
      <c r="E836" s="8"/>
      <c r="F836" s="8"/>
      <c r="G836" s="8"/>
    </row>
    <row r="837" spans="1:7" x14ac:dyDescent="0.25">
      <c r="A837" s="8"/>
      <c r="B837" s="8"/>
      <c r="C837" s="8"/>
      <c r="D837" s="8"/>
      <c r="E837" s="8"/>
      <c r="F837" s="8"/>
      <c r="G837" s="8"/>
    </row>
    <row r="838" spans="1:7" x14ac:dyDescent="0.25">
      <c r="A838" s="8"/>
      <c r="B838" s="8"/>
      <c r="C838" s="8"/>
      <c r="D838" s="8"/>
      <c r="E838" s="8"/>
      <c r="F838" s="8"/>
      <c r="G838" s="8"/>
    </row>
    <row r="839" spans="1:7" x14ac:dyDescent="0.25">
      <c r="A839" s="8"/>
      <c r="B839" s="8"/>
      <c r="C839" s="8"/>
      <c r="D839" s="8"/>
      <c r="E839" s="8"/>
      <c r="F839" s="8"/>
      <c r="G839" s="8"/>
    </row>
    <row r="840" spans="1:7" x14ac:dyDescent="0.25">
      <c r="A840" s="8"/>
      <c r="B840" s="8"/>
      <c r="C840" s="8"/>
      <c r="D840" s="8"/>
      <c r="E840" s="8"/>
      <c r="F840" s="8"/>
      <c r="G840" s="8"/>
    </row>
    <row r="841" spans="1:7" x14ac:dyDescent="0.25">
      <c r="A841" s="8"/>
      <c r="B841" s="8"/>
      <c r="C841" s="8"/>
      <c r="D841" s="8"/>
      <c r="E841" s="8"/>
      <c r="F841" s="8"/>
      <c r="G841" s="8"/>
    </row>
    <row r="842" spans="1:7" x14ac:dyDescent="0.25">
      <c r="A842" s="8"/>
      <c r="B842" s="8"/>
      <c r="C842" s="8"/>
      <c r="D842" s="8"/>
      <c r="E842" s="8"/>
      <c r="F842" s="8"/>
      <c r="G842" s="8"/>
    </row>
    <row r="843" spans="1:7" x14ac:dyDescent="0.25">
      <c r="A843" s="8"/>
      <c r="B843" s="8"/>
      <c r="C843" s="8"/>
      <c r="D843" s="8"/>
      <c r="E843" s="8"/>
      <c r="F843" s="8"/>
      <c r="G843" s="8"/>
    </row>
    <row r="844" spans="1:7" x14ac:dyDescent="0.25">
      <c r="A844" s="8"/>
      <c r="B844" s="8"/>
      <c r="C844" s="8"/>
      <c r="D844" s="8"/>
      <c r="E844" s="8"/>
      <c r="F844" s="8"/>
      <c r="G844" s="8"/>
    </row>
    <row r="845" spans="1:7" x14ac:dyDescent="0.25">
      <c r="A845" s="8"/>
      <c r="B845" s="8"/>
      <c r="C845" s="8"/>
      <c r="D845" s="8"/>
      <c r="E845" s="8"/>
      <c r="F845" s="8"/>
      <c r="G845" s="8"/>
    </row>
    <row r="846" spans="1:7" x14ac:dyDescent="0.25">
      <c r="A846" s="8"/>
      <c r="B846" s="8"/>
      <c r="C846" s="8"/>
      <c r="D846" s="8"/>
      <c r="E846" s="8"/>
      <c r="F846" s="8"/>
      <c r="G846" s="8"/>
    </row>
    <row r="847" spans="1:7" x14ac:dyDescent="0.25">
      <c r="A847" s="8"/>
      <c r="B847" s="8"/>
      <c r="C847" s="8"/>
      <c r="D847" s="8"/>
      <c r="E847" s="8"/>
      <c r="F847" s="8"/>
      <c r="G847" s="8"/>
    </row>
    <row r="848" spans="1:7" x14ac:dyDescent="0.25">
      <c r="A848" s="8"/>
      <c r="B848" s="8"/>
      <c r="C848" s="8"/>
      <c r="D848" s="8"/>
      <c r="E848" s="8"/>
      <c r="F848" s="8"/>
      <c r="G848" s="8"/>
    </row>
    <row r="849" spans="1:7" x14ac:dyDescent="0.25">
      <c r="A849" s="8"/>
      <c r="B849" s="8"/>
      <c r="C849" s="8"/>
      <c r="D849" s="8"/>
      <c r="E849" s="8"/>
      <c r="F849" s="8"/>
      <c r="G849" s="8"/>
    </row>
    <row r="850" spans="1:7" x14ac:dyDescent="0.25">
      <c r="A850" s="8"/>
      <c r="B850" s="8"/>
      <c r="C850" s="8"/>
      <c r="D850" s="8"/>
      <c r="E850" s="8"/>
      <c r="F850" s="8"/>
      <c r="G850" s="8"/>
    </row>
    <row r="851" spans="1:7" x14ac:dyDescent="0.25">
      <c r="A851" s="8"/>
      <c r="B851" s="8"/>
      <c r="C851" s="8"/>
      <c r="D851" s="8"/>
      <c r="E851" s="8"/>
      <c r="F851" s="8"/>
      <c r="G851" s="8"/>
    </row>
    <row r="852" spans="1:7" x14ac:dyDescent="0.25">
      <c r="A852" s="8"/>
      <c r="B852" s="8"/>
      <c r="C852" s="8"/>
      <c r="D852" s="8"/>
      <c r="E852" s="8"/>
      <c r="F852" s="8"/>
      <c r="G852" s="8"/>
    </row>
    <row r="853" spans="1:7" x14ac:dyDescent="0.25">
      <c r="A853" s="8"/>
      <c r="B853" s="8"/>
      <c r="C853" s="8"/>
      <c r="D853" s="8"/>
      <c r="E853" s="8"/>
      <c r="F853" s="8"/>
      <c r="G853" s="8"/>
    </row>
    <row r="854" spans="1:7" x14ac:dyDescent="0.25">
      <c r="A854" s="8"/>
      <c r="B854" s="8"/>
      <c r="C854" s="8"/>
      <c r="D854" s="8"/>
      <c r="E854" s="8"/>
      <c r="F854" s="8"/>
      <c r="G854" s="8"/>
    </row>
    <row r="855" spans="1:7" x14ac:dyDescent="0.25">
      <c r="A855" s="8"/>
      <c r="B855" s="8"/>
      <c r="C855" s="8"/>
      <c r="D855" s="8"/>
      <c r="E855" s="8"/>
      <c r="F855" s="8"/>
      <c r="G855" s="8"/>
    </row>
    <row r="856" spans="1:7" x14ac:dyDescent="0.25">
      <c r="A856" s="8"/>
      <c r="B856" s="8"/>
      <c r="C856" s="8"/>
      <c r="D856" s="8"/>
      <c r="E856" s="8"/>
      <c r="F856" s="8"/>
      <c r="G856" s="8"/>
    </row>
    <row r="857" spans="1:7" x14ac:dyDescent="0.25">
      <c r="A857" s="8"/>
      <c r="B857" s="8"/>
      <c r="C857" s="8"/>
      <c r="D857" s="8"/>
      <c r="E857" s="8"/>
      <c r="F857" s="8"/>
      <c r="G857" s="8"/>
    </row>
    <row r="858" spans="1:7" x14ac:dyDescent="0.25">
      <c r="A858" s="8"/>
      <c r="B858" s="8"/>
      <c r="C858" s="8"/>
      <c r="D858" s="8"/>
      <c r="E858" s="8"/>
      <c r="F858" s="8"/>
      <c r="G858" s="8"/>
    </row>
    <row r="859" spans="1:7" x14ac:dyDescent="0.25">
      <c r="A859" s="8"/>
      <c r="B859" s="8"/>
      <c r="C859" s="8"/>
      <c r="D859" s="8"/>
      <c r="E859" s="8"/>
      <c r="F859" s="8"/>
      <c r="G859" s="8"/>
    </row>
    <row r="860" spans="1:7" x14ac:dyDescent="0.25">
      <c r="A860" s="8"/>
      <c r="B860" s="8"/>
      <c r="C860" s="8"/>
      <c r="D860" s="8"/>
      <c r="E860" s="8"/>
      <c r="F860" s="8"/>
      <c r="G860" s="8"/>
    </row>
    <row r="861" spans="1:7" x14ac:dyDescent="0.25">
      <c r="A861" s="8"/>
      <c r="B861" s="8"/>
      <c r="C861" s="8"/>
      <c r="D861" s="8"/>
      <c r="E861" s="8"/>
      <c r="F861" s="8"/>
      <c r="G861" s="8"/>
    </row>
    <row r="862" spans="1:7" x14ac:dyDescent="0.25">
      <c r="A862" s="8"/>
      <c r="B862" s="8"/>
      <c r="C862" s="8"/>
      <c r="D862" s="8"/>
      <c r="E862" s="8"/>
      <c r="F862" s="8"/>
      <c r="G862" s="8"/>
    </row>
    <row r="863" spans="1:7" x14ac:dyDescent="0.25">
      <c r="A863" s="8"/>
      <c r="B863" s="8"/>
      <c r="C863" s="8"/>
      <c r="D863" s="8"/>
      <c r="E863" s="8"/>
      <c r="F863" s="8"/>
      <c r="G863" s="8"/>
    </row>
    <row r="864" spans="1:7" x14ac:dyDescent="0.25">
      <c r="A864" s="8"/>
      <c r="B864" s="8"/>
      <c r="C864" s="8"/>
      <c r="D864" s="8"/>
      <c r="E864" s="8"/>
      <c r="F864" s="8"/>
      <c r="G864" s="8"/>
    </row>
    <row r="865" spans="1:7" x14ac:dyDescent="0.25">
      <c r="A865" s="8"/>
      <c r="B865" s="8"/>
      <c r="C865" s="8"/>
      <c r="D865" s="8"/>
      <c r="E865" s="8"/>
      <c r="F865" s="8"/>
      <c r="G865" s="8"/>
    </row>
    <row r="866" spans="1:7" x14ac:dyDescent="0.25">
      <c r="A866" s="8"/>
      <c r="B866" s="8"/>
      <c r="C866" s="8"/>
      <c r="D866" s="8"/>
      <c r="E866" s="8"/>
      <c r="F866" s="8"/>
      <c r="G866" s="8"/>
    </row>
    <row r="867" spans="1:7" x14ac:dyDescent="0.25">
      <c r="A867" s="8"/>
      <c r="B867" s="8"/>
      <c r="C867" s="8"/>
      <c r="D867" s="8"/>
      <c r="E867" s="8"/>
      <c r="F867" s="8"/>
      <c r="G867" s="8"/>
    </row>
    <row r="868" spans="1:7" x14ac:dyDescent="0.25">
      <c r="A868" s="8"/>
      <c r="B868" s="8"/>
      <c r="C868" s="8"/>
      <c r="D868" s="8"/>
      <c r="E868" s="8"/>
      <c r="F868" s="8"/>
      <c r="G868" s="8"/>
    </row>
    <row r="869" spans="1:7" x14ac:dyDescent="0.25">
      <c r="A869" s="8"/>
      <c r="B869" s="8"/>
      <c r="C869" s="8"/>
      <c r="D869" s="8"/>
      <c r="E869" s="8"/>
      <c r="F869" s="8"/>
      <c r="G869" s="8"/>
    </row>
    <row r="870" spans="1:7" x14ac:dyDescent="0.25">
      <c r="A870" s="8"/>
      <c r="B870" s="8"/>
      <c r="C870" s="8"/>
      <c r="D870" s="8"/>
      <c r="E870" s="8"/>
      <c r="F870" s="8"/>
      <c r="G870" s="8"/>
    </row>
    <row r="871" spans="1:7" x14ac:dyDescent="0.25">
      <c r="A871" s="8"/>
      <c r="B871" s="8"/>
      <c r="C871" s="8"/>
      <c r="D871" s="8"/>
      <c r="E871" s="8"/>
      <c r="F871" s="8"/>
      <c r="G871" s="8"/>
    </row>
    <row r="872" spans="1:7" x14ac:dyDescent="0.25">
      <c r="A872" s="8"/>
      <c r="B872" s="8"/>
      <c r="C872" s="8"/>
      <c r="D872" s="8"/>
      <c r="E872" s="8"/>
      <c r="F872" s="8"/>
      <c r="G872" s="8"/>
    </row>
    <row r="873" spans="1:7" x14ac:dyDescent="0.25">
      <c r="A873" s="8"/>
      <c r="B873" s="8"/>
      <c r="C873" s="8"/>
      <c r="D873" s="8"/>
      <c r="E873" s="8"/>
      <c r="F873" s="8"/>
      <c r="G873" s="8"/>
    </row>
    <row r="874" spans="1:7" x14ac:dyDescent="0.25">
      <c r="A874" s="8"/>
      <c r="B874" s="8"/>
      <c r="C874" s="8"/>
      <c r="D874" s="8"/>
      <c r="E874" s="8"/>
      <c r="F874" s="8"/>
      <c r="G874" s="8"/>
    </row>
    <row r="875" spans="1:7" x14ac:dyDescent="0.25">
      <c r="A875" s="8"/>
      <c r="B875" s="8"/>
      <c r="C875" s="8"/>
      <c r="D875" s="8"/>
      <c r="E875" s="8"/>
      <c r="F875" s="8"/>
      <c r="G875" s="8"/>
    </row>
    <row r="876" spans="1:7" x14ac:dyDescent="0.25">
      <c r="A876" s="8"/>
      <c r="B876" s="8"/>
      <c r="C876" s="8"/>
      <c r="D876" s="8"/>
      <c r="E876" s="8"/>
      <c r="F876" s="8"/>
      <c r="G876" s="8"/>
    </row>
    <row r="877" spans="1:7" x14ac:dyDescent="0.25">
      <c r="A877" s="8"/>
      <c r="B877" s="8"/>
      <c r="C877" s="8"/>
      <c r="D877" s="8"/>
      <c r="E877" s="8"/>
      <c r="F877" s="8"/>
      <c r="G877" s="8"/>
    </row>
    <row r="878" spans="1:7" x14ac:dyDescent="0.25">
      <c r="A878" s="8"/>
      <c r="B878" s="8"/>
      <c r="C878" s="8"/>
      <c r="D878" s="8"/>
      <c r="E878" s="8"/>
      <c r="F878" s="8"/>
      <c r="G878" s="8"/>
    </row>
    <row r="879" spans="1:7" x14ac:dyDescent="0.25">
      <c r="A879" s="8"/>
      <c r="B879" s="8"/>
      <c r="C879" s="8"/>
      <c r="D879" s="8"/>
      <c r="E879" s="8"/>
      <c r="F879" s="8"/>
      <c r="G879" s="8"/>
    </row>
    <row r="880" spans="1:7" x14ac:dyDescent="0.25">
      <c r="A880" s="8"/>
      <c r="B880" s="8"/>
      <c r="C880" s="8"/>
      <c r="D880" s="8"/>
      <c r="E880" s="8"/>
      <c r="F880" s="8"/>
      <c r="G880" s="8"/>
    </row>
    <row r="881" spans="1:7" x14ac:dyDescent="0.25">
      <c r="A881" s="8"/>
      <c r="B881" s="8"/>
      <c r="C881" s="8"/>
      <c r="D881" s="8"/>
      <c r="E881" s="8"/>
      <c r="F881" s="8"/>
      <c r="G881" s="8"/>
    </row>
    <row r="882" spans="1:7" x14ac:dyDescent="0.25">
      <c r="A882" s="8"/>
      <c r="B882" s="8"/>
      <c r="C882" s="8"/>
      <c r="D882" s="8"/>
      <c r="E882" s="8"/>
      <c r="F882" s="8"/>
      <c r="G882" s="8"/>
    </row>
    <row r="883" spans="1:7" x14ac:dyDescent="0.25">
      <c r="A883" s="8"/>
      <c r="B883" s="8"/>
      <c r="C883" s="8"/>
      <c r="D883" s="8"/>
      <c r="E883" s="8"/>
      <c r="F883" s="8"/>
      <c r="G883" s="8"/>
    </row>
    <row r="884" spans="1:7" x14ac:dyDescent="0.25">
      <c r="A884" s="8"/>
      <c r="B884" s="8"/>
      <c r="C884" s="8"/>
      <c r="D884" s="8"/>
      <c r="E884" s="8"/>
      <c r="F884" s="8"/>
      <c r="G884" s="8"/>
    </row>
    <row r="885" spans="1:7" x14ac:dyDescent="0.25">
      <c r="A885" s="8"/>
      <c r="B885" s="8"/>
      <c r="C885" s="8"/>
      <c r="D885" s="8"/>
      <c r="E885" s="8"/>
      <c r="F885" s="8"/>
      <c r="G885" s="8"/>
    </row>
    <row r="886" spans="1:7" x14ac:dyDescent="0.25">
      <c r="A886" s="8"/>
      <c r="B886" s="8"/>
      <c r="C886" s="8"/>
      <c r="D886" s="8"/>
      <c r="E886" s="8"/>
      <c r="F886" s="8"/>
      <c r="G886" s="8"/>
    </row>
    <row r="887" spans="1:7" x14ac:dyDescent="0.25">
      <c r="A887" s="8"/>
      <c r="B887" s="8"/>
      <c r="C887" s="8"/>
      <c r="D887" s="8"/>
      <c r="E887" s="8"/>
      <c r="F887" s="8"/>
      <c r="G887" s="8"/>
    </row>
    <row r="888" spans="1:7" x14ac:dyDescent="0.25">
      <c r="A888" s="8"/>
      <c r="B888" s="8"/>
      <c r="C888" s="8"/>
      <c r="D888" s="8"/>
      <c r="E888" s="8"/>
      <c r="F888" s="8"/>
      <c r="G888" s="8"/>
    </row>
    <row r="889" spans="1:7" x14ac:dyDescent="0.25">
      <c r="A889" s="8"/>
      <c r="B889" s="8"/>
      <c r="C889" s="8"/>
      <c r="D889" s="8"/>
      <c r="E889" s="8"/>
      <c r="F889" s="8"/>
      <c r="G889" s="8"/>
    </row>
    <row r="890" spans="1:7" x14ac:dyDescent="0.25">
      <c r="A890" s="8"/>
      <c r="B890" s="8"/>
      <c r="C890" s="8"/>
      <c r="D890" s="8"/>
      <c r="E890" s="8"/>
      <c r="F890" s="8"/>
      <c r="G890" s="8"/>
    </row>
    <row r="891" spans="1:7" x14ac:dyDescent="0.25">
      <c r="A891" s="8"/>
      <c r="B891" s="8"/>
      <c r="C891" s="8"/>
      <c r="D891" s="8"/>
      <c r="E891" s="8"/>
      <c r="F891" s="8"/>
      <c r="G891" s="8"/>
    </row>
    <row r="892" spans="1:7" x14ac:dyDescent="0.25">
      <c r="A892" s="8"/>
      <c r="B892" s="8"/>
      <c r="C892" s="8"/>
      <c r="D892" s="8"/>
      <c r="E892" s="8"/>
      <c r="F892" s="8"/>
      <c r="G892" s="8"/>
    </row>
    <row r="893" spans="1:7" x14ac:dyDescent="0.25">
      <c r="A893" s="8"/>
      <c r="B893" s="8"/>
      <c r="C893" s="8"/>
      <c r="D893" s="8"/>
      <c r="E893" s="8"/>
      <c r="F893" s="8"/>
      <c r="G893" s="8"/>
    </row>
    <row r="894" spans="1:7" x14ac:dyDescent="0.25">
      <c r="A894" s="8"/>
      <c r="B894" s="8"/>
      <c r="C894" s="8"/>
      <c r="D894" s="8"/>
      <c r="E894" s="8"/>
      <c r="F894" s="8"/>
      <c r="G894" s="8"/>
    </row>
    <row r="895" spans="1:7" x14ac:dyDescent="0.25">
      <c r="A895" s="8"/>
      <c r="B895" s="8"/>
      <c r="C895" s="8"/>
      <c r="D895" s="8"/>
      <c r="E895" s="8"/>
      <c r="F895" s="8"/>
      <c r="G895" s="8"/>
    </row>
    <row r="896" spans="1:7" x14ac:dyDescent="0.25">
      <c r="A896" s="8"/>
      <c r="B896" s="8"/>
      <c r="C896" s="8"/>
      <c r="D896" s="8"/>
      <c r="E896" s="8"/>
      <c r="F896" s="8"/>
      <c r="G896" s="8"/>
    </row>
    <row r="897" spans="1:7" x14ac:dyDescent="0.25">
      <c r="A897" s="8"/>
      <c r="B897" s="8"/>
      <c r="C897" s="8"/>
      <c r="D897" s="8"/>
      <c r="E897" s="8"/>
      <c r="F897" s="8"/>
      <c r="G897" s="8"/>
    </row>
    <row r="898" spans="1:7" x14ac:dyDescent="0.25">
      <c r="A898" s="8"/>
      <c r="B898" s="8"/>
      <c r="C898" s="8"/>
      <c r="D898" s="8"/>
      <c r="E898" s="8"/>
      <c r="F898" s="8"/>
      <c r="G898" s="8"/>
    </row>
    <row r="899" spans="1:7" x14ac:dyDescent="0.25">
      <c r="A899" s="8"/>
      <c r="B899" s="8"/>
      <c r="C899" s="8"/>
      <c r="D899" s="8"/>
      <c r="E899" s="8"/>
      <c r="F899" s="8"/>
      <c r="G899" s="8"/>
    </row>
    <row r="900" spans="1:7" x14ac:dyDescent="0.25">
      <c r="A900" s="8"/>
      <c r="B900" s="8"/>
      <c r="C900" s="8"/>
      <c r="D900" s="8"/>
      <c r="E900" s="8"/>
      <c r="F900" s="8"/>
      <c r="G900" s="8"/>
    </row>
    <row r="901" spans="1:7" x14ac:dyDescent="0.25">
      <c r="A901" s="8"/>
      <c r="B901" s="8"/>
      <c r="C901" s="8"/>
      <c r="D901" s="8"/>
      <c r="E901" s="8"/>
      <c r="F901" s="8"/>
      <c r="G901" s="8"/>
    </row>
    <row r="902" spans="1:7" x14ac:dyDescent="0.25">
      <c r="A902" s="8"/>
      <c r="B902" s="8"/>
      <c r="C902" s="8"/>
      <c r="D902" s="8"/>
      <c r="E902" s="8"/>
      <c r="F902" s="8"/>
      <c r="G902" s="8"/>
    </row>
    <row r="903" spans="1:7" x14ac:dyDescent="0.25">
      <c r="A903" s="8"/>
      <c r="B903" s="8"/>
      <c r="C903" s="8"/>
      <c r="D903" s="8"/>
      <c r="E903" s="8"/>
      <c r="F903" s="8"/>
      <c r="G903" s="8"/>
    </row>
    <row r="904" spans="1:7" x14ac:dyDescent="0.25">
      <c r="A904" s="8"/>
      <c r="B904" s="8"/>
      <c r="C904" s="8"/>
      <c r="D904" s="8"/>
      <c r="E904" s="8"/>
      <c r="F904" s="8"/>
      <c r="G904" s="8"/>
    </row>
    <row r="905" spans="1:7" x14ac:dyDescent="0.25">
      <c r="A905" s="8"/>
      <c r="B905" s="8"/>
      <c r="C905" s="8"/>
      <c r="D905" s="8"/>
      <c r="E905" s="8"/>
      <c r="F905" s="8"/>
      <c r="G905" s="8"/>
    </row>
    <row r="906" spans="1:7" x14ac:dyDescent="0.25">
      <c r="A906" s="8"/>
      <c r="B906" s="8"/>
      <c r="C906" s="8"/>
      <c r="D906" s="8"/>
      <c r="E906" s="8"/>
      <c r="F906" s="8"/>
      <c r="G906" s="8"/>
    </row>
    <row r="907" spans="1:7" x14ac:dyDescent="0.25">
      <c r="A907" s="8"/>
      <c r="B907" s="8"/>
      <c r="C907" s="8"/>
      <c r="D907" s="8"/>
      <c r="E907" s="8"/>
      <c r="F907" s="8"/>
      <c r="G907" s="8"/>
    </row>
    <row r="908" spans="1:7" x14ac:dyDescent="0.25">
      <c r="A908" s="8"/>
      <c r="B908" s="8"/>
      <c r="C908" s="8"/>
      <c r="D908" s="8"/>
      <c r="E908" s="8"/>
      <c r="F908" s="8"/>
      <c r="G908" s="8"/>
    </row>
    <row r="909" spans="1:7" x14ac:dyDescent="0.25">
      <c r="A909" s="8"/>
      <c r="B909" s="8"/>
      <c r="C909" s="8"/>
      <c r="D909" s="8"/>
      <c r="E909" s="8"/>
      <c r="F909" s="8"/>
      <c r="G909" s="8"/>
    </row>
    <row r="910" spans="1:7" x14ac:dyDescent="0.25">
      <c r="A910" s="8"/>
      <c r="B910" s="8"/>
      <c r="C910" s="8"/>
      <c r="D910" s="8"/>
      <c r="E910" s="8"/>
      <c r="F910" s="8"/>
      <c r="G910" s="8"/>
    </row>
    <row r="911" spans="1:7" x14ac:dyDescent="0.25">
      <c r="A911" s="8"/>
      <c r="B911" s="8"/>
      <c r="C911" s="8"/>
      <c r="D911" s="8"/>
      <c r="E911" s="8"/>
      <c r="F911" s="8"/>
      <c r="G911" s="8"/>
    </row>
    <row r="912" spans="1:7" x14ac:dyDescent="0.25">
      <c r="A912" s="8"/>
      <c r="B912" s="8"/>
      <c r="C912" s="8"/>
      <c r="D912" s="8"/>
      <c r="E912" s="8"/>
      <c r="F912" s="8"/>
      <c r="G912" s="8"/>
    </row>
    <row r="913" spans="1:7" x14ac:dyDescent="0.25">
      <c r="A913" s="8"/>
      <c r="B913" s="8"/>
      <c r="C913" s="8"/>
      <c r="D913" s="8"/>
      <c r="E913" s="8"/>
      <c r="F913" s="8"/>
      <c r="G913" s="8"/>
    </row>
    <row r="914" spans="1:7" x14ac:dyDescent="0.25">
      <c r="A914" s="8"/>
      <c r="B914" s="8"/>
      <c r="C914" s="8"/>
      <c r="D914" s="8"/>
      <c r="E914" s="8"/>
      <c r="F914" s="8"/>
      <c r="G914" s="8"/>
    </row>
    <row r="915" spans="1:7" x14ac:dyDescent="0.25">
      <c r="A915" s="8"/>
      <c r="B915" s="8"/>
      <c r="C915" s="8"/>
      <c r="D915" s="8"/>
      <c r="E915" s="8"/>
      <c r="F915" s="8"/>
      <c r="G915" s="8"/>
    </row>
    <row r="916" spans="1:7" x14ac:dyDescent="0.25">
      <c r="A916" s="8"/>
      <c r="B916" s="8"/>
      <c r="C916" s="8"/>
      <c r="D916" s="8"/>
      <c r="E916" s="8"/>
      <c r="F916" s="8"/>
      <c r="G916" s="8"/>
    </row>
    <row r="917" spans="1:7" x14ac:dyDescent="0.25">
      <c r="A917" s="8"/>
      <c r="B917" s="8"/>
      <c r="C917" s="8"/>
      <c r="D917" s="8"/>
      <c r="E917" s="8"/>
      <c r="F917" s="8"/>
      <c r="G917" s="8"/>
    </row>
    <row r="918" spans="1:7" x14ac:dyDescent="0.25">
      <c r="A918" s="8"/>
      <c r="B918" s="8"/>
      <c r="C918" s="8"/>
      <c r="D918" s="8"/>
      <c r="E918" s="8"/>
      <c r="F918" s="8"/>
      <c r="G918" s="8"/>
    </row>
    <row r="919" spans="1:7" x14ac:dyDescent="0.25">
      <c r="A919" s="8"/>
      <c r="B919" s="8"/>
      <c r="C919" s="8"/>
      <c r="D919" s="8"/>
      <c r="E919" s="8"/>
      <c r="F919" s="8"/>
      <c r="G919" s="8"/>
    </row>
    <row r="920" spans="1:7" x14ac:dyDescent="0.25">
      <c r="A920" s="8"/>
      <c r="B920" s="8"/>
      <c r="C920" s="8"/>
      <c r="D920" s="8"/>
      <c r="E920" s="8"/>
      <c r="F920" s="8"/>
      <c r="G920" s="8"/>
    </row>
    <row r="921" spans="1:7" x14ac:dyDescent="0.25">
      <c r="A921" s="8"/>
      <c r="B921" s="8"/>
      <c r="C921" s="8"/>
      <c r="D921" s="8"/>
      <c r="E921" s="8"/>
      <c r="F921" s="8"/>
      <c r="G921" s="8"/>
    </row>
    <row r="922" spans="1:7" x14ac:dyDescent="0.25">
      <c r="A922" s="8"/>
      <c r="B922" s="8"/>
      <c r="C922" s="8"/>
      <c r="D922" s="8"/>
      <c r="E922" s="8"/>
      <c r="F922" s="8"/>
      <c r="G922" s="8"/>
    </row>
    <row r="923" spans="1:7" x14ac:dyDescent="0.25">
      <c r="A923" s="8"/>
      <c r="B923" s="8"/>
      <c r="C923" s="8"/>
      <c r="D923" s="8"/>
      <c r="E923" s="8"/>
      <c r="F923" s="8"/>
      <c r="G923" s="8"/>
    </row>
    <row r="924" spans="1:7" x14ac:dyDescent="0.25">
      <c r="A924" s="8"/>
      <c r="B924" s="8"/>
      <c r="C924" s="8"/>
      <c r="D924" s="8"/>
      <c r="E924" s="8"/>
      <c r="F924" s="8"/>
      <c r="G924" s="8"/>
    </row>
    <row r="925" spans="1:7" x14ac:dyDescent="0.25">
      <c r="A925" s="8"/>
      <c r="B925" s="8"/>
      <c r="C925" s="8"/>
      <c r="D925" s="8"/>
      <c r="E925" s="8"/>
      <c r="F925" s="8"/>
      <c r="G925" s="8"/>
    </row>
    <row r="926" spans="1:7" x14ac:dyDescent="0.25">
      <c r="A926" s="8"/>
      <c r="B926" s="8"/>
      <c r="C926" s="8"/>
      <c r="D926" s="8"/>
      <c r="E926" s="8"/>
      <c r="F926" s="8"/>
      <c r="G926" s="8"/>
    </row>
    <row r="927" spans="1:7" x14ac:dyDescent="0.25">
      <c r="A927" s="8"/>
      <c r="B927" s="8"/>
      <c r="C927" s="8"/>
      <c r="D927" s="8"/>
      <c r="E927" s="8"/>
      <c r="F927" s="8"/>
      <c r="G927" s="8"/>
    </row>
    <row r="928" spans="1:7" x14ac:dyDescent="0.25">
      <c r="A928" s="8"/>
      <c r="B928" s="8"/>
      <c r="C928" s="8"/>
      <c r="D928" s="8"/>
      <c r="E928" s="8"/>
      <c r="F928" s="8"/>
      <c r="G928" s="8"/>
    </row>
    <row r="929" spans="1:7" x14ac:dyDescent="0.25">
      <c r="A929" s="8"/>
      <c r="B929" s="8"/>
      <c r="C929" s="8"/>
      <c r="D929" s="8"/>
      <c r="E929" s="8"/>
      <c r="F929" s="8"/>
      <c r="G929" s="8"/>
    </row>
    <row r="930" spans="1:7" x14ac:dyDescent="0.25">
      <c r="A930" s="8"/>
      <c r="B930" s="8"/>
      <c r="C930" s="8"/>
      <c r="D930" s="8"/>
      <c r="E930" s="8"/>
      <c r="F930" s="8"/>
      <c r="G930" s="8"/>
    </row>
    <row r="931" spans="1:7" x14ac:dyDescent="0.25">
      <c r="A931" s="8"/>
      <c r="B931" s="8"/>
      <c r="C931" s="8"/>
      <c r="D931" s="8"/>
      <c r="E931" s="8"/>
      <c r="F931" s="8"/>
      <c r="G931" s="8"/>
    </row>
    <row r="932" spans="1:7" x14ac:dyDescent="0.25">
      <c r="A932" s="8"/>
      <c r="B932" s="8"/>
      <c r="C932" s="8"/>
      <c r="D932" s="8"/>
      <c r="E932" s="8"/>
      <c r="F932" s="8"/>
      <c r="G932" s="8"/>
    </row>
    <row r="933" spans="1:7" x14ac:dyDescent="0.25">
      <c r="A933" s="8"/>
      <c r="B933" s="8"/>
      <c r="C933" s="8"/>
      <c r="D933" s="8"/>
      <c r="E933" s="8"/>
      <c r="F933" s="8"/>
      <c r="G933" s="8"/>
    </row>
    <row r="934" spans="1:7" x14ac:dyDescent="0.25">
      <c r="A934" s="8"/>
      <c r="B934" s="8"/>
      <c r="C934" s="8"/>
      <c r="D934" s="8"/>
      <c r="E934" s="8"/>
      <c r="F934" s="8"/>
      <c r="G934" s="8"/>
    </row>
    <row r="935" spans="1:7" x14ac:dyDescent="0.25">
      <c r="A935" s="8"/>
      <c r="B935" s="8"/>
      <c r="C935" s="8"/>
      <c r="D935" s="8"/>
      <c r="E935" s="8"/>
      <c r="F935" s="8"/>
      <c r="G935" s="8"/>
    </row>
    <row r="936" spans="1:7" x14ac:dyDescent="0.25">
      <c r="A936" s="8"/>
      <c r="B936" s="8"/>
      <c r="C936" s="8"/>
      <c r="D936" s="8"/>
      <c r="E936" s="8"/>
      <c r="F936" s="8"/>
      <c r="G936" s="8"/>
    </row>
    <row r="937" spans="1:7" x14ac:dyDescent="0.25">
      <c r="A937" s="8"/>
      <c r="B937" s="8"/>
      <c r="C937" s="8"/>
      <c r="D937" s="8"/>
      <c r="E937" s="8"/>
      <c r="F937" s="8"/>
      <c r="G937" s="8"/>
    </row>
    <row r="938" spans="1:7" x14ac:dyDescent="0.25">
      <c r="A938" s="8"/>
      <c r="B938" s="8"/>
      <c r="C938" s="8"/>
      <c r="D938" s="8"/>
      <c r="E938" s="8"/>
      <c r="F938" s="8"/>
      <c r="G938" s="8"/>
    </row>
    <row r="939" spans="1:7" x14ac:dyDescent="0.25">
      <c r="A939" s="8"/>
      <c r="B939" s="8"/>
      <c r="C939" s="8"/>
      <c r="D939" s="8"/>
      <c r="E939" s="8"/>
      <c r="F939" s="8"/>
      <c r="G939" s="8"/>
    </row>
    <row r="940" spans="1:7" x14ac:dyDescent="0.25">
      <c r="A940" s="8"/>
      <c r="B940" s="8"/>
      <c r="C940" s="8"/>
      <c r="D940" s="8"/>
      <c r="E940" s="8"/>
      <c r="F940" s="8"/>
      <c r="G940" s="8"/>
    </row>
    <row r="941" spans="1:7" x14ac:dyDescent="0.25">
      <c r="A941" s="8"/>
      <c r="B941" s="8"/>
      <c r="C941" s="8"/>
      <c r="D941" s="8"/>
      <c r="E941" s="8"/>
      <c r="F941" s="8"/>
      <c r="G941" s="8"/>
    </row>
    <row r="942" spans="1:7" x14ac:dyDescent="0.25">
      <c r="A942" s="8"/>
      <c r="B942" s="8"/>
      <c r="C942" s="8"/>
      <c r="D942" s="8"/>
      <c r="E942" s="8"/>
      <c r="F942" s="8"/>
      <c r="G942" s="8"/>
    </row>
    <row r="943" spans="1:7" x14ac:dyDescent="0.25">
      <c r="A943" s="8"/>
      <c r="B943" s="8"/>
      <c r="C943" s="8"/>
      <c r="D943" s="8"/>
      <c r="E943" s="8"/>
      <c r="F943" s="8"/>
      <c r="G943" s="8"/>
    </row>
    <row r="944" spans="1:7" x14ac:dyDescent="0.25">
      <c r="A944" s="8"/>
      <c r="B944" s="8"/>
      <c r="C944" s="8"/>
      <c r="D944" s="8"/>
      <c r="E944" s="8"/>
      <c r="F944" s="8"/>
      <c r="G944" s="8"/>
    </row>
    <row r="945" spans="1:7" x14ac:dyDescent="0.25">
      <c r="A945" s="8"/>
      <c r="B945" s="8"/>
      <c r="C945" s="8"/>
      <c r="D945" s="8"/>
      <c r="E945" s="8"/>
      <c r="F945" s="8"/>
      <c r="G945" s="8"/>
    </row>
    <row r="946" spans="1:7" x14ac:dyDescent="0.25">
      <c r="A946" s="8"/>
      <c r="B946" s="8"/>
      <c r="C946" s="8"/>
      <c r="D946" s="8"/>
      <c r="E946" s="8"/>
      <c r="F946" s="8"/>
      <c r="G946" s="8"/>
    </row>
    <row r="947" spans="1:7" x14ac:dyDescent="0.25">
      <c r="A947" s="8"/>
      <c r="B947" s="8"/>
      <c r="C947" s="8"/>
      <c r="D947" s="8"/>
      <c r="E947" s="8"/>
      <c r="F947" s="8"/>
      <c r="G947" s="8"/>
    </row>
    <row r="948" spans="1:7" x14ac:dyDescent="0.25">
      <c r="A948" s="8"/>
      <c r="B948" s="8"/>
      <c r="C948" s="8"/>
      <c r="D948" s="8"/>
      <c r="E948" s="8"/>
      <c r="F948" s="8"/>
      <c r="G948" s="8"/>
    </row>
    <row r="949" spans="1:7" x14ac:dyDescent="0.25">
      <c r="A949" s="8"/>
      <c r="B949" s="8"/>
      <c r="C949" s="8"/>
      <c r="D949" s="8"/>
      <c r="E949" s="8"/>
      <c r="F949" s="8"/>
      <c r="G949" s="8"/>
    </row>
    <row r="950" spans="1:7" x14ac:dyDescent="0.25">
      <c r="A950" s="8"/>
      <c r="B950" s="8"/>
      <c r="C950" s="8"/>
      <c r="D950" s="8"/>
      <c r="E950" s="8"/>
      <c r="F950" s="8"/>
      <c r="G950" s="8"/>
    </row>
    <row r="951" spans="1:7" x14ac:dyDescent="0.25">
      <c r="A951" s="8"/>
      <c r="B951" s="8"/>
      <c r="C951" s="8"/>
      <c r="D951" s="8"/>
      <c r="E951" s="8"/>
      <c r="F951" s="8"/>
      <c r="G951" s="8"/>
    </row>
    <row r="952" spans="1:7" x14ac:dyDescent="0.25">
      <c r="A952" s="8"/>
      <c r="B952" s="8"/>
      <c r="C952" s="8"/>
      <c r="D952" s="8"/>
      <c r="E952" s="8"/>
      <c r="F952" s="8"/>
      <c r="G952" s="8"/>
    </row>
    <row r="953" spans="1:7" x14ac:dyDescent="0.25">
      <c r="A953" s="8"/>
      <c r="B953" s="8"/>
      <c r="C953" s="8"/>
      <c r="D953" s="8"/>
      <c r="E953" s="8"/>
      <c r="F953" s="8"/>
      <c r="G953" s="8"/>
    </row>
    <row r="954" spans="1:7" x14ac:dyDescent="0.25">
      <c r="A954" s="8"/>
      <c r="B954" s="8"/>
      <c r="C954" s="8"/>
      <c r="D954" s="8"/>
      <c r="E954" s="8"/>
      <c r="F954" s="8"/>
      <c r="G954" s="8"/>
    </row>
    <row r="955" spans="1:7" x14ac:dyDescent="0.25">
      <c r="A955" s="8"/>
      <c r="B955" s="8"/>
      <c r="C955" s="8"/>
      <c r="D955" s="8"/>
      <c r="E955" s="8"/>
      <c r="F955" s="8"/>
      <c r="G955" s="8"/>
    </row>
    <row r="956" spans="1:7" x14ac:dyDescent="0.25">
      <c r="A956" s="8"/>
      <c r="B956" s="8"/>
      <c r="C956" s="8"/>
      <c r="D956" s="8"/>
      <c r="E956" s="8"/>
      <c r="F956" s="8"/>
      <c r="G956" s="8"/>
    </row>
    <row r="957" spans="1:7" x14ac:dyDescent="0.25">
      <c r="A957" s="8"/>
      <c r="B957" s="8"/>
      <c r="C957" s="8"/>
      <c r="D957" s="8"/>
      <c r="E957" s="8"/>
      <c r="F957" s="8"/>
      <c r="G957" s="8"/>
    </row>
    <row r="958" spans="1:7" x14ac:dyDescent="0.25">
      <c r="A958" s="8"/>
      <c r="B958" s="8"/>
      <c r="C958" s="8"/>
      <c r="D958" s="8"/>
      <c r="E958" s="8"/>
      <c r="F958" s="8"/>
      <c r="G958" s="8"/>
    </row>
    <row r="959" spans="1:7" x14ac:dyDescent="0.25">
      <c r="A959" s="8"/>
      <c r="B959" s="8"/>
      <c r="C959" s="8"/>
      <c r="D959" s="8"/>
      <c r="E959" s="8"/>
      <c r="F959" s="8"/>
      <c r="G959" s="8"/>
    </row>
    <row r="960" spans="1:7" x14ac:dyDescent="0.25">
      <c r="A960" s="8"/>
      <c r="B960" s="8"/>
      <c r="C960" s="8"/>
      <c r="D960" s="8"/>
      <c r="E960" s="8"/>
      <c r="F960" s="8"/>
      <c r="G960" s="8"/>
    </row>
    <row r="961" spans="1:7" x14ac:dyDescent="0.25">
      <c r="A961" s="8"/>
      <c r="B961" s="8"/>
      <c r="C961" s="8"/>
      <c r="D961" s="8"/>
      <c r="E961" s="8"/>
      <c r="F961" s="8"/>
      <c r="G961" s="8"/>
    </row>
    <row r="962" spans="1:7" x14ac:dyDescent="0.25">
      <c r="A962" s="8"/>
      <c r="B962" s="8"/>
      <c r="C962" s="8"/>
      <c r="D962" s="8"/>
      <c r="E962" s="8"/>
      <c r="F962" s="8"/>
      <c r="G962" s="8"/>
    </row>
    <row r="963" spans="1:7" x14ac:dyDescent="0.25">
      <c r="A963" s="8"/>
      <c r="B963" s="8"/>
      <c r="C963" s="8"/>
      <c r="D963" s="8"/>
      <c r="E963" s="8"/>
      <c r="F963" s="8"/>
      <c r="G963" s="8"/>
    </row>
    <row r="964" spans="1:7" x14ac:dyDescent="0.25">
      <c r="A964" s="8"/>
      <c r="B964" s="8"/>
      <c r="C964" s="8"/>
      <c r="D964" s="8"/>
      <c r="E964" s="8"/>
      <c r="F964" s="8"/>
      <c r="G964" s="8"/>
    </row>
    <row r="965" spans="1:7" x14ac:dyDescent="0.25">
      <c r="A965" s="8"/>
      <c r="B965" s="8"/>
      <c r="C965" s="8"/>
      <c r="D965" s="8"/>
      <c r="E965" s="8"/>
      <c r="F965" s="8"/>
      <c r="G965" s="8"/>
    </row>
    <row r="966" spans="1:7" x14ac:dyDescent="0.25">
      <c r="A966" s="8"/>
      <c r="B966" s="8"/>
      <c r="C966" s="8"/>
      <c r="D966" s="8"/>
      <c r="E966" s="8"/>
      <c r="F966" s="8"/>
      <c r="G966" s="8"/>
    </row>
    <row r="967" spans="1:7" x14ac:dyDescent="0.25">
      <c r="A967" s="8"/>
      <c r="B967" s="8"/>
      <c r="C967" s="8"/>
      <c r="D967" s="8"/>
      <c r="E967" s="8"/>
      <c r="F967" s="8"/>
      <c r="G967" s="8"/>
    </row>
    <row r="968" spans="1:7" x14ac:dyDescent="0.25">
      <c r="A968" s="8"/>
      <c r="B968" s="8"/>
      <c r="C968" s="8"/>
      <c r="D968" s="8"/>
      <c r="E968" s="8"/>
      <c r="F968" s="8"/>
      <c r="G968" s="8"/>
    </row>
    <row r="969" spans="1:7" x14ac:dyDescent="0.25">
      <c r="A969" s="8"/>
      <c r="B969" s="8"/>
      <c r="C969" s="8"/>
      <c r="D969" s="8"/>
      <c r="E969" s="8"/>
      <c r="F969" s="8"/>
      <c r="G969" s="8"/>
    </row>
    <row r="970" spans="1:7" x14ac:dyDescent="0.25">
      <c r="A970" s="8"/>
      <c r="B970" s="8"/>
      <c r="C970" s="8"/>
      <c r="D970" s="8"/>
      <c r="E970" s="8"/>
      <c r="F970" s="8"/>
      <c r="G970" s="8"/>
    </row>
    <row r="971" spans="1:7" x14ac:dyDescent="0.25">
      <c r="A971" s="8"/>
      <c r="B971" s="8"/>
      <c r="C971" s="8"/>
      <c r="D971" s="8"/>
      <c r="E971" s="8"/>
      <c r="F971" s="8"/>
      <c r="G971" s="8"/>
    </row>
    <row r="972" spans="1:7" x14ac:dyDescent="0.25">
      <c r="A972" s="8"/>
      <c r="B972" s="8"/>
      <c r="C972" s="8"/>
      <c r="D972" s="8"/>
      <c r="E972" s="8"/>
      <c r="F972" s="8"/>
      <c r="G972" s="8"/>
    </row>
    <row r="973" spans="1:7" x14ac:dyDescent="0.25">
      <c r="A973" s="8"/>
      <c r="B973" s="8"/>
      <c r="C973" s="8"/>
      <c r="D973" s="8"/>
      <c r="E973" s="8"/>
      <c r="F973" s="8"/>
      <c r="G973" s="8"/>
    </row>
    <row r="974" spans="1:7" x14ac:dyDescent="0.25">
      <c r="A974" s="8"/>
      <c r="B974" s="8"/>
      <c r="C974" s="8"/>
      <c r="D974" s="8"/>
      <c r="E974" s="8"/>
      <c r="F974" s="8"/>
      <c r="G974" s="8"/>
    </row>
    <row r="975" spans="1:7" x14ac:dyDescent="0.25">
      <c r="A975" s="8"/>
      <c r="B975" s="8"/>
      <c r="C975" s="8"/>
      <c r="D975" s="8"/>
      <c r="E975" s="8"/>
      <c r="F975" s="8"/>
      <c r="G975" s="8"/>
    </row>
    <row r="976" spans="1:7" x14ac:dyDescent="0.25">
      <c r="A976" s="8"/>
      <c r="B976" s="8"/>
      <c r="C976" s="8"/>
      <c r="D976" s="8"/>
      <c r="E976" s="8"/>
      <c r="F976" s="8"/>
      <c r="G976" s="8"/>
    </row>
    <row r="977" spans="1:7" x14ac:dyDescent="0.25">
      <c r="A977" s="8"/>
      <c r="B977" s="8"/>
      <c r="C977" s="8"/>
      <c r="D977" s="8"/>
      <c r="E977" s="8"/>
      <c r="F977" s="8"/>
      <c r="G977" s="8"/>
    </row>
    <row r="978" spans="1:7" x14ac:dyDescent="0.25">
      <c r="A978" s="8"/>
      <c r="B978" s="8"/>
      <c r="C978" s="8"/>
      <c r="D978" s="8"/>
      <c r="E978" s="8"/>
      <c r="F978" s="8"/>
      <c r="G978" s="8"/>
    </row>
    <row r="979" spans="1:7" x14ac:dyDescent="0.25">
      <c r="A979" s="8"/>
      <c r="B979" s="8"/>
      <c r="C979" s="8"/>
      <c r="D979" s="8"/>
      <c r="E979" s="8"/>
      <c r="F979" s="8"/>
      <c r="G979" s="8"/>
    </row>
    <row r="980" spans="1:7" x14ac:dyDescent="0.25">
      <c r="A980" s="8"/>
      <c r="B980" s="8"/>
      <c r="C980" s="8"/>
      <c r="D980" s="8"/>
      <c r="E980" s="8"/>
      <c r="F980" s="8"/>
      <c r="G980" s="8"/>
    </row>
    <row r="981" spans="1:7" x14ac:dyDescent="0.25">
      <c r="A981" s="8"/>
      <c r="B981" s="8"/>
      <c r="C981" s="8"/>
      <c r="D981" s="8"/>
      <c r="E981" s="8"/>
      <c r="F981" s="8"/>
      <c r="G981" s="8"/>
    </row>
    <row r="982" spans="1:7" x14ac:dyDescent="0.25">
      <c r="A982" s="8"/>
      <c r="B982" s="8"/>
      <c r="C982" s="8"/>
      <c r="D982" s="8"/>
      <c r="E982" s="8"/>
      <c r="F982" s="8"/>
      <c r="G982" s="8"/>
    </row>
    <row r="983" spans="1:7" x14ac:dyDescent="0.25">
      <c r="A983" s="8"/>
      <c r="B983" s="8"/>
      <c r="C983" s="8"/>
      <c r="D983" s="8"/>
      <c r="E983" s="8"/>
      <c r="F983" s="8"/>
      <c r="G983" s="8"/>
    </row>
    <row r="984" spans="1:7" x14ac:dyDescent="0.25">
      <c r="A984" s="8"/>
      <c r="B984" s="8"/>
      <c r="C984" s="8"/>
      <c r="D984" s="8"/>
      <c r="E984" s="8"/>
      <c r="F984" s="8"/>
      <c r="G984" s="8"/>
    </row>
    <row r="985" spans="1:7" x14ac:dyDescent="0.25">
      <c r="A985" s="8"/>
      <c r="B985" s="8"/>
      <c r="C985" s="8"/>
      <c r="D985" s="8"/>
      <c r="E985" s="8"/>
      <c r="F985" s="8"/>
      <c r="G985" s="8"/>
    </row>
    <row r="986" spans="1:7" x14ac:dyDescent="0.25">
      <c r="A986" s="8"/>
      <c r="B986" s="8"/>
      <c r="C986" s="8"/>
      <c r="D986" s="8"/>
      <c r="E986" s="8"/>
      <c r="F986" s="8"/>
      <c r="G986" s="8"/>
    </row>
    <row r="987" spans="1:7" x14ac:dyDescent="0.25">
      <c r="A987" s="8"/>
      <c r="B987" s="8"/>
      <c r="C987" s="8"/>
      <c r="D987" s="8"/>
      <c r="E987" s="8"/>
      <c r="F987" s="8"/>
      <c r="G987" s="8"/>
    </row>
    <row r="988" spans="1:7" x14ac:dyDescent="0.25">
      <c r="A988" s="8"/>
      <c r="B988" s="8"/>
      <c r="C988" s="8"/>
      <c r="D988" s="8"/>
      <c r="E988" s="8"/>
      <c r="F988" s="8"/>
      <c r="G988" s="8"/>
    </row>
    <row r="989" spans="1:7" x14ac:dyDescent="0.25">
      <c r="A989" s="8"/>
      <c r="B989" s="8"/>
      <c r="C989" s="8"/>
      <c r="D989" s="8"/>
      <c r="E989" s="8"/>
      <c r="F989" s="8"/>
      <c r="G989" s="8"/>
    </row>
    <row r="990" spans="1:7" x14ac:dyDescent="0.25">
      <c r="A990" s="8"/>
      <c r="B990" s="8"/>
      <c r="C990" s="8"/>
      <c r="D990" s="8"/>
      <c r="E990" s="8"/>
      <c r="F990" s="8"/>
      <c r="G990" s="8"/>
    </row>
    <row r="991" spans="1:7" x14ac:dyDescent="0.25">
      <c r="A991" s="8"/>
      <c r="B991" s="8"/>
      <c r="C991" s="8"/>
      <c r="D991" s="8"/>
      <c r="E991" s="8"/>
      <c r="F991" s="8"/>
      <c r="G991" s="8"/>
    </row>
    <row r="992" spans="1:7" x14ac:dyDescent="0.25">
      <c r="A992" s="8"/>
      <c r="B992" s="8"/>
      <c r="C992" s="8"/>
      <c r="D992" s="8"/>
      <c r="E992" s="8"/>
      <c r="F992" s="8"/>
      <c r="G992" s="8"/>
    </row>
    <row r="993" spans="1:7" x14ac:dyDescent="0.25">
      <c r="A993" s="8"/>
      <c r="B993" s="8"/>
      <c r="C993" s="8"/>
      <c r="D993" s="8"/>
      <c r="E993" s="8"/>
      <c r="F993" s="8"/>
      <c r="G993" s="8"/>
    </row>
    <row r="994" spans="1:7" x14ac:dyDescent="0.25">
      <c r="A994" s="8"/>
      <c r="B994" s="8"/>
      <c r="C994" s="8"/>
      <c r="D994" s="8"/>
      <c r="E994" s="8"/>
      <c r="F994" s="8"/>
      <c r="G994" s="8"/>
    </row>
    <row r="995" spans="1:7" x14ac:dyDescent="0.25">
      <c r="A995" s="8"/>
      <c r="B995" s="8"/>
      <c r="C995" s="8"/>
      <c r="D995" s="8"/>
      <c r="E995" s="8"/>
      <c r="F995" s="8"/>
      <c r="G995" s="8"/>
    </row>
    <row r="996" spans="1:7" x14ac:dyDescent="0.25">
      <c r="A996" s="8"/>
      <c r="B996" s="8"/>
      <c r="C996" s="8"/>
      <c r="D996" s="8"/>
      <c r="E996" s="8"/>
      <c r="F996" s="8"/>
      <c r="G996" s="8"/>
    </row>
    <row r="997" spans="1:7" x14ac:dyDescent="0.25">
      <c r="A997" s="8"/>
      <c r="B997" s="8"/>
      <c r="C997" s="8"/>
      <c r="D997" s="8"/>
      <c r="E997" s="8"/>
      <c r="F997" s="8"/>
      <c r="G997" s="8"/>
    </row>
    <row r="998" spans="1:7" x14ac:dyDescent="0.25">
      <c r="A998" s="8"/>
      <c r="B998" s="8"/>
      <c r="C998" s="8"/>
      <c r="D998" s="8"/>
      <c r="E998" s="8"/>
      <c r="F998" s="8"/>
      <c r="G998" s="8"/>
    </row>
    <row r="999" spans="1:7" x14ac:dyDescent="0.25">
      <c r="A999" s="8"/>
      <c r="B999" s="8"/>
      <c r="C999" s="8"/>
      <c r="D999" s="8"/>
      <c r="E999" s="8"/>
      <c r="F999" s="8"/>
      <c r="G999" s="8"/>
    </row>
    <row r="1000" spans="1:7" x14ac:dyDescent="0.25">
      <c r="A1000" s="8"/>
      <c r="B1000" s="8"/>
      <c r="C1000" s="8"/>
      <c r="D1000" s="8"/>
      <c r="E1000" s="8"/>
      <c r="F1000" s="8"/>
      <c r="G1000" s="8"/>
    </row>
  </sheetData>
  <mergeCells count="5">
    <mergeCell ref="E14:G14"/>
    <mergeCell ref="E19:G19"/>
    <mergeCell ref="E30:F30"/>
    <mergeCell ref="E96:F96"/>
    <mergeCell ref="E135:F13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51.109375" customWidth="1"/>
    <col min="2" max="2" width="25.6640625" customWidth="1"/>
    <col min="3" max="3" width="25.44140625" customWidth="1"/>
  </cols>
  <sheetData>
    <row r="1" spans="1:26" x14ac:dyDescent="0.25">
      <c r="A1" s="38" t="s">
        <v>0</v>
      </c>
      <c r="B1" s="38" t="s">
        <v>4354</v>
      </c>
      <c r="C1" s="38" t="s">
        <v>4505</v>
      </c>
      <c r="D1" s="38" t="s">
        <v>6</v>
      </c>
      <c r="E1" s="38"/>
      <c r="F1" s="38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 spans="1:26" x14ac:dyDescent="0.25">
      <c r="A2" s="8" t="s">
        <v>1584</v>
      </c>
      <c r="B2" s="8">
        <v>134065328554.55002</v>
      </c>
      <c r="C2" s="8">
        <v>160802766913.07001</v>
      </c>
      <c r="D2" s="8">
        <f t="shared" ref="D2:D176" si="0">((C2-B2)/B2)*100</f>
        <v>19.943589179092459</v>
      </c>
      <c r="E2" s="8"/>
      <c r="F2" s="8"/>
    </row>
    <row r="3" spans="1:26" x14ac:dyDescent="0.25">
      <c r="A3" s="8" t="s">
        <v>3867</v>
      </c>
      <c r="B3" s="8">
        <v>3135166882.1000004</v>
      </c>
      <c r="C3" s="8">
        <v>3735616476.8999996</v>
      </c>
      <c r="D3" s="8">
        <f t="shared" si="0"/>
        <v>19.152077620755087</v>
      </c>
      <c r="E3" s="8"/>
      <c r="F3" s="8"/>
    </row>
    <row r="4" spans="1:26" x14ac:dyDescent="0.25">
      <c r="A4" s="8" t="s">
        <v>3883</v>
      </c>
      <c r="B4" s="8">
        <v>322249002169.79999</v>
      </c>
      <c r="C4" s="8">
        <v>372426687095.25</v>
      </c>
      <c r="D4" s="8">
        <f t="shared" si="0"/>
        <v>15.571090860666281</v>
      </c>
      <c r="E4" s="8"/>
      <c r="F4" s="8"/>
    </row>
    <row r="5" spans="1:26" x14ac:dyDescent="0.25">
      <c r="A5" s="8" t="s">
        <v>2594</v>
      </c>
      <c r="B5" s="8">
        <v>3535271243.25</v>
      </c>
      <c r="C5" s="8">
        <v>4022177520.8499999</v>
      </c>
      <c r="D5" s="8">
        <f t="shared" si="0"/>
        <v>13.772812440620072</v>
      </c>
      <c r="E5" s="8"/>
      <c r="F5" s="8"/>
    </row>
    <row r="6" spans="1:26" x14ac:dyDescent="0.25">
      <c r="A6" s="8" t="s">
        <v>2749</v>
      </c>
      <c r="B6" s="8">
        <v>217909500</v>
      </c>
      <c r="C6" s="8">
        <v>246690000</v>
      </c>
      <c r="D6" s="8">
        <f t="shared" si="0"/>
        <v>13.20754716981132</v>
      </c>
      <c r="E6" s="8"/>
      <c r="F6" s="8"/>
    </row>
    <row r="7" spans="1:26" x14ac:dyDescent="0.25">
      <c r="A7" s="8" t="s">
        <v>1064</v>
      </c>
      <c r="B7" s="8">
        <v>915193212953.44019</v>
      </c>
      <c r="C7" s="8">
        <v>1018061167805.85</v>
      </c>
      <c r="D7" s="8">
        <f t="shared" si="0"/>
        <v>11.240025974454328</v>
      </c>
      <c r="E7" s="8"/>
      <c r="F7" s="8"/>
    </row>
    <row r="8" spans="1:26" x14ac:dyDescent="0.25">
      <c r="A8" s="8" t="s">
        <v>3232</v>
      </c>
      <c r="B8" s="8">
        <v>1396087625346.5</v>
      </c>
      <c r="C8" s="8">
        <v>1550523961088.3496</v>
      </c>
      <c r="D8" s="8">
        <f t="shared" si="0"/>
        <v>11.062080412289271</v>
      </c>
      <c r="E8" s="8"/>
      <c r="F8" s="8"/>
    </row>
    <row r="9" spans="1:26" x14ac:dyDescent="0.25">
      <c r="A9" s="8" t="s">
        <v>4168</v>
      </c>
      <c r="B9" s="8">
        <v>52382692722.800003</v>
      </c>
      <c r="C9" s="8">
        <v>57666786468.300003</v>
      </c>
      <c r="D9" s="8">
        <f t="shared" si="0"/>
        <v>10.087480178734786</v>
      </c>
      <c r="E9" s="8"/>
      <c r="F9" s="8"/>
    </row>
    <row r="10" spans="1:26" x14ac:dyDescent="0.25">
      <c r="A10" s="8" t="s">
        <v>2567</v>
      </c>
      <c r="B10" s="8">
        <v>115052404682.99998</v>
      </c>
      <c r="C10" s="8">
        <v>126319699233</v>
      </c>
      <c r="D10" s="8">
        <f t="shared" si="0"/>
        <v>9.7931847500662084</v>
      </c>
      <c r="E10" s="8"/>
      <c r="F10" s="8"/>
    </row>
    <row r="11" spans="1:26" x14ac:dyDescent="0.25">
      <c r="A11" s="8" t="s">
        <v>4077</v>
      </c>
      <c r="B11" s="8">
        <v>4360127850</v>
      </c>
      <c r="C11" s="8">
        <v>4728911118.75</v>
      </c>
      <c r="D11" s="8">
        <f t="shared" si="0"/>
        <v>8.4580838323353298</v>
      </c>
      <c r="E11" s="8"/>
      <c r="F11" s="8"/>
    </row>
    <row r="12" spans="1:26" x14ac:dyDescent="0.25">
      <c r="A12" s="8" t="s">
        <v>3707</v>
      </c>
      <c r="B12" s="8">
        <v>157559637200.54999</v>
      </c>
      <c r="C12" s="8">
        <v>170247679521.70001</v>
      </c>
      <c r="D12" s="8">
        <f t="shared" si="0"/>
        <v>8.052850683452661</v>
      </c>
      <c r="E12" s="8"/>
      <c r="F12" s="8"/>
    </row>
    <row r="13" spans="1:26" x14ac:dyDescent="0.25">
      <c r="A13" s="8" t="s">
        <v>2834</v>
      </c>
      <c r="B13" s="8">
        <v>27440951713.5</v>
      </c>
      <c r="C13" s="8">
        <v>29506463421.050003</v>
      </c>
      <c r="D13" s="8">
        <f t="shared" si="0"/>
        <v>7.5271139613348126</v>
      </c>
      <c r="E13" s="8"/>
      <c r="F13" s="8"/>
    </row>
    <row r="14" spans="1:26" x14ac:dyDescent="0.25">
      <c r="A14" s="8" t="s">
        <v>1807</v>
      </c>
      <c r="B14" s="8">
        <v>1240577138718.2998</v>
      </c>
      <c r="C14" s="8">
        <v>1328952532963.5498</v>
      </c>
      <c r="D14" s="8">
        <f t="shared" si="0"/>
        <v>7.1237322925807662</v>
      </c>
      <c r="E14" s="8"/>
      <c r="F14" s="8"/>
    </row>
    <row r="15" spans="1:26" x14ac:dyDescent="0.25">
      <c r="A15" s="8" t="s">
        <v>1999</v>
      </c>
      <c r="B15" s="8">
        <v>720918100958.94006</v>
      </c>
      <c r="C15" s="8">
        <v>770938005733.99011</v>
      </c>
      <c r="D15" s="8">
        <f t="shared" si="0"/>
        <v>6.9383616125764238</v>
      </c>
      <c r="E15" s="8"/>
      <c r="F15" s="8"/>
    </row>
    <row r="16" spans="1:26" x14ac:dyDescent="0.25">
      <c r="A16" s="8" t="s">
        <v>56</v>
      </c>
      <c r="B16" s="8">
        <v>8754730572.6899986</v>
      </c>
      <c r="C16" s="8">
        <v>9350023792.7400017</v>
      </c>
      <c r="D16" s="8">
        <f t="shared" si="0"/>
        <v>6.7996749312536746</v>
      </c>
      <c r="E16" s="8"/>
      <c r="F16" s="8"/>
    </row>
    <row r="17" spans="1:6" x14ac:dyDescent="0.25">
      <c r="A17" s="8" t="s">
        <v>3900</v>
      </c>
      <c r="B17" s="8">
        <v>182371545447.92001</v>
      </c>
      <c r="C17" s="8">
        <v>194769042493.50998</v>
      </c>
      <c r="D17" s="8">
        <f t="shared" si="0"/>
        <v>6.7979338636083062</v>
      </c>
      <c r="E17" s="8"/>
      <c r="F17" s="8"/>
    </row>
    <row r="18" spans="1:6" x14ac:dyDescent="0.25">
      <c r="A18" s="8" t="s">
        <v>2892</v>
      </c>
      <c r="B18" s="8">
        <v>3689107919986.3501</v>
      </c>
      <c r="C18" s="8">
        <v>3938387133900.6001</v>
      </c>
      <c r="D18" s="8">
        <f t="shared" si="0"/>
        <v>6.757167838971009</v>
      </c>
      <c r="E18" s="8"/>
      <c r="F18" s="8"/>
    </row>
    <row r="19" spans="1:6" x14ac:dyDescent="0.25">
      <c r="A19" s="8" t="s">
        <v>1695</v>
      </c>
      <c r="B19" s="8">
        <v>81787416761.650009</v>
      </c>
      <c r="C19" s="8">
        <v>87027577769.190002</v>
      </c>
      <c r="D19" s="8">
        <f t="shared" si="0"/>
        <v>6.4070503935968501</v>
      </c>
      <c r="E19" s="8"/>
      <c r="F19" s="8"/>
    </row>
    <row r="20" spans="1:6" x14ac:dyDescent="0.25">
      <c r="A20" s="8" t="s">
        <v>67</v>
      </c>
      <c r="B20" s="8">
        <v>867017856226.55005</v>
      </c>
      <c r="C20" s="8">
        <v>920978428073.44995</v>
      </c>
      <c r="D20" s="8">
        <f t="shared" si="0"/>
        <v>6.2236978695857577</v>
      </c>
      <c r="E20" s="8"/>
      <c r="F20" s="8"/>
    </row>
    <row r="21" spans="1:6" x14ac:dyDescent="0.25">
      <c r="A21" s="8" t="s">
        <v>1538</v>
      </c>
      <c r="B21" s="8">
        <v>763838741.89999998</v>
      </c>
      <c r="C21" s="8">
        <v>810563084.99000001</v>
      </c>
      <c r="D21" s="8">
        <f t="shared" si="0"/>
        <v>6.1170428425476588</v>
      </c>
      <c r="E21" s="8"/>
      <c r="F21" s="8"/>
    </row>
    <row r="22" spans="1:6" x14ac:dyDescent="0.25">
      <c r="A22" s="8" t="s">
        <v>711</v>
      </c>
      <c r="B22" s="8">
        <v>381736627555.94995</v>
      </c>
      <c r="C22" s="8">
        <v>404921850471.5</v>
      </c>
      <c r="D22" s="8">
        <f t="shared" si="0"/>
        <v>6.0736175786935362</v>
      </c>
      <c r="E22" s="8"/>
      <c r="F22" s="8"/>
    </row>
    <row r="23" spans="1:6" x14ac:dyDescent="0.25">
      <c r="A23" s="8" t="s">
        <v>4066</v>
      </c>
      <c r="B23" s="8">
        <v>51907493604.400002</v>
      </c>
      <c r="C23" s="8">
        <v>55025236904.469994</v>
      </c>
      <c r="D23" s="8">
        <f t="shared" si="0"/>
        <v>6.0063452954039622</v>
      </c>
      <c r="E23" s="8"/>
      <c r="F23" s="8"/>
    </row>
    <row r="24" spans="1:6" x14ac:dyDescent="0.25">
      <c r="A24" s="8" t="s">
        <v>3672</v>
      </c>
      <c r="B24" s="8">
        <v>9056707220.2999992</v>
      </c>
      <c r="C24" s="8">
        <v>9585825189.5499992</v>
      </c>
      <c r="D24" s="8">
        <f t="shared" si="0"/>
        <v>5.8422775118976764</v>
      </c>
      <c r="E24" s="8"/>
      <c r="F24" s="8"/>
    </row>
    <row r="25" spans="1:6" x14ac:dyDescent="0.25">
      <c r="A25" s="8" t="s">
        <v>3561</v>
      </c>
      <c r="B25" s="8">
        <v>346936166583.00006</v>
      </c>
      <c r="C25" s="8">
        <v>366432683647.85999</v>
      </c>
      <c r="D25" s="8">
        <f t="shared" si="0"/>
        <v>5.6196265892030111</v>
      </c>
      <c r="E25" s="8"/>
      <c r="F25" s="8"/>
    </row>
    <row r="26" spans="1:6" x14ac:dyDescent="0.25">
      <c r="A26" s="8" t="s">
        <v>2721</v>
      </c>
      <c r="B26" s="8">
        <v>5248754196678.3096</v>
      </c>
      <c r="C26" s="8">
        <v>5539382313946.2803</v>
      </c>
      <c r="D26" s="8">
        <f t="shared" si="0"/>
        <v>5.5370875902684791</v>
      </c>
      <c r="E26" s="8"/>
      <c r="F26" s="8"/>
    </row>
    <row r="27" spans="1:6" x14ac:dyDescent="0.25">
      <c r="A27" s="8" t="s">
        <v>2422</v>
      </c>
      <c r="B27" s="8">
        <v>416142228530.6701</v>
      </c>
      <c r="C27" s="8">
        <v>438610891211.05994</v>
      </c>
      <c r="D27" s="8">
        <f t="shared" si="0"/>
        <v>5.3992748488234401</v>
      </c>
      <c r="E27" s="8"/>
      <c r="F27" s="8"/>
    </row>
    <row r="28" spans="1:6" x14ac:dyDescent="0.25">
      <c r="A28" s="8" t="s">
        <v>831</v>
      </c>
      <c r="B28" s="8">
        <v>149441109301.90002</v>
      </c>
      <c r="C28" s="8">
        <v>157024530653.79999</v>
      </c>
      <c r="D28" s="8">
        <f t="shared" si="0"/>
        <v>5.0745215873498246</v>
      </c>
      <c r="E28" s="8"/>
      <c r="F28" s="8"/>
    </row>
    <row r="29" spans="1:6" x14ac:dyDescent="0.25">
      <c r="A29" s="8" t="s">
        <v>668</v>
      </c>
      <c r="B29" s="8">
        <v>73620644937.25</v>
      </c>
      <c r="C29" s="8">
        <v>77263543215</v>
      </c>
      <c r="D29" s="8">
        <f t="shared" si="0"/>
        <v>4.9482020713822825</v>
      </c>
      <c r="E29" s="8"/>
      <c r="F29" s="8"/>
    </row>
    <row r="30" spans="1:6" x14ac:dyDescent="0.25">
      <c r="A30" s="8" t="s">
        <v>3501</v>
      </c>
      <c r="B30" s="8">
        <v>19417450902.650002</v>
      </c>
      <c r="C30" s="8">
        <v>20267402317</v>
      </c>
      <c r="D30" s="8">
        <f t="shared" si="0"/>
        <v>4.3772553802826977</v>
      </c>
      <c r="E30" s="8"/>
      <c r="F30" s="8"/>
    </row>
    <row r="31" spans="1:6" x14ac:dyDescent="0.25">
      <c r="A31" s="8" t="s">
        <v>3831</v>
      </c>
      <c r="B31" s="8">
        <v>2905447381.0599999</v>
      </c>
      <c r="C31" s="8">
        <v>3031087173.6500001</v>
      </c>
      <c r="D31" s="8">
        <f t="shared" si="0"/>
        <v>4.3242838748008143</v>
      </c>
      <c r="E31" s="8"/>
      <c r="F31" s="8"/>
    </row>
    <row r="32" spans="1:6" x14ac:dyDescent="0.25">
      <c r="A32" s="8" t="s">
        <v>2816</v>
      </c>
      <c r="B32" s="8">
        <v>286474231690</v>
      </c>
      <c r="C32" s="8">
        <v>298119877925</v>
      </c>
      <c r="D32" s="8">
        <f t="shared" si="0"/>
        <v>4.0651636156937165</v>
      </c>
      <c r="E32" s="8"/>
      <c r="F32" s="8"/>
    </row>
    <row r="33" spans="1:6" x14ac:dyDescent="0.25">
      <c r="A33" s="8" t="s">
        <v>3118</v>
      </c>
      <c r="B33" s="8">
        <v>9434890300603.4512</v>
      </c>
      <c r="C33" s="8">
        <v>9799470805548.1992</v>
      </c>
      <c r="D33" s="8">
        <f t="shared" si="0"/>
        <v>3.8641732264913529</v>
      </c>
      <c r="E33" s="8"/>
      <c r="F33" s="8"/>
    </row>
    <row r="34" spans="1:6" x14ac:dyDescent="0.25">
      <c r="A34" s="8" t="s">
        <v>985</v>
      </c>
      <c r="B34" s="8">
        <v>1716626600861.5498</v>
      </c>
      <c r="C34" s="8">
        <v>1773765092075.4004</v>
      </c>
      <c r="D34" s="8">
        <f t="shared" si="0"/>
        <v>3.3285334845197911</v>
      </c>
      <c r="E34" s="8"/>
      <c r="F34" s="8"/>
    </row>
    <row r="35" spans="1:6" x14ac:dyDescent="0.25">
      <c r="A35" s="8" t="s">
        <v>3110</v>
      </c>
      <c r="B35" s="8">
        <v>1461993113712.72</v>
      </c>
      <c r="C35" s="8">
        <v>1509380646612.4697</v>
      </c>
      <c r="D35" s="8">
        <f t="shared" si="0"/>
        <v>3.2412965871918158</v>
      </c>
      <c r="E35" s="8"/>
      <c r="F35" s="8"/>
    </row>
    <row r="36" spans="1:6" x14ac:dyDescent="0.25">
      <c r="A36" s="8" t="s">
        <v>3519</v>
      </c>
      <c r="B36" s="8">
        <v>7870420789.1000004</v>
      </c>
      <c r="C36" s="8">
        <v>8115664423.9200001</v>
      </c>
      <c r="D36" s="8">
        <f t="shared" si="0"/>
        <v>3.1160168101767254</v>
      </c>
      <c r="E36" s="8"/>
      <c r="F36" s="8"/>
    </row>
    <row r="37" spans="1:6" x14ac:dyDescent="0.25">
      <c r="A37" s="8" t="s">
        <v>3023</v>
      </c>
      <c r="B37" s="8">
        <v>66176361294.150002</v>
      </c>
      <c r="C37" s="8">
        <v>68231772466.149994</v>
      </c>
      <c r="D37" s="8">
        <f t="shared" si="0"/>
        <v>3.1059597895747268</v>
      </c>
      <c r="E37" s="8"/>
      <c r="F37" s="8"/>
    </row>
    <row r="38" spans="1:6" x14ac:dyDescent="0.25">
      <c r="A38" s="8" t="s">
        <v>659</v>
      </c>
      <c r="B38" s="8">
        <v>78013687543.600006</v>
      </c>
      <c r="C38" s="8">
        <v>80405931216.449997</v>
      </c>
      <c r="D38" s="8">
        <f t="shared" si="0"/>
        <v>3.0664409646230637</v>
      </c>
      <c r="E38" s="8"/>
      <c r="F38" s="8"/>
    </row>
    <row r="39" spans="1:6" x14ac:dyDescent="0.25">
      <c r="A39" s="8" t="s">
        <v>893</v>
      </c>
      <c r="B39" s="8">
        <v>1237163628962.25</v>
      </c>
      <c r="C39" s="8">
        <v>1274041080694.26</v>
      </c>
      <c r="D39" s="8">
        <f t="shared" si="0"/>
        <v>2.9808063273686218</v>
      </c>
      <c r="E39" s="8"/>
      <c r="F39" s="8"/>
    </row>
    <row r="40" spans="1:6" x14ac:dyDescent="0.25">
      <c r="A40" s="8" t="s">
        <v>1501</v>
      </c>
      <c r="B40" s="8">
        <v>845315877731.55017</v>
      </c>
      <c r="C40" s="8">
        <v>869265224512</v>
      </c>
      <c r="D40" s="8">
        <f t="shared" si="0"/>
        <v>2.8331831225883475</v>
      </c>
      <c r="E40" s="8"/>
      <c r="F40" s="8"/>
    </row>
    <row r="41" spans="1:6" x14ac:dyDescent="0.25">
      <c r="A41" s="8" t="s">
        <v>1136</v>
      </c>
      <c r="B41" s="8">
        <v>6261532173107.9395</v>
      </c>
      <c r="C41" s="8">
        <v>6428706599574.8008</v>
      </c>
      <c r="D41" s="8">
        <f t="shared" si="0"/>
        <v>2.6698645290819218</v>
      </c>
      <c r="E41" s="8"/>
      <c r="F41" s="8"/>
    </row>
    <row r="42" spans="1:6" x14ac:dyDescent="0.25">
      <c r="A42" s="8" t="s">
        <v>1315</v>
      </c>
      <c r="B42" s="8">
        <v>106451089194.3</v>
      </c>
      <c r="C42" s="8">
        <v>109275692184.3</v>
      </c>
      <c r="D42" s="8">
        <f t="shared" si="0"/>
        <v>2.6534279840428776</v>
      </c>
      <c r="E42" s="8"/>
      <c r="F42" s="8"/>
    </row>
    <row r="43" spans="1:6" x14ac:dyDescent="0.25">
      <c r="A43" s="8" t="s">
        <v>3131</v>
      </c>
      <c r="B43" s="8">
        <v>977790971081.3501</v>
      </c>
      <c r="C43" s="8">
        <v>1002764024562.3501</v>
      </c>
      <c r="D43" s="8">
        <f t="shared" si="0"/>
        <v>2.5540278259454592</v>
      </c>
      <c r="E43" s="8"/>
      <c r="F43" s="8"/>
    </row>
    <row r="44" spans="1:6" x14ac:dyDescent="0.25">
      <c r="A44" s="8" t="s">
        <v>3814</v>
      </c>
      <c r="B44" s="8">
        <v>3603921450.0999999</v>
      </c>
      <c r="C44" s="8">
        <v>3695896642.0500002</v>
      </c>
      <c r="D44" s="8">
        <f t="shared" si="0"/>
        <v>2.5520864764532591</v>
      </c>
      <c r="E44" s="8"/>
      <c r="F44" s="8"/>
    </row>
    <row r="45" spans="1:6" x14ac:dyDescent="0.25">
      <c r="A45" s="8" t="s">
        <v>2522</v>
      </c>
      <c r="B45" s="8">
        <v>304075097922.84998</v>
      </c>
      <c r="C45" s="8">
        <v>311496942936.59998</v>
      </c>
      <c r="D45" s="8">
        <f t="shared" si="0"/>
        <v>2.4407934304548258</v>
      </c>
      <c r="E45" s="69" t="s">
        <v>4506</v>
      </c>
      <c r="F45" s="67"/>
    </row>
    <row r="46" spans="1:6" x14ac:dyDescent="0.25">
      <c r="A46" s="8" t="s">
        <v>2627</v>
      </c>
      <c r="B46" s="8">
        <v>460182403878.44</v>
      </c>
      <c r="C46" s="8">
        <v>469976641995.20996</v>
      </c>
      <c r="D46" s="8">
        <f t="shared" si="0"/>
        <v>2.1283382489690252</v>
      </c>
      <c r="E46" s="8"/>
      <c r="F46" s="8"/>
    </row>
    <row r="47" spans="1:6" x14ac:dyDescent="0.25">
      <c r="A47" s="8" t="s">
        <v>3744</v>
      </c>
      <c r="B47" s="8">
        <v>1021394040221.2301</v>
      </c>
      <c r="C47" s="8">
        <v>1041500190278.8302</v>
      </c>
      <c r="D47" s="8">
        <f t="shared" si="0"/>
        <v>1.9685008200405381</v>
      </c>
      <c r="E47" s="8"/>
      <c r="F47" s="8"/>
    </row>
    <row r="48" spans="1:6" x14ac:dyDescent="0.25">
      <c r="A48" s="8" t="s">
        <v>15</v>
      </c>
      <c r="B48" s="8">
        <v>10826069198138.889</v>
      </c>
      <c r="C48" s="8">
        <v>11029691140344.57</v>
      </c>
      <c r="D48" s="8">
        <f t="shared" si="0"/>
        <v>1.8808483345061782</v>
      </c>
      <c r="E48" s="8"/>
      <c r="F48" s="8"/>
    </row>
    <row r="49" spans="1:6" x14ac:dyDescent="0.25">
      <c r="A49" s="8" t="s">
        <v>1001</v>
      </c>
      <c r="B49" s="8">
        <v>593259076697.81006</v>
      </c>
      <c r="C49" s="8">
        <v>603777519929</v>
      </c>
      <c r="D49" s="8">
        <f t="shared" si="0"/>
        <v>1.7729932240965525</v>
      </c>
      <c r="E49" s="8"/>
      <c r="F49" s="8"/>
    </row>
    <row r="50" spans="1:6" x14ac:dyDescent="0.25">
      <c r="A50" s="8" t="s">
        <v>4094</v>
      </c>
      <c r="B50" s="8">
        <v>31408508310.34</v>
      </c>
      <c r="C50" s="8">
        <v>31909755015.82</v>
      </c>
      <c r="D50" s="8">
        <f t="shared" si="0"/>
        <v>1.5958946554459068</v>
      </c>
      <c r="E50" s="8"/>
      <c r="F50" s="8"/>
    </row>
    <row r="51" spans="1:6" x14ac:dyDescent="0.25">
      <c r="A51" s="8" t="s">
        <v>758</v>
      </c>
      <c r="B51" s="8">
        <v>52396155424.099998</v>
      </c>
      <c r="C51" s="8">
        <v>53107153898.5</v>
      </c>
      <c r="D51" s="8">
        <f t="shared" si="0"/>
        <v>1.3569668779037414</v>
      </c>
      <c r="E51" s="8"/>
      <c r="F51" s="8"/>
    </row>
    <row r="52" spans="1:6" x14ac:dyDescent="0.25">
      <c r="A52" s="8" t="s">
        <v>1333</v>
      </c>
      <c r="B52" s="8">
        <v>69266749271.75</v>
      </c>
      <c r="C52" s="8">
        <v>69986343287.600006</v>
      </c>
      <c r="D52" s="8">
        <f t="shared" si="0"/>
        <v>1.0388736636490143</v>
      </c>
      <c r="E52" s="8"/>
      <c r="F52" s="8"/>
    </row>
    <row r="53" spans="1:6" x14ac:dyDescent="0.25">
      <c r="A53" s="8" t="s">
        <v>2297</v>
      </c>
      <c r="B53" s="8">
        <v>1031331967660.6804</v>
      </c>
      <c r="C53" s="8">
        <v>1041234109038.9</v>
      </c>
      <c r="D53" s="8">
        <f t="shared" si="0"/>
        <v>0.96013133391764682</v>
      </c>
      <c r="E53" s="8"/>
      <c r="F53" s="8"/>
    </row>
    <row r="54" spans="1:6" x14ac:dyDescent="0.25">
      <c r="A54" s="8" t="s">
        <v>2286</v>
      </c>
      <c r="B54" s="8">
        <v>533444995650.16998</v>
      </c>
      <c r="C54" s="8">
        <v>538333861364.69</v>
      </c>
      <c r="D54" s="8">
        <f t="shared" si="0"/>
        <v>0.91647044294818136</v>
      </c>
      <c r="E54" s="8"/>
      <c r="F54" s="8"/>
    </row>
    <row r="55" spans="1:6" x14ac:dyDescent="0.25">
      <c r="A55" s="8" t="s">
        <v>3793</v>
      </c>
      <c r="B55" s="8">
        <v>675928624992.25</v>
      </c>
      <c r="C55" s="8">
        <v>679839432112.84998</v>
      </c>
      <c r="D55" s="8">
        <f t="shared" si="0"/>
        <v>0.57858285268578702</v>
      </c>
      <c r="E55" s="8"/>
      <c r="F55" s="8"/>
    </row>
    <row r="56" spans="1:6" x14ac:dyDescent="0.25">
      <c r="A56" s="8" t="s">
        <v>2787</v>
      </c>
      <c r="B56" s="8">
        <v>736869192629.59998</v>
      </c>
      <c r="C56" s="8">
        <v>740916990952.55005</v>
      </c>
      <c r="D56" s="8">
        <f t="shared" si="0"/>
        <v>0.54932386418613233</v>
      </c>
      <c r="E56" s="8"/>
      <c r="F56" s="8"/>
    </row>
    <row r="57" spans="1:6" x14ac:dyDescent="0.25">
      <c r="A57" s="8" t="s">
        <v>356</v>
      </c>
      <c r="B57" s="8">
        <v>2776840080766.3696</v>
      </c>
      <c r="C57" s="8">
        <v>2781874468600.9102</v>
      </c>
      <c r="D57" s="8">
        <f t="shared" si="0"/>
        <v>0.18129916336957747</v>
      </c>
      <c r="E57" s="69" t="s">
        <v>4507</v>
      </c>
      <c r="F57" s="67"/>
    </row>
    <row r="58" spans="1:6" x14ac:dyDescent="0.25">
      <c r="A58" s="8" t="s">
        <v>1685</v>
      </c>
      <c r="B58" s="8">
        <v>224327756594.86996</v>
      </c>
      <c r="C58" s="8">
        <v>224608160208.96997</v>
      </c>
      <c r="D58" s="8">
        <f t="shared" si="0"/>
        <v>0.12499728894735378</v>
      </c>
      <c r="E58" s="8"/>
      <c r="F58" s="8"/>
    </row>
    <row r="59" spans="1:6" x14ac:dyDescent="0.25">
      <c r="A59" s="8" t="s">
        <v>2444</v>
      </c>
      <c r="B59" s="8">
        <v>1269769664604.9001</v>
      </c>
      <c r="C59" s="8">
        <v>1268561296700.7498</v>
      </c>
      <c r="D59" s="8">
        <f t="shared" si="0"/>
        <v>-9.5164338685503627E-2</v>
      </c>
      <c r="E59" s="8"/>
      <c r="F59" s="8"/>
    </row>
    <row r="60" spans="1:6" x14ac:dyDescent="0.25">
      <c r="A60" s="8" t="s">
        <v>13</v>
      </c>
      <c r="B60" s="8">
        <v>8384126799899.8018</v>
      </c>
      <c r="C60" s="8">
        <v>8376057864045.5</v>
      </c>
      <c r="D60" s="8">
        <f t="shared" si="0"/>
        <v>-9.6240622868420708E-2</v>
      </c>
      <c r="E60" s="8"/>
      <c r="F60" s="8"/>
    </row>
    <row r="61" spans="1:6" x14ac:dyDescent="0.25">
      <c r="A61" s="8" t="s">
        <v>3906</v>
      </c>
      <c r="B61" s="8">
        <v>168708997209.38</v>
      </c>
      <c r="C61" s="8">
        <v>168515628495.48996</v>
      </c>
      <c r="D61" s="8">
        <f t="shared" si="0"/>
        <v>-0.11461671700298277</v>
      </c>
      <c r="E61" s="8"/>
      <c r="F61" s="8"/>
    </row>
    <row r="62" spans="1:6" x14ac:dyDescent="0.25">
      <c r="A62" s="8" t="s">
        <v>2825</v>
      </c>
      <c r="B62" s="8">
        <v>1340418348</v>
      </c>
      <c r="C62" s="8">
        <v>1337863089.2</v>
      </c>
      <c r="D62" s="8">
        <f t="shared" si="0"/>
        <v>-0.19063144008828148</v>
      </c>
      <c r="E62" s="8"/>
      <c r="F62" s="8"/>
    </row>
    <row r="63" spans="1:6" x14ac:dyDescent="0.25">
      <c r="A63" s="8" t="s">
        <v>3431</v>
      </c>
      <c r="B63" s="8">
        <v>3965529331376.6504</v>
      </c>
      <c r="C63" s="8">
        <v>3956894346072.6499</v>
      </c>
      <c r="D63" s="8">
        <f t="shared" si="0"/>
        <v>-0.21775113944253227</v>
      </c>
      <c r="E63" s="8"/>
      <c r="F63" s="8"/>
    </row>
    <row r="64" spans="1:6" x14ac:dyDescent="0.25">
      <c r="A64" s="8" t="s">
        <v>1907</v>
      </c>
      <c r="B64" s="8">
        <v>514972040060.25</v>
      </c>
      <c r="C64" s="8">
        <v>513113063263.60004</v>
      </c>
      <c r="D64" s="8">
        <f t="shared" si="0"/>
        <v>-0.36098596662305577</v>
      </c>
      <c r="E64" s="8"/>
      <c r="F64" s="8"/>
    </row>
    <row r="65" spans="1:6" x14ac:dyDescent="0.25">
      <c r="A65" s="8" t="s">
        <v>4145</v>
      </c>
      <c r="B65" s="8">
        <v>7865843553197.249</v>
      </c>
      <c r="C65" s="8">
        <v>7816898270198.8496</v>
      </c>
      <c r="D65" s="8">
        <f t="shared" si="0"/>
        <v>-0.62225090884886092</v>
      </c>
      <c r="E65" s="8"/>
      <c r="F65" s="8"/>
    </row>
    <row r="66" spans="1:6" x14ac:dyDescent="0.25">
      <c r="A66" s="8" t="s">
        <v>3976</v>
      </c>
      <c r="B66" s="8">
        <v>1012655470443.46</v>
      </c>
      <c r="C66" s="8">
        <v>1005318709213.7401</v>
      </c>
      <c r="D66" s="8">
        <f t="shared" si="0"/>
        <v>-0.72450714422220519</v>
      </c>
      <c r="E66" s="8"/>
      <c r="F66" s="8"/>
    </row>
    <row r="67" spans="1:6" x14ac:dyDescent="0.25">
      <c r="A67" s="8" t="s">
        <v>1478</v>
      </c>
      <c r="B67" s="8">
        <v>378887933103.22003</v>
      </c>
      <c r="C67" s="8">
        <v>375574333764.79993</v>
      </c>
      <c r="D67" s="8">
        <f t="shared" si="0"/>
        <v>-0.87455921630457023</v>
      </c>
      <c r="E67" s="8"/>
      <c r="F67" s="8"/>
    </row>
    <row r="68" spans="1:6" x14ac:dyDescent="0.25">
      <c r="A68" s="8" t="s">
        <v>3872</v>
      </c>
      <c r="B68" s="8">
        <v>687274714674.90002</v>
      </c>
      <c r="C68" s="8">
        <v>681100041218.75</v>
      </c>
      <c r="D68" s="8">
        <f t="shared" si="0"/>
        <v>-0.8984287249780194</v>
      </c>
      <c r="E68" s="8"/>
      <c r="F68" s="8"/>
    </row>
    <row r="69" spans="1:6" x14ac:dyDescent="0.25">
      <c r="A69" s="8" t="s">
        <v>2755</v>
      </c>
      <c r="B69" s="8">
        <v>3150832767148.2896</v>
      </c>
      <c r="C69" s="8">
        <v>3119487892420.3198</v>
      </c>
      <c r="D69" s="8">
        <f t="shared" si="0"/>
        <v>-0.99481238911765213</v>
      </c>
      <c r="E69" s="8"/>
      <c r="F69" s="8"/>
    </row>
    <row r="70" spans="1:6" x14ac:dyDescent="0.25">
      <c r="A70" s="8" t="s">
        <v>2757</v>
      </c>
      <c r="B70" s="8">
        <v>675419057156.85999</v>
      </c>
      <c r="C70" s="8">
        <v>667859105044.88</v>
      </c>
      <c r="D70" s="8">
        <f t="shared" si="0"/>
        <v>-1.1192980168198376</v>
      </c>
      <c r="E70" s="8"/>
      <c r="F70" s="8"/>
    </row>
    <row r="71" spans="1:6" x14ac:dyDescent="0.25">
      <c r="A71" s="8" t="s">
        <v>1645</v>
      </c>
      <c r="B71" s="8">
        <v>519874531686.37</v>
      </c>
      <c r="C71" s="8">
        <v>514017587451.69995</v>
      </c>
      <c r="D71" s="8">
        <f t="shared" si="0"/>
        <v>-1.1266072634239799</v>
      </c>
      <c r="E71" s="69" t="s">
        <v>4508</v>
      </c>
      <c r="F71" s="67"/>
    </row>
    <row r="72" spans="1:6" x14ac:dyDescent="0.25">
      <c r="A72" s="8" t="s">
        <v>1271</v>
      </c>
      <c r="B72" s="8">
        <v>1093268977842.3999</v>
      </c>
      <c r="C72" s="8">
        <v>1078364641579.6001</v>
      </c>
      <c r="D72" s="8">
        <f t="shared" si="0"/>
        <v>-1.3632817325717934</v>
      </c>
      <c r="E72" s="8"/>
      <c r="F72" s="8"/>
    </row>
    <row r="73" spans="1:6" x14ac:dyDescent="0.25">
      <c r="A73" s="8" t="s">
        <v>3690</v>
      </c>
      <c r="B73" s="8">
        <v>63846526332.419998</v>
      </c>
      <c r="C73" s="8">
        <v>62925192777.649994</v>
      </c>
      <c r="D73" s="8">
        <f t="shared" si="0"/>
        <v>-1.4430441367679692</v>
      </c>
      <c r="E73" s="8"/>
      <c r="F73" s="8"/>
    </row>
    <row r="74" spans="1:6" x14ac:dyDescent="0.25">
      <c r="A74" s="8" t="s">
        <v>41</v>
      </c>
      <c r="B74" s="8">
        <v>416578992734</v>
      </c>
      <c r="C74" s="8">
        <v>410339999045.90002</v>
      </c>
      <c r="D74" s="8">
        <f t="shared" si="0"/>
        <v>-1.4976736217910507</v>
      </c>
      <c r="E74" s="8"/>
      <c r="F74" s="8"/>
    </row>
    <row r="75" spans="1:6" x14ac:dyDescent="0.25">
      <c r="A75" s="8" t="s">
        <v>3454</v>
      </c>
      <c r="B75" s="8">
        <v>30433942939.840004</v>
      </c>
      <c r="C75" s="8">
        <v>29963131395.619999</v>
      </c>
      <c r="D75" s="8">
        <f t="shared" si="0"/>
        <v>-1.5469948969500178</v>
      </c>
      <c r="E75" s="8"/>
      <c r="F75" s="8"/>
    </row>
    <row r="76" spans="1:6" x14ac:dyDescent="0.25">
      <c r="A76" s="8" t="s">
        <v>1633</v>
      </c>
      <c r="B76" s="8">
        <v>1369589566812.1902</v>
      </c>
      <c r="C76" s="8">
        <v>1348177150949.3003</v>
      </c>
      <c r="D76" s="8">
        <f t="shared" si="0"/>
        <v>-1.5634184416816712</v>
      </c>
      <c r="E76" s="8"/>
      <c r="F76" s="8"/>
    </row>
    <row r="77" spans="1:6" x14ac:dyDescent="0.25">
      <c r="A77" s="8" t="s">
        <v>376</v>
      </c>
      <c r="B77" s="8">
        <v>4500632741362.9902</v>
      </c>
      <c r="C77" s="8">
        <v>4426459447369.6201</v>
      </c>
      <c r="D77" s="8">
        <f t="shared" si="0"/>
        <v>-1.6480636891715625</v>
      </c>
      <c r="E77" s="8"/>
      <c r="F77" s="8"/>
    </row>
    <row r="78" spans="1:6" x14ac:dyDescent="0.25">
      <c r="A78" s="8" t="s">
        <v>4036</v>
      </c>
      <c r="B78" s="8">
        <v>227360182889.87003</v>
      </c>
      <c r="C78" s="8">
        <v>222960318700.30005</v>
      </c>
      <c r="D78" s="8">
        <f t="shared" si="0"/>
        <v>-1.9351955710297817</v>
      </c>
      <c r="E78" s="8"/>
      <c r="F78" s="8"/>
    </row>
    <row r="79" spans="1:6" x14ac:dyDescent="0.25">
      <c r="A79" s="8" t="s">
        <v>4016</v>
      </c>
      <c r="B79" s="8">
        <v>1811698968580.55</v>
      </c>
      <c r="C79" s="8">
        <v>1776595608885.96</v>
      </c>
      <c r="D79" s="8">
        <f t="shared" si="0"/>
        <v>-1.9375934028429267</v>
      </c>
      <c r="E79" s="8"/>
      <c r="F79" s="8"/>
    </row>
    <row r="80" spans="1:6" x14ac:dyDescent="0.25">
      <c r="A80" s="8" t="s">
        <v>3639</v>
      </c>
      <c r="B80" s="8">
        <v>7259305552.5999994</v>
      </c>
      <c r="C80" s="8">
        <v>7117061186.1000004</v>
      </c>
      <c r="D80" s="8">
        <f t="shared" si="0"/>
        <v>-1.9594762263320447</v>
      </c>
      <c r="E80" s="8"/>
      <c r="F80" s="8"/>
    </row>
    <row r="81" spans="1:6" x14ac:dyDescent="0.25">
      <c r="A81" s="8" t="s">
        <v>1868</v>
      </c>
      <c r="B81" s="8">
        <v>5504875176013.5977</v>
      </c>
      <c r="C81" s="8">
        <v>5394536326440.1797</v>
      </c>
      <c r="D81" s="8">
        <f t="shared" si="0"/>
        <v>-2.0043842239002552</v>
      </c>
      <c r="E81" s="8"/>
      <c r="F81" s="8"/>
    </row>
    <row r="82" spans="1:6" x14ac:dyDescent="0.25">
      <c r="A82" s="8" t="s">
        <v>850</v>
      </c>
      <c r="B82" s="8">
        <v>485774853220.5</v>
      </c>
      <c r="C82" s="8">
        <v>475848544364.25</v>
      </c>
      <c r="D82" s="8">
        <f t="shared" si="0"/>
        <v>-2.0433970162190156</v>
      </c>
      <c r="E82" s="8"/>
      <c r="F82" s="8"/>
    </row>
    <row r="83" spans="1:6" x14ac:dyDescent="0.25">
      <c r="A83" s="8" t="s">
        <v>295</v>
      </c>
      <c r="B83" s="8">
        <v>85054122828.050003</v>
      </c>
      <c r="C83" s="8">
        <v>83265104097.550003</v>
      </c>
      <c r="D83" s="8">
        <f t="shared" si="0"/>
        <v>-2.103388608353268</v>
      </c>
      <c r="E83" s="8"/>
      <c r="F83" s="8"/>
    </row>
    <row r="84" spans="1:6" x14ac:dyDescent="0.25">
      <c r="A84" s="8" t="s">
        <v>2671</v>
      </c>
      <c r="B84" s="8">
        <v>240787146171.47</v>
      </c>
      <c r="C84" s="8">
        <v>235686699673.38998</v>
      </c>
      <c r="D84" s="8">
        <f t="shared" si="0"/>
        <v>-2.1182386930438026</v>
      </c>
      <c r="E84" s="8"/>
      <c r="F84" s="8"/>
    </row>
    <row r="85" spans="1:6" x14ac:dyDescent="0.25">
      <c r="A85" s="8" t="s">
        <v>3652</v>
      </c>
      <c r="B85" s="8">
        <v>96980913648.099991</v>
      </c>
      <c r="C85" s="8">
        <v>94758677067.209991</v>
      </c>
      <c r="D85" s="8">
        <f t="shared" si="0"/>
        <v>-2.2914164213316179</v>
      </c>
      <c r="E85" s="8"/>
      <c r="F85" s="8"/>
    </row>
    <row r="86" spans="1:6" x14ac:dyDescent="0.25">
      <c r="A86" s="8" t="s">
        <v>1935</v>
      </c>
      <c r="B86" s="8">
        <v>365796840566.89996</v>
      </c>
      <c r="C86" s="8">
        <v>357352097227.75006</v>
      </c>
      <c r="D86" s="8">
        <f t="shared" si="0"/>
        <v>-2.3085883754661514</v>
      </c>
      <c r="E86" s="8"/>
      <c r="F86" s="8"/>
    </row>
    <row r="87" spans="1:6" x14ac:dyDescent="0.25">
      <c r="A87" s="8" t="s">
        <v>680</v>
      </c>
      <c r="B87" s="8">
        <v>23423091221231.746</v>
      </c>
      <c r="C87" s="8">
        <v>22866893670488.301</v>
      </c>
      <c r="D87" s="8">
        <f t="shared" si="0"/>
        <v>-2.3745693746830594</v>
      </c>
      <c r="E87" s="8"/>
      <c r="F87" s="8"/>
    </row>
    <row r="88" spans="1:6" x14ac:dyDescent="0.25">
      <c r="A88" s="8" t="s">
        <v>833</v>
      </c>
      <c r="B88" s="8">
        <v>220724057104.28</v>
      </c>
      <c r="C88" s="8">
        <v>215281415052.96002</v>
      </c>
      <c r="D88" s="8">
        <f t="shared" si="0"/>
        <v>-2.465812799349111</v>
      </c>
      <c r="E88" s="8"/>
      <c r="F88" s="8"/>
    </row>
    <row r="89" spans="1:6" x14ac:dyDescent="0.25">
      <c r="A89" s="8" t="s">
        <v>1672</v>
      </c>
      <c r="B89" s="8">
        <v>291483739266.65002</v>
      </c>
      <c r="C89" s="8">
        <v>283977482357.35004</v>
      </c>
      <c r="D89" s="8">
        <f t="shared" si="0"/>
        <v>-2.5751889035680464</v>
      </c>
      <c r="E89" s="8"/>
      <c r="F89" s="8"/>
    </row>
    <row r="90" spans="1:6" x14ac:dyDescent="0.25">
      <c r="A90" s="8" t="s">
        <v>2753</v>
      </c>
      <c r="B90" s="8">
        <v>1115441276634.8501</v>
      </c>
      <c r="C90" s="8">
        <v>1086697425141.1899</v>
      </c>
      <c r="D90" s="8">
        <f t="shared" si="0"/>
        <v>-2.5769040554404476</v>
      </c>
      <c r="E90" s="8"/>
      <c r="F90" s="8"/>
    </row>
    <row r="91" spans="1:6" x14ac:dyDescent="0.25">
      <c r="A91" s="8" t="s">
        <v>3683</v>
      </c>
      <c r="B91" s="8">
        <v>3356851920250.3901</v>
      </c>
      <c r="C91" s="8">
        <v>3269798926815.1001</v>
      </c>
      <c r="D91" s="8">
        <f t="shared" si="0"/>
        <v>-2.5932926296253394</v>
      </c>
      <c r="E91" s="8"/>
      <c r="F91" s="8"/>
    </row>
    <row r="92" spans="1:6" x14ac:dyDescent="0.25">
      <c r="A92" s="8" t="s">
        <v>2998</v>
      </c>
      <c r="B92" s="8">
        <v>14482112370.389999</v>
      </c>
      <c r="C92" s="8">
        <v>14098303762.339998</v>
      </c>
      <c r="D92" s="8">
        <f t="shared" si="0"/>
        <v>-2.6502253140552403</v>
      </c>
      <c r="E92" s="8"/>
      <c r="F92" s="8"/>
    </row>
    <row r="93" spans="1:6" x14ac:dyDescent="0.25">
      <c r="A93" s="8" t="s">
        <v>206</v>
      </c>
      <c r="B93" s="8">
        <v>1160369247943.5103</v>
      </c>
      <c r="C93" s="8">
        <v>1128777544838.8</v>
      </c>
      <c r="D93" s="8">
        <f t="shared" si="0"/>
        <v>-2.7225560450433592</v>
      </c>
      <c r="E93" s="8"/>
      <c r="F93" s="8"/>
    </row>
    <row r="94" spans="1:6" x14ac:dyDescent="0.25">
      <c r="A94" s="8" t="s">
        <v>876</v>
      </c>
      <c r="B94" s="8">
        <v>1073601753.05</v>
      </c>
      <c r="C94" s="8">
        <v>1042548193.9</v>
      </c>
      <c r="D94" s="8">
        <f t="shared" si="0"/>
        <v>-2.8924653915457741</v>
      </c>
      <c r="E94" s="8"/>
      <c r="F94" s="8"/>
    </row>
    <row r="95" spans="1:6" x14ac:dyDescent="0.25">
      <c r="A95" s="8" t="s">
        <v>3772</v>
      </c>
      <c r="B95" s="8">
        <v>534551072105.14996</v>
      </c>
      <c r="C95" s="8">
        <v>518903699841.79999</v>
      </c>
      <c r="D95" s="8">
        <f t="shared" si="0"/>
        <v>-2.9271987429990651</v>
      </c>
      <c r="E95" s="8"/>
      <c r="F95" s="8"/>
    </row>
    <row r="96" spans="1:6" x14ac:dyDescent="0.25">
      <c r="A96" s="8" t="s">
        <v>1793</v>
      </c>
      <c r="B96" s="8">
        <v>1055226219435.7501</v>
      </c>
      <c r="C96" s="8">
        <v>1024008901732.9001</v>
      </c>
      <c r="D96" s="8">
        <f t="shared" si="0"/>
        <v>-2.9583531121452307</v>
      </c>
      <c r="E96" s="8"/>
      <c r="F96" s="8"/>
    </row>
    <row r="97" spans="1:6" x14ac:dyDescent="0.25">
      <c r="A97" s="8" t="s">
        <v>2577</v>
      </c>
      <c r="B97" s="8">
        <v>428574048236.65002</v>
      </c>
      <c r="C97" s="8">
        <v>415244640771.29999</v>
      </c>
      <c r="D97" s="8">
        <f t="shared" si="0"/>
        <v>-3.1101760641348504</v>
      </c>
      <c r="E97" s="8"/>
      <c r="F97" s="8"/>
    </row>
    <row r="98" spans="1:6" x14ac:dyDescent="0.25">
      <c r="A98" s="8" t="s">
        <v>3140</v>
      </c>
      <c r="B98" s="8">
        <v>3046924237035.2202</v>
      </c>
      <c r="C98" s="8">
        <v>2942901472834.1802</v>
      </c>
      <c r="D98" s="8">
        <f t="shared" si="0"/>
        <v>-3.41402529595742</v>
      </c>
      <c r="E98" s="8"/>
      <c r="F98" s="8"/>
    </row>
    <row r="99" spans="1:6" x14ac:dyDescent="0.25">
      <c r="A99" s="8" t="s">
        <v>1968</v>
      </c>
      <c r="B99" s="8">
        <v>27023702743686.969</v>
      </c>
      <c r="C99" s="8">
        <v>26092833482845.746</v>
      </c>
      <c r="D99" s="8">
        <f t="shared" si="0"/>
        <v>-3.4446399506029346</v>
      </c>
      <c r="E99" s="8"/>
      <c r="F99" s="8"/>
    </row>
    <row r="100" spans="1:6" x14ac:dyDescent="0.25">
      <c r="A100" s="8" t="s">
        <v>2575</v>
      </c>
      <c r="B100" s="8">
        <v>903863233559.69995</v>
      </c>
      <c r="C100" s="8">
        <v>871973292942.15002</v>
      </c>
      <c r="D100" s="8">
        <f t="shared" si="0"/>
        <v>-3.528182078162116</v>
      </c>
      <c r="E100" s="8"/>
      <c r="F100" s="8"/>
    </row>
    <row r="101" spans="1:6" x14ac:dyDescent="0.25">
      <c r="A101" s="8" t="s">
        <v>3183</v>
      </c>
      <c r="B101" s="8">
        <v>4385025529746.4004</v>
      </c>
      <c r="C101" s="8">
        <v>4228546504878.6001</v>
      </c>
      <c r="D101" s="8">
        <f t="shared" si="0"/>
        <v>-3.5684860625395256</v>
      </c>
      <c r="E101" s="8"/>
      <c r="F101" s="8"/>
    </row>
    <row r="102" spans="1:6" x14ac:dyDescent="0.25">
      <c r="A102" s="8" t="s">
        <v>110</v>
      </c>
      <c r="B102" s="8">
        <v>472401998021.24005</v>
      </c>
      <c r="C102" s="8">
        <v>455535156305.02997</v>
      </c>
      <c r="D102" s="8">
        <f t="shared" si="0"/>
        <v>-3.5704425016957102</v>
      </c>
      <c r="E102" s="8"/>
      <c r="F102" s="8"/>
    </row>
    <row r="103" spans="1:6" x14ac:dyDescent="0.25">
      <c r="A103" s="8" t="s">
        <v>1351</v>
      </c>
      <c r="B103" s="8">
        <v>37752010509.300003</v>
      </c>
      <c r="C103" s="8">
        <v>36372783777.300003</v>
      </c>
      <c r="D103" s="8">
        <f t="shared" si="0"/>
        <v>-3.6533861730628487</v>
      </c>
      <c r="E103" s="8"/>
      <c r="F103" s="8"/>
    </row>
    <row r="104" spans="1:6" x14ac:dyDescent="0.25">
      <c r="A104" s="8" t="s">
        <v>767</v>
      </c>
      <c r="B104" s="8">
        <v>733381340501.31006</v>
      </c>
      <c r="C104" s="8">
        <v>706398765515.52002</v>
      </c>
      <c r="D104" s="8">
        <f t="shared" si="0"/>
        <v>-3.6792011871130827</v>
      </c>
      <c r="E104" s="8"/>
      <c r="F104" s="8"/>
    </row>
    <row r="105" spans="1:6" x14ac:dyDescent="0.25">
      <c r="A105" s="8" t="s">
        <v>324</v>
      </c>
      <c r="B105" s="8">
        <v>324647213251.29999</v>
      </c>
      <c r="C105" s="8">
        <v>312698540376.65002</v>
      </c>
      <c r="D105" s="8">
        <f t="shared" si="0"/>
        <v>-3.6805099156667769</v>
      </c>
      <c r="E105" s="8"/>
      <c r="F105" s="8"/>
    </row>
    <row r="106" spans="1:6" x14ac:dyDescent="0.25">
      <c r="A106" s="8" t="s">
        <v>807</v>
      </c>
      <c r="B106" s="8">
        <v>3211366466983.3398</v>
      </c>
      <c r="C106" s="8">
        <v>3089443450196.23</v>
      </c>
      <c r="D106" s="8">
        <f t="shared" si="0"/>
        <v>-3.796608641231801</v>
      </c>
      <c r="E106" s="8"/>
      <c r="F106" s="8"/>
    </row>
    <row r="107" spans="1:6" x14ac:dyDescent="0.25">
      <c r="A107" s="8" t="s">
        <v>1563</v>
      </c>
      <c r="B107" s="8">
        <v>46009440928.900002</v>
      </c>
      <c r="C107" s="8">
        <v>44226227933.900002</v>
      </c>
      <c r="D107" s="8">
        <f t="shared" si="0"/>
        <v>-3.8757545386297156</v>
      </c>
      <c r="E107" s="8"/>
      <c r="F107" s="8"/>
    </row>
    <row r="108" spans="1:6" x14ac:dyDescent="0.25">
      <c r="A108" s="8" t="s">
        <v>4053</v>
      </c>
      <c r="B108" s="8">
        <v>14765400945.9</v>
      </c>
      <c r="C108" s="8">
        <v>14185367109.700001</v>
      </c>
      <c r="D108" s="8">
        <f t="shared" si="0"/>
        <v>-3.9283310918899259</v>
      </c>
      <c r="E108" s="8"/>
      <c r="F108" s="8"/>
    </row>
    <row r="109" spans="1:6" x14ac:dyDescent="0.25">
      <c r="A109" s="8" t="s">
        <v>3847</v>
      </c>
      <c r="B109" s="8">
        <v>1071160054966.1</v>
      </c>
      <c r="C109" s="8">
        <v>1026274653125.7</v>
      </c>
      <c r="D109" s="8">
        <f t="shared" si="0"/>
        <v>-4.1903543389526936</v>
      </c>
      <c r="E109" s="8"/>
      <c r="F109" s="8"/>
    </row>
    <row r="110" spans="1:6" x14ac:dyDescent="0.25">
      <c r="A110" s="8" t="s">
        <v>3361</v>
      </c>
      <c r="B110" s="8">
        <v>146826713222.45001</v>
      </c>
      <c r="C110" s="8">
        <v>140656575860.95001</v>
      </c>
      <c r="D110" s="8">
        <f t="shared" si="0"/>
        <v>-4.2023261476621938</v>
      </c>
      <c r="E110" s="8"/>
      <c r="F110" s="8"/>
    </row>
    <row r="111" spans="1:6" x14ac:dyDescent="0.25">
      <c r="A111" s="8" t="s">
        <v>1606</v>
      </c>
      <c r="B111" s="8">
        <v>181160193322.32999</v>
      </c>
      <c r="C111" s="8">
        <v>173481482462.32001</v>
      </c>
      <c r="D111" s="8">
        <f t="shared" si="0"/>
        <v>-4.2386303078997063</v>
      </c>
      <c r="E111" s="8"/>
      <c r="F111" s="8"/>
    </row>
    <row r="112" spans="1:6" x14ac:dyDescent="0.25">
      <c r="A112" s="8" t="s">
        <v>9</v>
      </c>
      <c r="B112" s="8">
        <v>3102624680490.3198</v>
      </c>
      <c r="C112" s="8">
        <v>2969594792736.02</v>
      </c>
      <c r="D112" s="8">
        <f t="shared" si="0"/>
        <v>-4.2876564668233277</v>
      </c>
      <c r="E112" s="8"/>
      <c r="F112" s="8"/>
    </row>
    <row r="113" spans="1:6" x14ac:dyDescent="0.25">
      <c r="A113" s="8" t="s">
        <v>2228</v>
      </c>
      <c r="B113" s="8">
        <v>3939173216763.6899</v>
      </c>
      <c r="C113" s="8">
        <v>3767505383495.4102</v>
      </c>
      <c r="D113" s="8">
        <f t="shared" si="0"/>
        <v>-4.3579660964824765</v>
      </c>
      <c r="E113" s="8"/>
      <c r="F113" s="8"/>
    </row>
    <row r="114" spans="1:6" x14ac:dyDescent="0.25">
      <c r="A114" s="8" t="s">
        <v>3190</v>
      </c>
      <c r="B114" s="8">
        <v>112933603245.10001</v>
      </c>
      <c r="C114" s="8">
        <v>107828874524.2</v>
      </c>
      <c r="D114" s="8">
        <f t="shared" si="0"/>
        <v>-4.5201149828020686</v>
      </c>
      <c r="E114" s="8"/>
      <c r="F114" s="8"/>
    </row>
    <row r="115" spans="1:6" x14ac:dyDescent="0.25">
      <c r="A115" s="8" t="s">
        <v>166</v>
      </c>
      <c r="B115" s="8">
        <v>542274217755.54999</v>
      </c>
      <c r="C115" s="8">
        <v>517636993305.54999</v>
      </c>
      <c r="D115" s="8">
        <f t="shared" si="0"/>
        <v>-4.5433147369558577</v>
      </c>
      <c r="E115" s="8"/>
      <c r="F115" s="8"/>
    </row>
    <row r="116" spans="1:6" x14ac:dyDescent="0.25">
      <c r="A116" s="8" t="s">
        <v>2929</v>
      </c>
      <c r="B116" s="8">
        <v>444337270469.7099</v>
      </c>
      <c r="C116" s="8">
        <v>423041345955.75012</v>
      </c>
      <c r="D116" s="8">
        <f t="shared" si="0"/>
        <v>-4.7927387435782309</v>
      </c>
      <c r="E116" s="8"/>
      <c r="F116" s="8"/>
    </row>
    <row r="117" spans="1:6" x14ac:dyDescent="0.25">
      <c r="A117" s="8" t="s">
        <v>1760</v>
      </c>
      <c r="B117" s="8">
        <v>214641765541.47</v>
      </c>
      <c r="C117" s="8">
        <v>204240213892.70001</v>
      </c>
      <c r="D117" s="8">
        <f t="shared" si="0"/>
        <v>-4.8460054465776139</v>
      </c>
      <c r="E117" s="8"/>
      <c r="F117" s="8"/>
    </row>
    <row r="118" spans="1:6" x14ac:dyDescent="0.25">
      <c r="A118" s="8" t="s">
        <v>262</v>
      </c>
      <c r="B118" s="8">
        <v>13659579527.990002</v>
      </c>
      <c r="C118" s="8">
        <v>12988802734.02</v>
      </c>
      <c r="D118" s="8">
        <f t="shared" si="0"/>
        <v>-4.910669414058499</v>
      </c>
      <c r="E118" s="8"/>
      <c r="F118" s="8"/>
    </row>
    <row r="119" spans="1:6" x14ac:dyDescent="0.25">
      <c r="A119" s="8" t="s">
        <v>2247</v>
      </c>
      <c r="B119" s="8">
        <v>135236168565.58</v>
      </c>
      <c r="C119" s="8">
        <v>128406677679.48</v>
      </c>
      <c r="D119" s="8">
        <f t="shared" si="0"/>
        <v>-5.050047600829644</v>
      </c>
      <c r="E119" s="8"/>
      <c r="F119" s="8"/>
    </row>
    <row r="120" spans="1:6" x14ac:dyDescent="0.25">
      <c r="A120" s="8" t="s">
        <v>1337</v>
      </c>
      <c r="B120" s="8">
        <v>932044130084.64978</v>
      </c>
      <c r="C120" s="8">
        <v>884891786578.79004</v>
      </c>
      <c r="D120" s="8">
        <f t="shared" si="0"/>
        <v>-5.0590247804658439</v>
      </c>
      <c r="E120" s="8"/>
      <c r="F120" s="8"/>
    </row>
    <row r="121" spans="1:6" x14ac:dyDescent="0.25">
      <c r="A121" s="8" t="s">
        <v>1376</v>
      </c>
      <c r="B121" s="8">
        <v>5260925578584.4502</v>
      </c>
      <c r="C121" s="8">
        <v>4986600997076.1201</v>
      </c>
      <c r="D121" s="8">
        <f t="shared" si="0"/>
        <v>-5.2143786755892911</v>
      </c>
      <c r="E121" s="8"/>
      <c r="F121" s="8"/>
    </row>
    <row r="122" spans="1:6" x14ac:dyDescent="0.25">
      <c r="A122" s="8" t="s">
        <v>3287</v>
      </c>
      <c r="B122" s="8">
        <v>183286341173.89999</v>
      </c>
      <c r="C122" s="8">
        <v>173711714084.25</v>
      </c>
      <c r="D122" s="8">
        <f t="shared" si="0"/>
        <v>-5.2238628521509396</v>
      </c>
      <c r="E122" s="8"/>
      <c r="F122" s="8"/>
    </row>
    <row r="123" spans="1:6" x14ac:dyDescent="0.25">
      <c r="A123" s="8" t="s">
        <v>3402</v>
      </c>
      <c r="B123" s="8">
        <v>6084955394783.8008</v>
      </c>
      <c r="C123" s="8">
        <v>5741723623327.2002</v>
      </c>
      <c r="D123" s="8">
        <f t="shared" si="0"/>
        <v>-5.6406620786543282</v>
      </c>
      <c r="E123" s="8"/>
      <c r="F123" s="8"/>
    </row>
    <row r="124" spans="1:6" x14ac:dyDescent="0.25">
      <c r="A124" s="8" t="s">
        <v>4082</v>
      </c>
      <c r="B124" s="8">
        <v>1199422028720</v>
      </c>
      <c r="C124" s="8">
        <v>1129952991027.75</v>
      </c>
      <c r="D124" s="8">
        <f t="shared" si="0"/>
        <v>-5.7918760893849859</v>
      </c>
      <c r="E124" s="8"/>
      <c r="F124" s="8"/>
    </row>
    <row r="125" spans="1:6" x14ac:dyDescent="0.25">
      <c r="A125" s="8" t="s">
        <v>1046</v>
      </c>
      <c r="B125" s="8">
        <v>706233758616.52014</v>
      </c>
      <c r="C125" s="8">
        <v>663842416325.70996</v>
      </c>
      <c r="D125" s="8">
        <f t="shared" si="0"/>
        <v>-6.0024519889636672</v>
      </c>
      <c r="E125" s="8"/>
      <c r="F125" s="8"/>
    </row>
    <row r="126" spans="1:6" x14ac:dyDescent="0.25">
      <c r="A126" s="8" t="s">
        <v>1616</v>
      </c>
      <c r="B126" s="8">
        <v>521827614678.3501</v>
      </c>
      <c r="C126" s="8">
        <v>490394860502.29993</v>
      </c>
      <c r="D126" s="8">
        <f t="shared" si="0"/>
        <v>-6.0235896475936874</v>
      </c>
      <c r="E126" s="8"/>
      <c r="F126" s="8"/>
    </row>
    <row r="127" spans="1:6" x14ac:dyDescent="0.25">
      <c r="A127" s="8" t="s">
        <v>1171</v>
      </c>
      <c r="B127" s="8">
        <v>733148581329.07007</v>
      </c>
      <c r="C127" s="8">
        <v>688166108443.58948</v>
      </c>
      <c r="D127" s="8">
        <f t="shared" si="0"/>
        <v>-6.1355193246006472</v>
      </c>
      <c r="E127" s="8"/>
      <c r="F127" s="8"/>
    </row>
    <row r="128" spans="1:6" x14ac:dyDescent="0.25">
      <c r="A128" s="8" t="s">
        <v>642</v>
      </c>
      <c r="B128" s="8">
        <v>1419134316175.1001</v>
      </c>
      <c r="C128" s="8">
        <v>1330899864024.8</v>
      </c>
      <c r="D128" s="8">
        <f t="shared" si="0"/>
        <v>-6.2174842186969723</v>
      </c>
      <c r="E128" s="8"/>
      <c r="F128" s="8"/>
    </row>
    <row r="129" spans="1:6" x14ac:dyDescent="0.25">
      <c r="A129" s="8" t="s">
        <v>3536</v>
      </c>
      <c r="B129" s="8">
        <v>1932100229726.03</v>
      </c>
      <c r="C129" s="8">
        <v>1811552996058.7</v>
      </c>
      <c r="D129" s="8">
        <f t="shared" si="0"/>
        <v>-6.2391811673467661</v>
      </c>
      <c r="E129" s="8"/>
      <c r="F129" s="8"/>
    </row>
    <row r="130" spans="1:6" x14ac:dyDescent="0.25">
      <c r="A130" s="8" t="s">
        <v>1453</v>
      </c>
      <c r="B130" s="8">
        <v>435389512420.79004</v>
      </c>
      <c r="C130" s="8">
        <v>408047165002.04999</v>
      </c>
      <c r="D130" s="8">
        <f t="shared" si="0"/>
        <v>-6.2799738254408268</v>
      </c>
      <c r="E130" s="69" t="s">
        <v>4509</v>
      </c>
      <c r="F130" s="67"/>
    </row>
    <row r="131" spans="1:6" x14ac:dyDescent="0.25">
      <c r="A131" s="8" t="s">
        <v>4111</v>
      </c>
      <c r="B131" s="8">
        <v>44571039505.699997</v>
      </c>
      <c r="C131" s="8">
        <v>41749994550.899994</v>
      </c>
      <c r="D131" s="8">
        <f t="shared" si="0"/>
        <v>-6.3293227756988522</v>
      </c>
      <c r="E131" s="8"/>
      <c r="F131" s="8"/>
    </row>
    <row r="132" spans="1:6" x14ac:dyDescent="0.25">
      <c r="A132" s="8" t="s">
        <v>2867</v>
      </c>
      <c r="B132" s="8">
        <v>4540298956.8000002</v>
      </c>
      <c r="C132" s="8">
        <v>4250757124.8499999</v>
      </c>
      <c r="D132" s="8">
        <f t="shared" si="0"/>
        <v>-6.3771534585041767</v>
      </c>
      <c r="E132" s="8"/>
      <c r="F132" s="8"/>
    </row>
    <row r="133" spans="1:6" x14ac:dyDescent="0.25">
      <c r="A133" s="8" t="s">
        <v>677</v>
      </c>
      <c r="B133" s="8">
        <v>266418252297.35001</v>
      </c>
      <c r="C133" s="8">
        <v>249187298183.64999</v>
      </c>
      <c r="D133" s="8">
        <f t="shared" si="0"/>
        <v>-6.4676327410437731</v>
      </c>
      <c r="E133" s="8"/>
      <c r="F133" s="8"/>
    </row>
    <row r="134" spans="1:6" x14ac:dyDescent="0.25">
      <c r="A134" s="8" t="s">
        <v>2951</v>
      </c>
      <c r="B134" s="8">
        <v>308195005866.71002</v>
      </c>
      <c r="C134" s="8">
        <v>288227546051.38</v>
      </c>
      <c r="D134" s="8">
        <f t="shared" si="0"/>
        <v>-6.4788395123980891</v>
      </c>
      <c r="E134" s="8"/>
      <c r="F134" s="8"/>
    </row>
    <row r="135" spans="1:6" x14ac:dyDescent="0.25">
      <c r="A135" s="8" t="s">
        <v>4068</v>
      </c>
      <c r="B135" s="8">
        <v>20500069663.200001</v>
      </c>
      <c r="C135" s="8">
        <v>19169471372.799999</v>
      </c>
      <c r="D135" s="8">
        <f t="shared" si="0"/>
        <v>-6.4907013110720282</v>
      </c>
      <c r="E135" s="8"/>
      <c r="F135" s="8"/>
    </row>
    <row r="136" spans="1:6" x14ac:dyDescent="0.25">
      <c r="A136" s="8" t="s">
        <v>3475</v>
      </c>
      <c r="B136" s="8">
        <v>9491595941986.0117</v>
      </c>
      <c r="C136" s="8">
        <v>8866132926249.8418</v>
      </c>
      <c r="D136" s="8">
        <f t="shared" si="0"/>
        <v>-6.5896506715950514</v>
      </c>
      <c r="E136" s="8"/>
      <c r="F136" s="8"/>
    </row>
    <row r="137" spans="1:6" x14ac:dyDescent="0.25">
      <c r="A137" s="8" t="s">
        <v>3068</v>
      </c>
      <c r="B137" s="8">
        <v>2098239991.49</v>
      </c>
      <c r="C137" s="8">
        <v>1958779982.47</v>
      </c>
      <c r="D137" s="8">
        <f t="shared" si="0"/>
        <v>-6.6465232569019328</v>
      </c>
      <c r="E137" s="8"/>
      <c r="F137" s="8"/>
    </row>
    <row r="138" spans="1:6" x14ac:dyDescent="0.25">
      <c r="A138" s="8" t="s">
        <v>3085</v>
      </c>
      <c r="B138" s="8">
        <v>8152622737108.75</v>
      </c>
      <c r="C138" s="8">
        <v>7588675270704.0498</v>
      </c>
      <c r="D138" s="8">
        <f t="shared" si="0"/>
        <v>-6.9173747466290685</v>
      </c>
      <c r="E138" s="8"/>
      <c r="F138" s="8"/>
    </row>
    <row r="139" spans="1:6" x14ac:dyDescent="0.25">
      <c r="A139" s="8" t="s">
        <v>2905</v>
      </c>
      <c r="B139" s="8">
        <v>16180840966.260002</v>
      </c>
      <c r="C139" s="8">
        <v>15048062922.82</v>
      </c>
      <c r="D139" s="8">
        <f t="shared" si="0"/>
        <v>-7.0007365241525505</v>
      </c>
      <c r="E139" s="8"/>
      <c r="F139" s="8"/>
    </row>
    <row r="140" spans="1:6" x14ac:dyDescent="0.25">
      <c r="A140" s="8" t="s">
        <v>3974</v>
      </c>
      <c r="B140" s="8">
        <v>285846318075.09998</v>
      </c>
      <c r="C140" s="8">
        <v>265625975024.99997</v>
      </c>
      <c r="D140" s="8">
        <f t="shared" si="0"/>
        <v>-7.0738511471005001</v>
      </c>
      <c r="E140" s="8"/>
      <c r="F140" s="8"/>
    </row>
    <row r="141" spans="1:6" x14ac:dyDescent="0.25">
      <c r="A141" s="8" t="s">
        <v>788</v>
      </c>
      <c r="B141" s="8">
        <v>19412880642164.598</v>
      </c>
      <c r="C141" s="8">
        <v>18003490118163.797</v>
      </c>
      <c r="D141" s="8">
        <f t="shared" si="0"/>
        <v>-7.2600792740651663</v>
      </c>
      <c r="E141" s="8"/>
      <c r="F141" s="8"/>
    </row>
    <row r="142" spans="1:6" x14ac:dyDescent="0.25">
      <c r="A142" s="8" t="s">
        <v>1970</v>
      </c>
      <c r="B142" s="8">
        <v>753619649480.90002</v>
      </c>
      <c r="C142" s="8">
        <v>697945419372.09998</v>
      </c>
      <c r="D142" s="8">
        <f t="shared" si="0"/>
        <v>-7.3875767633114346</v>
      </c>
      <c r="E142" s="8"/>
      <c r="F142" s="8"/>
    </row>
    <row r="143" spans="1:6" x14ac:dyDescent="0.25">
      <c r="A143" s="8" t="s">
        <v>1598</v>
      </c>
      <c r="B143" s="8">
        <v>1420864653540.9299</v>
      </c>
      <c r="C143" s="8">
        <v>1314147435730.0901</v>
      </c>
      <c r="D143" s="8">
        <f t="shared" si="0"/>
        <v>-7.5107236670917512</v>
      </c>
      <c r="E143" s="8"/>
      <c r="F143" s="8"/>
    </row>
    <row r="144" spans="1:6" x14ac:dyDescent="0.25">
      <c r="A144" s="8" t="s">
        <v>204</v>
      </c>
      <c r="B144" s="8">
        <v>1087765172485.42</v>
      </c>
      <c r="C144" s="8">
        <v>1004829397893.8501</v>
      </c>
      <c r="D144" s="8">
        <f t="shared" si="0"/>
        <v>-7.6244190096720148</v>
      </c>
      <c r="E144" s="8"/>
      <c r="F144" s="8"/>
    </row>
    <row r="145" spans="1:6" x14ac:dyDescent="0.25">
      <c r="A145" s="8" t="s">
        <v>350</v>
      </c>
      <c r="B145" s="8">
        <v>863254959314.17993</v>
      </c>
      <c r="C145" s="8">
        <v>796447991595.30005</v>
      </c>
      <c r="D145" s="8">
        <f t="shared" si="0"/>
        <v>-7.7389613575988294</v>
      </c>
      <c r="E145" s="8"/>
      <c r="F145" s="8"/>
    </row>
    <row r="146" spans="1:6" x14ac:dyDescent="0.25">
      <c r="A146" s="8" t="s">
        <v>815</v>
      </c>
      <c r="B146" s="8">
        <v>30455422649.399998</v>
      </c>
      <c r="C146" s="8">
        <v>28056979815.300003</v>
      </c>
      <c r="D146" s="8">
        <f t="shared" si="0"/>
        <v>-7.8752570985819048</v>
      </c>
      <c r="E146" s="8"/>
      <c r="F146" s="8"/>
    </row>
    <row r="147" spans="1:6" x14ac:dyDescent="0.25">
      <c r="A147" s="8" t="s">
        <v>3262</v>
      </c>
      <c r="B147" s="8">
        <v>4709306553646.6504</v>
      </c>
      <c r="C147" s="8">
        <v>4335829627036</v>
      </c>
      <c r="D147" s="8">
        <f t="shared" si="0"/>
        <v>-7.9306140374626635</v>
      </c>
      <c r="E147" s="8"/>
      <c r="F147" s="8"/>
    </row>
    <row r="148" spans="1:6" x14ac:dyDescent="0.25">
      <c r="A148" s="8" t="s">
        <v>3209</v>
      </c>
      <c r="B148" s="8">
        <v>337345326475.07996</v>
      </c>
      <c r="C148" s="8">
        <v>309811860512.66003</v>
      </c>
      <c r="D148" s="8">
        <f t="shared" si="0"/>
        <v>-8.161804477956462</v>
      </c>
      <c r="E148" s="8"/>
      <c r="F148" s="8"/>
    </row>
    <row r="149" spans="1:6" x14ac:dyDescent="0.25">
      <c r="A149" s="8" t="s">
        <v>96</v>
      </c>
      <c r="B149" s="8">
        <v>21270953972.799999</v>
      </c>
      <c r="C149" s="8">
        <v>19522397218.400002</v>
      </c>
      <c r="D149" s="8">
        <f t="shared" si="0"/>
        <v>-8.2203964929638129</v>
      </c>
      <c r="E149" s="8"/>
      <c r="F149" s="8"/>
    </row>
    <row r="150" spans="1:6" x14ac:dyDescent="0.25">
      <c r="A150" s="8" t="s">
        <v>3951</v>
      </c>
      <c r="B150" s="8">
        <v>793361302954.72986</v>
      </c>
      <c r="C150" s="8">
        <v>727748881130.29993</v>
      </c>
      <c r="D150" s="8">
        <f t="shared" si="0"/>
        <v>-8.2701817671303601</v>
      </c>
      <c r="E150" s="8"/>
      <c r="F150" s="8"/>
    </row>
    <row r="151" spans="1:6" x14ac:dyDescent="0.25">
      <c r="A151" s="8" t="s">
        <v>2501</v>
      </c>
      <c r="B151" s="8">
        <v>115249746328.97</v>
      </c>
      <c r="C151" s="8">
        <v>105597382758.25002</v>
      </c>
      <c r="D151" s="8">
        <f t="shared" si="0"/>
        <v>-8.3751712070308475</v>
      </c>
      <c r="E151" s="8"/>
      <c r="F151" s="8"/>
    </row>
    <row r="152" spans="1:6" x14ac:dyDescent="0.25">
      <c r="A152" s="8" t="s">
        <v>3611</v>
      </c>
      <c r="B152" s="8">
        <v>193674249248.69998</v>
      </c>
      <c r="C152" s="8">
        <v>177352103600.38</v>
      </c>
      <c r="D152" s="8">
        <f t="shared" si="0"/>
        <v>-8.4276282012899237</v>
      </c>
      <c r="E152" s="8"/>
      <c r="F152" s="8"/>
    </row>
    <row r="153" spans="1:6" x14ac:dyDescent="0.25">
      <c r="A153" s="8" t="s">
        <v>2681</v>
      </c>
      <c r="B153" s="8">
        <v>392922314153.98004</v>
      </c>
      <c r="C153" s="8">
        <v>358098547685.50006</v>
      </c>
      <c r="D153" s="8">
        <f t="shared" si="0"/>
        <v>-8.862761216160683</v>
      </c>
      <c r="E153" s="8"/>
      <c r="F153" s="8"/>
    </row>
    <row r="154" spans="1:6" x14ac:dyDescent="0.25">
      <c r="A154" s="8" t="s">
        <v>3503</v>
      </c>
      <c r="B154" s="8">
        <v>1994023152419.6001</v>
      </c>
      <c r="C154" s="8">
        <v>1816235685231.1001</v>
      </c>
      <c r="D154" s="8">
        <f t="shared" si="0"/>
        <v>-8.9160182003287183</v>
      </c>
      <c r="E154" s="8"/>
      <c r="F154" s="8"/>
    </row>
    <row r="155" spans="1:6" x14ac:dyDescent="0.25">
      <c r="A155" s="8" t="s">
        <v>183</v>
      </c>
      <c r="B155" s="8">
        <v>828241573784</v>
      </c>
      <c r="C155" s="8">
        <v>752375776177.29993</v>
      </c>
      <c r="D155" s="8">
        <f t="shared" si="0"/>
        <v>-9.1598634997384689</v>
      </c>
      <c r="E155" s="8"/>
      <c r="F155" s="8"/>
    </row>
    <row r="156" spans="1:6" x14ac:dyDescent="0.25">
      <c r="A156" s="8" t="s">
        <v>11</v>
      </c>
      <c r="B156" s="8">
        <v>922745232790.44983</v>
      </c>
      <c r="C156" s="8">
        <v>838013885786.30005</v>
      </c>
      <c r="D156" s="8">
        <f t="shared" si="0"/>
        <v>-9.1825288273682997</v>
      </c>
      <c r="E156" s="8"/>
      <c r="F156" s="8"/>
    </row>
    <row r="157" spans="1:6" x14ac:dyDescent="0.25">
      <c r="A157" s="8" t="s">
        <v>3874</v>
      </c>
      <c r="B157" s="8">
        <v>209348101737.59998</v>
      </c>
      <c r="C157" s="8">
        <v>189853371974.95001</v>
      </c>
      <c r="D157" s="8">
        <f t="shared" si="0"/>
        <v>-9.3121120281687322</v>
      </c>
      <c r="E157" s="8"/>
      <c r="F157" s="8"/>
    </row>
    <row r="158" spans="1:6" x14ac:dyDescent="0.25">
      <c r="A158" s="8" t="s">
        <v>858</v>
      </c>
      <c r="B158" s="8">
        <v>3607513684140.8213</v>
      </c>
      <c r="C158" s="8">
        <v>3267532332904.2397</v>
      </c>
      <c r="D158" s="8">
        <f t="shared" si="0"/>
        <v>-9.4242567320310187</v>
      </c>
      <c r="E158" s="8"/>
      <c r="F158" s="8"/>
    </row>
    <row r="159" spans="1:6" x14ac:dyDescent="0.25">
      <c r="A159" s="8" t="s">
        <v>4051</v>
      </c>
      <c r="B159" s="8">
        <v>24253156668.799999</v>
      </c>
      <c r="C159" s="8">
        <v>21950822810.5</v>
      </c>
      <c r="D159" s="8">
        <f t="shared" si="0"/>
        <v>-9.4929245283018844</v>
      </c>
      <c r="E159" s="8"/>
      <c r="F159" s="8"/>
    </row>
    <row r="160" spans="1:6" x14ac:dyDescent="0.25">
      <c r="A160" s="8" t="s">
        <v>3918</v>
      </c>
      <c r="B160" s="8">
        <v>59735979291.020004</v>
      </c>
      <c r="C160" s="8">
        <v>54024378116.779999</v>
      </c>
      <c r="D160" s="8">
        <f t="shared" si="0"/>
        <v>-9.5614087891894997</v>
      </c>
      <c r="E160" s="8"/>
      <c r="F160" s="8"/>
    </row>
    <row r="161" spans="1:6" x14ac:dyDescent="0.25">
      <c r="A161" s="8" t="s">
        <v>3312</v>
      </c>
      <c r="B161" s="8">
        <v>204291539786.67001</v>
      </c>
      <c r="C161" s="8">
        <v>184175564703.5</v>
      </c>
      <c r="D161" s="8">
        <f t="shared" si="0"/>
        <v>-9.8467000171304093</v>
      </c>
      <c r="E161" s="8"/>
      <c r="F161" s="8"/>
    </row>
    <row r="162" spans="1:6" x14ac:dyDescent="0.25">
      <c r="A162" s="8" t="s">
        <v>959</v>
      </c>
      <c r="B162" s="8">
        <v>242420224257.50003</v>
      </c>
      <c r="C162" s="8">
        <v>218419616342.20001</v>
      </c>
      <c r="D162" s="8">
        <f t="shared" si="0"/>
        <v>-9.9004148638219416</v>
      </c>
      <c r="E162" s="8"/>
      <c r="F162" s="8"/>
    </row>
    <row r="163" spans="1:6" x14ac:dyDescent="0.25">
      <c r="A163" s="8" t="s">
        <v>52</v>
      </c>
      <c r="B163" s="8">
        <v>696987488403.81006</v>
      </c>
      <c r="C163" s="8">
        <v>625521363455.3999</v>
      </c>
      <c r="D163" s="8">
        <f t="shared" si="0"/>
        <v>-10.253573577350243</v>
      </c>
      <c r="E163" s="8"/>
      <c r="F163" s="8"/>
    </row>
    <row r="164" spans="1:6" x14ac:dyDescent="0.25">
      <c r="A164" s="8" t="s">
        <v>3369</v>
      </c>
      <c r="B164" s="8">
        <v>76755663297.590012</v>
      </c>
      <c r="C164" s="8">
        <v>68817039407.590012</v>
      </c>
      <c r="D164" s="8">
        <f t="shared" si="0"/>
        <v>-10.342720717846051</v>
      </c>
      <c r="E164" s="8"/>
      <c r="F164" s="8"/>
    </row>
    <row r="165" spans="1:6" x14ac:dyDescent="0.25">
      <c r="A165" s="8" t="s">
        <v>4033</v>
      </c>
      <c r="B165" s="8">
        <v>6124207039590.2998</v>
      </c>
      <c r="C165" s="8">
        <v>5376940086381.5</v>
      </c>
      <c r="D165" s="8">
        <f t="shared" si="0"/>
        <v>-12.201856475100339</v>
      </c>
      <c r="E165" s="8"/>
      <c r="F165" s="8"/>
    </row>
    <row r="166" spans="1:6" x14ac:dyDescent="0.25">
      <c r="A166" s="8" t="s">
        <v>3618</v>
      </c>
      <c r="B166" s="8">
        <v>145498866331.20001</v>
      </c>
      <c r="C166" s="8">
        <v>127370820122.15001</v>
      </c>
      <c r="D166" s="8">
        <f t="shared" si="0"/>
        <v>-12.459235364614466</v>
      </c>
      <c r="E166" s="8"/>
      <c r="F166" s="8"/>
    </row>
    <row r="167" spans="1:6" x14ac:dyDescent="0.25">
      <c r="A167" s="8" t="s">
        <v>2321</v>
      </c>
      <c r="B167" s="8">
        <v>118160321578.59999</v>
      </c>
      <c r="C167" s="8">
        <v>102793311516.04999</v>
      </c>
      <c r="D167" s="8">
        <f t="shared" si="0"/>
        <v>-13.005220244198391</v>
      </c>
      <c r="E167" s="8"/>
      <c r="F167" s="8"/>
    </row>
    <row r="168" spans="1:6" x14ac:dyDescent="0.25">
      <c r="A168" s="8" t="s">
        <v>2261</v>
      </c>
      <c r="B168" s="8">
        <v>59543381432.650009</v>
      </c>
      <c r="C168" s="8">
        <v>51238813208.199997</v>
      </c>
      <c r="D168" s="8">
        <f t="shared" si="0"/>
        <v>-13.94708870177851</v>
      </c>
      <c r="E168" s="8"/>
      <c r="F168" s="8"/>
    </row>
    <row r="169" spans="1:6" x14ac:dyDescent="0.25">
      <c r="A169" s="8" t="s">
        <v>3663</v>
      </c>
      <c r="B169" s="8">
        <v>87454806384</v>
      </c>
      <c r="C169" s="8">
        <v>73936990814.800003</v>
      </c>
      <c r="D169" s="8">
        <f t="shared" si="0"/>
        <v>-15.456915552297309</v>
      </c>
      <c r="E169" s="8"/>
      <c r="F169" s="8"/>
    </row>
    <row r="170" spans="1:6" x14ac:dyDescent="0.25">
      <c r="A170" s="8" t="s">
        <v>4057</v>
      </c>
      <c r="B170" s="8">
        <v>2760826728.7999997</v>
      </c>
      <c r="C170" s="8">
        <v>2330216687.2999997</v>
      </c>
      <c r="D170" s="8">
        <f t="shared" si="0"/>
        <v>-15.597141139211072</v>
      </c>
      <c r="E170" s="8"/>
      <c r="F170" s="8"/>
    </row>
    <row r="171" spans="1:6" x14ac:dyDescent="0.25">
      <c r="A171" s="8" t="s">
        <v>2265</v>
      </c>
      <c r="B171" s="8">
        <v>16325009064.380001</v>
      </c>
      <c r="C171" s="8">
        <v>13489058634.009998</v>
      </c>
      <c r="D171" s="8">
        <f t="shared" si="0"/>
        <v>-17.371815348990179</v>
      </c>
      <c r="E171" s="8"/>
      <c r="F171" s="8"/>
    </row>
    <row r="172" spans="1:6" x14ac:dyDescent="0.25">
      <c r="A172" s="8" t="s">
        <v>342</v>
      </c>
      <c r="B172" s="8">
        <v>1061023481731</v>
      </c>
      <c r="C172" s="8">
        <v>858767104243.25</v>
      </c>
      <c r="D172" s="8">
        <f t="shared" si="0"/>
        <v>-19.062384666339348</v>
      </c>
      <c r="E172" s="8"/>
      <c r="F172" s="8"/>
    </row>
    <row r="173" spans="1:6" x14ac:dyDescent="0.25">
      <c r="A173" s="8" t="s">
        <v>2346</v>
      </c>
      <c r="B173" s="8">
        <v>39752578205.879997</v>
      </c>
      <c r="C173" s="8">
        <v>31390960077.82</v>
      </c>
      <c r="D173" s="8">
        <f t="shared" si="0"/>
        <v>-21.034153017082023</v>
      </c>
      <c r="E173" s="8"/>
      <c r="F173" s="8"/>
    </row>
    <row r="174" spans="1:6" x14ac:dyDescent="0.25">
      <c r="A174" s="8" t="s">
        <v>2778</v>
      </c>
      <c r="B174" s="8">
        <v>4473546090.789999</v>
      </c>
      <c r="C174" s="8">
        <v>3440417551.1500001</v>
      </c>
      <c r="D174" s="8">
        <f t="shared" si="0"/>
        <v>-23.094174479770594</v>
      </c>
      <c r="E174" s="8"/>
      <c r="F174" s="8"/>
    </row>
    <row r="175" spans="1:6" x14ac:dyDescent="0.25">
      <c r="A175" s="8" t="s">
        <v>108</v>
      </c>
      <c r="B175" s="8">
        <v>1972882140609.8501</v>
      </c>
      <c r="C175" s="8">
        <v>1465460468134.6499</v>
      </c>
      <c r="D175" s="8">
        <f t="shared" si="0"/>
        <v>-25.719816811679785</v>
      </c>
      <c r="E175" s="8"/>
      <c r="F175" s="8"/>
    </row>
    <row r="176" spans="1:6" x14ac:dyDescent="0.25">
      <c r="A176" s="8" t="s">
        <v>935</v>
      </c>
      <c r="B176" s="8">
        <v>3535228355935.6001</v>
      </c>
      <c r="C176" s="8">
        <v>1243254271305.0498</v>
      </c>
      <c r="D176" s="8">
        <f t="shared" si="0"/>
        <v>-64.832419687468203</v>
      </c>
      <c r="E176" s="8"/>
      <c r="F176" s="8"/>
    </row>
    <row r="177" spans="1:6" x14ac:dyDescent="0.25">
      <c r="A177" s="8"/>
      <c r="B177" s="8"/>
      <c r="C177" s="8"/>
      <c r="D177" s="8"/>
      <c r="E177" s="8"/>
      <c r="F177" s="8"/>
    </row>
    <row r="178" spans="1:6" x14ac:dyDescent="0.25">
      <c r="A178" s="8"/>
      <c r="B178" s="8"/>
      <c r="C178" s="8"/>
      <c r="D178" s="8"/>
      <c r="E178" s="8"/>
      <c r="F178" s="8"/>
    </row>
    <row r="179" spans="1:6" x14ac:dyDescent="0.25">
      <c r="A179" s="8"/>
      <c r="B179" s="8"/>
      <c r="C179" s="8"/>
      <c r="D179" s="8"/>
      <c r="E179" s="8"/>
      <c r="F179" s="8"/>
    </row>
    <row r="180" spans="1:6" x14ac:dyDescent="0.25">
      <c r="A180" s="8"/>
      <c r="B180" s="8"/>
      <c r="C180" s="8"/>
      <c r="D180" s="8"/>
      <c r="E180" s="8"/>
      <c r="F180" s="8"/>
    </row>
    <row r="181" spans="1:6" x14ac:dyDescent="0.25">
      <c r="A181" s="8"/>
      <c r="B181" s="8"/>
      <c r="C181" s="8"/>
      <c r="D181" s="8"/>
      <c r="E181" s="8"/>
      <c r="F181" s="8"/>
    </row>
    <row r="182" spans="1:6" x14ac:dyDescent="0.25">
      <c r="A182" s="8"/>
      <c r="B182" s="8"/>
      <c r="C182" s="8"/>
      <c r="D182" s="8"/>
      <c r="E182" s="8"/>
      <c r="F182" s="8"/>
    </row>
    <row r="183" spans="1:6" x14ac:dyDescent="0.25">
      <c r="A183" s="8"/>
      <c r="B183" s="8"/>
      <c r="C183" s="8"/>
      <c r="D183" s="8"/>
      <c r="E183" s="8"/>
      <c r="F183" s="8"/>
    </row>
    <row r="184" spans="1:6" x14ac:dyDescent="0.25">
      <c r="A184" s="8"/>
      <c r="B184" s="8"/>
      <c r="C184" s="8"/>
      <c r="D184" s="8"/>
      <c r="E184" s="8"/>
      <c r="F184" s="8"/>
    </row>
    <row r="185" spans="1:6" x14ac:dyDescent="0.25">
      <c r="A185" s="8"/>
      <c r="B185" s="8"/>
      <c r="C185" s="8"/>
      <c r="D185" s="8"/>
      <c r="E185" s="8"/>
      <c r="F185" s="8"/>
    </row>
    <row r="186" spans="1:6" x14ac:dyDescent="0.25">
      <c r="A186" s="8"/>
      <c r="B186" s="8"/>
      <c r="C186" s="8"/>
      <c r="D186" s="8"/>
      <c r="E186" s="8"/>
      <c r="F186" s="8"/>
    </row>
    <row r="187" spans="1:6" x14ac:dyDescent="0.25">
      <c r="A187" s="8"/>
      <c r="B187" s="8"/>
      <c r="C187" s="8"/>
      <c r="D187" s="8"/>
      <c r="E187" s="8"/>
      <c r="F187" s="8"/>
    </row>
    <row r="188" spans="1:6" x14ac:dyDescent="0.25">
      <c r="A188" s="8"/>
      <c r="B188" s="8"/>
      <c r="C188" s="8"/>
      <c r="D188" s="8"/>
      <c r="E188" s="8"/>
      <c r="F188" s="8"/>
    </row>
    <row r="189" spans="1:6" x14ac:dyDescent="0.25">
      <c r="A189" s="8"/>
      <c r="B189" s="8"/>
      <c r="C189" s="8"/>
      <c r="D189" s="8"/>
      <c r="E189" s="8"/>
      <c r="F189" s="8"/>
    </row>
    <row r="190" spans="1:6" x14ac:dyDescent="0.25">
      <c r="A190" s="8"/>
      <c r="B190" s="8"/>
      <c r="C190" s="8"/>
      <c r="D190" s="8"/>
      <c r="E190" s="8"/>
      <c r="F190" s="8"/>
    </row>
    <row r="191" spans="1:6" x14ac:dyDescent="0.25">
      <c r="A191" s="8"/>
      <c r="B191" s="8"/>
      <c r="C191" s="8"/>
      <c r="D191" s="8"/>
      <c r="E191" s="8"/>
      <c r="F191" s="8"/>
    </row>
    <row r="192" spans="1:6" x14ac:dyDescent="0.25">
      <c r="A192" s="8"/>
      <c r="B192" s="8"/>
      <c r="C192" s="8"/>
      <c r="D192" s="8"/>
      <c r="E192" s="8"/>
      <c r="F192" s="8"/>
    </row>
    <row r="193" spans="1:6" x14ac:dyDescent="0.25">
      <c r="A193" s="8"/>
      <c r="B193" s="8"/>
      <c r="C193" s="8"/>
      <c r="D193" s="8"/>
      <c r="E193" s="8"/>
      <c r="F193" s="8"/>
    </row>
    <row r="194" spans="1:6" x14ac:dyDescent="0.25">
      <c r="A194" s="8"/>
      <c r="B194" s="8"/>
      <c r="C194" s="8"/>
      <c r="D194" s="8"/>
      <c r="E194" s="8"/>
      <c r="F194" s="8"/>
    </row>
    <row r="195" spans="1:6" x14ac:dyDescent="0.25">
      <c r="A195" s="8"/>
      <c r="B195" s="8"/>
      <c r="C195" s="8"/>
      <c r="D195" s="8"/>
      <c r="E195" s="8"/>
      <c r="F195" s="8"/>
    </row>
    <row r="196" spans="1:6" x14ac:dyDescent="0.25">
      <c r="A196" s="8"/>
      <c r="B196" s="8"/>
      <c r="C196" s="8"/>
      <c r="D196" s="8"/>
      <c r="E196" s="8"/>
      <c r="F196" s="8"/>
    </row>
    <row r="197" spans="1:6" x14ac:dyDescent="0.25">
      <c r="A197" s="8"/>
      <c r="B197" s="8"/>
      <c r="C197" s="8"/>
      <c r="D197" s="8"/>
      <c r="E197" s="8"/>
      <c r="F197" s="8"/>
    </row>
    <row r="198" spans="1:6" x14ac:dyDescent="0.25">
      <c r="A198" s="8"/>
      <c r="B198" s="8"/>
      <c r="C198" s="8"/>
      <c r="D198" s="8"/>
      <c r="E198" s="8"/>
      <c r="F198" s="8"/>
    </row>
    <row r="199" spans="1:6" x14ac:dyDescent="0.25">
      <c r="A199" s="8"/>
      <c r="B199" s="8"/>
      <c r="C199" s="8"/>
      <c r="D199" s="8"/>
      <c r="E199" s="8"/>
      <c r="F199" s="8"/>
    </row>
    <row r="200" spans="1:6" x14ac:dyDescent="0.25">
      <c r="A200" s="8"/>
      <c r="B200" s="8"/>
      <c r="C200" s="8"/>
      <c r="D200" s="8"/>
      <c r="E200" s="8"/>
      <c r="F200" s="8"/>
    </row>
    <row r="201" spans="1:6" x14ac:dyDescent="0.25">
      <c r="A201" s="8"/>
      <c r="B201" s="8"/>
      <c r="C201" s="8"/>
      <c r="D201" s="8"/>
      <c r="E201" s="8"/>
      <c r="F201" s="8"/>
    </row>
    <row r="202" spans="1:6" x14ac:dyDescent="0.25">
      <c r="A202" s="8"/>
      <c r="B202" s="8"/>
      <c r="C202" s="8"/>
      <c r="D202" s="8"/>
      <c r="E202" s="8"/>
      <c r="F202" s="8"/>
    </row>
    <row r="203" spans="1:6" x14ac:dyDescent="0.25">
      <c r="A203" s="8"/>
      <c r="B203" s="8"/>
      <c r="C203" s="8"/>
      <c r="D203" s="8"/>
      <c r="E203" s="8"/>
      <c r="F203" s="8"/>
    </row>
    <row r="204" spans="1:6" x14ac:dyDescent="0.25">
      <c r="A204" s="8"/>
      <c r="B204" s="8"/>
      <c r="C204" s="8"/>
      <c r="D204" s="8"/>
      <c r="E204" s="8"/>
      <c r="F204" s="8"/>
    </row>
    <row r="205" spans="1:6" x14ac:dyDescent="0.25">
      <c r="A205" s="8"/>
      <c r="B205" s="8"/>
      <c r="C205" s="8"/>
      <c r="D205" s="8"/>
      <c r="E205" s="8"/>
      <c r="F205" s="8"/>
    </row>
    <row r="206" spans="1:6" x14ac:dyDescent="0.25">
      <c r="A206" s="8"/>
      <c r="B206" s="8"/>
      <c r="C206" s="8"/>
      <c r="D206" s="8"/>
      <c r="E206" s="8"/>
      <c r="F206" s="8"/>
    </row>
    <row r="207" spans="1:6" x14ac:dyDescent="0.25">
      <c r="A207" s="8"/>
      <c r="B207" s="8"/>
      <c r="C207" s="8"/>
      <c r="D207" s="8"/>
      <c r="E207" s="8"/>
      <c r="F207" s="8"/>
    </row>
    <row r="208" spans="1:6" x14ac:dyDescent="0.25">
      <c r="A208" s="8"/>
      <c r="B208" s="8"/>
      <c r="C208" s="8"/>
      <c r="D208" s="8"/>
      <c r="E208" s="8"/>
      <c r="F208" s="8"/>
    </row>
    <row r="209" spans="1:6" x14ac:dyDescent="0.25">
      <c r="A209" s="8"/>
      <c r="B209" s="8"/>
      <c r="C209" s="8"/>
      <c r="D209" s="8"/>
      <c r="E209" s="8"/>
      <c r="F209" s="8"/>
    </row>
    <row r="210" spans="1:6" x14ac:dyDescent="0.25">
      <c r="A210" s="8"/>
      <c r="B210" s="8"/>
      <c r="C210" s="8"/>
      <c r="D210" s="8"/>
      <c r="E210" s="8"/>
      <c r="F210" s="8"/>
    </row>
    <row r="211" spans="1:6" x14ac:dyDescent="0.25">
      <c r="A211" s="8"/>
      <c r="B211" s="8"/>
      <c r="C211" s="8"/>
      <c r="D211" s="8"/>
      <c r="E211" s="8"/>
      <c r="F211" s="8"/>
    </row>
    <row r="212" spans="1:6" x14ac:dyDescent="0.25">
      <c r="A212" s="8"/>
      <c r="B212" s="8"/>
      <c r="C212" s="8"/>
      <c r="D212" s="8"/>
      <c r="E212" s="8"/>
      <c r="F212" s="8"/>
    </row>
    <row r="213" spans="1:6" x14ac:dyDescent="0.25">
      <c r="A213" s="8"/>
      <c r="B213" s="8"/>
      <c r="C213" s="8"/>
      <c r="D213" s="8"/>
      <c r="E213" s="8"/>
      <c r="F213" s="8"/>
    </row>
    <row r="214" spans="1:6" x14ac:dyDescent="0.25">
      <c r="A214" s="8"/>
      <c r="B214" s="8"/>
      <c r="C214" s="8"/>
      <c r="D214" s="8"/>
      <c r="E214" s="8"/>
      <c r="F214" s="8"/>
    </row>
    <row r="215" spans="1:6" x14ac:dyDescent="0.25">
      <c r="A215" s="8"/>
      <c r="B215" s="8"/>
      <c r="C215" s="8"/>
      <c r="D215" s="8"/>
      <c r="E215" s="8"/>
      <c r="F215" s="8"/>
    </row>
    <row r="216" spans="1:6" x14ac:dyDescent="0.25">
      <c r="A216" s="8"/>
      <c r="B216" s="8"/>
      <c r="C216" s="8"/>
      <c r="D216" s="8"/>
      <c r="E216" s="8"/>
      <c r="F216" s="8"/>
    </row>
    <row r="217" spans="1:6" x14ac:dyDescent="0.25">
      <c r="A217" s="8"/>
      <c r="B217" s="8"/>
      <c r="C217" s="8"/>
      <c r="D217" s="8"/>
      <c r="E217" s="8"/>
      <c r="F217" s="8"/>
    </row>
    <row r="218" spans="1:6" x14ac:dyDescent="0.25">
      <c r="A218" s="8"/>
      <c r="B218" s="8"/>
      <c r="C218" s="8"/>
      <c r="D218" s="8"/>
      <c r="E218" s="8"/>
      <c r="F218" s="8"/>
    </row>
    <row r="219" spans="1:6" x14ac:dyDescent="0.25">
      <c r="A219" s="8"/>
      <c r="B219" s="8"/>
      <c r="C219" s="8"/>
      <c r="D219" s="8"/>
      <c r="E219" s="8"/>
      <c r="F219" s="8"/>
    </row>
    <row r="220" spans="1:6" x14ac:dyDescent="0.25">
      <c r="A220" s="8"/>
      <c r="B220" s="8"/>
      <c r="C220" s="8"/>
      <c r="D220" s="8"/>
      <c r="E220" s="8"/>
      <c r="F220" s="8"/>
    </row>
    <row r="221" spans="1:6" x14ac:dyDescent="0.25">
      <c r="A221" s="8"/>
      <c r="B221" s="8"/>
      <c r="C221" s="8"/>
      <c r="D221" s="8"/>
      <c r="E221" s="8"/>
      <c r="F221" s="8"/>
    </row>
    <row r="222" spans="1:6" x14ac:dyDescent="0.25">
      <c r="A222" s="8"/>
      <c r="B222" s="8"/>
      <c r="C222" s="8"/>
      <c r="D222" s="8"/>
      <c r="E222" s="8"/>
      <c r="F222" s="8"/>
    </row>
    <row r="223" spans="1:6" x14ac:dyDescent="0.25">
      <c r="A223" s="8"/>
      <c r="B223" s="8"/>
      <c r="C223" s="8"/>
      <c r="D223" s="8"/>
      <c r="E223" s="8"/>
      <c r="F223" s="8"/>
    </row>
    <row r="224" spans="1:6" x14ac:dyDescent="0.25">
      <c r="A224" s="8"/>
      <c r="B224" s="8"/>
      <c r="C224" s="8"/>
      <c r="D224" s="8"/>
      <c r="E224" s="8"/>
      <c r="F224" s="8"/>
    </row>
    <row r="225" spans="1:6" x14ac:dyDescent="0.25">
      <c r="A225" s="8"/>
      <c r="B225" s="8"/>
      <c r="C225" s="8"/>
      <c r="D225" s="8"/>
      <c r="E225" s="8"/>
      <c r="F225" s="8"/>
    </row>
    <row r="226" spans="1:6" x14ac:dyDescent="0.25">
      <c r="A226" s="8"/>
      <c r="B226" s="8"/>
      <c r="C226" s="8"/>
      <c r="D226" s="8"/>
      <c r="E226" s="8"/>
      <c r="F226" s="8"/>
    </row>
    <row r="227" spans="1:6" x14ac:dyDescent="0.25">
      <c r="A227" s="8"/>
      <c r="B227" s="8"/>
      <c r="C227" s="8"/>
      <c r="D227" s="8"/>
      <c r="E227" s="8"/>
      <c r="F227" s="8"/>
    </row>
    <row r="228" spans="1:6" x14ac:dyDescent="0.25">
      <c r="A228" s="8"/>
      <c r="B228" s="8"/>
      <c r="C228" s="8"/>
      <c r="D228" s="8"/>
      <c r="E228" s="8"/>
      <c r="F228" s="8"/>
    </row>
    <row r="229" spans="1:6" x14ac:dyDescent="0.25">
      <c r="A229" s="8"/>
      <c r="B229" s="8"/>
      <c r="C229" s="8"/>
      <c r="D229" s="8"/>
      <c r="E229" s="8"/>
      <c r="F229" s="8"/>
    </row>
    <row r="230" spans="1:6" x14ac:dyDescent="0.25">
      <c r="A230" s="8"/>
      <c r="B230" s="8"/>
      <c r="C230" s="8"/>
      <c r="D230" s="8"/>
      <c r="E230" s="8"/>
      <c r="F230" s="8"/>
    </row>
    <row r="231" spans="1:6" x14ac:dyDescent="0.25">
      <c r="A231" s="8"/>
      <c r="B231" s="8"/>
      <c r="C231" s="8"/>
      <c r="D231" s="8"/>
      <c r="E231" s="8"/>
      <c r="F231" s="8"/>
    </row>
    <row r="232" spans="1:6" x14ac:dyDescent="0.25">
      <c r="A232" s="8"/>
      <c r="B232" s="8"/>
      <c r="C232" s="8"/>
      <c r="D232" s="8"/>
      <c r="E232" s="8"/>
      <c r="F232" s="8"/>
    </row>
    <row r="233" spans="1:6" x14ac:dyDescent="0.25">
      <c r="A233" s="8"/>
      <c r="B233" s="8"/>
      <c r="C233" s="8"/>
      <c r="D233" s="8"/>
      <c r="E233" s="8"/>
      <c r="F233" s="8"/>
    </row>
    <row r="234" spans="1:6" x14ac:dyDescent="0.25">
      <c r="A234" s="8"/>
      <c r="B234" s="8"/>
      <c r="C234" s="8"/>
      <c r="D234" s="8"/>
      <c r="E234" s="8"/>
      <c r="F234" s="8"/>
    </row>
    <row r="235" spans="1:6" x14ac:dyDescent="0.25">
      <c r="A235" s="8"/>
      <c r="B235" s="8"/>
      <c r="C235" s="8"/>
      <c r="D235" s="8"/>
      <c r="E235" s="8"/>
      <c r="F235" s="8"/>
    </row>
    <row r="236" spans="1:6" x14ac:dyDescent="0.25">
      <c r="A236" s="8"/>
      <c r="B236" s="8"/>
      <c r="C236" s="8"/>
      <c r="D236" s="8"/>
      <c r="E236" s="8"/>
      <c r="F236" s="8"/>
    </row>
    <row r="237" spans="1:6" x14ac:dyDescent="0.25">
      <c r="A237" s="8"/>
      <c r="B237" s="8"/>
      <c r="C237" s="8"/>
      <c r="D237" s="8"/>
      <c r="E237" s="8"/>
      <c r="F237" s="8"/>
    </row>
    <row r="238" spans="1:6" x14ac:dyDescent="0.25">
      <c r="A238" s="8"/>
      <c r="B238" s="8"/>
      <c r="C238" s="8"/>
      <c r="D238" s="8"/>
      <c r="E238" s="8"/>
      <c r="F238" s="8"/>
    </row>
    <row r="239" spans="1:6" x14ac:dyDescent="0.25">
      <c r="A239" s="8"/>
      <c r="B239" s="8"/>
      <c r="C239" s="8"/>
      <c r="D239" s="8"/>
      <c r="E239" s="8"/>
      <c r="F239" s="8"/>
    </row>
    <row r="240" spans="1:6" x14ac:dyDescent="0.25">
      <c r="A240" s="8"/>
      <c r="B240" s="8"/>
      <c r="C240" s="8"/>
      <c r="D240" s="8"/>
      <c r="E240" s="8"/>
      <c r="F240" s="8"/>
    </row>
    <row r="241" spans="1:6" x14ac:dyDescent="0.25">
      <c r="A241" s="8"/>
      <c r="B241" s="8"/>
      <c r="C241" s="8"/>
      <c r="D241" s="8"/>
      <c r="E241" s="8"/>
      <c r="F241" s="8"/>
    </row>
    <row r="242" spans="1:6" x14ac:dyDescent="0.25">
      <c r="A242" s="8"/>
      <c r="B242" s="8"/>
      <c r="C242" s="8"/>
      <c r="D242" s="8"/>
      <c r="E242" s="8"/>
      <c r="F242" s="8"/>
    </row>
    <row r="243" spans="1:6" x14ac:dyDescent="0.25">
      <c r="A243" s="8"/>
      <c r="B243" s="8"/>
      <c r="C243" s="8"/>
      <c r="D243" s="8"/>
      <c r="E243" s="8"/>
      <c r="F243" s="8"/>
    </row>
    <row r="244" spans="1:6" x14ac:dyDescent="0.25">
      <c r="A244" s="8"/>
      <c r="B244" s="8"/>
      <c r="C244" s="8"/>
      <c r="D244" s="8"/>
      <c r="E244" s="8"/>
      <c r="F244" s="8"/>
    </row>
    <row r="245" spans="1:6" x14ac:dyDescent="0.25">
      <c r="A245" s="8"/>
      <c r="B245" s="8"/>
      <c r="C245" s="8"/>
      <c r="D245" s="8"/>
      <c r="E245" s="8"/>
      <c r="F245" s="8"/>
    </row>
    <row r="246" spans="1:6" x14ac:dyDescent="0.25">
      <c r="A246" s="8"/>
      <c r="B246" s="8"/>
      <c r="C246" s="8"/>
      <c r="D246" s="8"/>
      <c r="E246" s="8"/>
      <c r="F246" s="8"/>
    </row>
    <row r="247" spans="1:6" x14ac:dyDescent="0.25">
      <c r="A247" s="8"/>
      <c r="B247" s="8"/>
      <c r="C247" s="8"/>
      <c r="D247" s="8"/>
      <c r="E247" s="8"/>
      <c r="F247" s="8"/>
    </row>
    <row r="248" spans="1:6" x14ac:dyDescent="0.25">
      <c r="A248" s="8"/>
      <c r="B248" s="8"/>
      <c r="C248" s="8"/>
      <c r="D248" s="8"/>
      <c r="E248" s="8"/>
      <c r="F248" s="8"/>
    </row>
    <row r="249" spans="1:6" x14ac:dyDescent="0.25">
      <c r="A249" s="8"/>
      <c r="B249" s="8"/>
      <c r="C249" s="8"/>
      <c r="D249" s="8"/>
      <c r="E249" s="8"/>
      <c r="F249" s="8"/>
    </row>
    <row r="250" spans="1:6" x14ac:dyDescent="0.25">
      <c r="A250" s="8"/>
      <c r="B250" s="8"/>
      <c r="C250" s="8"/>
      <c r="D250" s="8"/>
      <c r="E250" s="8"/>
      <c r="F250" s="8"/>
    </row>
    <row r="251" spans="1:6" x14ac:dyDescent="0.25">
      <c r="A251" s="8"/>
      <c r="B251" s="8"/>
      <c r="C251" s="8"/>
      <c r="D251" s="8"/>
      <c r="E251" s="8"/>
      <c r="F251" s="8"/>
    </row>
    <row r="252" spans="1:6" x14ac:dyDescent="0.25">
      <c r="A252" s="8"/>
      <c r="B252" s="8"/>
      <c r="C252" s="8"/>
      <c r="D252" s="8"/>
      <c r="E252" s="8"/>
      <c r="F252" s="8"/>
    </row>
    <row r="253" spans="1:6" x14ac:dyDescent="0.25">
      <c r="A253" s="8"/>
      <c r="B253" s="8"/>
      <c r="C253" s="8"/>
      <c r="D253" s="8"/>
      <c r="E253" s="8"/>
      <c r="F253" s="8"/>
    </row>
    <row r="254" spans="1:6" x14ac:dyDescent="0.25">
      <c r="A254" s="8"/>
      <c r="B254" s="8"/>
      <c r="C254" s="8"/>
      <c r="D254" s="8"/>
      <c r="E254" s="8"/>
      <c r="F254" s="8"/>
    </row>
    <row r="255" spans="1:6" x14ac:dyDescent="0.25">
      <c r="A255" s="8"/>
      <c r="B255" s="8"/>
      <c r="C255" s="8"/>
      <c r="D255" s="8"/>
      <c r="E255" s="8"/>
      <c r="F255" s="8"/>
    </row>
    <row r="256" spans="1:6" x14ac:dyDescent="0.25">
      <c r="A256" s="8"/>
      <c r="B256" s="8"/>
      <c r="C256" s="8"/>
      <c r="D256" s="8"/>
      <c r="E256" s="8"/>
      <c r="F256" s="8"/>
    </row>
    <row r="257" spans="1:6" x14ac:dyDescent="0.25">
      <c r="A257" s="8"/>
      <c r="B257" s="8"/>
      <c r="C257" s="8"/>
      <c r="D257" s="8"/>
      <c r="E257" s="8"/>
      <c r="F257" s="8"/>
    </row>
    <row r="258" spans="1:6" x14ac:dyDescent="0.25">
      <c r="A258" s="8"/>
      <c r="B258" s="8"/>
      <c r="C258" s="8"/>
      <c r="D258" s="8"/>
      <c r="E258" s="8"/>
      <c r="F258" s="8"/>
    </row>
    <row r="259" spans="1:6" x14ac:dyDescent="0.25">
      <c r="A259" s="8"/>
      <c r="B259" s="8"/>
      <c r="C259" s="8"/>
      <c r="D259" s="8"/>
      <c r="E259" s="8"/>
      <c r="F259" s="8"/>
    </row>
    <row r="260" spans="1:6" x14ac:dyDescent="0.25">
      <c r="A260" s="8"/>
      <c r="B260" s="8"/>
      <c r="C260" s="8"/>
      <c r="D260" s="8"/>
      <c r="E260" s="8"/>
      <c r="F260" s="8"/>
    </row>
    <row r="261" spans="1:6" x14ac:dyDescent="0.25">
      <c r="A261" s="8"/>
      <c r="B261" s="8"/>
      <c r="C261" s="8"/>
      <c r="D261" s="8"/>
      <c r="E261" s="8"/>
      <c r="F261" s="8"/>
    </row>
    <row r="262" spans="1:6" x14ac:dyDescent="0.25">
      <c r="A262" s="8"/>
      <c r="B262" s="8"/>
      <c r="C262" s="8"/>
      <c r="D262" s="8"/>
      <c r="E262" s="8"/>
      <c r="F262" s="8"/>
    </row>
    <row r="263" spans="1:6" x14ac:dyDescent="0.25">
      <c r="A263" s="8"/>
      <c r="B263" s="8"/>
      <c r="C263" s="8"/>
      <c r="D263" s="8"/>
      <c r="E263" s="8"/>
      <c r="F263" s="8"/>
    </row>
    <row r="264" spans="1:6" x14ac:dyDescent="0.25">
      <c r="A264" s="8"/>
      <c r="B264" s="8"/>
      <c r="C264" s="8"/>
      <c r="D264" s="8"/>
      <c r="E264" s="8"/>
      <c r="F264" s="8"/>
    </row>
    <row r="265" spans="1:6" x14ac:dyDescent="0.25">
      <c r="A265" s="8"/>
      <c r="B265" s="8"/>
      <c r="C265" s="8"/>
      <c r="D265" s="8"/>
      <c r="E265" s="8"/>
      <c r="F265" s="8"/>
    </row>
    <row r="266" spans="1:6" x14ac:dyDescent="0.25">
      <c r="A266" s="8"/>
      <c r="B266" s="8"/>
      <c r="C266" s="8"/>
      <c r="D266" s="8"/>
      <c r="E266" s="8"/>
      <c r="F266" s="8"/>
    </row>
    <row r="267" spans="1:6" x14ac:dyDescent="0.25">
      <c r="A267" s="8"/>
      <c r="B267" s="8"/>
      <c r="C267" s="8"/>
      <c r="D267" s="8"/>
      <c r="E267" s="8"/>
      <c r="F267" s="8"/>
    </row>
    <row r="268" spans="1:6" x14ac:dyDescent="0.25">
      <c r="A268" s="8"/>
      <c r="B268" s="8"/>
      <c r="C268" s="8"/>
      <c r="D268" s="8"/>
      <c r="E268" s="8"/>
      <c r="F268" s="8"/>
    </row>
    <row r="269" spans="1:6" x14ac:dyDescent="0.25">
      <c r="A269" s="8"/>
      <c r="B269" s="8"/>
      <c r="C269" s="8"/>
      <c r="D269" s="8"/>
      <c r="E269" s="8"/>
      <c r="F269" s="8"/>
    </row>
    <row r="270" spans="1:6" x14ac:dyDescent="0.25">
      <c r="A270" s="8"/>
      <c r="B270" s="8"/>
      <c r="C270" s="8"/>
      <c r="D270" s="8"/>
      <c r="E270" s="8"/>
      <c r="F270" s="8"/>
    </row>
    <row r="271" spans="1:6" x14ac:dyDescent="0.25">
      <c r="A271" s="8"/>
      <c r="B271" s="8"/>
      <c r="C271" s="8"/>
      <c r="D271" s="8"/>
      <c r="E271" s="8"/>
      <c r="F271" s="8"/>
    </row>
    <row r="272" spans="1:6" x14ac:dyDescent="0.25">
      <c r="A272" s="8"/>
      <c r="B272" s="8"/>
      <c r="C272" s="8"/>
      <c r="D272" s="8"/>
      <c r="E272" s="8"/>
      <c r="F272" s="8"/>
    </row>
    <row r="273" spans="1:6" x14ac:dyDescent="0.25">
      <c r="A273" s="8"/>
      <c r="B273" s="8"/>
      <c r="C273" s="8"/>
      <c r="D273" s="8"/>
      <c r="E273" s="8"/>
      <c r="F273" s="8"/>
    </row>
    <row r="274" spans="1:6" x14ac:dyDescent="0.25">
      <c r="A274" s="8"/>
      <c r="B274" s="8"/>
      <c r="C274" s="8"/>
      <c r="D274" s="8"/>
      <c r="E274" s="8"/>
      <c r="F274" s="8"/>
    </row>
    <row r="275" spans="1:6" x14ac:dyDescent="0.25">
      <c r="A275" s="8"/>
      <c r="B275" s="8"/>
      <c r="C275" s="8"/>
      <c r="D275" s="8"/>
      <c r="E275" s="8"/>
      <c r="F275" s="8"/>
    </row>
    <row r="276" spans="1:6" x14ac:dyDescent="0.25">
      <c r="A276" s="8"/>
      <c r="B276" s="8"/>
      <c r="C276" s="8"/>
      <c r="D276" s="8"/>
      <c r="E276" s="8"/>
      <c r="F276" s="8"/>
    </row>
    <row r="277" spans="1:6" x14ac:dyDescent="0.25">
      <c r="A277" s="8"/>
      <c r="B277" s="8"/>
      <c r="C277" s="8"/>
      <c r="D277" s="8"/>
      <c r="E277" s="8"/>
      <c r="F277" s="8"/>
    </row>
    <row r="278" spans="1:6" x14ac:dyDescent="0.25">
      <c r="A278" s="8"/>
      <c r="B278" s="8"/>
      <c r="C278" s="8"/>
      <c r="D278" s="8"/>
      <c r="E278" s="8"/>
      <c r="F278" s="8"/>
    </row>
    <row r="279" spans="1:6" x14ac:dyDescent="0.25">
      <c r="A279" s="8"/>
      <c r="B279" s="8"/>
      <c r="C279" s="8"/>
      <c r="D279" s="8"/>
      <c r="E279" s="8"/>
      <c r="F279" s="8"/>
    </row>
    <row r="280" spans="1:6" x14ac:dyDescent="0.25">
      <c r="A280" s="8"/>
      <c r="B280" s="8"/>
      <c r="C280" s="8"/>
      <c r="D280" s="8"/>
      <c r="E280" s="8"/>
      <c r="F280" s="8"/>
    </row>
    <row r="281" spans="1:6" x14ac:dyDescent="0.25">
      <c r="A281" s="8"/>
      <c r="B281" s="8"/>
      <c r="C281" s="8"/>
      <c r="D281" s="8"/>
      <c r="E281" s="8"/>
      <c r="F281" s="8"/>
    </row>
    <row r="282" spans="1:6" x14ac:dyDescent="0.25">
      <c r="A282" s="8"/>
      <c r="B282" s="8"/>
      <c r="C282" s="8"/>
      <c r="D282" s="8"/>
      <c r="E282" s="8"/>
      <c r="F282" s="8"/>
    </row>
    <row r="283" spans="1:6" x14ac:dyDescent="0.25">
      <c r="A283" s="8"/>
      <c r="B283" s="8"/>
      <c r="C283" s="8"/>
      <c r="D283" s="8"/>
      <c r="E283" s="8"/>
      <c r="F283" s="8"/>
    </row>
    <row r="284" spans="1:6" x14ac:dyDescent="0.25">
      <c r="A284" s="8"/>
      <c r="B284" s="8"/>
      <c r="C284" s="8"/>
      <c r="D284" s="8"/>
      <c r="E284" s="8"/>
      <c r="F284" s="8"/>
    </row>
    <row r="285" spans="1:6" x14ac:dyDescent="0.25">
      <c r="A285" s="8"/>
      <c r="B285" s="8"/>
      <c r="C285" s="8"/>
      <c r="D285" s="8"/>
      <c r="E285" s="8"/>
      <c r="F285" s="8"/>
    </row>
    <row r="286" spans="1:6" x14ac:dyDescent="0.25">
      <c r="A286" s="8"/>
      <c r="B286" s="8"/>
      <c r="C286" s="8"/>
      <c r="D286" s="8"/>
      <c r="E286" s="8"/>
      <c r="F286" s="8"/>
    </row>
    <row r="287" spans="1:6" x14ac:dyDescent="0.25">
      <c r="A287" s="8"/>
      <c r="B287" s="8"/>
      <c r="C287" s="8"/>
      <c r="D287" s="8"/>
      <c r="E287" s="8"/>
      <c r="F287" s="8"/>
    </row>
    <row r="288" spans="1:6" x14ac:dyDescent="0.25">
      <c r="A288" s="8"/>
      <c r="B288" s="8"/>
      <c r="C288" s="8"/>
      <c r="D288" s="8"/>
      <c r="E288" s="8"/>
      <c r="F288" s="8"/>
    </row>
    <row r="289" spans="1:6" x14ac:dyDescent="0.25">
      <c r="A289" s="8"/>
      <c r="B289" s="8"/>
      <c r="C289" s="8"/>
      <c r="D289" s="8"/>
      <c r="E289" s="8"/>
      <c r="F289" s="8"/>
    </row>
    <row r="290" spans="1:6" x14ac:dyDescent="0.25">
      <c r="A290" s="8"/>
      <c r="B290" s="8"/>
      <c r="C290" s="8"/>
      <c r="D290" s="8"/>
      <c r="E290" s="8"/>
      <c r="F290" s="8"/>
    </row>
    <row r="291" spans="1:6" x14ac:dyDescent="0.25">
      <c r="A291" s="8"/>
      <c r="B291" s="8"/>
      <c r="C291" s="8"/>
      <c r="D291" s="8"/>
      <c r="E291" s="8"/>
      <c r="F291" s="8"/>
    </row>
    <row r="292" spans="1:6" x14ac:dyDescent="0.25">
      <c r="A292" s="8"/>
      <c r="B292" s="8"/>
      <c r="C292" s="8"/>
      <c r="D292" s="8"/>
      <c r="E292" s="8"/>
      <c r="F292" s="8"/>
    </row>
    <row r="293" spans="1:6" x14ac:dyDescent="0.25">
      <c r="A293" s="8"/>
      <c r="B293" s="8"/>
      <c r="C293" s="8"/>
      <c r="D293" s="8"/>
      <c r="E293" s="8"/>
      <c r="F293" s="8"/>
    </row>
    <row r="294" spans="1:6" x14ac:dyDescent="0.25">
      <c r="A294" s="8"/>
      <c r="B294" s="8"/>
      <c r="C294" s="8"/>
      <c r="D294" s="8"/>
      <c r="E294" s="8"/>
      <c r="F294" s="8"/>
    </row>
    <row r="295" spans="1:6" x14ac:dyDescent="0.25">
      <c r="A295" s="8"/>
      <c r="B295" s="8"/>
      <c r="C295" s="8"/>
      <c r="D295" s="8"/>
      <c r="E295" s="8"/>
      <c r="F295" s="8"/>
    </row>
    <row r="296" spans="1:6" x14ac:dyDescent="0.25">
      <c r="A296" s="8"/>
      <c r="B296" s="8"/>
      <c r="C296" s="8"/>
      <c r="D296" s="8"/>
      <c r="E296" s="8"/>
      <c r="F296" s="8"/>
    </row>
    <row r="297" spans="1:6" x14ac:dyDescent="0.25">
      <c r="A297" s="8"/>
      <c r="B297" s="8"/>
      <c r="C297" s="8"/>
      <c r="D297" s="8"/>
      <c r="E297" s="8"/>
      <c r="F297" s="8"/>
    </row>
    <row r="298" spans="1:6" x14ac:dyDescent="0.25">
      <c r="A298" s="8"/>
      <c r="B298" s="8"/>
      <c r="C298" s="8"/>
      <c r="D298" s="8"/>
      <c r="E298" s="8"/>
      <c r="F298" s="8"/>
    </row>
    <row r="299" spans="1:6" x14ac:dyDescent="0.25">
      <c r="A299" s="8"/>
      <c r="B299" s="8"/>
      <c r="C299" s="8"/>
      <c r="D299" s="8"/>
      <c r="E299" s="8"/>
      <c r="F299" s="8"/>
    </row>
    <row r="300" spans="1:6" x14ac:dyDescent="0.25">
      <c r="A300" s="8"/>
      <c r="B300" s="8"/>
      <c r="C300" s="8"/>
      <c r="D300" s="8"/>
      <c r="E300" s="8"/>
      <c r="F300" s="8"/>
    </row>
    <row r="301" spans="1:6" x14ac:dyDescent="0.25">
      <c r="A301" s="8"/>
      <c r="B301" s="8"/>
      <c r="C301" s="8"/>
      <c r="D301" s="8"/>
      <c r="E301" s="8"/>
      <c r="F301" s="8"/>
    </row>
    <row r="302" spans="1:6" x14ac:dyDescent="0.25">
      <c r="A302" s="8"/>
      <c r="B302" s="8"/>
      <c r="C302" s="8"/>
      <c r="D302" s="8"/>
      <c r="E302" s="8"/>
      <c r="F302" s="8"/>
    </row>
    <row r="303" spans="1:6" x14ac:dyDescent="0.25">
      <c r="A303" s="8"/>
      <c r="B303" s="8"/>
      <c r="C303" s="8"/>
      <c r="D303" s="8"/>
      <c r="E303" s="8"/>
      <c r="F303" s="8"/>
    </row>
    <row r="304" spans="1:6" x14ac:dyDescent="0.25">
      <c r="A304" s="8"/>
      <c r="B304" s="8"/>
      <c r="C304" s="8"/>
      <c r="D304" s="8"/>
      <c r="E304" s="8"/>
      <c r="F304" s="8"/>
    </row>
    <row r="305" spans="1:6" x14ac:dyDescent="0.25">
      <c r="A305" s="8"/>
      <c r="B305" s="8"/>
      <c r="C305" s="8"/>
      <c r="D305" s="8"/>
      <c r="E305" s="8"/>
      <c r="F305" s="8"/>
    </row>
    <row r="306" spans="1:6" x14ac:dyDescent="0.25">
      <c r="A306" s="8"/>
      <c r="B306" s="8"/>
      <c r="C306" s="8"/>
      <c r="D306" s="8"/>
      <c r="E306" s="8"/>
      <c r="F306" s="8"/>
    </row>
    <row r="307" spans="1:6" x14ac:dyDescent="0.25">
      <c r="A307" s="8"/>
      <c r="B307" s="8"/>
      <c r="C307" s="8"/>
      <c r="D307" s="8"/>
      <c r="E307" s="8"/>
      <c r="F307" s="8"/>
    </row>
    <row r="308" spans="1:6" x14ac:dyDescent="0.25">
      <c r="A308" s="8"/>
      <c r="B308" s="8"/>
      <c r="C308" s="8"/>
      <c r="D308" s="8"/>
      <c r="E308" s="8"/>
      <c r="F308" s="8"/>
    </row>
    <row r="309" spans="1:6" x14ac:dyDescent="0.25">
      <c r="A309" s="8"/>
      <c r="B309" s="8"/>
      <c r="C309" s="8"/>
      <c r="D309" s="8"/>
      <c r="E309" s="8"/>
      <c r="F309" s="8"/>
    </row>
    <row r="310" spans="1:6" x14ac:dyDescent="0.25">
      <c r="A310" s="8"/>
      <c r="B310" s="8"/>
      <c r="C310" s="8"/>
      <c r="D310" s="8"/>
      <c r="E310" s="8"/>
      <c r="F310" s="8"/>
    </row>
    <row r="311" spans="1:6" x14ac:dyDescent="0.25">
      <c r="A311" s="8"/>
      <c r="B311" s="8"/>
      <c r="C311" s="8"/>
      <c r="D311" s="8"/>
      <c r="E311" s="8"/>
      <c r="F311" s="8"/>
    </row>
    <row r="312" spans="1:6" x14ac:dyDescent="0.25">
      <c r="A312" s="8"/>
      <c r="B312" s="8"/>
      <c r="C312" s="8"/>
      <c r="D312" s="8"/>
      <c r="E312" s="8"/>
      <c r="F312" s="8"/>
    </row>
    <row r="313" spans="1:6" x14ac:dyDescent="0.25">
      <c r="A313" s="8"/>
      <c r="B313" s="8"/>
      <c r="C313" s="8"/>
      <c r="D313" s="8"/>
      <c r="E313" s="8"/>
      <c r="F313" s="8"/>
    </row>
    <row r="314" spans="1:6" x14ac:dyDescent="0.25">
      <c r="A314" s="8"/>
      <c r="B314" s="8"/>
      <c r="C314" s="8"/>
      <c r="D314" s="8"/>
      <c r="E314" s="8"/>
      <c r="F314" s="8"/>
    </row>
    <row r="315" spans="1:6" x14ac:dyDescent="0.25">
      <c r="A315" s="8"/>
      <c r="B315" s="8"/>
      <c r="C315" s="8"/>
      <c r="D315" s="8"/>
      <c r="E315" s="8"/>
      <c r="F315" s="8"/>
    </row>
    <row r="316" spans="1:6" x14ac:dyDescent="0.25">
      <c r="A316" s="8"/>
      <c r="B316" s="8"/>
      <c r="C316" s="8"/>
      <c r="D316" s="8"/>
      <c r="E316" s="8"/>
      <c r="F316" s="8"/>
    </row>
    <row r="317" spans="1:6" x14ac:dyDescent="0.25">
      <c r="A317" s="8"/>
      <c r="B317" s="8"/>
      <c r="C317" s="8"/>
      <c r="D317" s="8"/>
      <c r="E317" s="8"/>
      <c r="F317" s="8"/>
    </row>
    <row r="318" spans="1:6" x14ac:dyDescent="0.25">
      <c r="A318" s="8"/>
      <c r="B318" s="8"/>
      <c r="C318" s="8"/>
      <c r="D318" s="8"/>
      <c r="E318" s="8"/>
      <c r="F318" s="8"/>
    </row>
    <row r="319" spans="1:6" x14ac:dyDescent="0.25">
      <c r="A319" s="8"/>
      <c r="B319" s="8"/>
      <c r="C319" s="8"/>
      <c r="D319" s="8"/>
      <c r="E319" s="8"/>
      <c r="F319" s="8"/>
    </row>
    <row r="320" spans="1:6" x14ac:dyDescent="0.25">
      <c r="A320" s="8"/>
      <c r="B320" s="8"/>
      <c r="C320" s="8"/>
      <c r="D320" s="8"/>
      <c r="E320" s="8"/>
      <c r="F320" s="8"/>
    </row>
    <row r="321" spans="1:6" x14ac:dyDescent="0.25">
      <c r="A321" s="8"/>
      <c r="B321" s="8"/>
      <c r="C321" s="8"/>
      <c r="D321" s="8"/>
      <c r="E321" s="8"/>
      <c r="F321" s="8"/>
    </row>
    <row r="322" spans="1:6" x14ac:dyDescent="0.25">
      <c r="A322" s="8"/>
      <c r="B322" s="8"/>
      <c r="C322" s="8"/>
      <c r="D322" s="8"/>
      <c r="E322" s="8"/>
      <c r="F322" s="8"/>
    </row>
    <row r="323" spans="1:6" x14ac:dyDescent="0.25">
      <c r="A323" s="8"/>
      <c r="B323" s="8"/>
      <c r="C323" s="8"/>
      <c r="D323" s="8"/>
      <c r="E323" s="8"/>
      <c r="F323" s="8"/>
    </row>
    <row r="324" spans="1:6" x14ac:dyDescent="0.25">
      <c r="A324" s="8"/>
      <c r="B324" s="8"/>
      <c r="C324" s="8"/>
      <c r="D324" s="8"/>
      <c r="E324" s="8"/>
      <c r="F324" s="8"/>
    </row>
    <row r="325" spans="1:6" x14ac:dyDescent="0.25">
      <c r="A325" s="8"/>
      <c r="B325" s="8"/>
      <c r="C325" s="8"/>
      <c r="D325" s="8"/>
      <c r="E325" s="8"/>
      <c r="F325" s="8"/>
    </row>
    <row r="326" spans="1:6" x14ac:dyDescent="0.25">
      <c r="A326" s="8"/>
      <c r="B326" s="8"/>
      <c r="C326" s="8"/>
      <c r="D326" s="8"/>
      <c r="E326" s="8"/>
      <c r="F326" s="8"/>
    </row>
    <row r="327" spans="1:6" x14ac:dyDescent="0.25">
      <c r="A327" s="8"/>
      <c r="B327" s="8"/>
      <c r="C327" s="8"/>
      <c r="D327" s="8"/>
      <c r="E327" s="8"/>
      <c r="F327" s="8"/>
    </row>
    <row r="328" spans="1:6" x14ac:dyDescent="0.25">
      <c r="A328" s="8"/>
      <c r="B328" s="8"/>
      <c r="C328" s="8"/>
      <c r="D328" s="8"/>
      <c r="E328" s="8"/>
      <c r="F328" s="8"/>
    </row>
    <row r="329" spans="1:6" x14ac:dyDescent="0.25">
      <c r="A329" s="8"/>
      <c r="B329" s="8"/>
      <c r="C329" s="8"/>
      <c r="D329" s="8"/>
      <c r="E329" s="8"/>
      <c r="F329" s="8"/>
    </row>
    <row r="330" spans="1:6" x14ac:dyDescent="0.25">
      <c r="A330" s="8"/>
      <c r="B330" s="8"/>
      <c r="C330" s="8"/>
      <c r="D330" s="8"/>
      <c r="E330" s="8"/>
      <c r="F330" s="8"/>
    </row>
    <row r="331" spans="1:6" x14ac:dyDescent="0.25">
      <c r="A331" s="8"/>
      <c r="B331" s="8"/>
      <c r="C331" s="8"/>
      <c r="D331" s="8"/>
      <c r="E331" s="8"/>
      <c r="F331" s="8"/>
    </row>
    <row r="332" spans="1:6" x14ac:dyDescent="0.25">
      <c r="A332" s="8"/>
      <c r="B332" s="8"/>
      <c r="C332" s="8"/>
      <c r="D332" s="8"/>
      <c r="E332" s="8"/>
      <c r="F332" s="8"/>
    </row>
    <row r="333" spans="1:6" x14ac:dyDescent="0.25">
      <c r="A333" s="8"/>
      <c r="B333" s="8"/>
      <c r="C333" s="8"/>
      <c r="D333" s="8"/>
      <c r="E333" s="8"/>
      <c r="F333" s="8"/>
    </row>
    <row r="334" spans="1:6" x14ac:dyDescent="0.25">
      <c r="A334" s="8"/>
      <c r="B334" s="8"/>
      <c r="C334" s="8"/>
      <c r="D334" s="8"/>
      <c r="E334" s="8"/>
      <c r="F334" s="8"/>
    </row>
    <row r="335" spans="1:6" x14ac:dyDescent="0.25">
      <c r="A335" s="8"/>
      <c r="B335" s="8"/>
      <c r="C335" s="8"/>
      <c r="D335" s="8"/>
      <c r="E335" s="8"/>
      <c r="F335" s="8"/>
    </row>
    <row r="336" spans="1:6" x14ac:dyDescent="0.25">
      <c r="A336" s="8"/>
      <c r="B336" s="8"/>
      <c r="C336" s="8"/>
      <c r="D336" s="8"/>
      <c r="E336" s="8"/>
      <c r="F336" s="8"/>
    </row>
    <row r="337" spans="1:6" x14ac:dyDescent="0.25">
      <c r="A337" s="8"/>
      <c r="B337" s="8"/>
      <c r="C337" s="8"/>
      <c r="D337" s="8"/>
      <c r="E337" s="8"/>
      <c r="F337" s="8"/>
    </row>
    <row r="338" spans="1:6" x14ac:dyDescent="0.25">
      <c r="A338" s="8"/>
      <c r="B338" s="8"/>
      <c r="C338" s="8"/>
      <c r="D338" s="8"/>
      <c r="E338" s="8"/>
      <c r="F338" s="8"/>
    </row>
    <row r="339" spans="1:6" x14ac:dyDescent="0.25">
      <c r="A339" s="8"/>
      <c r="B339" s="8"/>
      <c r="C339" s="8"/>
      <c r="D339" s="8"/>
      <c r="E339" s="8"/>
      <c r="F339" s="8"/>
    </row>
    <row r="340" spans="1:6" x14ac:dyDescent="0.25">
      <c r="A340" s="8"/>
      <c r="B340" s="8"/>
      <c r="C340" s="8"/>
      <c r="D340" s="8"/>
      <c r="E340" s="8"/>
      <c r="F340" s="8"/>
    </row>
    <row r="341" spans="1:6" x14ac:dyDescent="0.25">
      <c r="A341" s="8"/>
      <c r="B341" s="8"/>
      <c r="C341" s="8"/>
      <c r="D341" s="8"/>
      <c r="E341" s="8"/>
      <c r="F341" s="8"/>
    </row>
    <row r="342" spans="1:6" x14ac:dyDescent="0.25">
      <c r="A342" s="8"/>
      <c r="B342" s="8"/>
      <c r="C342" s="8"/>
      <c r="D342" s="8"/>
      <c r="E342" s="8"/>
      <c r="F342" s="8"/>
    </row>
    <row r="343" spans="1:6" x14ac:dyDescent="0.25">
      <c r="A343" s="8"/>
      <c r="B343" s="8"/>
      <c r="C343" s="8"/>
      <c r="D343" s="8"/>
      <c r="E343" s="8"/>
      <c r="F343" s="8"/>
    </row>
    <row r="344" spans="1:6" x14ac:dyDescent="0.25">
      <c r="A344" s="8"/>
      <c r="B344" s="8"/>
      <c r="C344" s="8"/>
      <c r="D344" s="8"/>
      <c r="E344" s="8"/>
      <c r="F344" s="8"/>
    </row>
    <row r="345" spans="1:6" x14ac:dyDescent="0.25">
      <c r="A345" s="8"/>
      <c r="B345" s="8"/>
      <c r="C345" s="8"/>
      <c r="D345" s="8"/>
      <c r="E345" s="8"/>
      <c r="F345" s="8"/>
    </row>
    <row r="346" spans="1:6" x14ac:dyDescent="0.25">
      <c r="A346" s="8"/>
      <c r="B346" s="8"/>
      <c r="C346" s="8"/>
      <c r="D346" s="8"/>
      <c r="E346" s="8"/>
      <c r="F346" s="8"/>
    </row>
    <row r="347" spans="1:6" x14ac:dyDescent="0.25">
      <c r="A347" s="8"/>
      <c r="B347" s="8"/>
      <c r="C347" s="8"/>
      <c r="D347" s="8"/>
      <c r="E347" s="8"/>
      <c r="F347" s="8"/>
    </row>
    <row r="348" spans="1:6" x14ac:dyDescent="0.25">
      <c r="A348" s="8"/>
      <c r="B348" s="8"/>
      <c r="C348" s="8"/>
      <c r="D348" s="8"/>
      <c r="E348" s="8"/>
      <c r="F348" s="8"/>
    </row>
    <row r="349" spans="1:6" x14ac:dyDescent="0.25">
      <c r="A349" s="8"/>
      <c r="B349" s="8"/>
      <c r="C349" s="8"/>
      <c r="D349" s="8"/>
      <c r="E349" s="8"/>
      <c r="F349" s="8"/>
    </row>
    <row r="350" spans="1:6" x14ac:dyDescent="0.25">
      <c r="A350" s="8"/>
      <c r="B350" s="8"/>
      <c r="C350" s="8"/>
      <c r="D350" s="8"/>
      <c r="E350" s="8"/>
      <c r="F350" s="8"/>
    </row>
    <row r="351" spans="1:6" x14ac:dyDescent="0.25">
      <c r="A351" s="8"/>
      <c r="B351" s="8"/>
      <c r="C351" s="8"/>
      <c r="D351" s="8"/>
      <c r="E351" s="8"/>
      <c r="F351" s="8"/>
    </row>
    <row r="352" spans="1:6" x14ac:dyDescent="0.25">
      <c r="A352" s="8"/>
      <c r="B352" s="8"/>
      <c r="C352" s="8"/>
      <c r="D352" s="8"/>
      <c r="E352" s="8"/>
      <c r="F352" s="8"/>
    </row>
    <row r="353" spans="1:6" x14ac:dyDescent="0.25">
      <c r="A353" s="8"/>
      <c r="B353" s="8"/>
      <c r="C353" s="8"/>
      <c r="D353" s="8"/>
      <c r="E353" s="8"/>
      <c r="F353" s="8"/>
    </row>
    <row r="354" spans="1:6" x14ac:dyDescent="0.25">
      <c r="A354" s="8"/>
      <c r="B354" s="8"/>
      <c r="C354" s="8"/>
      <c r="D354" s="8"/>
      <c r="E354" s="8"/>
      <c r="F354" s="8"/>
    </row>
    <row r="355" spans="1:6" x14ac:dyDescent="0.25">
      <c r="A355" s="8"/>
      <c r="B355" s="8"/>
      <c r="C355" s="8"/>
      <c r="D355" s="8"/>
      <c r="E355" s="8"/>
      <c r="F355" s="8"/>
    </row>
    <row r="356" spans="1:6" x14ac:dyDescent="0.25">
      <c r="A356" s="8"/>
      <c r="B356" s="8"/>
      <c r="C356" s="8"/>
      <c r="D356" s="8"/>
      <c r="E356" s="8"/>
      <c r="F356" s="8"/>
    </row>
    <row r="357" spans="1:6" x14ac:dyDescent="0.25">
      <c r="A357" s="8"/>
      <c r="B357" s="8"/>
      <c r="C357" s="8"/>
      <c r="D357" s="8"/>
      <c r="E357" s="8"/>
      <c r="F357" s="8"/>
    </row>
    <row r="358" spans="1:6" x14ac:dyDescent="0.25">
      <c r="A358" s="8"/>
      <c r="B358" s="8"/>
      <c r="C358" s="8"/>
      <c r="D358" s="8"/>
      <c r="E358" s="8"/>
      <c r="F358" s="8"/>
    </row>
    <row r="359" spans="1:6" x14ac:dyDescent="0.25">
      <c r="A359" s="8"/>
      <c r="B359" s="8"/>
      <c r="C359" s="8"/>
      <c r="D359" s="8"/>
      <c r="E359" s="8"/>
      <c r="F359" s="8"/>
    </row>
    <row r="360" spans="1:6" x14ac:dyDescent="0.25">
      <c r="A360" s="8"/>
      <c r="B360" s="8"/>
      <c r="C360" s="8"/>
      <c r="D360" s="8"/>
      <c r="E360" s="8"/>
      <c r="F360" s="8"/>
    </row>
    <row r="361" spans="1:6" x14ac:dyDescent="0.25">
      <c r="A361" s="8"/>
      <c r="B361" s="8"/>
      <c r="C361" s="8"/>
      <c r="D361" s="8"/>
      <c r="E361" s="8"/>
      <c r="F361" s="8"/>
    </row>
    <row r="362" spans="1:6" x14ac:dyDescent="0.25">
      <c r="A362" s="8"/>
      <c r="B362" s="8"/>
      <c r="C362" s="8"/>
      <c r="D362" s="8"/>
      <c r="E362" s="8"/>
      <c r="F362" s="8"/>
    </row>
    <row r="363" spans="1:6" x14ac:dyDescent="0.25">
      <c r="A363" s="8"/>
      <c r="B363" s="8"/>
      <c r="C363" s="8"/>
      <c r="D363" s="8"/>
      <c r="E363" s="8"/>
      <c r="F363" s="8"/>
    </row>
    <row r="364" spans="1:6" x14ac:dyDescent="0.25">
      <c r="A364" s="8"/>
      <c r="B364" s="8"/>
      <c r="C364" s="8"/>
      <c r="D364" s="8"/>
      <c r="E364" s="8"/>
      <c r="F364" s="8"/>
    </row>
    <row r="365" spans="1:6" x14ac:dyDescent="0.25">
      <c r="A365" s="8"/>
      <c r="B365" s="8"/>
      <c r="C365" s="8"/>
      <c r="D365" s="8"/>
      <c r="E365" s="8"/>
      <c r="F365" s="8"/>
    </row>
    <row r="366" spans="1:6" x14ac:dyDescent="0.25">
      <c r="A366" s="8"/>
      <c r="B366" s="8"/>
      <c r="C366" s="8"/>
      <c r="D366" s="8"/>
      <c r="E366" s="8"/>
      <c r="F366" s="8"/>
    </row>
    <row r="367" spans="1:6" x14ac:dyDescent="0.25">
      <c r="A367" s="8"/>
      <c r="B367" s="8"/>
      <c r="C367" s="8"/>
      <c r="D367" s="8"/>
      <c r="E367" s="8"/>
      <c r="F367" s="8"/>
    </row>
    <row r="368" spans="1:6" x14ac:dyDescent="0.25">
      <c r="A368" s="8"/>
      <c r="B368" s="8"/>
      <c r="C368" s="8"/>
      <c r="D368" s="8"/>
      <c r="E368" s="8"/>
      <c r="F368" s="8"/>
    </row>
    <row r="369" spans="1:6" x14ac:dyDescent="0.25">
      <c r="A369" s="8"/>
      <c r="B369" s="8"/>
      <c r="C369" s="8"/>
      <c r="D369" s="8"/>
      <c r="E369" s="8"/>
      <c r="F369" s="8"/>
    </row>
    <row r="370" spans="1:6" x14ac:dyDescent="0.25">
      <c r="A370" s="8"/>
      <c r="B370" s="8"/>
      <c r="C370" s="8"/>
      <c r="D370" s="8"/>
      <c r="E370" s="8"/>
      <c r="F370" s="8"/>
    </row>
    <row r="371" spans="1:6" x14ac:dyDescent="0.25">
      <c r="A371" s="8"/>
      <c r="B371" s="8"/>
      <c r="C371" s="8"/>
      <c r="D371" s="8"/>
      <c r="E371" s="8"/>
      <c r="F371" s="8"/>
    </row>
    <row r="372" spans="1:6" x14ac:dyDescent="0.25">
      <c r="A372" s="8"/>
      <c r="B372" s="8"/>
      <c r="C372" s="8"/>
      <c r="D372" s="8"/>
      <c r="E372" s="8"/>
      <c r="F372" s="8"/>
    </row>
    <row r="373" spans="1:6" x14ac:dyDescent="0.25">
      <c r="A373" s="8"/>
      <c r="B373" s="8"/>
      <c r="C373" s="8"/>
      <c r="D373" s="8"/>
      <c r="E373" s="8"/>
      <c r="F373" s="8"/>
    </row>
    <row r="374" spans="1:6" x14ac:dyDescent="0.25">
      <c r="A374" s="8"/>
      <c r="B374" s="8"/>
      <c r="C374" s="8"/>
      <c r="D374" s="8"/>
      <c r="E374" s="8"/>
      <c r="F374" s="8"/>
    </row>
    <row r="375" spans="1:6" x14ac:dyDescent="0.25">
      <c r="A375" s="8"/>
      <c r="B375" s="8"/>
      <c r="C375" s="8"/>
      <c r="D375" s="8"/>
      <c r="E375" s="8"/>
      <c r="F375" s="8"/>
    </row>
    <row r="376" spans="1:6" x14ac:dyDescent="0.25">
      <c r="A376" s="8"/>
      <c r="B376" s="8"/>
      <c r="C376" s="8"/>
      <c r="D376" s="8"/>
      <c r="E376" s="8"/>
      <c r="F376" s="8"/>
    </row>
    <row r="377" spans="1:6" x14ac:dyDescent="0.25">
      <c r="A377" s="8"/>
      <c r="B377" s="8"/>
      <c r="C377" s="8"/>
      <c r="D377" s="8"/>
      <c r="E377" s="8"/>
      <c r="F377" s="8"/>
    </row>
    <row r="378" spans="1:6" x14ac:dyDescent="0.25">
      <c r="A378" s="8"/>
      <c r="B378" s="8"/>
      <c r="C378" s="8"/>
      <c r="D378" s="8"/>
      <c r="E378" s="8"/>
      <c r="F378" s="8"/>
    </row>
    <row r="379" spans="1:6" x14ac:dyDescent="0.25">
      <c r="A379" s="8"/>
      <c r="B379" s="8"/>
      <c r="C379" s="8"/>
      <c r="D379" s="8"/>
      <c r="E379" s="8"/>
      <c r="F379" s="8"/>
    </row>
    <row r="380" spans="1:6" x14ac:dyDescent="0.25">
      <c r="A380" s="8"/>
      <c r="B380" s="8"/>
      <c r="C380" s="8"/>
      <c r="D380" s="8"/>
      <c r="E380" s="8"/>
      <c r="F380" s="8"/>
    </row>
    <row r="381" spans="1:6" x14ac:dyDescent="0.25">
      <c r="A381" s="8"/>
      <c r="B381" s="8"/>
      <c r="C381" s="8"/>
      <c r="D381" s="8"/>
      <c r="E381" s="8"/>
      <c r="F381" s="8"/>
    </row>
    <row r="382" spans="1:6" x14ac:dyDescent="0.25">
      <c r="A382" s="8"/>
      <c r="B382" s="8"/>
      <c r="C382" s="8"/>
      <c r="D382" s="8"/>
      <c r="E382" s="8"/>
      <c r="F382" s="8"/>
    </row>
    <row r="383" spans="1:6" x14ac:dyDescent="0.25">
      <c r="A383" s="8"/>
      <c r="B383" s="8"/>
      <c r="C383" s="8"/>
      <c r="D383" s="8"/>
      <c r="E383" s="8"/>
      <c r="F383" s="8"/>
    </row>
    <row r="384" spans="1:6" x14ac:dyDescent="0.25">
      <c r="A384" s="8"/>
      <c r="B384" s="8"/>
      <c r="C384" s="8"/>
      <c r="D384" s="8"/>
      <c r="E384" s="8"/>
      <c r="F384" s="8"/>
    </row>
    <row r="385" spans="1:6" x14ac:dyDescent="0.25">
      <c r="A385" s="8"/>
      <c r="B385" s="8"/>
      <c r="C385" s="8"/>
      <c r="D385" s="8"/>
      <c r="E385" s="8"/>
      <c r="F385" s="8"/>
    </row>
    <row r="386" spans="1:6" x14ac:dyDescent="0.25">
      <c r="A386" s="8"/>
      <c r="B386" s="8"/>
      <c r="C386" s="8"/>
      <c r="D386" s="8"/>
      <c r="E386" s="8"/>
      <c r="F386" s="8"/>
    </row>
    <row r="387" spans="1:6" x14ac:dyDescent="0.25">
      <c r="A387" s="8"/>
      <c r="B387" s="8"/>
      <c r="C387" s="8"/>
      <c r="D387" s="8"/>
      <c r="E387" s="8"/>
      <c r="F387" s="8"/>
    </row>
    <row r="388" spans="1:6" x14ac:dyDescent="0.25">
      <c r="A388" s="8"/>
      <c r="B388" s="8"/>
      <c r="C388" s="8"/>
      <c r="D388" s="8"/>
      <c r="E388" s="8"/>
      <c r="F388" s="8"/>
    </row>
    <row r="389" spans="1:6" x14ac:dyDescent="0.25">
      <c r="A389" s="8"/>
      <c r="B389" s="8"/>
      <c r="C389" s="8"/>
      <c r="D389" s="8"/>
      <c r="E389" s="8"/>
      <c r="F389" s="8"/>
    </row>
    <row r="390" spans="1:6" x14ac:dyDescent="0.25">
      <c r="A390" s="8"/>
      <c r="B390" s="8"/>
      <c r="C390" s="8"/>
      <c r="D390" s="8"/>
      <c r="E390" s="8"/>
      <c r="F390" s="8"/>
    </row>
    <row r="391" spans="1:6" x14ac:dyDescent="0.25">
      <c r="A391" s="8"/>
      <c r="B391" s="8"/>
      <c r="C391" s="8"/>
      <c r="D391" s="8"/>
      <c r="E391" s="8"/>
      <c r="F391" s="8"/>
    </row>
    <row r="392" spans="1:6" x14ac:dyDescent="0.25">
      <c r="A392" s="8"/>
      <c r="B392" s="8"/>
      <c r="C392" s="8"/>
      <c r="D392" s="8"/>
      <c r="E392" s="8"/>
      <c r="F392" s="8"/>
    </row>
    <row r="393" spans="1:6" x14ac:dyDescent="0.25">
      <c r="A393" s="8"/>
      <c r="B393" s="8"/>
      <c r="C393" s="8"/>
      <c r="D393" s="8"/>
      <c r="E393" s="8"/>
      <c r="F393" s="8"/>
    </row>
    <row r="394" spans="1:6" x14ac:dyDescent="0.25">
      <c r="A394" s="8"/>
      <c r="B394" s="8"/>
      <c r="C394" s="8"/>
      <c r="D394" s="8"/>
      <c r="E394" s="8"/>
      <c r="F394" s="8"/>
    </row>
    <row r="395" spans="1:6" x14ac:dyDescent="0.25">
      <c r="A395" s="8"/>
      <c r="B395" s="8"/>
      <c r="C395" s="8"/>
      <c r="D395" s="8"/>
      <c r="E395" s="8"/>
      <c r="F395" s="8"/>
    </row>
    <row r="396" spans="1:6" x14ac:dyDescent="0.25">
      <c r="A396" s="8"/>
      <c r="B396" s="8"/>
      <c r="C396" s="8"/>
      <c r="D396" s="8"/>
      <c r="E396" s="8"/>
      <c r="F396" s="8"/>
    </row>
    <row r="397" spans="1:6" x14ac:dyDescent="0.25">
      <c r="A397" s="8"/>
      <c r="B397" s="8"/>
      <c r="C397" s="8"/>
      <c r="D397" s="8"/>
      <c r="E397" s="8"/>
      <c r="F397" s="8"/>
    </row>
    <row r="398" spans="1:6" x14ac:dyDescent="0.25">
      <c r="A398" s="8"/>
      <c r="B398" s="8"/>
      <c r="C398" s="8"/>
      <c r="D398" s="8"/>
      <c r="E398" s="8"/>
      <c r="F398" s="8"/>
    </row>
    <row r="399" spans="1:6" x14ac:dyDescent="0.25">
      <c r="A399" s="8"/>
      <c r="B399" s="8"/>
      <c r="C399" s="8"/>
      <c r="D399" s="8"/>
      <c r="E399" s="8"/>
      <c r="F399" s="8"/>
    </row>
    <row r="400" spans="1:6" x14ac:dyDescent="0.25">
      <c r="A400" s="8"/>
      <c r="B400" s="8"/>
      <c r="C400" s="8"/>
      <c r="D400" s="8"/>
      <c r="E400" s="8"/>
      <c r="F400" s="8"/>
    </row>
    <row r="401" spans="1:6" x14ac:dyDescent="0.25">
      <c r="A401" s="8"/>
      <c r="B401" s="8"/>
      <c r="C401" s="8"/>
      <c r="D401" s="8"/>
      <c r="E401" s="8"/>
      <c r="F401" s="8"/>
    </row>
    <row r="402" spans="1:6" x14ac:dyDescent="0.25">
      <c r="A402" s="8"/>
      <c r="B402" s="8"/>
      <c r="C402" s="8"/>
      <c r="D402" s="8"/>
      <c r="E402" s="8"/>
      <c r="F402" s="8"/>
    </row>
    <row r="403" spans="1:6" x14ac:dyDescent="0.25">
      <c r="A403" s="8"/>
      <c r="B403" s="8"/>
      <c r="C403" s="8"/>
      <c r="D403" s="8"/>
      <c r="E403" s="8"/>
      <c r="F403" s="8"/>
    </row>
    <row r="404" spans="1:6" x14ac:dyDescent="0.25">
      <c r="A404" s="8"/>
      <c r="B404" s="8"/>
      <c r="C404" s="8"/>
      <c r="D404" s="8"/>
      <c r="E404" s="8"/>
      <c r="F404" s="8"/>
    </row>
    <row r="405" spans="1:6" x14ac:dyDescent="0.25">
      <c r="A405" s="8"/>
      <c r="B405" s="8"/>
      <c r="C405" s="8"/>
      <c r="D405" s="8"/>
      <c r="E405" s="8"/>
      <c r="F405" s="8"/>
    </row>
    <row r="406" spans="1:6" x14ac:dyDescent="0.25">
      <c r="A406" s="8"/>
      <c r="B406" s="8"/>
      <c r="C406" s="8"/>
      <c r="D406" s="8"/>
      <c r="E406" s="8"/>
      <c r="F406" s="8"/>
    </row>
    <row r="407" spans="1:6" x14ac:dyDescent="0.25">
      <c r="A407" s="8"/>
      <c r="B407" s="8"/>
      <c r="C407" s="8"/>
      <c r="D407" s="8"/>
      <c r="E407" s="8"/>
      <c r="F407" s="8"/>
    </row>
    <row r="408" spans="1:6" x14ac:dyDescent="0.25">
      <c r="A408" s="8"/>
      <c r="B408" s="8"/>
      <c r="C408" s="8"/>
      <c r="D408" s="8"/>
      <c r="E408" s="8"/>
      <c r="F408" s="8"/>
    </row>
    <row r="409" spans="1:6" x14ac:dyDescent="0.25">
      <c r="A409" s="8"/>
      <c r="B409" s="8"/>
      <c r="C409" s="8"/>
      <c r="D409" s="8"/>
      <c r="E409" s="8"/>
      <c r="F409" s="8"/>
    </row>
    <row r="410" spans="1:6" x14ac:dyDescent="0.25">
      <c r="A410" s="8"/>
      <c r="B410" s="8"/>
      <c r="C410" s="8"/>
      <c r="D410" s="8"/>
      <c r="E410" s="8"/>
      <c r="F410" s="8"/>
    </row>
    <row r="411" spans="1:6" x14ac:dyDescent="0.25">
      <c r="A411" s="8"/>
      <c r="B411" s="8"/>
      <c r="C411" s="8"/>
      <c r="D411" s="8"/>
      <c r="E411" s="8"/>
      <c r="F411" s="8"/>
    </row>
    <row r="412" spans="1:6" x14ac:dyDescent="0.25">
      <c r="A412" s="8"/>
      <c r="B412" s="8"/>
      <c r="C412" s="8"/>
      <c r="D412" s="8"/>
      <c r="E412" s="8"/>
      <c r="F412" s="8"/>
    </row>
    <row r="413" spans="1:6" x14ac:dyDescent="0.25">
      <c r="A413" s="8"/>
      <c r="B413" s="8"/>
      <c r="C413" s="8"/>
      <c r="D413" s="8"/>
      <c r="E413" s="8"/>
      <c r="F413" s="8"/>
    </row>
    <row r="414" spans="1:6" x14ac:dyDescent="0.25">
      <c r="A414" s="8"/>
      <c r="B414" s="8"/>
      <c r="C414" s="8"/>
      <c r="D414" s="8"/>
      <c r="E414" s="8"/>
      <c r="F414" s="8"/>
    </row>
    <row r="415" spans="1:6" x14ac:dyDescent="0.25">
      <c r="A415" s="8"/>
      <c r="B415" s="8"/>
      <c r="C415" s="8"/>
      <c r="D415" s="8"/>
      <c r="E415" s="8"/>
      <c r="F415" s="8"/>
    </row>
    <row r="416" spans="1:6" x14ac:dyDescent="0.25">
      <c r="A416" s="8"/>
      <c r="B416" s="8"/>
      <c r="C416" s="8"/>
      <c r="D416" s="8"/>
      <c r="E416" s="8"/>
      <c r="F416" s="8"/>
    </row>
    <row r="417" spans="1:6" x14ac:dyDescent="0.25">
      <c r="A417" s="8"/>
      <c r="B417" s="8"/>
      <c r="C417" s="8"/>
      <c r="D417" s="8"/>
      <c r="E417" s="8"/>
      <c r="F417" s="8"/>
    </row>
    <row r="418" spans="1:6" x14ac:dyDescent="0.25">
      <c r="A418" s="8"/>
      <c r="B418" s="8"/>
      <c r="C418" s="8"/>
      <c r="D418" s="8"/>
      <c r="E418" s="8"/>
      <c r="F418" s="8"/>
    </row>
    <row r="419" spans="1:6" x14ac:dyDescent="0.25">
      <c r="A419" s="8"/>
      <c r="B419" s="8"/>
      <c r="C419" s="8"/>
      <c r="D419" s="8"/>
      <c r="E419" s="8"/>
      <c r="F419" s="8"/>
    </row>
    <row r="420" spans="1:6" x14ac:dyDescent="0.25">
      <c r="A420" s="8"/>
      <c r="B420" s="8"/>
      <c r="C420" s="8"/>
      <c r="D420" s="8"/>
      <c r="E420" s="8"/>
      <c r="F420" s="8"/>
    </row>
    <row r="421" spans="1:6" x14ac:dyDescent="0.25">
      <c r="A421" s="8"/>
      <c r="B421" s="8"/>
      <c r="C421" s="8"/>
      <c r="D421" s="8"/>
      <c r="E421" s="8"/>
      <c r="F421" s="8"/>
    </row>
    <row r="422" spans="1:6" x14ac:dyDescent="0.25">
      <c r="A422" s="8"/>
      <c r="B422" s="8"/>
      <c r="C422" s="8"/>
      <c r="D422" s="8"/>
      <c r="E422" s="8"/>
      <c r="F422" s="8"/>
    </row>
    <row r="423" spans="1:6" x14ac:dyDescent="0.25">
      <c r="A423" s="8"/>
      <c r="B423" s="8"/>
      <c r="C423" s="8"/>
      <c r="D423" s="8"/>
      <c r="E423" s="8"/>
      <c r="F423" s="8"/>
    </row>
    <row r="424" spans="1:6" x14ac:dyDescent="0.25">
      <c r="A424" s="8"/>
      <c r="B424" s="8"/>
      <c r="C424" s="8"/>
      <c r="D424" s="8"/>
      <c r="E424" s="8"/>
      <c r="F424" s="8"/>
    </row>
    <row r="425" spans="1:6" x14ac:dyDescent="0.25">
      <c r="A425" s="8"/>
      <c r="B425" s="8"/>
      <c r="C425" s="8"/>
      <c r="D425" s="8"/>
      <c r="E425" s="8"/>
      <c r="F425" s="8"/>
    </row>
    <row r="426" spans="1:6" x14ac:dyDescent="0.25">
      <c r="A426" s="8"/>
      <c r="B426" s="8"/>
      <c r="C426" s="8"/>
      <c r="D426" s="8"/>
      <c r="E426" s="8"/>
      <c r="F426" s="8"/>
    </row>
    <row r="427" spans="1:6" x14ac:dyDescent="0.25">
      <c r="A427" s="8"/>
      <c r="B427" s="8"/>
      <c r="C427" s="8"/>
      <c r="D427" s="8"/>
      <c r="E427" s="8"/>
      <c r="F427" s="8"/>
    </row>
    <row r="428" spans="1:6" x14ac:dyDescent="0.25">
      <c r="A428" s="8"/>
      <c r="B428" s="8"/>
      <c r="C428" s="8"/>
      <c r="D428" s="8"/>
      <c r="E428" s="8"/>
      <c r="F428" s="8"/>
    </row>
    <row r="429" spans="1:6" x14ac:dyDescent="0.25">
      <c r="A429" s="8"/>
      <c r="B429" s="8"/>
      <c r="C429" s="8"/>
      <c r="D429" s="8"/>
      <c r="E429" s="8"/>
      <c r="F429" s="8"/>
    </row>
    <row r="430" spans="1:6" x14ac:dyDescent="0.25">
      <c r="A430" s="8"/>
      <c r="B430" s="8"/>
      <c r="C430" s="8"/>
      <c r="D430" s="8"/>
      <c r="E430" s="8"/>
      <c r="F430" s="8"/>
    </row>
    <row r="431" spans="1:6" x14ac:dyDescent="0.25">
      <c r="A431" s="8"/>
      <c r="B431" s="8"/>
      <c r="C431" s="8"/>
      <c r="D431" s="8"/>
      <c r="E431" s="8"/>
      <c r="F431" s="8"/>
    </row>
    <row r="432" spans="1:6" x14ac:dyDescent="0.25">
      <c r="A432" s="8"/>
      <c r="B432" s="8"/>
      <c r="C432" s="8"/>
      <c r="D432" s="8"/>
      <c r="E432" s="8"/>
      <c r="F432" s="8"/>
    </row>
    <row r="433" spans="1:6" x14ac:dyDescent="0.25">
      <c r="A433" s="8"/>
      <c r="B433" s="8"/>
      <c r="C433" s="8"/>
      <c r="D433" s="8"/>
      <c r="E433" s="8"/>
      <c r="F433" s="8"/>
    </row>
    <row r="434" spans="1:6" x14ac:dyDescent="0.25">
      <c r="A434" s="8"/>
      <c r="B434" s="8"/>
      <c r="C434" s="8"/>
      <c r="D434" s="8"/>
      <c r="E434" s="8"/>
      <c r="F434" s="8"/>
    </row>
    <row r="435" spans="1:6" x14ac:dyDescent="0.25">
      <c r="A435" s="8"/>
      <c r="B435" s="8"/>
      <c r="C435" s="8"/>
      <c r="D435" s="8"/>
      <c r="E435" s="8"/>
      <c r="F435" s="8"/>
    </row>
    <row r="436" spans="1:6" x14ac:dyDescent="0.25">
      <c r="A436" s="8"/>
      <c r="B436" s="8"/>
      <c r="C436" s="8"/>
      <c r="D436" s="8"/>
      <c r="E436" s="8"/>
      <c r="F436" s="8"/>
    </row>
    <row r="437" spans="1:6" x14ac:dyDescent="0.25">
      <c r="A437" s="8"/>
      <c r="B437" s="8"/>
      <c r="C437" s="8"/>
      <c r="D437" s="8"/>
      <c r="E437" s="8"/>
      <c r="F437" s="8"/>
    </row>
    <row r="438" spans="1:6" x14ac:dyDescent="0.25">
      <c r="A438" s="8"/>
      <c r="B438" s="8"/>
      <c r="C438" s="8"/>
      <c r="D438" s="8"/>
      <c r="E438" s="8"/>
      <c r="F438" s="8"/>
    </row>
    <row r="439" spans="1:6" x14ac:dyDescent="0.25">
      <c r="A439" s="8"/>
      <c r="B439" s="8"/>
      <c r="C439" s="8"/>
      <c r="D439" s="8"/>
      <c r="E439" s="8"/>
      <c r="F439" s="8"/>
    </row>
    <row r="440" spans="1:6" x14ac:dyDescent="0.25">
      <c r="A440" s="8"/>
      <c r="B440" s="8"/>
      <c r="C440" s="8"/>
      <c r="D440" s="8"/>
      <c r="E440" s="8"/>
      <c r="F440" s="8"/>
    </row>
    <row r="441" spans="1:6" x14ac:dyDescent="0.25">
      <c r="A441" s="8"/>
      <c r="B441" s="8"/>
      <c r="C441" s="8"/>
      <c r="D441" s="8"/>
      <c r="E441" s="8"/>
      <c r="F441" s="8"/>
    </row>
    <row r="442" spans="1:6" x14ac:dyDescent="0.25">
      <c r="A442" s="8"/>
      <c r="B442" s="8"/>
      <c r="C442" s="8"/>
      <c r="D442" s="8"/>
      <c r="E442" s="8"/>
      <c r="F442" s="8"/>
    </row>
    <row r="443" spans="1:6" x14ac:dyDescent="0.25">
      <c r="A443" s="8"/>
      <c r="B443" s="8"/>
      <c r="C443" s="8"/>
      <c r="D443" s="8"/>
      <c r="E443" s="8"/>
      <c r="F443" s="8"/>
    </row>
    <row r="444" spans="1:6" x14ac:dyDescent="0.25">
      <c r="A444" s="8"/>
      <c r="B444" s="8"/>
      <c r="C444" s="8"/>
      <c r="D444" s="8"/>
      <c r="E444" s="8"/>
      <c r="F444" s="8"/>
    </row>
    <row r="445" spans="1:6" x14ac:dyDescent="0.25">
      <c r="A445" s="8"/>
      <c r="B445" s="8"/>
      <c r="C445" s="8"/>
      <c r="D445" s="8"/>
      <c r="E445" s="8"/>
      <c r="F445" s="8"/>
    </row>
    <row r="446" spans="1:6" x14ac:dyDescent="0.25">
      <c r="A446" s="8"/>
      <c r="B446" s="8"/>
      <c r="C446" s="8"/>
      <c r="D446" s="8"/>
      <c r="E446" s="8"/>
      <c r="F446" s="8"/>
    </row>
    <row r="447" spans="1:6" x14ac:dyDescent="0.25">
      <c r="A447" s="8"/>
      <c r="B447" s="8"/>
      <c r="C447" s="8"/>
      <c r="D447" s="8"/>
      <c r="E447" s="8"/>
      <c r="F447" s="8"/>
    </row>
    <row r="448" spans="1:6" x14ac:dyDescent="0.25">
      <c r="A448" s="8"/>
      <c r="B448" s="8"/>
      <c r="C448" s="8"/>
      <c r="D448" s="8"/>
      <c r="E448" s="8"/>
      <c r="F448" s="8"/>
    </row>
    <row r="449" spans="1:6" x14ac:dyDescent="0.25">
      <c r="A449" s="8"/>
      <c r="B449" s="8"/>
      <c r="C449" s="8"/>
      <c r="D449" s="8"/>
      <c r="E449" s="8"/>
      <c r="F449" s="8"/>
    </row>
    <row r="450" spans="1:6" x14ac:dyDescent="0.25">
      <c r="A450" s="8"/>
      <c r="B450" s="8"/>
      <c r="C450" s="8"/>
      <c r="D450" s="8"/>
      <c r="E450" s="8"/>
      <c r="F450" s="8"/>
    </row>
    <row r="451" spans="1:6" x14ac:dyDescent="0.25">
      <c r="A451" s="8"/>
      <c r="B451" s="8"/>
      <c r="C451" s="8"/>
      <c r="D451" s="8"/>
      <c r="E451" s="8"/>
      <c r="F451" s="8"/>
    </row>
    <row r="452" spans="1:6" x14ac:dyDescent="0.25">
      <c r="A452" s="8"/>
      <c r="B452" s="8"/>
      <c r="C452" s="8"/>
      <c r="D452" s="8"/>
      <c r="E452" s="8"/>
      <c r="F452" s="8"/>
    </row>
    <row r="453" spans="1:6" x14ac:dyDescent="0.25">
      <c r="A453" s="8"/>
      <c r="B453" s="8"/>
      <c r="C453" s="8"/>
      <c r="D453" s="8"/>
      <c r="E453" s="8"/>
      <c r="F453" s="8"/>
    </row>
    <row r="454" spans="1:6" x14ac:dyDescent="0.25">
      <c r="A454" s="8"/>
      <c r="B454" s="8"/>
      <c r="C454" s="8"/>
      <c r="D454" s="8"/>
      <c r="E454" s="8"/>
      <c r="F454" s="8"/>
    </row>
    <row r="455" spans="1:6" x14ac:dyDescent="0.25">
      <c r="A455" s="8"/>
      <c r="B455" s="8"/>
      <c r="C455" s="8"/>
      <c r="D455" s="8"/>
      <c r="E455" s="8"/>
      <c r="F455" s="8"/>
    </row>
    <row r="456" spans="1:6" x14ac:dyDescent="0.25">
      <c r="A456" s="8"/>
      <c r="B456" s="8"/>
      <c r="C456" s="8"/>
      <c r="D456" s="8"/>
      <c r="E456" s="8"/>
      <c r="F456" s="8"/>
    </row>
    <row r="457" spans="1:6" x14ac:dyDescent="0.25">
      <c r="A457" s="8"/>
      <c r="B457" s="8"/>
      <c r="C457" s="8"/>
      <c r="D457" s="8"/>
      <c r="E457" s="8"/>
      <c r="F457" s="8"/>
    </row>
    <row r="458" spans="1:6" x14ac:dyDescent="0.25">
      <c r="A458" s="8"/>
      <c r="B458" s="8"/>
      <c r="C458" s="8"/>
      <c r="D458" s="8"/>
      <c r="E458" s="8"/>
      <c r="F458" s="8"/>
    </row>
    <row r="459" spans="1:6" x14ac:dyDescent="0.25">
      <c r="A459" s="8"/>
      <c r="B459" s="8"/>
      <c r="C459" s="8"/>
      <c r="D459" s="8"/>
      <c r="E459" s="8"/>
      <c r="F459" s="8"/>
    </row>
    <row r="460" spans="1:6" x14ac:dyDescent="0.25">
      <c r="A460" s="8"/>
      <c r="B460" s="8"/>
      <c r="C460" s="8"/>
      <c r="D460" s="8"/>
      <c r="E460" s="8"/>
      <c r="F460" s="8"/>
    </row>
    <row r="461" spans="1:6" x14ac:dyDescent="0.25">
      <c r="A461" s="8"/>
      <c r="B461" s="8"/>
      <c r="C461" s="8"/>
      <c r="D461" s="8"/>
      <c r="E461" s="8"/>
      <c r="F461" s="8"/>
    </row>
    <row r="462" spans="1:6" x14ac:dyDescent="0.25">
      <c r="A462" s="8"/>
      <c r="B462" s="8"/>
      <c r="C462" s="8"/>
      <c r="D462" s="8"/>
      <c r="E462" s="8"/>
      <c r="F462" s="8"/>
    </row>
    <row r="463" spans="1:6" x14ac:dyDescent="0.25">
      <c r="A463" s="8"/>
      <c r="B463" s="8"/>
      <c r="C463" s="8"/>
      <c r="D463" s="8"/>
      <c r="E463" s="8"/>
      <c r="F463" s="8"/>
    </row>
    <row r="464" spans="1:6" x14ac:dyDescent="0.25">
      <c r="A464" s="8"/>
      <c r="B464" s="8"/>
      <c r="C464" s="8"/>
      <c r="D464" s="8"/>
      <c r="E464" s="8"/>
      <c r="F464" s="8"/>
    </row>
    <row r="465" spans="1:6" x14ac:dyDescent="0.25">
      <c r="A465" s="8"/>
      <c r="B465" s="8"/>
      <c r="C465" s="8"/>
      <c r="D465" s="8"/>
      <c r="E465" s="8"/>
      <c r="F465" s="8"/>
    </row>
    <row r="466" spans="1:6" x14ac:dyDescent="0.25">
      <c r="A466" s="8"/>
      <c r="B466" s="8"/>
      <c r="C466" s="8"/>
      <c r="D466" s="8"/>
      <c r="E466" s="8"/>
      <c r="F466" s="8"/>
    </row>
    <row r="467" spans="1:6" x14ac:dyDescent="0.25">
      <c r="A467" s="8"/>
      <c r="B467" s="8"/>
      <c r="C467" s="8"/>
      <c r="D467" s="8"/>
      <c r="E467" s="8"/>
      <c r="F467" s="8"/>
    </row>
    <row r="468" spans="1:6" x14ac:dyDescent="0.25">
      <c r="A468" s="8"/>
      <c r="B468" s="8"/>
      <c r="C468" s="8"/>
      <c r="D468" s="8"/>
      <c r="E468" s="8"/>
      <c r="F468" s="8"/>
    </row>
    <row r="469" spans="1:6" x14ac:dyDescent="0.25">
      <c r="A469" s="8"/>
      <c r="B469" s="8"/>
      <c r="C469" s="8"/>
      <c r="D469" s="8"/>
      <c r="E469" s="8"/>
      <c r="F469" s="8"/>
    </row>
    <row r="470" spans="1:6" x14ac:dyDescent="0.25">
      <c r="A470" s="8"/>
      <c r="B470" s="8"/>
      <c r="C470" s="8"/>
      <c r="D470" s="8"/>
      <c r="E470" s="8"/>
      <c r="F470" s="8"/>
    </row>
    <row r="471" spans="1:6" x14ac:dyDescent="0.25">
      <c r="A471" s="8"/>
      <c r="B471" s="8"/>
      <c r="C471" s="8"/>
      <c r="D471" s="8"/>
      <c r="E471" s="8"/>
      <c r="F471" s="8"/>
    </row>
    <row r="472" spans="1:6" x14ac:dyDescent="0.25">
      <c r="A472" s="8"/>
      <c r="B472" s="8"/>
      <c r="C472" s="8"/>
      <c r="D472" s="8"/>
      <c r="E472" s="8"/>
      <c r="F472" s="8"/>
    </row>
    <row r="473" spans="1:6" x14ac:dyDescent="0.25">
      <c r="A473" s="8"/>
      <c r="B473" s="8"/>
      <c r="C473" s="8"/>
      <c r="D473" s="8"/>
      <c r="E473" s="8"/>
      <c r="F473" s="8"/>
    </row>
    <row r="474" spans="1:6" x14ac:dyDescent="0.25">
      <c r="A474" s="8"/>
      <c r="B474" s="8"/>
      <c r="C474" s="8"/>
      <c r="D474" s="8"/>
      <c r="E474" s="8"/>
      <c r="F474" s="8"/>
    </row>
    <row r="475" spans="1:6" x14ac:dyDescent="0.25">
      <c r="A475" s="8"/>
      <c r="B475" s="8"/>
      <c r="C475" s="8"/>
      <c r="D475" s="8"/>
      <c r="E475" s="8"/>
      <c r="F475" s="8"/>
    </row>
    <row r="476" spans="1:6" x14ac:dyDescent="0.25">
      <c r="A476" s="8"/>
      <c r="B476" s="8"/>
      <c r="C476" s="8"/>
      <c r="D476" s="8"/>
      <c r="E476" s="8"/>
      <c r="F476" s="8"/>
    </row>
    <row r="477" spans="1:6" x14ac:dyDescent="0.25">
      <c r="A477" s="8"/>
      <c r="B477" s="8"/>
      <c r="C477" s="8"/>
      <c r="D477" s="8"/>
      <c r="E477" s="8"/>
      <c r="F477" s="8"/>
    </row>
    <row r="478" spans="1:6" x14ac:dyDescent="0.25">
      <c r="A478" s="8"/>
      <c r="B478" s="8"/>
      <c r="C478" s="8"/>
      <c r="D478" s="8"/>
      <c r="E478" s="8"/>
      <c r="F478" s="8"/>
    </row>
    <row r="479" spans="1:6" x14ac:dyDescent="0.25">
      <c r="A479" s="8"/>
      <c r="B479" s="8"/>
      <c r="C479" s="8"/>
      <c r="D479" s="8"/>
      <c r="E479" s="8"/>
      <c r="F479" s="8"/>
    </row>
    <row r="480" spans="1:6" x14ac:dyDescent="0.25">
      <c r="A480" s="8"/>
      <c r="B480" s="8"/>
      <c r="C480" s="8"/>
      <c r="D480" s="8"/>
      <c r="E480" s="8"/>
      <c r="F480" s="8"/>
    </row>
    <row r="481" spans="1:6" x14ac:dyDescent="0.25">
      <c r="A481" s="8"/>
      <c r="B481" s="8"/>
      <c r="C481" s="8"/>
      <c r="D481" s="8"/>
      <c r="E481" s="8"/>
      <c r="F481" s="8"/>
    </row>
    <row r="482" spans="1:6" x14ac:dyDescent="0.25">
      <c r="A482" s="8"/>
      <c r="B482" s="8"/>
      <c r="C482" s="8"/>
      <c r="D482" s="8"/>
      <c r="E482" s="8"/>
      <c r="F482" s="8"/>
    </row>
    <row r="483" spans="1:6" x14ac:dyDescent="0.25">
      <c r="A483" s="8"/>
      <c r="B483" s="8"/>
      <c r="C483" s="8"/>
      <c r="D483" s="8"/>
      <c r="E483" s="8"/>
      <c r="F483" s="8"/>
    </row>
    <row r="484" spans="1:6" x14ac:dyDescent="0.25">
      <c r="A484" s="8"/>
      <c r="B484" s="8"/>
      <c r="C484" s="8"/>
      <c r="D484" s="8"/>
      <c r="E484" s="8"/>
      <c r="F484" s="8"/>
    </row>
    <row r="485" spans="1:6" x14ac:dyDescent="0.25">
      <c r="A485" s="8"/>
      <c r="B485" s="8"/>
      <c r="C485" s="8"/>
      <c r="D485" s="8"/>
      <c r="E485" s="8"/>
      <c r="F485" s="8"/>
    </row>
    <row r="486" spans="1:6" x14ac:dyDescent="0.25">
      <c r="A486" s="8"/>
      <c r="B486" s="8"/>
      <c r="C486" s="8"/>
      <c r="D486" s="8"/>
      <c r="E486" s="8"/>
      <c r="F486" s="8"/>
    </row>
    <row r="487" spans="1:6" x14ac:dyDescent="0.25">
      <c r="A487" s="8"/>
      <c r="B487" s="8"/>
      <c r="C487" s="8"/>
      <c r="D487" s="8"/>
      <c r="E487" s="8"/>
      <c r="F487" s="8"/>
    </row>
    <row r="488" spans="1:6" x14ac:dyDescent="0.25">
      <c r="A488" s="8"/>
      <c r="B488" s="8"/>
      <c r="C488" s="8"/>
      <c r="D488" s="8"/>
      <c r="E488" s="8"/>
      <c r="F488" s="8"/>
    </row>
    <row r="489" spans="1:6" x14ac:dyDescent="0.25">
      <c r="A489" s="8"/>
      <c r="B489" s="8"/>
      <c r="C489" s="8"/>
      <c r="D489" s="8"/>
      <c r="E489" s="8"/>
      <c r="F489" s="8"/>
    </row>
    <row r="490" spans="1:6" x14ac:dyDescent="0.25">
      <c r="A490" s="8"/>
      <c r="B490" s="8"/>
      <c r="C490" s="8"/>
      <c r="D490" s="8"/>
      <c r="E490" s="8"/>
      <c r="F490" s="8"/>
    </row>
    <row r="491" spans="1:6" x14ac:dyDescent="0.25">
      <c r="A491" s="8"/>
      <c r="B491" s="8"/>
      <c r="C491" s="8"/>
      <c r="D491" s="8"/>
      <c r="E491" s="8"/>
      <c r="F491" s="8"/>
    </row>
    <row r="492" spans="1:6" x14ac:dyDescent="0.25">
      <c r="A492" s="8"/>
      <c r="B492" s="8"/>
      <c r="C492" s="8"/>
      <c r="D492" s="8"/>
      <c r="E492" s="8"/>
      <c r="F492" s="8"/>
    </row>
    <row r="493" spans="1:6" x14ac:dyDescent="0.25">
      <c r="A493" s="8"/>
      <c r="B493" s="8"/>
      <c r="C493" s="8"/>
      <c r="D493" s="8"/>
      <c r="E493" s="8"/>
      <c r="F493" s="8"/>
    </row>
    <row r="494" spans="1:6" x14ac:dyDescent="0.25">
      <c r="A494" s="8"/>
      <c r="B494" s="8"/>
      <c r="C494" s="8"/>
      <c r="D494" s="8"/>
      <c r="E494" s="8"/>
      <c r="F494" s="8"/>
    </row>
    <row r="495" spans="1:6" x14ac:dyDescent="0.25">
      <c r="A495" s="8"/>
      <c r="B495" s="8"/>
      <c r="C495" s="8"/>
      <c r="D495" s="8"/>
      <c r="E495" s="8"/>
      <c r="F495" s="8"/>
    </row>
    <row r="496" spans="1:6" x14ac:dyDescent="0.25">
      <c r="A496" s="8"/>
      <c r="B496" s="8"/>
      <c r="C496" s="8"/>
      <c r="D496" s="8"/>
      <c r="E496" s="8"/>
      <c r="F496" s="8"/>
    </row>
    <row r="497" spans="1:6" x14ac:dyDescent="0.25">
      <c r="A497" s="8"/>
      <c r="B497" s="8"/>
      <c r="C497" s="8"/>
      <c r="D497" s="8"/>
      <c r="E497" s="8"/>
      <c r="F497" s="8"/>
    </row>
    <row r="498" spans="1:6" x14ac:dyDescent="0.25">
      <c r="A498" s="8"/>
      <c r="B498" s="8"/>
      <c r="C498" s="8"/>
      <c r="D498" s="8"/>
      <c r="E498" s="8"/>
      <c r="F498" s="8"/>
    </row>
    <row r="499" spans="1:6" x14ac:dyDescent="0.25">
      <c r="A499" s="8"/>
      <c r="B499" s="8"/>
      <c r="C499" s="8"/>
      <c r="D499" s="8"/>
      <c r="E499" s="8"/>
      <c r="F499" s="8"/>
    </row>
    <row r="500" spans="1:6" x14ac:dyDescent="0.25">
      <c r="A500" s="8"/>
      <c r="B500" s="8"/>
      <c r="C500" s="8"/>
      <c r="D500" s="8"/>
      <c r="E500" s="8"/>
      <c r="F500" s="8"/>
    </row>
    <row r="501" spans="1:6" x14ac:dyDescent="0.25">
      <c r="A501" s="8"/>
      <c r="B501" s="8"/>
      <c r="C501" s="8"/>
      <c r="D501" s="8"/>
      <c r="E501" s="8"/>
      <c r="F501" s="8"/>
    </row>
    <row r="502" spans="1:6" x14ac:dyDescent="0.25">
      <c r="A502" s="8"/>
      <c r="B502" s="8"/>
      <c r="C502" s="8"/>
      <c r="D502" s="8"/>
      <c r="E502" s="8"/>
      <c r="F502" s="8"/>
    </row>
    <row r="503" spans="1:6" x14ac:dyDescent="0.25">
      <c r="A503" s="8"/>
      <c r="B503" s="8"/>
      <c r="C503" s="8"/>
      <c r="D503" s="8"/>
      <c r="E503" s="8"/>
      <c r="F503" s="8"/>
    </row>
    <row r="504" spans="1:6" x14ac:dyDescent="0.25">
      <c r="A504" s="8"/>
      <c r="B504" s="8"/>
      <c r="C504" s="8"/>
      <c r="D504" s="8"/>
      <c r="E504" s="8"/>
      <c r="F504" s="8"/>
    </row>
    <row r="505" spans="1:6" x14ac:dyDescent="0.25">
      <c r="A505" s="8"/>
      <c r="B505" s="8"/>
      <c r="C505" s="8"/>
      <c r="D505" s="8"/>
      <c r="E505" s="8"/>
      <c r="F505" s="8"/>
    </row>
    <row r="506" spans="1:6" x14ac:dyDescent="0.25">
      <c r="A506" s="8"/>
      <c r="B506" s="8"/>
      <c r="C506" s="8"/>
      <c r="D506" s="8"/>
      <c r="E506" s="8"/>
      <c r="F506" s="8"/>
    </row>
    <row r="507" spans="1:6" x14ac:dyDescent="0.25">
      <c r="A507" s="8"/>
      <c r="B507" s="8"/>
      <c r="C507" s="8"/>
      <c r="D507" s="8"/>
      <c r="E507" s="8"/>
      <c r="F507" s="8"/>
    </row>
    <row r="508" spans="1:6" x14ac:dyDescent="0.25">
      <c r="A508" s="8"/>
      <c r="B508" s="8"/>
      <c r="C508" s="8"/>
      <c r="D508" s="8"/>
      <c r="E508" s="8"/>
      <c r="F508" s="8"/>
    </row>
    <row r="509" spans="1:6" x14ac:dyDescent="0.25">
      <c r="A509" s="8"/>
      <c r="B509" s="8"/>
      <c r="C509" s="8"/>
      <c r="D509" s="8"/>
      <c r="E509" s="8"/>
      <c r="F509" s="8"/>
    </row>
    <row r="510" spans="1:6" x14ac:dyDescent="0.25">
      <c r="A510" s="8"/>
      <c r="B510" s="8"/>
      <c r="C510" s="8"/>
      <c r="D510" s="8"/>
      <c r="E510" s="8"/>
      <c r="F510" s="8"/>
    </row>
    <row r="511" spans="1:6" x14ac:dyDescent="0.25">
      <c r="A511" s="8"/>
      <c r="B511" s="8"/>
      <c r="C511" s="8"/>
      <c r="D511" s="8"/>
      <c r="E511" s="8"/>
      <c r="F511" s="8"/>
    </row>
    <row r="512" spans="1:6" x14ac:dyDescent="0.25">
      <c r="A512" s="8"/>
      <c r="B512" s="8"/>
      <c r="C512" s="8"/>
      <c r="D512" s="8"/>
      <c r="E512" s="8"/>
      <c r="F512" s="8"/>
    </row>
    <row r="513" spans="1:6" x14ac:dyDescent="0.25">
      <c r="A513" s="8"/>
      <c r="B513" s="8"/>
      <c r="C513" s="8"/>
      <c r="D513" s="8"/>
      <c r="E513" s="8"/>
      <c r="F513" s="8"/>
    </row>
    <row r="514" spans="1:6" x14ac:dyDescent="0.25">
      <c r="A514" s="8"/>
      <c r="B514" s="8"/>
      <c r="C514" s="8"/>
      <c r="D514" s="8"/>
      <c r="E514" s="8"/>
      <c r="F514" s="8"/>
    </row>
    <row r="515" spans="1:6" x14ac:dyDescent="0.25">
      <c r="A515" s="8"/>
      <c r="B515" s="8"/>
      <c r="C515" s="8"/>
      <c r="D515" s="8"/>
      <c r="E515" s="8"/>
      <c r="F515" s="8"/>
    </row>
    <row r="516" spans="1:6" x14ac:dyDescent="0.25">
      <c r="A516" s="8"/>
      <c r="B516" s="8"/>
      <c r="C516" s="8"/>
      <c r="D516" s="8"/>
      <c r="E516" s="8"/>
      <c r="F516" s="8"/>
    </row>
    <row r="517" spans="1:6" x14ac:dyDescent="0.25">
      <c r="A517" s="8"/>
      <c r="B517" s="8"/>
      <c r="C517" s="8"/>
      <c r="D517" s="8"/>
      <c r="E517" s="8"/>
      <c r="F517" s="8"/>
    </row>
    <row r="518" spans="1:6" x14ac:dyDescent="0.25">
      <c r="A518" s="8"/>
      <c r="B518" s="8"/>
      <c r="C518" s="8"/>
      <c r="D518" s="8"/>
      <c r="E518" s="8"/>
      <c r="F518" s="8"/>
    </row>
    <row r="519" spans="1:6" x14ac:dyDescent="0.25">
      <c r="A519" s="8"/>
      <c r="B519" s="8"/>
      <c r="C519" s="8"/>
      <c r="D519" s="8"/>
      <c r="E519" s="8"/>
      <c r="F519" s="8"/>
    </row>
    <row r="520" spans="1:6" x14ac:dyDescent="0.25">
      <c r="A520" s="8"/>
      <c r="B520" s="8"/>
      <c r="C520" s="8"/>
      <c r="D520" s="8"/>
      <c r="E520" s="8"/>
      <c r="F520" s="8"/>
    </row>
    <row r="521" spans="1:6" x14ac:dyDescent="0.25">
      <c r="A521" s="8"/>
      <c r="B521" s="8"/>
      <c r="C521" s="8"/>
      <c r="D521" s="8"/>
      <c r="E521" s="8"/>
      <c r="F521" s="8"/>
    </row>
    <row r="522" spans="1:6" x14ac:dyDescent="0.25">
      <c r="A522" s="8"/>
      <c r="B522" s="8"/>
      <c r="C522" s="8"/>
      <c r="D522" s="8"/>
      <c r="E522" s="8"/>
      <c r="F522" s="8"/>
    </row>
    <row r="523" spans="1:6" x14ac:dyDescent="0.25">
      <c r="A523" s="8"/>
      <c r="B523" s="8"/>
      <c r="C523" s="8"/>
      <c r="D523" s="8"/>
      <c r="E523" s="8"/>
      <c r="F523" s="8"/>
    </row>
    <row r="524" spans="1:6" x14ac:dyDescent="0.25">
      <c r="A524" s="8"/>
      <c r="B524" s="8"/>
      <c r="C524" s="8"/>
      <c r="D524" s="8"/>
      <c r="E524" s="8"/>
      <c r="F524" s="8"/>
    </row>
    <row r="525" spans="1:6" x14ac:dyDescent="0.25">
      <c r="A525" s="8"/>
      <c r="B525" s="8"/>
      <c r="C525" s="8"/>
      <c r="D525" s="8"/>
      <c r="E525" s="8"/>
      <c r="F525" s="8"/>
    </row>
    <row r="526" spans="1:6" x14ac:dyDescent="0.25">
      <c r="A526" s="8"/>
      <c r="B526" s="8"/>
      <c r="C526" s="8"/>
      <c r="D526" s="8"/>
      <c r="E526" s="8"/>
      <c r="F526" s="8"/>
    </row>
    <row r="527" spans="1:6" x14ac:dyDescent="0.25">
      <c r="A527" s="8"/>
      <c r="B527" s="8"/>
      <c r="C527" s="8"/>
      <c r="D527" s="8"/>
      <c r="E527" s="8"/>
      <c r="F527" s="8"/>
    </row>
    <row r="528" spans="1:6" x14ac:dyDescent="0.25">
      <c r="A528" s="8"/>
      <c r="B528" s="8"/>
      <c r="C528" s="8"/>
      <c r="D528" s="8"/>
      <c r="E528" s="8"/>
      <c r="F528" s="8"/>
    </row>
    <row r="529" spans="1:6" x14ac:dyDescent="0.25">
      <c r="A529" s="8"/>
      <c r="B529" s="8"/>
      <c r="C529" s="8"/>
      <c r="D529" s="8"/>
      <c r="E529" s="8"/>
      <c r="F529" s="8"/>
    </row>
    <row r="530" spans="1:6" x14ac:dyDescent="0.25">
      <c r="A530" s="8"/>
      <c r="B530" s="8"/>
      <c r="C530" s="8"/>
      <c r="D530" s="8"/>
      <c r="E530" s="8"/>
      <c r="F530" s="8"/>
    </row>
    <row r="531" spans="1:6" x14ac:dyDescent="0.25">
      <c r="A531" s="8"/>
      <c r="B531" s="8"/>
      <c r="C531" s="8"/>
      <c r="D531" s="8"/>
      <c r="E531" s="8"/>
      <c r="F531" s="8"/>
    </row>
    <row r="532" spans="1:6" x14ac:dyDescent="0.25">
      <c r="A532" s="8"/>
      <c r="B532" s="8"/>
      <c r="C532" s="8"/>
      <c r="D532" s="8"/>
      <c r="E532" s="8"/>
      <c r="F532" s="8"/>
    </row>
    <row r="533" spans="1:6" x14ac:dyDescent="0.25">
      <c r="A533" s="8"/>
      <c r="B533" s="8"/>
      <c r="C533" s="8"/>
      <c r="D533" s="8"/>
      <c r="E533" s="8"/>
      <c r="F533" s="8"/>
    </row>
    <row r="534" spans="1:6" x14ac:dyDescent="0.25">
      <c r="A534" s="8"/>
      <c r="B534" s="8"/>
      <c r="C534" s="8"/>
      <c r="D534" s="8"/>
      <c r="E534" s="8"/>
      <c r="F534" s="8"/>
    </row>
    <row r="535" spans="1:6" x14ac:dyDescent="0.25">
      <c r="A535" s="8"/>
      <c r="B535" s="8"/>
      <c r="C535" s="8"/>
      <c r="D535" s="8"/>
      <c r="E535" s="8"/>
      <c r="F535" s="8"/>
    </row>
    <row r="536" spans="1:6" x14ac:dyDescent="0.25">
      <c r="A536" s="8"/>
      <c r="B536" s="8"/>
      <c r="C536" s="8"/>
      <c r="D536" s="8"/>
      <c r="E536" s="8"/>
      <c r="F536" s="8"/>
    </row>
    <row r="537" spans="1:6" x14ac:dyDescent="0.25">
      <c r="A537" s="8"/>
      <c r="B537" s="8"/>
      <c r="C537" s="8"/>
      <c r="D537" s="8"/>
      <c r="E537" s="8"/>
      <c r="F537" s="8"/>
    </row>
    <row r="538" spans="1:6" x14ac:dyDescent="0.25">
      <c r="A538" s="8"/>
      <c r="B538" s="8"/>
      <c r="C538" s="8"/>
      <c r="D538" s="8"/>
      <c r="E538" s="8"/>
      <c r="F538" s="8"/>
    </row>
    <row r="539" spans="1:6" x14ac:dyDescent="0.25">
      <c r="A539" s="8"/>
      <c r="B539" s="8"/>
      <c r="C539" s="8"/>
      <c r="D539" s="8"/>
      <c r="E539" s="8"/>
      <c r="F539" s="8"/>
    </row>
    <row r="540" spans="1:6" x14ac:dyDescent="0.25">
      <c r="A540" s="8"/>
      <c r="B540" s="8"/>
      <c r="C540" s="8"/>
      <c r="D540" s="8"/>
      <c r="E540" s="8"/>
      <c r="F540" s="8"/>
    </row>
    <row r="541" spans="1:6" x14ac:dyDescent="0.25">
      <c r="A541" s="8"/>
      <c r="B541" s="8"/>
      <c r="C541" s="8"/>
      <c r="D541" s="8"/>
      <c r="E541" s="8"/>
      <c r="F541" s="8"/>
    </row>
    <row r="542" spans="1:6" x14ac:dyDescent="0.25">
      <c r="A542" s="8"/>
      <c r="B542" s="8"/>
      <c r="C542" s="8"/>
      <c r="D542" s="8"/>
      <c r="E542" s="8"/>
      <c r="F542" s="8"/>
    </row>
    <row r="543" spans="1:6" x14ac:dyDescent="0.25">
      <c r="A543" s="8"/>
      <c r="B543" s="8"/>
      <c r="C543" s="8"/>
      <c r="D543" s="8"/>
      <c r="E543" s="8"/>
      <c r="F543" s="8"/>
    </row>
    <row r="544" spans="1:6" x14ac:dyDescent="0.25">
      <c r="A544" s="8"/>
      <c r="B544" s="8"/>
      <c r="C544" s="8"/>
      <c r="D544" s="8"/>
      <c r="E544" s="8"/>
      <c r="F544" s="8"/>
    </row>
    <row r="545" spans="1:6" x14ac:dyDescent="0.25">
      <c r="A545" s="8"/>
      <c r="B545" s="8"/>
      <c r="C545" s="8"/>
      <c r="D545" s="8"/>
      <c r="E545" s="8"/>
      <c r="F545" s="8"/>
    </row>
    <row r="546" spans="1:6" x14ac:dyDescent="0.25">
      <c r="A546" s="8"/>
      <c r="B546" s="8"/>
      <c r="C546" s="8"/>
      <c r="D546" s="8"/>
      <c r="E546" s="8"/>
      <c r="F546" s="8"/>
    </row>
    <row r="547" spans="1:6" x14ac:dyDescent="0.25">
      <c r="A547" s="8"/>
      <c r="B547" s="8"/>
      <c r="C547" s="8"/>
      <c r="D547" s="8"/>
      <c r="E547" s="8"/>
      <c r="F547" s="8"/>
    </row>
    <row r="548" spans="1:6" x14ac:dyDescent="0.25">
      <c r="A548" s="8"/>
      <c r="B548" s="8"/>
      <c r="C548" s="8"/>
      <c r="D548" s="8"/>
      <c r="E548" s="8"/>
      <c r="F548" s="8"/>
    </row>
    <row r="549" spans="1:6" x14ac:dyDescent="0.25">
      <c r="A549" s="8"/>
      <c r="B549" s="8"/>
      <c r="C549" s="8"/>
      <c r="D549" s="8"/>
      <c r="E549" s="8"/>
      <c r="F549" s="8"/>
    </row>
    <row r="550" spans="1:6" x14ac:dyDescent="0.25">
      <c r="A550" s="8"/>
      <c r="B550" s="8"/>
      <c r="C550" s="8"/>
      <c r="D550" s="8"/>
      <c r="E550" s="8"/>
      <c r="F550" s="8"/>
    </row>
    <row r="551" spans="1:6" x14ac:dyDescent="0.25">
      <c r="A551" s="8"/>
      <c r="B551" s="8"/>
      <c r="C551" s="8"/>
      <c r="D551" s="8"/>
      <c r="E551" s="8"/>
      <c r="F551" s="8"/>
    </row>
    <row r="552" spans="1:6" x14ac:dyDescent="0.25">
      <c r="A552" s="8"/>
      <c r="B552" s="8"/>
      <c r="C552" s="8"/>
      <c r="D552" s="8"/>
      <c r="E552" s="8"/>
      <c r="F552" s="8"/>
    </row>
    <row r="553" spans="1:6" x14ac:dyDescent="0.25">
      <c r="A553" s="8"/>
      <c r="B553" s="8"/>
      <c r="C553" s="8"/>
      <c r="D553" s="8"/>
      <c r="E553" s="8"/>
      <c r="F553" s="8"/>
    </row>
    <row r="554" spans="1:6" x14ac:dyDescent="0.25">
      <c r="A554" s="8"/>
      <c r="B554" s="8"/>
      <c r="C554" s="8"/>
      <c r="D554" s="8"/>
      <c r="E554" s="8"/>
      <c r="F554" s="8"/>
    </row>
    <row r="555" spans="1:6" x14ac:dyDescent="0.25">
      <c r="A555" s="8"/>
      <c r="B555" s="8"/>
      <c r="C555" s="8"/>
      <c r="D555" s="8"/>
      <c r="E555" s="8"/>
      <c r="F555" s="8"/>
    </row>
    <row r="556" spans="1:6" x14ac:dyDescent="0.25">
      <c r="A556" s="8"/>
      <c r="B556" s="8"/>
      <c r="C556" s="8"/>
      <c r="D556" s="8"/>
      <c r="E556" s="8"/>
      <c r="F556" s="8"/>
    </row>
    <row r="557" spans="1:6" x14ac:dyDescent="0.25">
      <c r="A557" s="8"/>
      <c r="B557" s="8"/>
      <c r="C557" s="8"/>
      <c r="D557" s="8"/>
      <c r="E557" s="8"/>
      <c r="F557" s="8"/>
    </row>
    <row r="558" spans="1:6" x14ac:dyDescent="0.25">
      <c r="A558" s="8"/>
      <c r="B558" s="8"/>
      <c r="C558" s="8"/>
      <c r="D558" s="8"/>
      <c r="E558" s="8"/>
      <c r="F558" s="8"/>
    </row>
    <row r="559" spans="1:6" x14ac:dyDescent="0.25">
      <c r="A559" s="8"/>
      <c r="B559" s="8"/>
      <c r="C559" s="8"/>
      <c r="D559" s="8"/>
      <c r="E559" s="8"/>
      <c r="F559" s="8"/>
    </row>
    <row r="560" spans="1:6" x14ac:dyDescent="0.25">
      <c r="A560" s="8"/>
      <c r="B560" s="8"/>
      <c r="C560" s="8"/>
      <c r="D560" s="8"/>
      <c r="E560" s="8"/>
      <c r="F560" s="8"/>
    </row>
    <row r="561" spans="1:6" x14ac:dyDescent="0.25">
      <c r="A561" s="8"/>
      <c r="B561" s="8"/>
      <c r="C561" s="8"/>
      <c r="D561" s="8"/>
      <c r="E561" s="8"/>
      <c r="F561" s="8"/>
    </row>
    <row r="562" spans="1:6" x14ac:dyDescent="0.25">
      <c r="A562" s="8"/>
      <c r="B562" s="8"/>
      <c r="C562" s="8"/>
      <c r="D562" s="8"/>
      <c r="E562" s="8"/>
      <c r="F562" s="8"/>
    </row>
    <row r="563" spans="1:6" x14ac:dyDescent="0.25">
      <c r="A563" s="8"/>
      <c r="B563" s="8"/>
      <c r="C563" s="8"/>
      <c r="D563" s="8"/>
      <c r="E563" s="8"/>
      <c r="F563" s="8"/>
    </row>
    <row r="564" spans="1:6" x14ac:dyDescent="0.25">
      <c r="A564" s="8"/>
      <c r="B564" s="8"/>
      <c r="C564" s="8"/>
      <c r="D564" s="8"/>
      <c r="E564" s="8"/>
      <c r="F564" s="8"/>
    </row>
    <row r="565" spans="1:6" x14ac:dyDescent="0.25">
      <c r="A565" s="8"/>
      <c r="B565" s="8"/>
      <c r="C565" s="8"/>
      <c r="D565" s="8"/>
      <c r="E565" s="8"/>
      <c r="F565" s="8"/>
    </row>
    <row r="566" spans="1:6" x14ac:dyDescent="0.25">
      <c r="A566" s="8"/>
      <c r="B566" s="8"/>
      <c r="C566" s="8"/>
      <c r="D566" s="8"/>
      <c r="E566" s="8"/>
      <c r="F566" s="8"/>
    </row>
    <row r="567" spans="1:6" x14ac:dyDescent="0.25">
      <c r="A567" s="8"/>
      <c r="B567" s="8"/>
      <c r="C567" s="8"/>
      <c r="D567" s="8"/>
      <c r="E567" s="8"/>
      <c r="F567" s="8"/>
    </row>
    <row r="568" spans="1:6" x14ac:dyDescent="0.25">
      <c r="A568" s="8"/>
      <c r="B568" s="8"/>
      <c r="C568" s="8"/>
      <c r="D568" s="8"/>
      <c r="E568" s="8"/>
      <c r="F568" s="8"/>
    </row>
    <row r="569" spans="1:6" x14ac:dyDescent="0.25">
      <c r="A569" s="8"/>
      <c r="B569" s="8"/>
      <c r="C569" s="8"/>
      <c r="D569" s="8"/>
      <c r="E569" s="8"/>
      <c r="F569" s="8"/>
    </row>
    <row r="570" spans="1:6" x14ac:dyDescent="0.25">
      <c r="A570" s="8"/>
      <c r="B570" s="8"/>
      <c r="C570" s="8"/>
      <c r="D570" s="8"/>
      <c r="E570" s="8"/>
      <c r="F570" s="8"/>
    </row>
    <row r="571" spans="1:6" x14ac:dyDescent="0.25">
      <c r="A571" s="8"/>
      <c r="B571" s="8"/>
      <c r="C571" s="8"/>
      <c r="D571" s="8"/>
      <c r="E571" s="8"/>
      <c r="F571" s="8"/>
    </row>
    <row r="572" spans="1:6" x14ac:dyDescent="0.25">
      <c r="A572" s="8"/>
      <c r="B572" s="8"/>
      <c r="C572" s="8"/>
      <c r="D572" s="8"/>
      <c r="E572" s="8"/>
      <c r="F572" s="8"/>
    </row>
    <row r="573" spans="1:6" x14ac:dyDescent="0.25">
      <c r="A573" s="8"/>
      <c r="B573" s="8"/>
      <c r="C573" s="8"/>
      <c r="D573" s="8"/>
      <c r="E573" s="8"/>
      <c r="F573" s="8"/>
    </row>
    <row r="574" spans="1:6" x14ac:dyDescent="0.25">
      <c r="A574" s="8"/>
      <c r="B574" s="8"/>
      <c r="C574" s="8"/>
      <c r="D574" s="8"/>
      <c r="E574" s="8"/>
      <c r="F574" s="8"/>
    </row>
    <row r="575" spans="1:6" x14ac:dyDescent="0.25">
      <c r="A575" s="8"/>
      <c r="B575" s="8"/>
      <c r="C575" s="8"/>
      <c r="D575" s="8"/>
      <c r="E575" s="8"/>
      <c r="F575" s="8"/>
    </row>
    <row r="576" spans="1:6" x14ac:dyDescent="0.25">
      <c r="A576" s="8"/>
      <c r="B576" s="8"/>
      <c r="C576" s="8"/>
      <c r="D576" s="8"/>
      <c r="E576" s="8"/>
      <c r="F576" s="8"/>
    </row>
    <row r="577" spans="1:6" x14ac:dyDescent="0.25">
      <c r="A577" s="8"/>
      <c r="B577" s="8"/>
      <c r="C577" s="8"/>
      <c r="D577" s="8"/>
      <c r="E577" s="8"/>
      <c r="F577" s="8"/>
    </row>
    <row r="578" spans="1:6" x14ac:dyDescent="0.25">
      <c r="A578" s="8"/>
      <c r="B578" s="8"/>
      <c r="C578" s="8"/>
      <c r="D578" s="8"/>
      <c r="E578" s="8"/>
      <c r="F578" s="8"/>
    </row>
    <row r="579" spans="1:6" x14ac:dyDescent="0.25">
      <c r="A579" s="8"/>
      <c r="B579" s="8"/>
      <c r="C579" s="8"/>
      <c r="D579" s="8"/>
      <c r="E579" s="8"/>
      <c r="F579" s="8"/>
    </row>
    <row r="580" spans="1:6" x14ac:dyDescent="0.25">
      <c r="A580" s="8"/>
      <c r="B580" s="8"/>
      <c r="C580" s="8"/>
      <c r="D580" s="8"/>
      <c r="E580" s="8"/>
      <c r="F580" s="8"/>
    </row>
    <row r="581" spans="1:6" x14ac:dyDescent="0.25">
      <c r="A581" s="8"/>
      <c r="B581" s="8"/>
      <c r="C581" s="8"/>
      <c r="D581" s="8"/>
      <c r="E581" s="8"/>
      <c r="F581" s="8"/>
    </row>
    <row r="582" spans="1:6" x14ac:dyDescent="0.25">
      <c r="A582" s="8"/>
      <c r="B582" s="8"/>
      <c r="C582" s="8"/>
      <c r="D582" s="8"/>
      <c r="E582" s="8"/>
      <c r="F582" s="8"/>
    </row>
    <row r="583" spans="1:6" x14ac:dyDescent="0.25">
      <c r="A583" s="8"/>
      <c r="B583" s="8"/>
      <c r="C583" s="8"/>
      <c r="D583" s="8"/>
      <c r="E583" s="8"/>
      <c r="F583" s="8"/>
    </row>
    <row r="584" spans="1:6" x14ac:dyDescent="0.25">
      <c r="A584" s="8"/>
      <c r="B584" s="8"/>
      <c r="C584" s="8"/>
      <c r="D584" s="8"/>
      <c r="E584" s="8"/>
      <c r="F584" s="8"/>
    </row>
    <row r="585" spans="1:6" x14ac:dyDescent="0.25">
      <c r="A585" s="8"/>
      <c r="B585" s="8"/>
      <c r="C585" s="8"/>
      <c r="D585" s="8"/>
      <c r="E585" s="8"/>
      <c r="F585" s="8"/>
    </row>
    <row r="586" spans="1:6" x14ac:dyDescent="0.25">
      <c r="A586" s="8"/>
      <c r="B586" s="8"/>
      <c r="C586" s="8"/>
      <c r="D586" s="8"/>
      <c r="E586" s="8"/>
      <c r="F586" s="8"/>
    </row>
    <row r="587" spans="1:6" x14ac:dyDescent="0.25">
      <c r="A587" s="8"/>
      <c r="B587" s="8"/>
      <c r="C587" s="8"/>
      <c r="D587" s="8"/>
      <c r="E587" s="8"/>
      <c r="F587" s="8"/>
    </row>
    <row r="588" spans="1:6" x14ac:dyDescent="0.25">
      <c r="A588" s="8"/>
      <c r="B588" s="8"/>
      <c r="C588" s="8"/>
      <c r="D588" s="8"/>
      <c r="E588" s="8"/>
      <c r="F588" s="8"/>
    </row>
    <row r="589" spans="1:6" x14ac:dyDescent="0.25">
      <c r="A589" s="8"/>
      <c r="B589" s="8"/>
      <c r="C589" s="8"/>
      <c r="D589" s="8"/>
      <c r="E589" s="8"/>
      <c r="F589" s="8"/>
    </row>
    <row r="590" spans="1:6" x14ac:dyDescent="0.25">
      <c r="A590" s="8"/>
      <c r="B590" s="8"/>
      <c r="C590" s="8"/>
      <c r="D590" s="8"/>
      <c r="E590" s="8"/>
      <c r="F590" s="8"/>
    </row>
    <row r="591" spans="1:6" x14ac:dyDescent="0.25">
      <c r="A591" s="8"/>
      <c r="B591" s="8"/>
      <c r="C591" s="8"/>
      <c r="D591" s="8"/>
      <c r="E591" s="8"/>
      <c r="F591" s="8"/>
    </row>
    <row r="592" spans="1:6" x14ac:dyDescent="0.25">
      <c r="A592" s="8"/>
      <c r="B592" s="8"/>
      <c r="C592" s="8"/>
      <c r="D592" s="8"/>
      <c r="E592" s="8"/>
      <c r="F592" s="8"/>
    </row>
    <row r="593" spans="1:6" x14ac:dyDescent="0.25">
      <c r="A593" s="8"/>
      <c r="B593" s="8"/>
      <c r="C593" s="8"/>
      <c r="D593" s="8"/>
      <c r="E593" s="8"/>
      <c r="F593" s="8"/>
    </row>
    <row r="594" spans="1:6" x14ac:dyDescent="0.25">
      <c r="A594" s="8"/>
      <c r="B594" s="8"/>
      <c r="C594" s="8"/>
      <c r="D594" s="8"/>
      <c r="E594" s="8"/>
      <c r="F594" s="8"/>
    </row>
    <row r="595" spans="1:6" x14ac:dyDescent="0.25">
      <c r="A595" s="8"/>
      <c r="B595" s="8"/>
      <c r="C595" s="8"/>
      <c r="D595" s="8"/>
      <c r="E595" s="8"/>
      <c r="F595" s="8"/>
    </row>
    <row r="596" spans="1:6" x14ac:dyDescent="0.25">
      <c r="A596" s="8"/>
      <c r="B596" s="8"/>
      <c r="C596" s="8"/>
      <c r="D596" s="8"/>
      <c r="E596" s="8"/>
      <c r="F596" s="8"/>
    </row>
    <row r="597" spans="1:6" x14ac:dyDescent="0.25">
      <c r="A597" s="8"/>
      <c r="B597" s="8"/>
      <c r="C597" s="8"/>
      <c r="D597" s="8"/>
      <c r="E597" s="8"/>
      <c r="F597" s="8"/>
    </row>
    <row r="598" spans="1:6" x14ac:dyDescent="0.25">
      <c r="A598" s="8"/>
      <c r="B598" s="8"/>
      <c r="C598" s="8"/>
      <c r="D598" s="8"/>
      <c r="E598" s="8"/>
      <c r="F598" s="8"/>
    </row>
    <row r="599" spans="1:6" x14ac:dyDescent="0.25">
      <c r="A599" s="8"/>
      <c r="B599" s="8"/>
      <c r="C599" s="8"/>
      <c r="D599" s="8"/>
      <c r="E599" s="8"/>
      <c r="F599" s="8"/>
    </row>
    <row r="600" spans="1:6" x14ac:dyDescent="0.25">
      <c r="A600" s="8"/>
      <c r="B600" s="8"/>
      <c r="C600" s="8"/>
      <c r="D600" s="8"/>
      <c r="E600" s="8"/>
      <c r="F600" s="8"/>
    </row>
    <row r="601" spans="1:6" x14ac:dyDescent="0.25">
      <c r="A601" s="8"/>
      <c r="B601" s="8"/>
      <c r="C601" s="8"/>
      <c r="D601" s="8"/>
      <c r="E601" s="8"/>
      <c r="F601" s="8"/>
    </row>
    <row r="602" spans="1:6" x14ac:dyDescent="0.25">
      <c r="A602" s="8"/>
      <c r="B602" s="8"/>
      <c r="C602" s="8"/>
      <c r="D602" s="8"/>
      <c r="E602" s="8"/>
      <c r="F602" s="8"/>
    </row>
    <row r="603" spans="1:6" x14ac:dyDescent="0.25">
      <c r="A603" s="8"/>
      <c r="B603" s="8"/>
      <c r="C603" s="8"/>
      <c r="D603" s="8"/>
      <c r="E603" s="8"/>
      <c r="F603" s="8"/>
    </row>
    <row r="604" spans="1:6" x14ac:dyDescent="0.25">
      <c r="A604" s="8"/>
      <c r="B604" s="8"/>
      <c r="C604" s="8"/>
      <c r="D604" s="8"/>
      <c r="E604" s="8"/>
      <c r="F604" s="8"/>
    </row>
    <row r="605" spans="1:6" x14ac:dyDescent="0.25">
      <c r="A605" s="8"/>
      <c r="B605" s="8"/>
      <c r="C605" s="8"/>
      <c r="D605" s="8"/>
      <c r="E605" s="8"/>
      <c r="F605" s="8"/>
    </row>
    <row r="606" spans="1:6" x14ac:dyDescent="0.25">
      <c r="A606" s="8"/>
      <c r="B606" s="8"/>
      <c r="C606" s="8"/>
      <c r="D606" s="8"/>
      <c r="E606" s="8"/>
      <c r="F606" s="8"/>
    </row>
    <row r="607" spans="1:6" x14ac:dyDescent="0.25">
      <c r="A607" s="8"/>
      <c r="B607" s="8"/>
      <c r="C607" s="8"/>
      <c r="D607" s="8"/>
      <c r="E607" s="8"/>
      <c r="F607" s="8"/>
    </row>
    <row r="608" spans="1:6" x14ac:dyDescent="0.25">
      <c r="A608" s="8"/>
      <c r="B608" s="8"/>
      <c r="C608" s="8"/>
      <c r="D608" s="8"/>
      <c r="E608" s="8"/>
      <c r="F608" s="8"/>
    </row>
    <row r="609" spans="1:6" x14ac:dyDescent="0.25">
      <c r="A609" s="8"/>
      <c r="B609" s="8"/>
      <c r="C609" s="8"/>
      <c r="D609" s="8"/>
      <c r="E609" s="8"/>
      <c r="F609" s="8"/>
    </row>
    <row r="610" spans="1:6" x14ac:dyDescent="0.25">
      <c r="A610" s="8"/>
      <c r="B610" s="8"/>
      <c r="C610" s="8"/>
      <c r="D610" s="8"/>
      <c r="E610" s="8"/>
      <c r="F610" s="8"/>
    </row>
    <row r="611" spans="1:6" x14ac:dyDescent="0.25">
      <c r="A611" s="8"/>
      <c r="B611" s="8"/>
      <c r="C611" s="8"/>
      <c r="D611" s="8"/>
      <c r="E611" s="8"/>
      <c r="F611" s="8"/>
    </row>
    <row r="612" spans="1:6" x14ac:dyDescent="0.25">
      <c r="A612" s="8"/>
      <c r="B612" s="8"/>
      <c r="C612" s="8"/>
      <c r="D612" s="8"/>
      <c r="E612" s="8"/>
      <c r="F612" s="8"/>
    </row>
    <row r="613" spans="1:6" x14ac:dyDescent="0.25">
      <c r="A613" s="8"/>
      <c r="B613" s="8"/>
      <c r="C613" s="8"/>
      <c r="D613" s="8"/>
      <c r="E613" s="8"/>
      <c r="F613" s="8"/>
    </row>
    <row r="614" spans="1:6" x14ac:dyDescent="0.25">
      <c r="A614" s="8"/>
      <c r="B614" s="8"/>
      <c r="C614" s="8"/>
      <c r="D614" s="8"/>
      <c r="E614" s="8"/>
      <c r="F614" s="8"/>
    </row>
    <row r="615" spans="1:6" x14ac:dyDescent="0.25">
      <c r="A615" s="8"/>
      <c r="B615" s="8"/>
      <c r="C615" s="8"/>
      <c r="D615" s="8"/>
      <c r="E615" s="8"/>
      <c r="F615" s="8"/>
    </row>
    <row r="616" spans="1:6" x14ac:dyDescent="0.25">
      <c r="A616" s="8"/>
      <c r="B616" s="8"/>
      <c r="C616" s="8"/>
      <c r="D616" s="8"/>
      <c r="E616" s="8"/>
      <c r="F616" s="8"/>
    </row>
    <row r="617" spans="1:6" x14ac:dyDescent="0.25">
      <c r="A617" s="8"/>
      <c r="B617" s="8"/>
      <c r="C617" s="8"/>
      <c r="D617" s="8"/>
      <c r="E617" s="8"/>
      <c r="F617" s="8"/>
    </row>
    <row r="618" spans="1:6" x14ac:dyDescent="0.25">
      <c r="A618" s="8"/>
      <c r="B618" s="8"/>
      <c r="C618" s="8"/>
      <c r="D618" s="8"/>
      <c r="E618" s="8"/>
      <c r="F618" s="8"/>
    </row>
    <row r="619" spans="1:6" x14ac:dyDescent="0.25">
      <c r="A619" s="8"/>
      <c r="B619" s="8"/>
      <c r="C619" s="8"/>
      <c r="D619" s="8"/>
      <c r="E619" s="8"/>
      <c r="F619" s="8"/>
    </row>
    <row r="620" spans="1:6" x14ac:dyDescent="0.25">
      <c r="A620" s="8"/>
      <c r="B620" s="8"/>
      <c r="C620" s="8"/>
      <c r="D620" s="8"/>
      <c r="E620" s="8"/>
      <c r="F620" s="8"/>
    </row>
    <row r="621" spans="1:6" x14ac:dyDescent="0.25">
      <c r="A621" s="8"/>
      <c r="B621" s="8"/>
      <c r="C621" s="8"/>
      <c r="D621" s="8"/>
      <c r="E621" s="8"/>
      <c r="F621" s="8"/>
    </row>
    <row r="622" spans="1:6" x14ac:dyDescent="0.25">
      <c r="A622" s="8"/>
      <c r="B622" s="8"/>
      <c r="C622" s="8"/>
      <c r="D622" s="8"/>
      <c r="E622" s="8"/>
      <c r="F622" s="8"/>
    </row>
    <row r="623" spans="1:6" x14ac:dyDescent="0.25">
      <c r="A623" s="8"/>
      <c r="B623" s="8"/>
      <c r="C623" s="8"/>
      <c r="D623" s="8"/>
      <c r="E623" s="8"/>
      <c r="F623" s="8"/>
    </row>
    <row r="624" spans="1:6" x14ac:dyDescent="0.25">
      <c r="A624" s="8"/>
      <c r="B624" s="8"/>
      <c r="C624" s="8"/>
      <c r="D624" s="8"/>
      <c r="E624" s="8"/>
      <c r="F624" s="8"/>
    </row>
    <row r="625" spans="1:6" x14ac:dyDescent="0.25">
      <c r="A625" s="8"/>
      <c r="B625" s="8"/>
      <c r="C625" s="8"/>
      <c r="D625" s="8"/>
      <c r="E625" s="8"/>
      <c r="F625" s="8"/>
    </row>
    <row r="626" spans="1:6" x14ac:dyDescent="0.25">
      <c r="A626" s="8"/>
      <c r="B626" s="8"/>
      <c r="C626" s="8"/>
      <c r="D626" s="8"/>
      <c r="E626" s="8"/>
      <c r="F626" s="8"/>
    </row>
    <row r="627" spans="1:6" x14ac:dyDescent="0.25">
      <c r="A627" s="8"/>
      <c r="B627" s="8"/>
      <c r="C627" s="8"/>
      <c r="D627" s="8"/>
      <c r="E627" s="8"/>
      <c r="F627" s="8"/>
    </row>
    <row r="628" spans="1:6" x14ac:dyDescent="0.25">
      <c r="A628" s="8"/>
      <c r="B628" s="8"/>
      <c r="C628" s="8"/>
      <c r="D628" s="8"/>
      <c r="E628" s="8"/>
      <c r="F628" s="8"/>
    </row>
    <row r="629" spans="1:6" x14ac:dyDescent="0.25">
      <c r="A629" s="8"/>
      <c r="B629" s="8"/>
      <c r="C629" s="8"/>
      <c r="D629" s="8"/>
      <c r="E629" s="8"/>
      <c r="F629" s="8"/>
    </row>
    <row r="630" spans="1:6" x14ac:dyDescent="0.25">
      <c r="A630" s="8"/>
      <c r="B630" s="8"/>
      <c r="C630" s="8"/>
      <c r="D630" s="8"/>
      <c r="E630" s="8"/>
      <c r="F630" s="8"/>
    </row>
    <row r="631" spans="1:6" x14ac:dyDescent="0.25">
      <c r="A631" s="8"/>
      <c r="B631" s="8"/>
      <c r="C631" s="8"/>
      <c r="D631" s="8"/>
      <c r="E631" s="8"/>
      <c r="F631" s="8"/>
    </row>
    <row r="632" spans="1:6" x14ac:dyDescent="0.25">
      <c r="A632" s="8"/>
      <c r="B632" s="8"/>
      <c r="C632" s="8"/>
      <c r="D632" s="8"/>
      <c r="E632" s="8"/>
      <c r="F632" s="8"/>
    </row>
    <row r="633" spans="1:6" x14ac:dyDescent="0.25">
      <c r="A633" s="8"/>
      <c r="B633" s="8"/>
      <c r="C633" s="8"/>
      <c r="D633" s="8"/>
      <c r="E633" s="8"/>
      <c r="F633" s="8"/>
    </row>
    <row r="634" spans="1:6" x14ac:dyDescent="0.25">
      <c r="A634" s="8"/>
      <c r="B634" s="8"/>
      <c r="C634" s="8"/>
      <c r="D634" s="8"/>
      <c r="E634" s="8"/>
      <c r="F634" s="8"/>
    </row>
    <row r="635" spans="1:6" x14ac:dyDescent="0.25">
      <c r="A635" s="8"/>
      <c r="B635" s="8"/>
      <c r="C635" s="8"/>
      <c r="D635" s="8"/>
      <c r="E635" s="8"/>
      <c r="F635" s="8"/>
    </row>
    <row r="636" spans="1:6" x14ac:dyDescent="0.25">
      <c r="A636" s="8"/>
      <c r="B636" s="8"/>
      <c r="C636" s="8"/>
      <c r="D636" s="8"/>
      <c r="E636" s="8"/>
      <c r="F636" s="8"/>
    </row>
    <row r="637" spans="1:6" x14ac:dyDescent="0.25">
      <c r="A637" s="8"/>
      <c r="B637" s="8"/>
      <c r="C637" s="8"/>
      <c r="D637" s="8"/>
      <c r="E637" s="8"/>
      <c r="F637" s="8"/>
    </row>
    <row r="638" spans="1:6" x14ac:dyDescent="0.25">
      <c r="A638" s="8"/>
      <c r="B638" s="8"/>
      <c r="C638" s="8"/>
      <c r="D638" s="8"/>
      <c r="E638" s="8"/>
      <c r="F638" s="8"/>
    </row>
    <row r="639" spans="1:6" x14ac:dyDescent="0.25">
      <c r="A639" s="8"/>
      <c r="B639" s="8"/>
      <c r="C639" s="8"/>
      <c r="D639" s="8"/>
      <c r="E639" s="8"/>
      <c r="F639" s="8"/>
    </row>
    <row r="640" spans="1:6" x14ac:dyDescent="0.25">
      <c r="A640" s="8"/>
      <c r="B640" s="8"/>
      <c r="C640" s="8"/>
      <c r="D640" s="8"/>
      <c r="E640" s="8"/>
      <c r="F640" s="8"/>
    </row>
    <row r="641" spans="1:6" x14ac:dyDescent="0.25">
      <c r="A641" s="8"/>
      <c r="B641" s="8"/>
      <c r="C641" s="8"/>
      <c r="D641" s="8"/>
      <c r="E641" s="8"/>
      <c r="F641" s="8"/>
    </row>
    <row r="642" spans="1:6" x14ac:dyDescent="0.25">
      <c r="A642" s="8"/>
      <c r="B642" s="8"/>
      <c r="C642" s="8"/>
      <c r="D642" s="8"/>
      <c r="E642" s="8"/>
      <c r="F642" s="8"/>
    </row>
    <row r="643" spans="1:6" x14ac:dyDescent="0.25">
      <c r="A643" s="8"/>
      <c r="B643" s="8"/>
      <c r="C643" s="8"/>
      <c r="D643" s="8"/>
      <c r="E643" s="8"/>
      <c r="F643" s="8"/>
    </row>
    <row r="644" spans="1:6" x14ac:dyDescent="0.25">
      <c r="A644" s="8"/>
      <c r="B644" s="8"/>
      <c r="C644" s="8"/>
      <c r="D644" s="8"/>
      <c r="E644" s="8"/>
      <c r="F644" s="8"/>
    </row>
    <row r="645" spans="1:6" x14ac:dyDescent="0.25">
      <c r="A645" s="8"/>
      <c r="B645" s="8"/>
      <c r="C645" s="8"/>
      <c r="D645" s="8"/>
      <c r="E645" s="8"/>
      <c r="F645" s="8"/>
    </row>
    <row r="646" spans="1:6" x14ac:dyDescent="0.25">
      <c r="A646" s="8"/>
      <c r="B646" s="8"/>
      <c r="C646" s="8"/>
      <c r="D646" s="8"/>
      <c r="E646" s="8"/>
      <c r="F646" s="8"/>
    </row>
    <row r="647" spans="1:6" x14ac:dyDescent="0.25">
      <c r="A647" s="8"/>
      <c r="B647" s="8"/>
      <c r="C647" s="8"/>
      <c r="D647" s="8"/>
      <c r="E647" s="8"/>
      <c r="F647" s="8"/>
    </row>
    <row r="648" spans="1:6" x14ac:dyDescent="0.25">
      <c r="A648" s="8"/>
      <c r="B648" s="8"/>
      <c r="C648" s="8"/>
      <c r="D648" s="8"/>
      <c r="E648" s="8"/>
      <c r="F648" s="8"/>
    </row>
    <row r="649" spans="1:6" x14ac:dyDescent="0.25">
      <c r="A649" s="8"/>
      <c r="B649" s="8"/>
      <c r="C649" s="8"/>
      <c r="D649" s="8"/>
      <c r="E649" s="8"/>
      <c r="F649" s="8"/>
    </row>
    <row r="650" spans="1:6" x14ac:dyDescent="0.25">
      <c r="A650" s="8"/>
      <c r="B650" s="8"/>
      <c r="C650" s="8"/>
      <c r="D650" s="8"/>
      <c r="E650" s="8"/>
      <c r="F650" s="8"/>
    </row>
    <row r="651" spans="1:6" x14ac:dyDescent="0.25">
      <c r="A651" s="8"/>
      <c r="B651" s="8"/>
      <c r="C651" s="8"/>
      <c r="D651" s="8"/>
      <c r="E651" s="8"/>
      <c r="F651" s="8"/>
    </row>
    <row r="652" spans="1:6" x14ac:dyDescent="0.25">
      <c r="A652" s="8"/>
      <c r="B652" s="8"/>
      <c r="C652" s="8"/>
      <c r="D652" s="8"/>
      <c r="E652" s="8"/>
      <c r="F652" s="8"/>
    </row>
    <row r="653" spans="1:6" x14ac:dyDescent="0.25">
      <c r="A653" s="8"/>
      <c r="B653" s="8"/>
      <c r="C653" s="8"/>
      <c r="D653" s="8"/>
      <c r="E653" s="8"/>
      <c r="F653" s="8"/>
    </row>
    <row r="654" spans="1:6" x14ac:dyDescent="0.25">
      <c r="A654" s="8"/>
      <c r="B654" s="8"/>
      <c r="C654" s="8"/>
      <c r="D654" s="8"/>
      <c r="E654" s="8"/>
      <c r="F654" s="8"/>
    </row>
    <row r="655" spans="1:6" x14ac:dyDescent="0.25">
      <c r="A655" s="8"/>
      <c r="B655" s="8"/>
      <c r="C655" s="8"/>
      <c r="D655" s="8"/>
      <c r="E655" s="8"/>
      <c r="F655" s="8"/>
    </row>
    <row r="656" spans="1:6" x14ac:dyDescent="0.25">
      <c r="A656" s="8"/>
      <c r="B656" s="8"/>
      <c r="C656" s="8"/>
      <c r="D656" s="8"/>
      <c r="E656" s="8"/>
      <c r="F656" s="8"/>
    </row>
    <row r="657" spans="1:6" x14ac:dyDescent="0.25">
      <c r="A657" s="8"/>
      <c r="B657" s="8"/>
      <c r="C657" s="8"/>
      <c r="D657" s="8"/>
      <c r="E657" s="8"/>
      <c r="F657" s="8"/>
    </row>
    <row r="658" spans="1:6" x14ac:dyDescent="0.25">
      <c r="A658" s="8"/>
      <c r="B658" s="8"/>
      <c r="C658" s="8"/>
      <c r="D658" s="8"/>
      <c r="E658" s="8"/>
      <c r="F658" s="8"/>
    </row>
    <row r="659" spans="1:6" x14ac:dyDescent="0.25">
      <c r="A659" s="8"/>
      <c r="B659" s="8"/>
      <c r="C659" s="8"/>
      <c r="D659" s="8"/>
      <c r="E659" s="8"/>
      <c r="F659" s="8"/>
    </row>
    <row r="660" spans="1:6" x14ac:dyDescent="0.25">
      <c r="A660" s="8"/>
      <c r="B660" s="8"/>
      <c r="C660" s="8"/>
      <c r="D660" s="8"/>
      <c r="E660" s="8"/>
      <c r="F660" s="8"/>
    </row>
    <row r="661" spans="1:6" x14ac:dyDescent="0.25">
      <c r="A661" s="8"/>
      <c r="B661" s="8"/>
      <c r="C661" s="8"/>
      <c r="D661" s="8"/>
      <c r="E661" s="8"/>
      <c r="F661" s="8"/>
    </row>
    <row r="662" spans="1:6" x14ac:dyDescent="0.25">
      <c r="A662" s="8"/>
      <c r="B662" s="8"/>
      <c r="C662" s="8"/>
      <c r="D662" s="8"/>
      <c r="E662" s="8"/>
      <c r="F662" s="8"/>
    </row>
    <row r="663" spans="1:6" x14ac:dyDescent="0.25">
      <c r="A663" s="8"/>
      <c r="B663" s="8"/>
      <c r="C663" s="8"/>
      <c r="D663" s="8"/>
      <c r="E663" s="8"/>
      <c r="F663" s="8"/>
    </row>
    <row r="664" spans="1:6" x14ac:dyDescent="0.25">
      <c r="A664" s="8"/>
      <c r="B664" s="8"/>
      <c r="C664" s="8"/>
      <c r="D664" s="8"/>
      <c r="E664" s="8"/>
      <c r="F664" s="8"/>
    </row>
    <row r="665" spans="1:6" x14ac:dyDescent="0.25">
      <c r="A665" s="8"/>
      <c r="B665" s="8"/>
      <c r="C665" s="8"/>
      <c r="D665" s="8"/>
      <c r="E665" s="8"/>
      <c r="F665" s="8"/>
    </row>
    <row r="666" spans="1:6" x14ac:dyDescent="0.25">
      <c r="A666" s="8"/>
      <c r="B666" s="8"/>
      <c r="C666" s="8"/>
      <c r="D666" s="8"/>
      <c r="E666" s="8"/>
      <c r="F666" s="8"/>
    </row>
    <row r="667" spans="1:6" x14ac:dyDescent="0.25">
      <c r="A667" s="8"/>
      <c r="B667" s="8"/>
      <c r="C667" s="8"/>
      <c r="D667" s="8"/>
      <c r="E667" s="8"/>
      <c r="F667" s="8"/>
    </row>
    <row r="668" spans="1:6" x14ac:dyDescent="0.25">
      <c r="A668" s="8"/>
      <c r="B668" s="8"/>
      <c r="C668" s="8"/>
      <c r="D668" s="8"/>
      <c r="E668" s="8"/>
      <c r="F668" s="8"/>
    </row>
    <row r="669" spans="1:6" x14ac:dyDescent="0.25">
      <c r="A669" s="8"/>
      <c r="B669" s="8"/>
      <c r="C669" s="8"/>
      <c r="D669" s="8"/>
      <c r="E669" s="8"/>
      <c r="F669" s="8"/>
    </row>
    <row r="670" spans="1:6" x14ac:dyDescent="0.25">
      <c r="A670" s="8"/>
      <c r="B670" s="8"/>
      <c r="C670" s="8"/>
      <c r="D670" s="8"/>
      <c r="E670" s="8"/>
      <c r="F670" s="8"/>
    </row>
    <row r="671" spans="1:6" x14ac:dyDescent="0.25">
      <c r="A671" s="8"/>
      <c r="B671" s="8"/>
      <c r="C671" s="8"/>
      <c r="D671" s="8"/>
      <c r="E671" s="8"/>
      <c r="F671" s="8"/>
    </row>
    <row r="672" spans="1:6" x14ac:dyDescent="0.25">
      <c r="A672" s="8"/>
      <c r="B672" s="8"/>
      <c r="C672" s="8"/>
      <c r="D672" s="8"/>
      <c r="E672" s="8"/>
      <c r="F672" s="8"/>
    </row>
    <row r="673" spans="1:6" x14ac:dyDescent="0.25">
      <c r="A673" s="8"/>
      <c r="B673" s="8"/>
      <c r="C673" s="8"/>
      <c r="D673" s="8"/>
      <c r="E673" s="8"/>
      <c r="F673" s="8"/>
    </row>
    <row r="674" spans="1:6" x14ac:dyDescent="0.25">
      <c r="A674" s="8"/>
      <c r="B674" s="8"/>
      <c r="C674" s="8"/>
      <c r="D674" s="8"/>
      <c r="E674" s="8"/>
      <c r="F674" s="8"/>
    </row>
    <row r="675" spans="1:6" x14ac:dyDescent="0.25">
      <c r="A675" s="8"/>
      <c r="B675" s="8"/>
      <c r="C675" s="8"/>
      <c r="D675" s="8"/>
      <c r="E675" s="8"/>
      <c r="F675" s="8"/>
    </row>
    <row r="676" spans="1:6" x14ac:dyDescent="0.25">
      <c r="A676" s="8"/>
      <c r="B676" s="8"/>
      <c r="C676" s="8"/>
      <c r="D676" s="8"/>
      <c r="E676" s="8"/>
      <c r="F676" s="8"/>
    </row>
    <row r="677" spans="1:6" x14ac:dyDescent="0.25">
      <c r="A677" s="8"/>
      <c r="B677" s="8"/>
      <c r="C677" s="8"/>
      <c r="D677" s="8"/>
      <c r="E677" s="8"/>
      <c r="F677" s="8"/>
    </row>
    <row r="678" spans="1:6" x14ac:dyDescent="0.25">
      <c r="A678" s="8"/>
      <c r="B678" s="8"/>
      <c r="C678" s="8"/>
      <c r="D678" s="8"/>
      <c r="E678" s="8"/>
      <c r="F678" s="8"/>
    </row>
    <row r="679" spans="1:6" x14ac:dyDescent="0.25">
      <c r="A679" s="8"/>
      <c r="B679" s="8"/>
      <c r="C679" s="8"/>
      <c r="D679" s="8"/>
      <c r="E679" s="8"/>
      <c r="F679" s="8"/>
    </row>
    <row r="680" spans="1:6" x14ac:dyDescent="0.25">
      <c r="A680" s="8"/>
      <c r="B680" s="8"/>
      <c r="C680" s="8"/>
      <c r="D680" s="8"/>
      <c r="E680" s="8"/>
      <c r="F680" s="8"/>
    </row>
    <row r="681" spans="1:6" x14ac:dyDescent="0.25">
      <c r="A681" s="8"/>
      <c r="B681" s="8"/>
      <c r="C681" s="8"/>
      <c r="D681" s="8"/>
      <c r="E681" s="8"/>
      <c r="F681" s="8"/>
    </row>
    <row r="682" spans="1:6" x14ac:dyDescent="0.25">
      <c r="A682" s="8"/>
      <c r="B682" s="8"/>
      <c r="C682" s="8"/>
      <c r="D682" s="8"/>
      <c r="E682" s="8"/>
      <c r="F682" s="8"/>
    </row>
    <row r="683" spans="1:6" x14ac:dyDescent="0.25">
      <c r="A683" s="8"/>
      <c r="B683" s="8"/>
      <c r="C683" s="8"/>
      <c r="D683" s="8"/>
      <c r="E683" s="8"/>
      <c r="F683" s="8"/>
    </row>
    <row r="684" spans="1:6" x14ac:dyDescent="0.25">
      <c r="A684" s="8"/>
      <c r="B684" s="8"/>
      <c r="C684" s="8"/>
      <c r="D684" s="8"/>
      <c r="E684" s="8"/>
      <c r="F684" s="8"/>
    </row>
    <row r="685" spans="1:6" x14ac:dyDescent="0.25">
      <c r="A685" s="8"/>
      <c r="B685" s="8"/>
      <c r="C685" s="8"/>
      <c r="D685" s="8"/>
      <c r="E685" s="8"/>
      <c r="F685" s="8"/>
    </row>
    <row r="686" spans="1:6" x14ac:dyDescent="0.25">
      <c r="A686" s="8"/>
      <c r="B686" s="8"/>
      <c r="C686" s="8"/>
      <c r="D686" s="8"/>
      <c r="E686" s="8"/>
      <c r="F686" s="8"/>
    </row>
    <row r="687" spans="1:6" x14ac:dyDescent="0.25">
      <c r="A687" s="8"/>
      <c r="B687" s="8"/>
      <c r="C687" s="8"/>
      <c r="D687" s="8"/>
      <c r="E687" s="8"/>
      <c r="F687" s="8"/>
    </row>
    <row r="688" spans="1:6" x14ac:dyDescent="0.25">
      <c r="A688" s="8"/>
      <c r="B688" s="8"/>
      <c r="C688" s="8"/>
      <c r="D688" s="8"/>
      <c r="E688" s="8"/>
      <c r="F688" s="8"/>
    </row>
    <row r="689" spans="1:6" x14ac:dyDescent="0.25">
      <c r="A689" s="8"/>
      <c r="B689" s="8"/>
      <c r="C689" s="8"/>
      <c r="D689" s="8"/>
      <c r="E689" s="8"/>
      <c r="F689" s="8"/>
    </row>
    <row r="690" spans="1:6" x14ac:dyDescent="0.25">
      <c r="A690" s="8"/>
      <c r="B690" s="8"/>
      <c r="C690" s="8"/>
      <c r="D690" s="8"/>
      <c r="E690" s="8"/>
      <c r="F690" s="8"/>
    </row>
    <row r="691" spans="1:6" x14ac:dyDescent="0.25">
      <c r="A691" s="8"/>
      <c r="B691" s="8"/>
      <c r="C691" s="8"/>
      <c r="D691" s="8"/>
      <c r="E691" s="8"/>
      <c r="F691" s="8"/>
    </row>
    <row r="692" spans="1:6" x14ac:dyDescent="0.25">
      <c r="A692" s="8"/>
      <c r="B692" s="8"/>
      <c r="C692" s="8"/>
      <c r="D692" s="8"/>
      <c r="E692" s="8"/>
      <c r="F692" s="8"/>
    </row>
    <row r="693" spans="1:6" x14ac:dyDescent="0.25">
      <c r="A693" s="8"/>
      <c r="B693" s="8"/>
      <c r="C693" s="8"/>
      <c r="D693" s="8"/>
      <c r="E693" s="8"/>
      <c r="F693" s="8"/>
    </row>
    <row r="694" spans="1:6" x14ac:dyDescent="0.25">
      <c r="A694" s="8"/>
      <c r="B694" s="8"/>
      <c r="C694" s="8"/>
      <c r="D694" s="8"/>
      <c r="E694" s="8"/>
      <c r="F694" s="8"/>
    </row>
    <row r="695" spans="1:6" x14ac:dyDescent="0.25">
      <c r="A695" s="8"/>
      <c r="B695" s="8"/>
      <c r="C695" s="8"/>
      <c r="D695" s="8"/>
      <c r="E695" s="8"/>
      <c r="F695" s="8"/>
    </row>
    <row r="696" spans="1:6" x14ac:dyDescent="0.25">
      <c r="A696" s="8"/>
      <c r="B696" s="8"/>
      <c r="C696" s="8"/>
      <c r="D696" s="8"/>
      <c r="E696" s="8"/>
      <c r="F696" s="8"/>
    </row>
    <row r="697" spans="1:6" x14ac:dyDescent="0.25">
      <c r="A697" s="8"/>
      <c r="B697" s="8"/>
      <c r="C697" s="8"/>
      <c r="D697" s="8"/>
      <c r="E697" s="8"/>
      <c r="F697" s="8"/>
    </row>
    <row r="698" spans="1:6" x14ac:dyDescent="0.25">
      <c r="A698" s="8"/>
      <c r="B698" s="8"/>
      <c r="C698" s="8"/>
      <c r="D698" s="8"/>
      <c r="E698" s="8"/>
      <c r="F698" s="8"/>
    </row>
    <row r="699" spans="1:6" x14ac:dyDescent="0.25">
      <c r="A699" s="8"/>
      <c r="B699" s="8"/>
      <c r="C699" s="8"/>
      <c r="D699" s="8"/>
      <c r="E699" s="8"/>
      <c r="F699" s="8"/>
    </row>
    <row r="700" spans="1:6" x14ac:dyDescent="0.25">
      <c r="A700" s="8"/>
      <c r="B700" s="8"/>
      <c r="C700" s="8"/>
      <c r="D700" s="8"/>
      <c r="E700" s="8"/>
      <c r="F700" s="8"/>
    </row>
    <row r="701" spans="1:6" x14ac:dyDescent="0.25">
      <c r="A701" s="8"/>
      <c r="B701" s="8"/>
      <c r="C701" s="8"/>
      <c r="D701" s="8"/>
      <c r="E701" s="8"/>
      <c r="F701" s="8"/>
    </row>
    <row r="702" spans="1:6" x14ac:dyDescent="0.25">
      <c r="A702" s="8"/>
      <c r="B702" s="8"/>
      <c r="C702" s="8"/>
      <c r="D702" s="8"/>
      <c r="E702" s="8"/>
      <c r="F702" s="8"/>
    </row>
    <row r="703" spans="1:6" x14ac:dyDescent="0.25">
      <c r="A703" s="8"/>
      <c r="B703" s="8"/>
      <c r="C703" s="8"/>
      <c r="D703" s="8"/>
      <c r="E703" s="8"/>
      <c r="F703" s="8"/>
    </row>
    <row r="704" spans="1:6" x14ac:dyDescent="0.25">
      <c r="A704" s="8"/>
      <c r="B704" s="8"/>
      <c r="C704" s="8"/>
      <c r="D704" s="8"/>
      <c r="E704" s="8"/>
      <c r="F704" s="8"/>
    </row>
    <row r="705" spans="1:6" x14ac:dyDescent="0.25">
      <c r="A705" s="8"/>
      <c r="B705" s="8"/>
      <c r="C705" s="8"/>
      <c r="D705" s="8"/>
      <c r="E705" s="8"/>
      <c r="F705" s="8"/>
    </row>
    <row r="706" spans="1:6" x14ac:dyDescent="0.25">
      <c r="A706" s="8"/>
      <c r="B706" s="8"/>
      <c r="C706" s="8"/>
      <c r="D706" s="8"/>
      <c r="E706" s="8"/>
      <c r="F706" s="8"/>
    </row>
    <row r="707" spans="1:6" x14ac:dyDescent="0.25">
      <c r="A707" s="8"/>
      <c r="B707" s="8"/>
      <c r="C707" s="8"/>
      <c r="D707" s="8"/>
      <c r="E707" s="8"/>
      <c r="F707" s="8"/>
    </row>
    <row r="708" spans="1:6" x14ac:dyDescent="0.25">
      <c r="A708" s="8"/>
      <c r="B708" s="8"/>
      <c r="C708" s="8"/>
      <c r="D708" s="8"/>
      <c r="E708" s="8"/>
      <c r="F708" s="8"/>
    </row>
    <row r="709" spans="1:6" x14ac:dyDescent="0.25">
      <c r="A709" s="8"/>
      <c r="B709" s="8"/>
      <c r="C709" s="8"/>
      <c r="D709" s="8"/>
      <c r="E709" s="8"/>
      <c r="F709" s="8"/>
    </row>
    <row r="710" spans="1:6" x14ac:dyDescent="0.25">
      <c r="A710" s="8"/>
      <c r="B710" s="8"/>
      <c r="C710" s="8"/>
      <c r="D710" s="8"/>
      <c r="E710" s="8"/>
      <c r="F710" s="8"/>
    </row>
    <row r="711" spans="1:6" x14ac:dyDescent="0.25">
      <c r="A711" s="8"/>
      <c r="B711" s="8"/>
      <c r="C711" s="8"/>
      <c r="D711" s="8"/>
      <c r="E711" s="8"/>
      <c r="F711" s="8"/>
    </row>
    <row r="712" spans="1:6" x14ac:dyDescent="0.25">
      <c r="A712" s="8"/>
      <c r="B712" s="8"/>
      <c r="C712" s="8"/>
      <c r="D712" s="8"/>
      <c r="E712" s="8"/>
      <c r="F712" s="8"/>
    </row>
    <row r="713" spans="1:6" x14ac:dyDescent="0.25">
      <c r="A713" s="8"/>
      <c r="B713" s="8"/>
      <c r="C713" s="8"/>
      <c r="D713" s="8"/>
      <c r="E713" s="8"/>
      <c r="F713" s="8"/>
    </row>
    <row r="714" spans="1:6" x14ac:dyDescent="0.25">
      <c r="A714" s="8"/>
      <c r="B714" s="8"/>
      <c r="C714" s="8"/>
      <c r="D714" s="8"/>
      <c r="E714" s="8"/>
      <c r="F714" s="8"/>
    </row>
    <row r="715" spans="1:6" x14ac:dyDescent="0.25">
      <c r="A715" s="8"/>
      <c r="B715" s="8"/>
      <c r="C715" s="8"/>
      <c r="D715" s="8"/>
      <c r="E715" s="8"/>
      <c r="F715" s="8"/>
    </row>
    <row r="716" spans="1:6" x14ac:dyDescent="0.25">
      <c r="A716" s="8"/>
      <c r="B716" s="8"/>
      <c r="C716" s="8"/>
      <c r="D716" s="8"/>
      <c r="E716" s="8"/>
      <c r="F716" s="8"/>
    </row>
    <row r="717" spans="1:6" x14ac:dyDescent="0.25">
      <c r="A717" s="8"/>
      <c r="B717" s="8"/>
      <c r="C717" s="8"/>
      <c r="D717" s="8"/>
      <c r="E717" s="8"/>
      <c r="F717" s="8"/>
    </row>
    <row r="718" spans="1:6" x14ac:dyDescent="0.25">
      <c r="A718" s="8"/>
      <c r="B718" s="8"/>
      <c r="C718" s="8"/>
      <c r="D718" s="8"/>
      <c r="E718" s="8"/>
      <c r="F718" s="8"/>
    </row>
    <row r="719" spans="1:6" x14ac:dyDescent="0.25">
      <c r="A719" s="8"/>
      <c r="B719" s="8"/>
      <c r="C719" s="8"/>
      <c r="D719" s="8"/>
      <c r="E719" s="8"/>
      <c r="F719" s="8"/>
    </row>
    <row r="720" spans="1:6" x14ac:dyDescent="0.25">
      <c r="A720" s="8"/>
      <c r="B720" s="8"/>
      <c r="C720" s="8"/>
      <c r="D720" s="8"/>
      <c r="E720" s="8"/>
      <c r="F720" s="8"/>
    </row>
    <row r="721" spans="1:6" x14ac:dyDescent="0.25">
      <c r="A721" s="8"/>
      <c r="B721" s="8"/>
      <c r="C721" s="8"/>
      <c r="D721" s="8"/>
      <c r="E721" s="8"/>
      <c r="F721" s="8"/>
    </row>
    <row r="722" spans="1:6" x14ac:dyDescent="0.25">
      <c r="A722" s="8"/>
      <c r="B722" s="8"/>
      <c r="C722" s="8"/>
      <c r="D722" s="8"/>
      <c r="E722" s="8"/>
      <c r="F722" s="8"/>
    </row>
    <row r="723" spans="1:6" x14ac:dyDescent="0.25">
      <c r="A723" s="8"/>
      <c r="B723" s="8"/>
      <c r="C723" s="8"/>
      <c r="D723" s="8"/>
      <c r="E723" s="8"/>
      <c r="F723" s="8"/>
    </row>
    <row r="724" spans="1:6" x14ac:dyDescent="0.25">
      <c r="A724" s="8"/>
      <c r="B724" s="8"/>
      <c r="C724" s="8"/>
      <c r="D724" s="8"/>
      <c r="E724" s="8"/>
      <c r="F724" s="8"/>
    </row>
    <row r="725" spans="1:6" x14ac:dyDescent="0.25">
      <c r="A725" s="8"/>
      <c r="B725" s="8"/>
      <c r="C725" s="8"/>
      <c r="D725" s="8"/>
      <c r="E725" s="8"/>
      <c r="F725" s="8"/>
    </row>
    <row r="726" spans="1:6" x14ac:dyDescent="0.25">
      <c r="A726" s="8"/>
      <c r="B726" s="8"/>
      <c r="C726" s="8"/>
      <c r="D726" s="8"/>
      <c r="E726" s="8"/>
      <c r="F726" s="8"/>
    </row>
    <row r="727" spans="1:6" x14ac:dyDescent="0.25">
      <c r="A727" s="8"/>
      <c r="B727" s="8"/>
      <c r="C727" s="8"/>
      <c r="D727" s="8"/>
      <c r="E727" s="8"/>
      <c r="F727" s="8"/>
    </row>
    <row r="728" spans="1:6" x14ac:dyDescent="0.25">
      <c r="A728" s="8"/>
      <c r="B728" s="8"/>
      <c r="C728" s="8"/>
      <c r="D728" s="8"/>
      <c r="E728" s="8"/>
      <c r="F728" s="8"/>
    </row>
    <row r="729" spans="1:6" x14ac:dyDescent="0.25">
      <c r="A729" s="8"/>
      <c r="B729" s="8"/>
      <c r="C729" s="8"/>
      <c r="D729" s="8"/>
      <c r="E729" s="8"/>
      <c r="F729" s="8"/>
    </row>
    <row r="730" spans="1:6" x14ac:dyDescent="0.25">
      <c r="A730" s="8"/>
      <c r="B730" s="8"/>
      <c r="C730" s="8"/>
      <c r="D730" s="8"/>
      <c r="E730" s="8"/>
      <c r="F730" s="8"/>
    </row>
    <row r="731" spans="1:6" x14ac:dyDescent="0.25">
      <c r="A731" s="8"/>
      <c r="B731" s="8"/>
      <c r="C731" s="8"/>
      <c r="D731" s="8"/>
      <c r="E731" s="8"/>
      <c r="F731" s="8"/>
    </row>
    <row r="732" spans="1:6" x14ac:dyDescent="0.25">
      <c r="A732" s="8"/>
      <c r="B732" s="8"/>
      <c r="C732" s="8"/>
      <c r="D732" s="8"/>
      <c r="E732" s="8"/>
      <c r="F732" s="8"/>
    </row>
    <row r="733" spans="1:6" x14ac:dyDescent="0.25">
      <c r="A733" s="8"/>
      <c r="B733" s="8"/>
      <c r="C733" s="8"/>
      <c r="D733" s="8"/>
      <c r="E733" s="8"/>
      <c r="F733" s="8"/>
    </row>
    <row r="734" spans="1:6" x14ac:dyDescent="0.25">
      <c r="A734" s="8"/>
      <c r="B734" s="8"/>
      <c r="C734" s="8"/>
      <c r="D734" s="8"/>
      <c r="E734" s="8"/>
      <c r="F734" s="8"/>
    </row>
    <row r="735" spans="1:6" x14ac:dyDescent="0.25">
      <c r="A735" s="8"/>
      <c r="B735" s="8"/>
      <c r="C735" s="8"/>
      <c r="D735" s="8"/>
      <c r="E735" s="8"/>
      <c r="F735" s="8"/>
    </row>
    <row r="736" spans="1:6" x14ac:dyDescent="0.25">
      <c r="A736" s="8"/>
      <c r="B736" s="8"/>
      <c r="C736" s="8"/>
      <c r="D736" s="8"/>
      <c r="E736" s="8"/>
      <c r="F736" s="8"/>
    </row>
    <row r="737" spans="1:6" x14ac:dyDescent="0.25">
      <c r="A737" s="8"/>
      <c r="B737" s="8"/>
      <c r="C737" s="8"/>
      <c r="D737" s="8"/>
      <c r="E737" s="8"/>
      <c r="F737" s="8"/>
    </row>
    <row r="738" spans="1:6" x14ac:dyDescent="0.25">
      <c r="A738" s="8"/>
      <c r="B738" s="8"/>
      <c r="C738" s="8"/>
      <c r="D738" s="8"/>
      <c r="E738" s="8"/>
      <c r="F738" s="8"/>
    </row>
    <row r="739" spans="1:6" x14ac:dyDescent="0.25">
      <c r="A739" s="8"/>
      <c r="B739" s="8"/>
      <c r="C739" s="8"/>
      <c r="D739" s="8"/>
      <c r="E739" s="8"/>
      <c r="F739" s="8"/>
    </row>
    <row r="740" spans="1:6" x14ac:dyDescent="0.25">
      <c r="A740" s="8"/>
      <c r="B740" s="8"/>
      <c r="C740" s="8"/>
      <c r="D740" s="8"/>
      <c r="E740" s="8"/>
      <c r="F740" s="8"/>
    </row>
    <row r="741" spans="1:6" x14ac:dyDescent="0.25">
      <c r="A741" s="8"/>
      <c r="B741" s="8"/>
      <c r="C741" s="8"/>
      <c r="D741" s="8"/>
      <c r="E741" s="8"/>
      <c r="F741" s="8"/>
    </row>
    <row r="742" spans="1:6" x14ac:dyDescent="0.25">
      <c r="A742" s="8"/>
      <c r="B742" s="8"/>
      <c r="C742" s="8"/>
      <c r="D742" s="8"/>
      <c r="E742" s="8"/>
      <c r="F742" s="8"/>
    </row>
    <row r="743" spans="1:6" x14ac:dyDescent="0.25">
      <c r="A743" s="8"/>
      <c r="B743" s="8"/>
      <c r="C743" s="8"/>
      <c r="D743" s="8"/>
      <c r="E743" s="8"/>
      <c r="F743" s="8"/>
    </row>
    <row r="744" spans="1:6" x14ac:dyDescent="0.25">
      <c r="A744" s="8"/>
      <c r="B744" s="8"/>
      <c r="C744" s="8"/>
      <c r="D744" s="8"/>
      <c r="E744" s="8"/>
      <c r="F744" s="8"/>
    </row>
    <row r="745" spans="1:6" x14ac:dyDescent="0.25">
      <c r="A745" s="8"/>
      <c r="B745" s="8"/>
      <c r="C745" s="8"/>
      <c r="D745" s="8"/>
      <c r="E745" s="8"/>
      <c r="F745" s="8"/>
    </row>
    <row r="746" spans="1:6" x14ac:dyDescent="0.25">
      <c r="A746" s="8"/>
      <c r="B746" s="8"/>
      <c r="C746" s="8"/>
      <c r="D746" s="8"/>
      <c r="E746" s="8"/>
      <c r="F746" s="8"/>
    </row>
    <row r="747" spans="1:6" x14ac:dyDescent="0.25">
      <c r="A747" s="8"/>
      <c r="B747" s="8"/>
      <c r="C747" s="8"/>
      <c r="D747" s="8"/>
      <c r="E747" s="8"/>
      <c r="F747" s="8"/>
    </row>
    <row r="748" spans="1:6" x14ac:dyDescent="0.25">
      <c r="A748" s="8"/>
      <c r="B748" s="8"/>
      <c r="C748" s="8"/>
      <c r="D748" s="8"/>
      <c r="E748" s="8"/>
      <c r="F748" s="8"/>
    </row>
    <row r="749" spans="1:6" x14ac:dyDescent="0.25">
      <c r="A749" s="8"/>
      <c r="B749" s="8"/>
      <c r="C749" s="8"/>
      <c r="D749" s="8"/>
      <c r="E749" s="8"/>
      <c r="F749" s="8"/>
    </row>
    <row r="750" spans="1:6" x14ac:dyDescent="0.25">
      <c r="A750" s="8"/>
      <c r="B750" s="8"/>
      <c r="C750" s="8"/>
      <c r="D750" s="8"/>
      <c r="E750" s="8"/>
      <c r="F750" s="8"/>
    </row>
    <row r="751" spans="1:6" x14ac:dyDescent="0.25">
      <c r="A751" s="8"/>
      <c r="B751" s="8"/>
      <c r="C751" s="8"/>
      <c r="D751" s="8"/>
      <c r="E751" s="8"/>
      <c r="F751" s="8"/>
    </row>
    <row r="752" spans="1:6" x14ac:dyDescent="0.25">
      <c r="A752" s="8"/>
      <c r="B752" s="8"/>
      <c r="C752" s="8"/>
      <c r="D752" s="8"/>
      <c r="E752" s="8"/>
      <c r="F752" s="8"/>
    </row>
    <row r="753" spans="1:6" x14ac:dyDescent="0.25">
      <c r="A753" s="8"/>
      <c r="B753" s="8"/>
      <c r="C753" s="8"/>
      <c r="D753" s="8"/>
      <c r="E753" s="8"/>
      <c r="F753" s="8"/>
    </row>
    <row r="754" spans="1:6" x14ac:dyDescent="0.25">
      <c r="A754" s="8"/>
      <c r="B754" s="8"/>
      <c r="C754" s="8"/>
      <c r="D754" s="8"/>
      <c r="E754" s="8"/>
      <c r="F754" s="8"/>
    </row>
    <row r="755" spans="1:6" x14ac:dyDescent="0.25">
      <c r="A755" s="8"/>
      <c r="B755" s="8"/>
      <c r="C755" s="8"/>
      <c r="D755" s="8"/>
      <c r="E755" s="8"/>
      <c r="F755" s="8"/>
    </row>
    <row r="756" spans="1:6" x14ac:dyDescent="0.25">
      <c r="A756" s="8"/>
      <c r="B756" s="8"/>
      <c r="C756" s="8"/>
      <c r="D756" s="8"/>
      <c r="E756" s="8"/>
      <c r="F756" s="8"/>
    </row>
    <row r="757" spans="1:6" x14ac:dyDescent="0.25">
      <c r="A757" s="8"/>
      <c r="B757" s="8"/>
      <c r="C757" s="8"/>
      <c r="D757" s="8"/>
      <c r="E757" s="8"/>
      <c r="F757" s="8"/>
    </row>
    <row r="758" spans="1:6" x14ac:dyDescent="0.25">
      <c r="A758" s="8"/>
      <c r="B758" s="8"/>
      <c r="C758" s="8"/>
      <c r="D758" s="8"/>
      <c r="E758" s="8"/>
      <c r="F758" s="8"/>
    </row>
    <row r="759" spans="1:6" x14ac:dyDescent="0.25">
      <c r="A759" s="8"/>
      <c r="B759" s="8"/>
      <c r="C759" s="8"/>
      <c r="D759" s="8"/>
      <c r="E759" s="8"/>
      <c r="F759" s="8"/>
    </row>
    <row r="760" spans="1:6" x14ac:dyDescent="0.25">
      <c r="A760" s="8"/>
      <c r="B760" s="8"/>
      <c r="C760" s="8"/>
      <c r="D760" s="8"/>
      <c r="E760" s="8"/>
      <c r="F760" s="8"/>
    </row>
    <row r="761" spans="1:6" x14ac:dyDescent="0.25">
      <c r="A761" s="8"/>
      <c r="B761" s="8"/>
      <c r="C761" s="8"/>
      <c r="D761" s="8"/>
      <c r="E761" s="8"/>
      <c r="F761" s="8"/>
    </row>
    <row r="762" spans="1:6" x14ac:dyDescent="0.25">
      <c r="A762" s="8"/>
      <c r="B762" s="8"/>
      <c r="C762" s="8"/>
      <c r="D762" s="8"/>
      <c r="E762" s="8"/>
      <c r="F762" s="8"/>
    </row>
    <row r="763" spans="1:6" x14ac:dyDescent="0.25">
      <c r="A763" s="8"/>
      <c r="B763" s="8"/>
      <c r="C763" s="8"/>
      <c r="D763" s="8"/>
      <c r="E763" s="8"/>
      <c r="F763" s="8"/>
    </row>
    <row r="764" spans="1:6" x14ac:dyDescent="0.25">
      <c r="A764" s="8"/>
      <c r="B764" s="8"/>
      <c r="C764" s="8"/>
      <c r="D764" s="8"/>
      <c r="E764" s="8"/>
      <c r="F764" s="8"/>
    </row>
    <row r="765" spans="1:6" x14ac:dyDescent="0.25">
      <c r="A765" s="8"/>
      <c r="B765" s="8"/>
      <c r="C765" s="8"/>
      <c r="D765" s="8"/>
      <c r="E765" s="8"/>
      <c r="F765" s="8"/>
    </row>
    <row r="766" spans="1:6" x14ac:dyDescent="0.25">
      <c r="A766" s="8"/>
      <c r="B766" s="8"/>
      <c r="C766" s="8"/>
      <c r="D766" s="8"/>
      <c r="E766" s="8"/>
      <c r="F766" s="8"/>
    </row>
    <row r="767" spans="1:6" x14ac:dyDescent="0.25">
      <c r="A767" s="8"/>
      <c r="B767" s="8"/>
      <c r="C767" s="8"/>
      <c r="D767" s="8"/>
      <c r="E767" s="8"/>
      <c r="F767" s="8"/>
    </row>
    <row r="768" spans="1:6" x14ac:dyDescent="0.25">
      <c r="A768" s="8"/>
      <c r="B768" s="8"/>
      <c r="C768" s="8"/>
      <c r="D768" s="8"/>
      <c r="E768" s="8"/>
      <c r="F768" s="8"/>
    </row>
    <row r="769" spans="1:6" x14ac:dyDescent="0.25">
      <c r="A769" s="8"/>
      <c r="B769" s="8"/>
      <c r="C769" s="8"/>
      <c r="D769" s="8"/>
      <c r="E769" s="8"/>
      <c r="F769" s="8"/>
    </row>
    <row r="770" spans="1:6" x14ac:dyDescent="0.25">
      <c r="A770" s="8"/>
      <c r="B770" s="8"/>
      <c r="C770" s="8"/>
      <c r="D770" s="8"/>
      <c r="E770" s="8"/>
      <c r="F770" s="8"/>
    </row>
    <row r="771" spans="1:6" x14ac:dyDescent="0.25">
      <c r="A771" s="8"/>
      <c r="B771" s="8"/>
      <c r="C771" s="8"/>
      <c r="D771" s="8"/>
      <c r="E771" s="8"/>
      <c r="F771" s="8"/>
    </row>
    <row r="772" spans="1:6" x14ac:dyDescent="0.25">
      <c r="A772" s="8"/>
      <c r="B772" s="8"/>
      <c r="C772" s="8"/>
      <c r="D772" s="8"/>
      <c r="E772" s="8"/>
      <c r="F772" s="8"/>
    </row>
    <row r="773" spans="1:6" x14ac:dyDescent="0.25">
      <c r="A773" s="8"/>
      <c r="B773" s="8"/>
      <c r="C773" s="8"/>
      <c r="D773" s="8"/>
      <c r="E773" s="8"/>
      <c r="F773" s="8"/>
    </row>
    <row r="774" spans="1:6" x14ac:dyDescent="0.25">
      <c r="A774" s="8"/>
      <c r="B774" s="8"/>
      <c r="C774" s="8"/>
      <c r="D774" s="8"/>
      <c r="E774" s="8"/>
      <c r="F774" s="8"/>
    </row>
    <row r="775" spans="1:6" x14ac:dyDescent="0.25">
      <c r="A775" s="8"/>
      <c r="B775" s="8"/>
      <c r="C775" s="8"/>
      <c r="D775" s="8"/>
      <c r="E775" s="8"/>
      <c r="F775" s="8"/>
    </row>
    <row r="776" spans="1:6" x14ac:dyDescent="0.25">
      <c r="A776" s="8"/>
      <c r="B776" s="8"/>
      <c r="C776" s="8"/>
      <c r="D776" s="8"/>
      <c r="E776" s="8"/>
      <c r="F776" s="8"/>
    </row>
    <row r="777" spans="1:6" x14ac:dyDescent="0.25">
      <c r="A777" s="8"/>
      <c r="B777" s="8"/>
      <c r="C777" s="8"/>
      <c r="D777" s="8"/>
      <c r="E777" s="8"/>
      <c r="F777" s="8"/>
    </row>
    <row r="778" spans="1:6" x14ac:dyDescent="0.25">
      <c r="A778" s="8"/>
      <c r="B778" s="8"/>
      <c r="C778" s="8"/>
      <c r="D778" s="8"/>
      <c r="E778" s="8"/>
      <c r="F778" s="8"/>
    </row>
    <row r="779" spans="1:6" x14ac:dyDescent="0.25">
      <c r="A779" s="8"/>
      <c r="B779" s="8"/>
      <c r="C779" s="8"/>
      <c r="D779" s="8"/>
      <c r="E779" s="8"/>
      <c r="F779" s="8"/>
    </row>
    <row r="780" spans="1:6" x14ac:dyDescent="0.25">
      <c r="A780" s="8"/>
      <c r="B780" s="8"/>
      <c r="C780" s="8"/>
      <c r="D780" s="8"/>
      <c r="E780" s="8"/>
      <c r="F780" s="8"/>
    </row>
    <row r="781" spans="1:6" x14ac:dyDescent="0.25">
      <c r="A781" s="8"/>
      <c r="B781" s="8"/>
      <c r="C781" s="8"/>
      <c r="D781" s="8"/>
      <c r="E781" s="8"/>
      <c r="F781" s="8"/>
    </row>
    <row r="782" spans="1:6" x14ac:dyDescent="0.25">
      <c r="A782" s="8"/>
      <c r="B782" s="8"/>
      <c r="C782" s="8"/>
      <c r="D782" s="8"/>
      <c r="E782" s="8"/>
      <c r="F782" s="8"/>
    </row>
    <row r="783" spans="1:6" x14ac:dyDescent="0.25">
      <c r="A783" s="8"/>
      <c r="B783" s="8"/>
      <c r="C783" s="8"/>
      <c r="D783" s="8"/>
      <c r="E783" s="8"/>
      <c r="F783" s="8"/>
    </row>
    <row r="784" spans="1:6" x14ac:dyDescent="0.25">
      <c r="A784" s="8"/>
      <c r="B784" s="8"/>
      <c r="C784" s="8"/>
      <c r="D784" s="8"/>
      <c r="E784" s="8"/>
      <c r="F784" s="8"/>
    </row>
    <row r="785" spans="1:6" x14ac:dyDescent="0.25">
      <c r="A785" s="8"/>
      <c r="B785" s="8"/>
      <c r="C785" s="8"/>
      <c r="D785" s="8"/>
      <c r="E785" s="8"/>
      <c r="F785" s="8"/>
    </row>
    <row r="786" spans="1:6" x14ac:dyDescent="0.25">
      <c r="A786" s="8"/>
      <c r="B786" s="8"/>
      <c r="C786" s="8"/>
      <c r="D786" s="8"/>
      <c r="E786" s="8"/>
      <c r="F786" s="8"/>
    </row>
    <row r="787" spans="1:6" x14ac:dyDescent="0.25">
      <c r="A787" s="8"/>
      <c r="B787" s="8"/>
      <c r="C787" s="8"/>
      <c r="D787" s="8"/>
      <c r="E787" s="8"/>
      <c r="F787" s="8"/>
    </row>
    <row r="788" spans="1:6" x14ac:dyDescent="0.25">
      <c r="A788" s="8"/>
      <c r="B788" s="8"/>
      <c r="C788" s="8"/>
      <c r="D788" s="8"/>
      <c r="E788" s="8"/>
      <c r="F788" s="8"/>
    </row>
    <row r="789" spans="1:6" x14ac:dyDescent="0.25">
      <c r="A789" s="8"/>
      <c r="B789" s="8"/>
      <c r="C789" s="8"/>
      <c r="D789" s="8"/>
      <c r="E789" s="8"/>
      <c r="F789" s="8"/>
    </row>
    <row r="790" spans="1:6" x14ac:dyDescent="0.25">
      <c r="A790" s="8"/>
      <c r="B790" s="8"/>
      <c r="C790" s="8"/>
      <c r="D790" s="8"/>
      <c r="E790" s="8"/>
      <c r="F790" s="8"/>
    </row>
    <row r="791" spans="1:6" x14ac:dyDescent="0.25">
      <c r="A791" s="8"/>
      <c r="B791" s="8"/>
      <c r="C791" s="8"/>
      <c r="D791" s="8"/>
      <c r="E791" s="8"/>
      <c r="F791" s="8"/>
    </row>
    <row r="792" spans="1:6" x14ac:dyDescent="0.25">
      <c r="A792" s="8"/>
      <c r="B792" s="8"/>
      <c r="C792" s="8"/>
      <c r="D792" s="8"/>
      <c r="E792" s="8"/>
      <c r="F792" s="8"/>
    </row>
    <row r="793" spans="1:6" x14ac:dyDescent="0.25">
      <c r="A793" s="8"/>
      <c r="B793" s="8"/>
      <c r="C793" s="8"/>
      <c r="D793" s="8"/>
      <c r="E793" s="8"/>
      <c r="F793" s="8"/>
    </row>
    <row r="794" spans="1:6" x14ac:dyDescent="0.25">
      <c r="A794" s="8"/>
      <c r="B794" s="8"/>
      <c r="C794" s="8"/>
      <c r="D794" s="8"/>
      <c r="E794" s="8"/>
      <c r="F794" s="8"/>
    </row>
    <row r="795" spans="1:6" x14ac:dyDescent="0.25">
      <c r="A795" s="8"/>
      <c r="B795" s="8"/>
      <c r="C795" s="8"/>
      <c r="D795" s="8"/>
      <c r="E795" s="8"/>
      <c r="F795" s="8"/>
    </row>
    <row r="796" spans="1:6" x14ac:dyDescent="0.25">
      <c r="A796" s="8"/>
      <c r="B796" s="8"/>
      <c r="C796" s="8"/>
      <c r="D796" s="8"/>
      <c r="E796" s="8"/>
      <c r="F796" s="8"/>
    </row>
    <row r="797" spans="1:6" x14ac:dyDescent="0.25">
      <c r="A797" s="8"/>
      <c r="B797" s="8"/>
      <c r="C797" s="8"/>
      <c r="D797" s="8"/>
      <c r="E797" s="8"/>
      <c r="F797" s="8"/>
    </row>
    <row r="798" spans="1:6" x14ac:dyDescent="0.25">
      <c r="A798" s="8"/>
      <c r="B798" s="8"/>
      <c r="C798" s="8"/>
      <c r="D798" s="8"/>
      <c r="E798" s="8"/>
      <c r="F798" s="8"/>
    </row>
    <row r="799" spans="1:6" x14ac:dyDescent="0.25">
      <c r="A799" s="8"/>
      <c r="B799" s="8"/>
      <c r="C799" s="8"/>
      <c r="D799" s="8"/>
      <c r="E799" s="8"/>
      <c r="F799" s="8"/>
    </row>
    <row r="800" spans="1:6" x14ac:dyDescent="0.25">
      <c r="A800" s="8"/>
      <c r="B800" s="8"/>
      <c r="C800" s="8"/>
      <c r="D800" s="8"/>
      <c r="E800" s="8"/>
      <c r="F800" s="8"/>
    </row>
    <row r="801" spans="1:6" x14ac:dyDescent="0.25">
      <c r="A801" s="8"/>
      <c r="B801" s="8"/>
      <c r="C801" s="8"/>
      <c r="D801" s="8"/>
      <c r="E801" s="8"/>
      <c r="F801" s="8"/>
    </row>
    <row r="802" spans="1:6" x14ac:dyDescent="0.25">
      <c r="A802" s="8"/>
      <c r="B802" s="8"/>
      <c r="C802" s="8"/>
      <c r="D802" s="8"/>
      <c r="E802" s="8"/>
      <c r="F802" s="8"/>
    </row>
    <row r="803" spans="1:6" x14ac:dyDescent="0.25">
      <c r="A803" s="8"/>
      <c r="B803" s="8"/>
      <c r="C803" s="8"/>
      <c r="D803" s="8"/>
      <c r="E803" s="8"/>
      <c r="F803" s="8"/>
    </row>
    <row r="804" spans="1:6" x14ac:dyDescent="0.25">
      <c r="A804" s="8"/>
      <c r="B804" s="8"/>
      <c r="C804" s="8"/>
      <c r="D804" s="8"/>
      <c r="E804" s="8"/>
      <c r="F804" s="8"/>
    </row>
    <row r="805" spans="1:6" x14ac:dyDescent="0.25">
      <c r="A805" s="8"/>
      <c r="B805" s="8"/>
      <c r="C805" s="8"/>
      <c r="D805" s="8"/>
      <c r="E805" s="8"/>
      <c r="F805" s="8"/>
    </row>
    <row r="806" spans="1:6" x14ac:dyDescent="0.25">
      <c r="A806" s="8"/>
      <c r="B806" s="8"/>
      <c r="C806" s="8"/>
      <c r="D806" s="8"/>
      <c r="E806" s="8"/>
      <c r="F806" s="8"/>
    </row>
    <row r="807" spans="1:6" x14ac:dyDescent="0.25">
      <c r="A807" s="8"/>
      <c r="B807" s="8"/>
      <c r="C807" s="8"/>
      <c r="D807" s="8"/>
      <c r="E807" s="8"/>
      <c r="F807" s="8"/>
    </row>
    <row r="808" spans="1:6" x14ac:dyDescent="0.25">
      <c r="A808" s="8"/>
      <c r="B808" s="8"/>
      <c r="C808" s="8"/>
      <c r="D808" s="8"/>
      <c r="E808" s="8"/>
      <c r="F808" s="8"/>
    </row>
    <row r="809" spans="1:6" x14ac:dyDescent="0.25">
      <c r="A809" s="8"/>
      <c r="B809" s="8"/>
      <c r="C809" s="8"/>
      <c r="D809" s="8"/>
      <c r="E809" s="8"/>
      <c r="F809" s="8"/>
    </row>
    <row r="810" spans="1:6" x14ac:dyDescent="0.25">
      <c r="A810" s="8"/>
      <c r="B810" s="8"/>
      <c r="C810" s="8"/>
      <c r="D810" s="8"/>
      <c r="E810" s="8"/>
      <c r="F810" s="8"/>
    </row>
    <row r="811" spans="1:6" x14ac:dyDescent="0.25">
      <c r="A811" s="8"/>
      <c r="B811" s="8"/>
      <c r="C811" s="8"/>
      <c r="D811" s="8"/>
      <c r="E811" s="8"/>
      <c r="F811" s="8"/>
    </row>
    <row r="812" spans="1:6" x14ac:dyDescent="0.25">
      <c r="A812" s="8"/>
      <c r="B812" s="8"/>
      <c r="C812" s="8"/>
      <c r="D812" s="8"/>
      <c r="E812" s="8"/>
      <c r="F812" s="8"/>
    </row>
    <row r="813" spans="1:6" x14ac:dyDescent="0.25">
      <c r="A813" s="8"/>
      <c r="B813" s="8"/>
      <c r="C813" s="8"/>
      <c r="D813" s="8"/>
      <c r="E813" s="8"/>
      <c r="F813" s="8"/>
    </row>
    <row r="814" spans="1:6" x14ac:dyDescent="0.25">
      <c r="A814" s="8"/>
      <c r="B814" s="8"/>
      <c r="C814" s="8"/>
      <c r="D814" s="8"/>
      <c r="E814" s="8"/>
      <c r="F814" s="8"/>
    </row>
    <row r="815" spans="1:6" x14ac:dyDescent="0.25">
      <c r="A815" s="8"/>
      <c r="B815" s="8"/>
      <c r="C815" s="8"/>
      <c r="D815" s="8"/>
      <c r="E815" s="8"/>
      <c r="F815" s="8"/>
    </row>
    <row r="816" spans="1:6" x14ac:dyDescent="0.25">
      <c r="A816" s="8"/>
      <c r="B816" s="8"/>
      <c r="C816" s="8"/>
      <c r="D816" s="8"/>
      <c r="E816" s="8"/>
      <c r="F816" s="8"/>
    </row>
    <row r="817" spans="1:6" x14ac:dyDescent="0.25">
      <c r="A817" s="8"/>
      <c r="B817" s="8"/>
      <c r="C817" s="8"/>
      <c r="D817" s="8"/>
      <c r="E817" s="8"/>
      <c r="F817" s="8"/>
    </row>
    <row r="818" spans="1:6" x14ac:dyDescent="0.25">
      <c r="A818" s="8"/>
      <c r="B818" s="8"/>
      <c r="C818" s="8"/>
      <c r="D818" s="8"/>
      <c r="E818" s="8"/>
      <c r="F818" s="8"/>
    </row>
    <row r="819" spans="1:6" x14ac:dyDescent="0.25">
      <c r="A819" s="8"/>
      <c r="B819" s="8"/>
      <c r="C819" s="8"/>
      <c r="D819" s="8"/>
      <c r="E819" s="8"/>
      <c r="F819" s="8"/>
    </row>
    <row r="820" spans="1:6" x14ac:dyDescent="0.25">
      <c r="A820" s="8"/>
      <c r="B820" s="8"/>
      <c r="C820" s="8"/>
      <c r="D820" s="8"/>
      <c r="E820" s="8"/>
      <c r="F820" s="8"/>
    </row>
    <row r="821" spans="1:6" x14ac:dyDescent="0.25">
      <c r="A821" s="8"/>
      <c r="B821" s="8"/>
      <c r="C821" s="8"/>
      <c r="D821" s="8"/>
      <c r="E821" s="8"/>
      <c r="F821" s="8"/>
    </row>
    <row r="822" spans="1:6" x14ac:dyDescent="0.25">
      <c r="A822" s="8"/>
      <c r="B822" s="8"/>
      <c r="C822" s="8"/>
      <c r="D822" s="8"/>
      <c r="E822" s="8"/>
      <c r="F822" s="8"/>
    </row>
    <row r="823" spans="1:6" x14ac:dyDescent="0.25">
      <c r="A823" s="8"/>
      <c r="B823" s="8"/>
      <c r="C823" s="8"/>
      <c r="D823" s="8"/>
      <c r="E823" s="8"/>
      <c r="F823" s="8"/>
    </row>
    <row r="824" spans="1:6" x14ac:dyDescent="0.25">
      <c r="A824" s="8"/>
      <c r="B824" s="8"/>
      <c r="C824" s="8"/>
      <c r="D824" s="8"/>
      <c r="E824" s="8"/>
      <c r="F824" s="8"/>
    </row>
    <row r="825" spans="1:6" x14ac:dyDescent="0.25">
      <c r="A825" s="8"/>
      <c r="B825" s="8"/>
      <c r="C825" s="8"/>
      <c r="D825" s="8"/>
      <c r="E825" s="8"/>
      <c r="F825" s="8"/>
    </row>
    <row r="826" spans="1:6" x14ac:dyDescent="0.25">
      <c r="A826" s="8"/>
      <c r="B826" s="8"/>
      <c r="C826" s="8"/>
      <c r="D826" s="8"/>
      <c r="E826" s="8"/>
      <c r="F826" s="8"/>
    </row>
    <row r="827" spans="1:6" x14ac:dyDescent="0.25">
      <c r="A827" s="8"/>
      <c r="B827" s="8"/>
      <c r="C827" s="8"/>
      <c r="D827" s="8"/>
      <c r="E827" s="8"/>
      <c r="F827" s="8"/>
    </row>
    <row r="828" spans="1:6" x14ac:dyDescent="0.25">
      <c r="A828" s="8"/>
      <c r="B828" s="8"/>
      <c r="C828" s="8"/>
      <c r="D828" s="8"/>
      <c r="E828" s="8"/>
      <c r="F828" s="8"/>
    </row>
    <row r="829" spans="1:6" x14ac:dyDescent="0.25">
      <c r="A829" s="8"/>
      <c r="B829" s="8"/>
      <c r="C829" s="8"/>
      <c r="D829" s="8"/>
      <c r="E829" s="8"/>
      <c r="F829" s="8"/>
    </row>
    <row r="830" spans="1:6" x14ac:dyDescent="0.25">
      <c r="A830" s="8"/>
      <c r="B830" s="8"/>
      <c r="C830" s="8"/>
      <c r="D830" s="8"/>
      <c r="E830" s="8"/>
      <c r="F830" s="8"/>
    </row>
    <row r="831" spans="1:6" x14ac:dyDescent="0.25">
      <c r="A831" s="8"/>
      <c r="B831" s="8"/>
      <c r="C831" s="8"/>
      <c r="D831" s="8"/>
      <c r="E831" s="8"/>
      <c r="F831" s="8"/>
    </row>
    <row r="832" spans="1:6" x14ac:dyDescent="0.25">
      <c r="A832" s="8"/>
      <c r="B832" s="8"/>
      <c r="C832" s="8"/>
      <c r="D832" s="8"/>
      <c r="E832" s="8"/>
      <c r="F832" s="8"/>
    </row>
    <row r="833" spans="1:6" x14ac:dyDescent="0.25">
      <c r="A833" s="8"/>
      <c r="B833" s="8"/>
      <c r="C833" s="8"/>
      <c r="D833" s="8"/>
      <c r="E833" s="8"/>
      <c r="F833" s="8"/>
    </row>
    <row r="834" spans="1:6" x14ac:dyDescent="0.25">
      <c r="A834" s="8"/>
      <c r="B834" s="8"/>
      <c r="C834" s="8"/>
      <c r="D834" s="8"/>
      <c r="E834" s="8"/>
      <c r="F834" s="8"/>
    </row>
    <row r="835" spans="1:6" x14ac:dyDescent="0.25">
      <c r="A835" s="8"/>
      <c r="B835" s="8"/>
      <c r="C835" s="8"/>
      <c r="D835" s="8"/>
      <c r="E835" s="8"/>
      <c r="F835" s="8"/>
    </row>
    <row r="836" spans="1:6" x14ac:dyDescent="0.25">
      <c r="A836" s="8"/>
      <c r="B836" s="8"/>
      <c r="C836" s="8"/>
      <c r="D836" s="8"/>
      <c r="E836" s="8"/>
      <c r="F836" s="8"/>
    </row>
    <row r="837" spans="1:6" x14ac:dyDescent="0.25">
      <c r="A837" s="8"/>
      <c r="B837" s="8"/>
      <c r="C837" s="8"/>
      <c r="D837" s="8"/>
      <c r="E837" s="8"/>
      <c r="F837" s="8"/>
    </row>
    <row r="838" spans="1:6" x14ac:dyDescent="0.25">
      <c r="A838" s="8"/>
      <c r="B838" s="8"/>
      <c r="C838" s="8"/>
      <c r="D838" s="8"/>
      <c r="E838" s="8"/>
      <c r="F838" s="8"/>
    </row>
    <row r="839" spans="1:6" x14ac:dyDescent="0.25">
      <c r="A839" s="8"/>
      <c r="B839" s="8"/>
      <c r="C839" s="8"/>
      <c r="D839" s="8"/>
      <c r="E839" s="8"/>
      <c r="F839" s="8"/>
    </row>
    <row r="840" spans="1:6" x14ac:dyDescent="0.25">
      <c r="A840" s="8"/>
      <c r="B840" s="8"/>
      <c r="C840" s="8"/>
      <c r="D840" s="8"/>
      <c r="E840" s="8"/>
      <c r="F840" s="8"/>
    </row>
    <row r="841" spans="1:6" x14ac:dyDescent="0.25">
      <c r="A841" s="8"/>
      <c r="B841" s="8"/>
      <c r="C841" s="8"/>
      <c r="D841" s="8"/>
      <c r="E841" s="8"/>
      <c r="F841" s="8"/>
    </row>
    <row r="842" spans="1:6" x14ac:dyDescent="0.25">
      <c r="A842" s="8"/>
      <c r="B842" s="8"/>
      <c r="C842" s="8"/>
      <c r="D842" s="8"/>
      <c r="E842" s="8"/>
      <c r="F842" s="8"/>
    </row>
    <row r="843" spans="1:6" x14ac:dyDescent="0.25">
      <c r="A843" s="8"/>
      <c r="B843" s="8"/>
      <c r="C843" s="8"/>
      <c r="D843" s="8"/>
      <c r="E843" s="8"/>
      <c r="F843" s="8"/>
    </row>
    <row r="844" spans="1:6" x14ac:dyDescent="0.25">
      <c r="A844" s="8"/>
      <c r="B844" s="8"/>
      <c r="C844" s="8"/>
      <c r="D844" s="8"/>
      <c r="E844" s="8"/>
      <c r="F844" s="8"/>
    </row>
    <row r="845" spans="1:6" x14ac:dyDescent="0.25">
      <c r="A845" s="8"/>
      <c r="B845" s="8"/>
      <c r="C845" s="8"/>
      <c r="D845" s="8"/>
      <c r="E845" s="8"/>
      <c r="F845" s="8"/>
    </row>
    <row r="846" spans="1:6" x14ac:dyDescent="0.25">
      <c r="A846" s="8"/>
      <c r="B846" s="8"/>
      <c r="C846" s="8"/>
      <c r="D846" s="8"/>
      <c r="E846" s="8"/>
      <c r="F846" s="8"/>
    </row>
    <row r="847" spans="1:6" x14ac:dyDescent="0.25">
      <c r="A847" s="8"/>
      <c r="B847" s="8"/>
      <c r="C847" s="8"/>
      <c r="D847" s="8"/>
      <c r="E847" s="8"/>
      <c r="F847" s="8"/>
    </row>
    <row r="848" spans="1:6" x14ac:dyDescent="0.25">
      <c r="A848" s="8"/>
      <c r="B848" s="8"/>
      <c r="C848" s="8"/>
      <c r="D848" s="8"/>
      <c r="E848" s="8"/>
      <c r="F848" s="8"/>
    </row>
    <row r="849" spans="1:6" x14ac:dyDescent="0.25">
      <c r="A849" s="8"/>
      <c r="B849" s="8"/>
      <c r="C849" s="8"/>
      <c r="D849" s="8"/>
      <c r="E849" s="8"/>
      <c r="F849" s="8"/>
    </row>
    <row r="850" spans="1:6" x14ac:dyDescent="0.25">
      <c r="A850" s="8"/>
      <c r="B850" s="8"/>
      <c r="C850" s="8"/>
      <c r="D850" s="8"/>
      <c r="E850" s="8"/>
      <c r="F850" s="8"/>
    </row>
    <row r="851" spans="1:6" x14ac:dyDescent="0.25">
      <c r="A851" s="8"/>
      <c r="B851" s="8"/>
      <c r="C851" s="8"/>
      <c r="D851" s="8"/>
      <c r="E851" s="8"/>
      <c r="F851" s="8"/>
    </row>
    <row r="852" spans="1:6" x14ac:dyDescent="0.25">
      <c r="A852" s="8"/>
      <c r="B852" s="8"/>
      <c r="C852" s="8"/>
      <c r="D852" s="8"/>
      <c r="E852" s="8"/>
      <c r="F852" s="8"/>
    </row>
    <row r="853" spans="1:6" x14ac:dyDescent="0.25">
      <c r="A853" s="8"/>
      <c r="B853" s="8"/>
      <c r="C853" s="8"/>
      <c r="D853" s="8"/>
      <c r="E853" s="8"/>
      <c r="F853" s="8"/>
    </row>
    <row r="854" spans="1:6" x14ac:dyDescent="0.25">
      <c r="A854" s="8"/>
      <c r="B854" s="8"/>
      <c r="C854" s="8"/>
      <c r="D854" s="8"/>
      <c r="E854" s="8"/>
      <c r="F854" s="8"/>
    </row>
    <row r="855" spans="1:6" x14ac:dyDescent="0.25">
      <c r="A855" s="8"/>
      <c r="B855" s="8"/>
      <c r="C855" s="8"/>
      <c r="D855" s="8"/>
      <c r="E855" s="8"/>
      <c r="F855" s="8"/>
    </row>
    <row r="856" spans="1:6" x14ac:dyDescent="0.25">
      <c r="A856" s="8"/>
      <c r="B856" s="8"/>
      <c r="C856" s="8"/>
      <c r="D856" s="8"/>
      <c r="E856" s="8"/>
      <c r="F856" s="8"/>
    </row>
    <row r="857" spans="1:6" x14ac:dyDescent="0.25">
      <c r="A857" s="8"/>
      <c r="B857" s="8"/>
      <c r="C857" s="8"/>
      <c r="D857" s="8"/>
      <c r="E857" s="8"/>
      <c r="F857" s="8"/>
    </row>
    <row r="858" spans="1:6" x14ac:dyDescent="0.25">
      <c r="A858" s="8"/>
      <c r="B858" s="8"/>
      <c r="C858" s="8"/>
      <c r="D858" s="8"/>
      <c r="E858" s="8"/>
      <c r="F858" s="8"/>
    </row>
    <row r="859" spans="1:6" x14ac:dyDescent="0.25">
      <c r="A859" s="8"/>
      <c r="B859" s="8"/>
      <c r="C859" s="8"/>
      <c r="D859" s="8"/>
      <c r="E859" s="8"/>
      <c r="F859" s="8"/>
    </row>
    <row r="860" spans="1:6" x14ac:dyDescent="0.25">
      <c r="A860" s="8"/>
      <c r="B860" s="8"/>
      <c r="C860" s="8"/>
      <c r="D860" s="8"/>
      <c r="E860" s="8"/>
      <c r="F860" s="8"/>
    </row>
    <row r="861" spans="1:6" x14ac:dyDescent="0.25">
      <c r="A861" s="8"/>
      <c r="B861" s="8"/>
      <c r="C861" s="8"/>
      <c r="D861" s="8"/>
      <c r="E861" s="8"/>
      <c r="F861" s="8"/>
    </row>
    <row r="862" spans="1:6" x14ac:dyDescent="0.25">
      <c r="A862" s="8"/>
      <c r="B862" s="8"/>
      <c r="C862" s="8"/>
      <c r="D862" s="8"/>
      <c r="E862" s="8"/>
      <c r="F862" s="8"/>
    </row>
    <row r="863" spans="1:6" x14ac:dyDescent="0.25">
      <c r="A863" s="8"/>
      <c r="B863" s="8"/>
      <c r="C863" s="8"/>
      <c r="D863" s="8"/>
      <c r="E863" s="8"/>
      <c r="F863" s="8"/>
    </row>
    <row r="864" spans="1:6" x14ac:dyDescent="0.25">
      <c r="A864" s="8"/>
      <c r="B864" s="8"/>
      <c r="C864" s="8"/>
      <c r="D864" s="8"/>
      <c r="E864" s="8"/>
      <c r="F864" s="8"/>
    </row>
    <row r="865" spans="1:6" x14ac:dyDescent="0.25">
      <c r="A865" s="8"/>
      <c r="B865" s="8"/>
      <c r="C865" s="8"/>
      <c r="D865" s="8"/>
      <c r="E865" s="8"/>
      <c r="F865" s="8"/>
    </row>
    <row r="866" spans="1:6" x14ac:dyDescent="0.25">
      <c r="A866" s="8"/>
      <c r="B866" s="8"/>
      <c r="C866" s="8"/>
      <c r="D866" s="8"/>
      <c r="E866" s="8"/>
      <c r="F866" s="8"/>
    </row>
    <row r="867" spans="1:6" x14ac:dyDescent="0.25">
      <c r="A867" s="8"/>
      <c r="B867" s="8"/>
      <c r="C867" s="8"/>
      <c r="D867" s="8"/>
      <c r="E867" s="8"/>
      <c r="F867" s="8"/>
    </row>
    <row r="868" spans="1:6" x14ac:dyDescent="0.25">
      <c r="A868" s="8"/>
      <c r="B868" s="8"/>
      <c r="C868" s="8"/>
      <c r="D868" s="8"/>
      <c r="E868" s="8"/>
      <c r="F868" s="8"/>
    </row>
    <row r="869" spans="1:6" x14ac:dyDescent="0.25">
      <c r="A869" s="8"/>
      <c r="B869" s="8"/>
      <c r="C869" s="8"/>
      <c r="D869" s="8"/>
      <c r="E869" s="8"/>
      <c r="F869" s="8"/>
    </row>
    <row r="870" spans="1:6" x14ac:dyDescent="0.25">
      <c r="A870" s="8"/>
      <c r="B870" s="8"/>
      <c r="C870" s="8"/>
      <c r="D870" s="8"/>
      <c r="E870" s="8"/>
      <c r="F870" s="8"/>
    </row>
    <row r="871" spans="1:6" x14ac:dyDescent="0.25">
      <c r="A871" s="8"/>
      <c r="B871" s="8"/>
      <c r="C871" s="8"/>
      <c r="D871" s="8"/>
      <c r="E871" s="8"/>
      <c r="F871" s="8"/>
    </row>
    <row r="872" spans="1:6" x14ac:dyDescent="0.25">
      <c r="A872" s="8"/>
      <c r="B872" s="8"/>
      <c r="C872" s="8"/>
      <c r="D872" s="8"/>
      <c r="E872" s="8"/>
      <c r="F872" s="8"/>
    </row>
    <row r="873" spans="1:6" x14ac:dyDescent="0.25">
      <c r="A873" s="8"/>
      <c r="B873" s="8"/>
      <c r="C873" s="8"/>
      <c r="D873" s="8"/>
      <c r="E873" s="8"/>
      <c r="F873" s="8"/>
    </row>
    <row r="874" spans="1:6" x14ac:dyDescent="0.25">
      <c r="A874" s="8"/>
      <c r="B874" s="8"/>
      <c r="C874" s="8"/>
      <c r="D874" s="8"/>
      <c r="E874" s="8"/>
      <c r="F874" s="8"/>
    </row>
    <row r="875" spans="1:6" x14ac:dyDescent="0.25">
      <c r="A875" s="8"/>
      <c r="B875" s="8"/>
      <c r="C875" s="8"/>
      <c r="D875" s="8"/>
      <c r="E875" s="8"/>
      <c r="F875" s="8"/>
    </row>
    <row r="876" spans="1:6" x14ac:dyDescent="0.25">
      <c r="A876" s="8"/>
      <c r="B876" s="8"/>
      <c r="C876" s="8"/>
      <c r="D876" s="8"/>
      <c r="E876" s="8"/>
      <c r="F876" s="8"/>
    </row>
    <row r="877" spans="1:6" x14ac:dyDescent="0.25">
      <c r="A877" s="8"/>
      <c r="B877" s="8"/>
      <c r="C877" s="8"/>
      <c r="D877" s="8"/>
      <c r="E877" s="8"/>
      <c r="F877" s="8"/>
    </row>
    <row r="878" spans="1:6" x14ac:dyDescent="0.25">
      <c r="A878" s="8"/>
      <c r="B878" s="8"/>
      <c r="C878" s="8"/>
      <c r="D878" s="8"/>
      <c r="E878" s="8"/>
      <c r="F878" s="8"/>
    </row>
    <row r="879" spans="1:6" x14ac:dyDescent="0.25">
      <c r="A879" s="8"/>
      <c r="B879" s="8"/>
      <c r="C879" s="8"/>
      <c r="D879" s="8"/>
      <c r="E879" s="8"/>
      <c r="F879" s="8"/>
    </row>
    <row r="880" spans="1:6" x14ac:dyDescent="0.25">
      <c r="A880" s="8"/>
      <c r="B880" s="8"/>
      <c r="C880" s="8"/>
      <c r="D880" s="8"/>
      <c r="E880" s="8"/>
      <c r="F880" s="8"/>
    </row>
    <row r="881" spans="1:6" x14ac:dyDescent="0.25">
      <c r="A881" s="8"/>
      <c r="B881" s="8"/>
      <c r="C881" s="8"/>
      <c r="D881" s="8"/>
      <c r="E881" s="8"/>
      <c r="F881" s="8"/>
    </row>
    <row r="882" spans="1:6" x14ac:dyDescent="0.25">
      <c r="A882" s="8"/>
      <c r="B882" s="8"/>
      <c r="C882" s="8"/>
      <c r="D882" s="8"/>
      <c r="E882" s="8"/>
      <c r="F882" s="8"/>
    </row>
    <row r="883" spans="1:6" x14ac:dyDescent="0.25">
      <c r="A883" s="8"/>
      <c r="B883" s="8"/>
      <c r="C883" s="8"/>
      <c r="D883" s="8"/>
      <c r="E883" s="8"/>
      <c r="F883" s="8"/>
    </row>
    <row r="884" spans="1:6" x14ac:dyDescent="0.25">
      <c r="A884" s="8"/>
      <c r="B884" s="8"/>
      <c r="C884" s="8"/>
      <c r="D884" s="8"/>
      <c r="E884" s="8"/>
      <c r="F884" s="8"/>
    </row>
    <row r="885" spans="1:6" x14ac:dyDescent="0.25">
      <c r="A885" s="8"/>
      <c r="B885" s="8"/>
      <c r="C885" s="8"/>
      <c r="D885" s="8"/>
      <c r="E885" s="8"/>
      <c r="F885" s="8"/>
    </row>
    <row r="886" spans="1:6" x14ac:dyDescent="0.25">
      <c r="A886" s="8"/>
      <c r="B886" s="8"/>
      <c r="C886" s="8"/>
      <c r="D886" s="8"/>
      <c r="E886" s="8"/>
      <c r="F886" s="8"/>
    </row>
    <row r="887" spans="1:6" x14ac:dyDescent="0.25">
      <c r="A887" s="8"/>
      <c r="B887" s="8"/>
      <c r="C887" s="8"/>
      <c r="D887" s="8"/>
      <c r="E887" s="8"/>
      <c r="F887" s="8"/>
    </row>
    <row r="888" spans="1:6" x14ac:dyDescent="0.25">
      <c r="A888" s="8"/>
      <c r="B888" s="8"/>
      <c r="C888" s="8"/>
      <c r="D888" s="8"/>
      <c r="E888" s="8"/>
      <c r="F888" s="8"/>
    </row>
    <row r="889" spans="1:6" x14ac:dyDescent="0.25">
      <c r="A889" s="8"/>
      <c r="B889" s="8"/>
      <c r="C889" s="8"/>
      <c r="D889" s="8"/>
      <c r="E889" s="8"/>
      <c r="F889" s="8"/>
    </row>
    <row r="890" spans="1:6" x14ac:dyDescent="0.25">
      <c r="A890" s="8"/>
      <c r="B890" s="8"/>
      <c r="C890" s="8"/>
      <c r="D890" s="8"/>
      <c r="E890" s="8"/>
      <c r="F890" s="8"/>
    </row>
    <row r="891" spans="1:6" x14ac:dyDescent="0.25">
      <c r="A891" s="8"/>
      <c r="B891" s="8"/>
      <c r="C891" s="8"/>
      <c r="D891" s="8"/>
      <c r="E891" s="8"/>
      <c r="F891" s="8"/>
    </row>
    <row r="892" spans="1:6" x14ac:dyDescent="0.25">
      <c r="A892" s="8"/>
      <c r="B892" s="8"/>
      <c r="C892" s="8"/>
      <c r="D892" s="8"/>
      <c r="E892" s="8"/>
      <c r="F892" s="8"/>
    </row>
    <row r="893" spans="1:6" x14ac:dyDescent="0.25">
      <c r="A893" s="8"/>
      <c r="B893" s="8"/>
      <c r="C893" s="8"/>
      <c r="D893" s="8"/>
      <c r="E893" s="8"/>
      <c r="F893" s="8"/>
    </row>
    <row r="894" spans="1:6" x14ac:dyDescent="0.25">
      <c r="A894" s="8"/>
      <c r="B894" s="8"/>
      <c r="C894" s="8"/>
      <c r="D894" s="8"/>
      <c r="E894" s="8"/>
      <c r="F894" s="8"/>
    </row>
    <row r="895" spans="1:6" x14ac:dyDescent="0.25">
      <c r="A895" s="8"/>
      <c r="B895" s="8"/>
      <c r="C895" s="8"/>
      <c r="D895" s="8"/>
      <c r="E895" s="8"/>
      <c r="F895" s="8"/>
    </row>
    <row r="896" spans="1:6" x14ac:dyDescent="0.25">
      <c r="A896" s="8"/>
      <c r="B896" s="8"/>
      <c r="C896" s="8"/>
      <c r="D896" s="8"/>
      <c r="E896" s="8"/>
      <c r="F896" s="8"/>
    </row>
    <row r="897" spans="1:6" x14ac:dyDescent="0.25">
      <c r="A897" s="8"/>
      <c r="B897" s="8"/>
      <c r="C897" s="8"/>
      <c r="D897" s="8"/>
      <c r="E897" s="8"/>
      <c r="F897" s="8"/>
    </row>
    <row r="898" spans="1:6" x14ac:dyDescent="0.25">
      <c r="A898" s="8"/>
      <c r="B898" s="8"/>
      <c r="C898" s="8"/>
      <c r="D898" s="8"/>
      <c r="E898" s="8"/>
      <c r="F898" s="8"/>
    </row>
    <row r="899" spans="1:6" x14ac:dyDescent="0.25">
      <c r="A899" s="8"/>
      <c r="B899" s="8"/>
      <c r="C899" s="8"/>
      <c r="D899" s="8"/>
      <c r="E899" s="8"/>
      <c r="F899" s="8"/>
    </row>
    <row r="900" spans="1:6" x14ac:dyDescent="0.25">
      <c r="A900" s="8"/>
      <c r="B900" s="8"/>
      <c r="C900" s="8"/>
      <c r="D900" s="8"/>
      <c r="E900" s="8"/>
      <c r="F900" s="8"/>
    </row>
    <row r="901" spans="1:6" x14ac:dyDescent="0.25">
      <c r="A901" s="8"/>
      <c r="B901" s="8"/>
      <c r="C901" s="8"/>
      <c r="D901" s="8"/>
      <c r="E901" s="8"/>
      <c r="F901" s="8"/>
    </row>
    <row r="902" spans="1:6" x14ac:dyDescent="0.25">
      <c r="A902" s="8"/>
      <c r="B902" s="8"/>
      <c r="C902" s="8"/>
      <c r="D902" s="8"/>
      <c r="E902" s="8"/>
      <c r="F902" s="8"/>
    </row>
    <row r="903" spans="1:6" x14ac:dyDescent="0.25">
      <c r="A903" s="8"/>
      <c r="B903" s="8"/>
      <c r="C903" s="8"/>
      <c r="D903" s="8"/>
      <c r="E903" s="8"/>
      <c r="F903" s="8"/>
    </row>
    <row r="904" spans="1:6" x14ac:dyDescent="0.25">
      <c r="A904" s="8"/>
      <c r="B904" s="8"/>
      <c r="C904" s="8"/>
      <c r="D904" s="8"/>
      <c r="E904" s="8"/>
      <c r="F904" s="8"/>
    </row>
    <row r="905" spans="1:6" x14ac:dyDescent="0.25">
      <c r="A905" s="8"/>
      <c r="B905" s="8"/>
      <c r="C905" s="8"/>
      <c r="D905" s="8"/>
      <c r="E905" s="8"/>
      <c r="F905" s="8"/>
    </row>
    <row r="906" spans="1:6" x14ac:dyDescent="0.25">
      <c r="A906" s="8"/>
      <c r="B906" s="8"/>
      <c r="C906" s="8"/>
      <c r="D906" s="8"/>
      <c r="E906" s="8"/>
      <c r="F906" s="8"/>
    </row>
    <row r="907" spans="1:6" x14ac:dyDescent="0.25">
      <c r="A907" s="8"/>
      <c r="B907" s="8"/>
      <c r="C907" s="8"/>
      <c r="D907" s="8"/>
      <c r="E907" s="8"/>
      <c r="F907" s="8"/>
    </row>
    <row r="908" spans="1:6" x14ac:dyDescent="0.25">
      <c r="A908" s="8"/>
      <c r="B908" s="8"/>
      <c r="C908" s="8"/>
      <c r="D908" s="8"/>
      <c r="E908" s="8"/>
      <c r="F908" s="8"/>
    </row>
    <row r="909" spans="1:6" x14ac:dyDescent="0.25">
      <c r="A909" s="8"/>
      <c r="B909" s="8"/>
      <c r="C909" s="8"/>
      <c r="D909" s="8"/>
      <c r="E909" s="8"/>
      <c r="F909" s="8"/>
    </row>
    <row r="910" spans="1:6" x14ac:dyDescent="0.25">
      <c r="A910" s="8"/>
      <c r="B910" s="8"/>
      <c r="C910" s="8"/>
      <c r="D910" s="8"/>
      <c r="E910" s="8"/>
      <c r="F910" s="8"/>
    </row>
    <row r="911" spans="1:6" x14ac:dyDescent="0.25">
      <c r="A911" s="8"/>
      <c r="B911" s="8"/>
      <c r="C911" s="8"/>
      <c r="D911" s="8"/>
      <c r="E911" s="8"/>
      <c r="F911" s="8"/>
    </row>
    <row r="912" spans="1:6" x14ac:dyDescent="0.25">
      <c r="A912" s="8"/>
      <c r="B912" s="8"/>
      <c r="C912" s="8"/>
      <c r="D912" s="8"/>
      <c r="E912" s="8"/>
      <c r="F912" s="8"/>
    </row>
    <row r="913" spans="1:6" x14ac:dyDescent="0.25">
      <c r="A913" s="8"/>
      <c r="B913" s="8"/>
      <c r="C913" s="8"/>
      <c r="D913" s="8"/>
      <c r="E913" s="8"/>
      <c r="F913" s="8"/>
    </row>
    <row r="914" spans="1:6" x14ac:dyDescent="0.25">
      <c r="A914" s="8"/>
      <c r="B914" s="8"/>
      <c r="C914" s="8"/>
      <c r="D914" s="8"/>
      <c r="E914" s="8"/>
      <c r="F914" s="8"/>
    </row>
    <row r="915" spans="1:6" x14ac:dyDescent="0.25">
      <c r="A915" s="8"/>
      <c r="B915" s="8"/>
      <c r="C915" s="8"/>
      <c r="D915" s="8"/>
      <c r="E915" s="8"/>
      <c r="F915" s="8"/>
    </row>
    <row r="916" spans="1:6" x14ac:dyDescent="0.25">
      <c r="A916" s="8"/>
      <c r="B916" s="8"/>
      <c r="C916" s="8"/>
      <c r="D916" s="8"/>
      <c r="E916" s="8"/>
      <c r="F916" s="8"/>
    </row>
    <row r="917" spans="1:6" x14ac:dyDescent="0.25">
      <c r="A917" s="8"/>
      <c r="B917" s="8"/>
      <c r="C917" s="8"/>
      <c r="D917" s="8"/>
      <c r="E917" s="8"/>
      <c r="F917" s="8"/>
    </row>
    <row r="918" spans="1:6" x14ac:dyDescent="0.25">
      <c r="A918" s="8"/>
      <c r="B918" s="8"/>
      <c r="C918" s="8"/>
      <c r="D918" s="8"/>
      <c r="E918" s="8"/>
      <c r="F918" s="8"/>
    </row>
    <row r="919" spans="1:6" x14ac:dyDescent="0.25">
      <c r="A919" s="8"/>
      <c r="B919" s="8"/>
      <c r="C919" s="8"/>
      <c r="D919" s="8"/>
      <c r="E919" s="8"/>
      <c r="F919" s="8"/>
    </row>
    <row r="920" spans="1:6" x14ac:dyDescent="0.25">
      <c r="A920" s="8"/>
      <c r="B920" s="8"/>
      <c r="C920" s="8"/>
      <c r="D920" s="8"/>
      <c r="E920" s="8"/>
      <c r="F920" s="8"/>
    </row>
    <row r="921" spans="1:6" x14ac:dyDescent="0.25">
      <c r="A921" s="8"/>
      <c r="B921" s="8"/>
      <c r="C921" s="8"/>
      <c r="D921" s="8"/>
      <c r="E921" s="8"/>
      <c r="F921" s="8"/>
    </row>
    <row r="922" spans="1:6" x14ac:dyDescent="0.25">
      <c r="A922" s="8"/>
      <c r="B922" s="8"/>
      <c r="C922" s="8"/>
      <c r="D922" s="8"/>
      <c r="E922" s="8"/>
      <c r="F922" s="8"/>
    </row>
    <row r="923" spans="1:6" x14ac:dyDescent="0.25">
      <c r="A923" s="8"/>
      <c r="B923" s="8"/>
      <c r="C923" s="8"/>
      <c r="D923" s="8"/>
      <c r="E923" s="8"/>
      <c r="F923" s="8"/>
    </row>
    <row r="924" spans="1:6" x14ac:dyDescent="0.25">
      <c r="A924" s="8"/>
      <c r="B924" s="8"/>
      <c r="C924" s="8"/>
      <c r="D924" s="8"/>
      <c r="E924" s="8"/>
      <c r="F924" s="8"/>
    </row>
    <row r="925" spans="1:6" x14ac:dyDescent="0.25">
      <c r="A925" s="8"/>
      <c r="B925" s="8"/>
      <c r="C925" s="8"/>
      <c r="D925" s="8"/>
      <c r="E925" s="8"/>
      <c r="F925" s="8"/>
    </row>
    <row r="926" spans="1:6" x14ac:dyDescent="0.25">
      <c r="A926" s="8"/>
      <c r="B926" s="8"/>
      <c r="C926" s="8"/>
      <c r="D926" s="8"/>
      <c r="E926" s="8"/>
      <c r="F926" s="8"/>
    </row>
    <row r="927" spans="1:6" x14ac:dyDescent="0.25">
      <c r="A927" s="8"/>
      <c r="B927" s="8"/>
      <c r="C927" s="8"/>
      <c r="D927" s="8"/>
      <c r="E927" s="8"/>
      <c r="F927" s="8"/>
    </row>
    <row r="928" spans="1:6" x14ac:dyDescent="0.25">
      <c r="A928" s="8"/>
      <c r="B928" s="8"/>
      <c r="C928" s="8"/>
      <c r="D928" s="8"/>
      <c r="E928" s="8"/>
      <c r="F928" s="8"/>
    </row>
    <row r="929" spans="1:6" x14ac:dyDescent="0.25">
      <c r="A929" s="8"/>
      <c r="B929" s="8"/>
      <c r="C929" s="8"/>
      <c r="D929" s="8"/>
      <c r="E929" s="8"/>
      <c r="F929" s="8"/>
    </row>
    <row r="930" spans="1:6" x14ac:dyDescent="0.25">
      <c r="A930" s="8"/>
      <c r="B930" s="8"/>
      <c r="C930" s="8"/>
      <c r="D930" s="8"/>
      <c r="E930" s="8"/>
      <c r="F930" s="8"/>
    </row>
    <row r="931" spans="1:6" x14ac:dyDescent="0.25">
      <c r="A931" s="8"/>
      <c r="B931" s="8"/>
      <c r="C931" s="8"/>
      <c r="D931" s="8"/>
      <c r="E931" s="8"/>
      <c r="F931" s="8"/>
    </row>
    <row r="932" spans="1:6" x14ac:dyDescent="0.25">
      <c r="A932" s="8"/>
      <c r="B932" s="8"/>
      <c r="C932" s="8"/>
      <c r="D932" s="8"/>
      <c r="E932" s="8"/>
      <c r="F932" s="8"/>
    </row>
    <row r="933" spans="1:6" x14ac:dyDescent="0.25">
      <c r="A933" s="8"/>
      <c r="B933" s="8"/>
      <c r="C933" s="8"/>
      <c r="D933" s="8"/>
      <c r="E933" s="8"/>
      <c r="F933" s="8"/>
    </row>
    <row r="934" spans="1:6" x14ac:dyDescent="0.25">
      <c r="A934" s="8"/>
      <c r="B934" s="8"/>
      <c r="C934" s="8"/>
      <c r="D934" s="8"/>
      <c r="E934" s="8"/>
      <c r="F934" s="8"/>
    </row>
    <row r="935" spans="1:6" x14ac:dyDescent="0.25">
      <c r="A935" s="8"/>
      <c r="B935" s="8"/>
      <c r="C935" s="8"/>
      <c r="D935" s="8"/>
      <c r="E935" s="8"/>
      <c r="F935" s="8"/>
    </row>
    <row r="936" spans="1:6" x14ac:dyDescent="0.25">
      <c r="A936" s="8"/>
      <c r="B936" s="8"/>
      <c r="C936" s="8"/>
      <c r="D936" s="8"/>
      <c r="E936" s="8"/>
      <c r="F936" s="8"/>
    </row>
    <row r="937" spans="1:6" x14ac:dyDescent="0.25">
      <c r="A937" s="8"/>
      <c r="B937" s="8"/>
      <c r="C937" s="8"/>
      <c r="D937" s="8"/>
      <c r="E937" s="8"/>
      <c r="F937" s="8"/>
    </row>
    <row r="938" spans="1:6" x14ac:dyDescent="0.25">
      <c r="A938" s="8"/>
      <c r="B938" s="8"/>
      <c r="C938" s="8"/>
      <c r="D938" s="8"/>
      <c r="E938" s="8"/>
      <c r="F938" s="8"/>
    </row>
    <row r="939" spans="1:6" x14ac:dyDescent="0.25">
      <c r="A939" s="8"/>
      <c r="B939" s="8"/>
      <c r="C939" s="8"/>
      <c r="D939" s="8"/>
      <c r="E939" s="8"/>
      <c r="F939" s="8"/>
    </row>
    <row r="940" spans="1:6" x14ac:dyDescent="0.25">
      <c r="A940" s="8"/>
      <c r="B940" s="8"/>
      <c r="C940" s="8"/>
      <c r="D940" s="8"/>
      <c r="E940" s="8"/>
      <c r="F940" s="8"/>
    </row>
    <row r="941" spans="1:6" x14ac:dyDescent="0.25">
      <c r="A941" s="8"/>
      <c r="B941" s="8"/>
      <c r="C941" s="8"/>
      <c r="D941" s="8"/>
      <c r="E941" s="8"/>
      <c r="F941" s="8"/>
    </row>
    <row r="942" spans="1:6" x14ac:dyDescent="0.25">
      <c r="A942" s="8"/>
      <c r="B942" s="8"/>
      <c r="C942" s="8"/>
      <c r="D942" s="8"/>
      <c r="E942" s="8"/>
      <c r="F942" s="8"/>
    </row>
    <row r="943" spans="1:6" x14ac:dyDescent="0.25">
      <c r="A943" s="8"/>
      <c r="B943" s="8"/>
      <c r="C943" s="8"/>
      <c r="D943" s="8"/>
      <c r="E943" s="8"/>
      <c r="F943" s="8"/>
    </row>
    <row r="944" spans="1:6" x14ac:dyDescent="0.25">
      <c r="A944" s="8"/>
      <c r="B944" s="8"/>
      <c r="C944" s="8"/>
      <c r="D944" s="8"/>
      <c r="E944" s="8"/>
      <c r="F944" s="8"/>
    </row>
    <row r="945" spans="1:6" x14ac:dyDescent="0.25">
      <c r="A945" s="8"/>
      <c r="B945" s="8"/>
      <c r="C945" s="8"/>
      <c r="D945" s="8"/>
      <c r="E945" s="8"/>
      <c r="F945" s="8"/>
    </row>
    <row r="946" spans="1:6" x14ac:dyDescent="0.25">
      <c r="A946" s="8"/>
      <c r="B946" s="8"/>
      <c r="C946" s="8"/>
      <c r="D946" s="8"/>
      <c r="E946" s="8"/>
      <c r="F946" s="8"/>
    </row>
    <row r="947" spans="1:6" x14ac:dyDescent="0.25">
      <c r="A947" s="8"/>
      <c r="B947" s="8"/>
      <c r="C947" s="8"/>
      <c r="D947" s="8"/>
      <c r="E947" s="8"/>
      <c r="F947" s="8"/>
    </row>
    <row r="948" spans="1:6" x14ac:dyDescent="0.25">
      <c r="A948" s="8"/>
      <c r="B948" s="8"/>
      <c r="C948" s="8"/>
      <c r="D948" s="8"/>
      <c r="E948" s="8"/>
      <c r="F948" s="8"/>
    </row>
    <row r="949" spans="1:6" x14ac:dyDescent="0.25">
      <c r="A949" s="8"/>
      <c r="B949" s="8"/>
      <c r="C949" s="8"/>
      <c r="D949" s="8"/>
      <c r="E949" s="8"/>
      <c r="F949" s="8"/>
    </row>
    <row r="950" spans="1:6" x14ac:dyDescent="0.25">
      <c r="A950" s="8"/>
      <c r="B950" s="8"/>
      <c r="C950" s="8"/>
      <c r="D950" s="8"/>
      <c r="E950" s="8"/>
      <c r="F950" s="8"/>
    </row>
    <row r="951" spans="1:6" x14ac:dyDescent="0.25">
      <c r="A951" s="8"/>
      <c r="B951" s="8"/>
      <c r="C951" s="8"/>
      <c r="D951" s="8"/>
      <c r="E951" s="8"/>
      <c r="F951" s="8"/>
    </row>
    <row r="952" spans="1:6" x14ac:dyDescent="0.25">
      <c r="A952" s="8"/>
      <c r="B952" s="8"/>
      <c r="C952" s="8"/>
      <c r="D952" s="8"/>
      <c r="E952" s="8"/>
      <c r="F952" s="8"/>
    </row>
    <row r="953" spans="1:6" x14ac:dyDescent="0.25">
      <c r="A953" s="8"/>
      <c r="B953" s="8"/>
      <c r="C953" s="8"/>
      <c r="D953" s="8"/>
      <c r="E953" s="8"/>
      <c r="F953" s="8"/>
    </row>
    <row r="954" spans="1:6" x14ac:dyDescent="0.25">
      <c r="A954" s="8"/>
      <c r="B954" s="8"/>
      <c r="C954" s="8"/>
      <c r="D954" s="8"/>
      <c r="E954" s="8"/>
      <c r="F954" s="8"/>
    </row>
    <row r="955" spans="1:6" x14ac:dyDescent="0.25">
      <c r="A955" s="8"/>
      <c r="B955" s="8"/>
      <c r="C955" s="8"/>
      <c r="D955" s="8"/>
      <c r="E955" s="8"/>
      <c r="F955" s="8"/>
    </row>
    <row r="956" spans="1:6" x14ac:dyDescent="0.25">
      <c r="A956" s="8"/>
      <c r="B956" s="8"/>
      <c r="C956" s="8"/>
      <c r="D956" s="8"/>
      <c r="E956" s="8"/>
      <c r="F956" s="8"/>
    </row>
    <row r="957" spans="1:6" x14ac:dyDescent="0.25">
      <c r="A957" s="8"/>
      <c r="B957" s="8"/>
      <c r="C957" s="8"/>
      <c r="D957" s="8"/>
      <c r="E957" s="8"/>
      <c r="F957" s="8"/>
    </row>
    <row r="958" spans="1:6" x14ac:dyDescent="0.25">
      <c r="A958" s="8"/>
      <c r="B958" s="8"/>
      <c r="C958" s="8"/>
      <c r="D958" s="8"/>
      <c r="E958" s="8"/>
      <c r="F958" s="8"/>
    </row>
    <row r="959" spans="1:6" x14ac:dyDescent="0.25">
      <c r="A959" s="8"/>
      <c r="B959" s="8"/>
      <c r="C959" s="8"/>
      <c r="D959" s="8"/>
      <c r="E959" s="8"/>
      <c r="F959" s="8"/>
    </row>
    <row r="960" spans="1:6" x14ac:dyDescent="0.25">
      <c r="A960" s="8"/>
      <c r="B960" s="8"/>
      <c r="C960" s="8"/>
      <c r="D960" s="8"/>
      <c r="E960" s="8"/>
      <c r="F960" s="8"/>
    </row>
    <row r="961" spans="1:6" x14ac:dyDescent="0.25">
      <c r="A961" s="8"/>
      <c r="B961" s="8"/>
      <c r="C961" s="8"/>
      <c r="D961" s="8"/>
      <c r="E961" s="8"/>
      <c r="F961" s="8"/>
    </row>
    <row r="962" spans="1:6" x14ac:dyDescent="0.25">
      <c r="A962" s="8"/>
      <c r="B962" s="8"/>
      <c r="C962" s="8"/>
      <c r="D962" s="8"/>
      <c r="E962" s="8"/>
      <c r="F962" s="8"/>
    </row>
    <row r="963" spans="1:6" x14ac:dyDescent="0.25">
      <c r="A963" s="8"/>
      <c r="B963" s="8"/>
      <c r="C963" s="8"/>
      <c r="D963" s="8"/>
      <c r="E963" s="8"/>
      <c r="F963" s="8"/>
    </row>
    <row r="964" spans="1:6" x14ac:dyDescent="0.25">
      <c r="A964" s="8"/>
      <c r="B964" s="8"/>
      <c r="C964" s="8"/>
      <c r="D964" s="8"/>
      <c r="E964" s="8"/>
      <c r="F964" s="8"/>
    </row>
    <row r="965" spans="1:6" x14ac:dyDescent="0.25">
      <c r="A965" s="8"/>
      <c r="B965" s="8"/>
      <c r="C965" s="8"/>
      <c r="D965" s="8"/>
      <c r="E965" s="8"/>
      <c r="F965" s="8"/>
    </row>
    <row r="966" spans="1:6" x14ac:dyDescent="0.25">
      <c r="A966" s="8"/>
      <c r="B966" s="8"/>
      <c r="C966" s="8"/>
      <c r="D966" s="8"/>
      <c r="E966" s="8"/>
      <c r="F966" s="8"/>
    </row>
    <row r="967" spans="1:6" x14ac:dyDescent="0.25">
      <c r="A967" s="8"/>
      <c r="B967" s="8"/>
      <c r="C967" s="8"/>
      <c r="D967" s="8"/>
      <c r="E967" s="8"/>
      <c r="F967" s="8"/>
    </row>
    <row r="968" spans="1:6" x14ac:dyDescent="0.25">
      <c r="A968" s="8"/>
      <c r="B968" s="8"/>
      <c r="C968" s="8"/>
      <c r="D968" s="8"/>
      <c r="E968" s="8"/>
      <c r="F968" s="8"/>
    </row>
    <row r="969" spans="1:6" x14ac:dyDescent="0.25">
      <c r="A969" s="8"/>
      <c r="B969" s="8"/>
      <c r="C969" s="8"/>
      <c r="D969" s="8"/>
      <c r="E969" s="8"/>
      <c r="F969" s="8"/>
    </row>
    <row r="970" spans="1:6" x14ac:dyDescent="0.25">
      <c r="A970" s="8"/>
      <c r="B970" s="8"/>
      <c r="C970" s="8"/>
      <c r="D970" s="8"/>
      <c r="E970" s="8"/>
      <c r="F970" s="8"/>
    </row>
    <row r="971" spans="1:6" x14ac:dyDescent="0.25">
      <c r="A971" s="8"/>
      <c r="B971" s="8"/>
      <c r="C971" s="8"/>
      <c r="D971" s="8"/>
      <c r="E971" s="8"/>
      <c r="F971" s="8"/>
    </row>
    <row r="972" spans="1:6" x14ac:dyDescent="0.25">
      <c r="A972" s="8"/>
      <c r="B972" s="8"/>
      <c r="C972" s="8"/>
      <c r="D972" s="8"/>
      <c r="E972" s="8"/>
      <c r="F972" s="8"/>
    </row>
    <row r="973" spans="1:6" x14ac:dyDescent="0.25">
      <c r="A973" s="8"/>
      <c r="B973" s="8"/>
      <c r="C973" s="8"/>
      <c r="D973" s="8"/>
      <c r="E973" s="8"/>
      <c r="F973" s="8"/>
    </row>
    <row r="974" spans="1:6" x14ac:dyDescent="0.25">
      <c r="A974" s="8"/>
      <c r="B974" s="8"/>
      <c r="C974" s="8"/>
      <c r="D974" s="8"/>
      <c r="E974" s="8"/>
      <c r="F974" s="8"/>
    </row>
    <row r="975" spans="1:6" x14ac:dyDescent="0.25">
      <c r="A975" s="8"/>
      <c r="B975" s="8"/>
      <c r="C975" s="8"/>
      <c r="D975" s="8"/>
      <c r="E975" s="8"/>
      <c r="F975" s="8"/>
    </row>
    <row r="976" spans="1:6" x14ac:dyDescent="0.25">
      <c r="A976" s="8"/>
      <c r="B976" s="8"/>
      <c r="C976" s="8"/>
      <c r="D976" s="8"/>
      <c r="E976" s="8"/>
      <c r="F976" s="8"/>
    </row>
    <row r="977" spans="1:6" x14ac:dyDescent="0.25">
      <c r="A977" s="8"/>
      <c r="B977" s="8"/>
      <c r="C977" s="8"/>
      <c r="D977" s="8"/>
      <c r="E977" s="8"/>
      <c r="F977" s="8"/>
    </row>
    <row r="978" spans="1:6" x14ac:dyDescent="0.25">
      <c r="A978" s="8"/>
      <c r="B978" s="8"/>
      <c r="C978" s="8"/>
      <c r="D978" s="8"/>
      <c r="E978" s="8"/>
      <c r="F978" s="8"/>
    </row>
    <row r="979" spans="1:6" x14ac:dyDescent="0.25">
      <c r="A979" s="8"/>
      <c r="B979" s="8"/>
      <c r="C979" s="8"/>
      <c r="D979" s="8"/>
      <c r="E979" s="8"/>
      <c r="F979" s="8"/>
    </row>
    <row r="980" spans="1:6" x14ac:dyDescent="0.25">
      <c r="A980" s="8"/>
      <c r="B980" s="8"/>
      <c r="C980" s="8"/>
      <c r="D980" s="8"/>
      <c r="E980" s="8"/>
      <c r="F980" s="8"/>
    </row>
    <row r="981" spans="1:6" x14ac:dyDescent="0.25">
      <c r="A981" s="8"/>
      <c r="B981" s="8"/>
      <c r="C981" s="8"/>
      <c r="D981" s="8"/>
      <c r="E981" s="8"/>
      <c r="F981" s="8"/>
    </row>
    <row r="982" spans="1:6" x14ac:dyDescent="0.25">
      <c r="A982" s="8"/>
      <c r="B982" s="8"/>
      <c r="C982" s="8"/>
      <c r="D982" s="8"/>
      <c r="E982" s="8"/>
      <c r="F982" s="8"/>
    </row>
    <row r="983" spans="1:6" x14ac:dyDescent="0.25">
      <c r="A983" s="8"/>
      <c r="B983" s="8"/>
      <c r="C983" s="8"/>
      <c r="D983" s="8"/>
      <c r="E983" s="8"/>
      <c r="F983" s="8"/>
    </row>
    <row r="984" spans="1:6" x14ac:dyDescent="0.25">
      <c r="A984" s="8"/>
      <c r="B984" s="8"/>
      <c r="C984" s="8"/>
      <c r="D984" s="8"/>
      <c r="E984" s="8"/>
      <c r="F984" s="8"/>
    </row>
    <row r="985" spans="1:6" x14ac:dyDescent="0.25">
      <c r="A985" s="8"/>
      <c r="B985" s="8"/>
      <c r="C985" s="8"/>
      <c r="D985" s="8"/>
      <c r="E985" s="8"/>
      <c r="F985" s="8"/>
    </row>
    <row r="986" spans="1:6" x14ac:dyDescent="0.25">
      <c r="A986" s="8"/>
      <c r="B986" s="8"/>
      <c r="C986" s="8"/>
      <c r="D986" s="8"/>
      <c r="E986" s="8"/>
      <c r="F986" s="8"/>
    </row>
    <row r="987" spans="1:6" x14ac:dyDescent="0.25">
      <c r="A987" s="8"/>
      <c r="B987" s="8"/>
      <c r="C987" s="8"/>
      <c r="D987" s="8"/>
      <c r="E987" s="8"/>
      <c r="F987" s="8"/>
    </row>
    <row r="988" spans="1:6" x14ac:dyDescent="0.25">
      <c r="A988" s="8"/>
      <c r="B988" s="8"/>
      <c r="C988" s="8"/>
      <c r="D988" s="8"/>
      <c r="E988" s="8"/>
      <c r="F988" s="8"/>
    </row>
    <row r="989" spans="1:6" x14ac:dyDescent="0.25">
      <c r="A989" s="8"/>
      <c r="B989" s="8"/>
      <c r="C989" s="8"/>
      <c r="D989" s="8"/>
      <c r="E989" s="8"/>
      <c r="F989" s="8"/>
    </row>
    <row r="990" spans="1:6" x14ac:dyDescent="0.25">
      <c r="A990" s="8"/>
      <c r="B990" s="8"/>
      <c r="C990" s="8"/>
      <c r="D990" s="8"/>
      <c r="E990" s="8"/>
      <c r="F990" s="8"/>
    </row>
    <row r="991" spans="1:6" x14ac:dyDescent="0.25">
      <c r="A991" s="8"/>
      <c r="B991" s="8"/>
      <c r="C991" s="8"/>
      <c r="D991" s="8"/>
      <c r="E991" s="8"/>
      <c r="F991" s="8"/>
    </row>
    <row r="992" spans="1:6" x14ac:dyDescent="0.25">
      <c r="A992" s="8"/>
      <c r="B992" s="8"/>
      <c r="C992" s="8"/>
      <c r="D992" s="8"/>
      <c r="E992" s="8"/>
      <c r="F992" s="8"/>
    </row>
    <row r="993" spans="1:6" x14ac:dyDescent="0.25">
      <c r="A993" s="8"/>
      <c r="B993" s="8"/>
      <c r="C993" s="8"/>
      <c r="D993" s="8"/>
      <c r="E993" s="8"/>
      <c r="F993" s="8"/>
    </row>
    <row r="994" spans="1:6" x14ac:dyDescent="0.25">
      <c r="A994" s="8"/>
      <c r="B994" s="8"/>
      <c r="C994" s="8"/>
      <c r="D994" s="8"/>
      <c r="E994" s="8"/>
      <c r="F994" s="8"/>
    </row>
    <row r="995" spans="1:6" x14ac:dyDescent="0.25">
      <c r="A995" s="8"/>
      <c r="B995" s="8"/>
      <c r="C995" s="8"/>
      <c r="D995" s="8"/>
      <c r="E995" s="8"/>
      <c r="F995" s="8"/>
    </row>
    <row r="996" spans="1:6" x14ac:dyDescent="0.25">
      <c r="A996" s="8"/>
      <c r="B996" s="8"/>
      <c r="C996" s="8"/>
      <c r="D996" s="8"/>
      <c r="E996" s="8"/>
      <c r="F996" s="8"/>
    </row>
    <row r="997" spans="1:6" x14ac:dyDescent="0.25">
      <c r="A997" s="8"/>
      <c r="B997" s="8"/>
      <c r="C997" s="8"/>
      <c r="D997" s="8"/>
      <c r="E997" s="8"/>
      <c r="F997" s="8"/>
    </row>
    <row r="998" spans="1:6" x14ac:dyDescent="0.25">
      <c r="A998" s="8"/>
      <c r="B998" s="8"/>
      <c r="C998" s="8"/>
      <c r="D998" s="8"/>
      <c r="E998" s="8"/>
      <c r="F998" s="8"/>
    </row>
    <row r="999" spans="1:6" x14ac:dyDescent="0.25">
      <c r="A999" s="8"/>
      <c r="B999" s="8"/>
      <c r="C999" s="8"/>
      <c r="D999" s="8"/>
      <c r="E999" s="8"/>
      <c r="F999" s="8"/>
    </row>
    <row r="1000" spans="1:6" x14ac:dyDescent="0.25">
      <c r="A1000" s="8"/>
      <c r="B1000" s="8"/>
      <c r="C1000" s="8"/>
      <c r="D1000" s="8"/>
      <c r="E1000" s="8"/>
      <c r="F1000" s="8"/>
    </row>
  </sheetData>
  <mergeCells count="4">
    <mergeCell ref="E45:F45"/>
    <mergeCell ref="E57:F57"/>
    <mergeCell ref="E71:F71"/>
    <mergeCell ref="E130:F13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D177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51.109375" customWidth="1"/>
    <col min="2" max="2" width="25.44140625" customWidth="1"/>
    <col min="3" max="3" width="25.6640625" customWidth="1"/>
  </cols>
  <sheetData>
    <row r="1" spans="1:4" x14ac:dyDescent="0.25">
      <c r="A1" s="38" t="s">
        <v>0</v>
      </c>
      <c r="B1" s="38" t="s">
        <v>4354</v>
      </c>
      <c r="C1" s="38" t="s">
        <v>4505</v>
      </c>
      <c r="D1" s="38" t="s">
        <v>6</v>
      </c>
    </row>
    <row r="2" spans="1:4" x14ac:dyDescent="0.25">
      <c r="A2" s="8" t="s">
        <v>4111</v>
      </c>
      <c r="B2" s="8">
        <v>34712916355.93</v>
      </c>
      <c r="C2" s="8">
        <v>44860093944.299995</v>
      </c>
      <c r="D2" s="8">
        <f t="shared" ref="D2:D176" si="0">((C2-B2)/B2)*100</f>
        <v>29.231705813264391</v>
      </c>
    </row>
    <row r="3" spans="1:4" x14ac:dyDescent="0.25">
      <c r="A3" s="8" t="s">
        <v>2321</v>
      </c>
      <c r="B3" s="8">
        <v>90357731558.800003</v>
      </c>
      <c r="C3" s="8">
        <v>115791394965.14999</v>
      </c>
      <c r="D3" s="8">
        <f t="shared" si="0"/>
        <v>28.147744490242228</v>
      </c>
    </row>
    <row r="4" spans="1:4" x14ac:dyDescent="0.25">
      <c r="A4" s="8" t="s">
        <v>2346</v>
      </c>
      <c r="B4" s="8">
        <v>30402544149.030006</v>
      </c>
      <c r="C4" s="8">
        <v>38689353418.57</v>
      </c>
      <c r="D4" s="8">
        <f t="shared" si="0"/>
        <v>27.256959907430588</v>
      </c>
    </row>
    <row r="5" spans="1:4" x14ac:dyDescent="0.25">
      <c r="A5" s="8" t="s">
        <v>1584</v>
      </c>
      <c r="B5" s="8">
        <v>103604332222.53999</v>
      </c>
      <c r="C5" s="8">
        <v>131322539980.25</v>
      </c>
      <c r="D5" s="8">
        <f t="shared" si="0"/>
        <v>26.753908029803096</v>
      </c>
    </row>
    <row r="6" spans="1:4" x14ac:dyDescent="0.25">
      <c r="A6" s="8" t="s">
        <v>3883</v>
      </c>
      <c r="B6" s="8">
        <v>262523456493.5</v>
      </c>
      <c r="C6" s="8">
        <v>320203344663.09998</v>
      </c>
      <c r="D6" s="8">
        <f t="shared" si="0"/>
        <v>21.9713274158525</v>
      </c>
    </row>
    <row r="7" spans="1:4" x14ac:dyDescent="0.25">
      <c r="A7" s="8" t="s">
        <v>2892</v>
      </c>
      <c r="B7" s="8">
        <v>3035035964212.7002</v>
      </c>
      <c r="C7" s="8">
        <v>3644359731373.8999</v>
      </c>
      <c r="D7" s="8">
        <f t="shared" si="0"/>
        <v>20.076327738648743</v>
      </c>
    </row>
    <row r="8" spans="1:4" x14ac:dyDescent="0.25">
      <c r="A8" s="8" t="s">
        <v>1935</v>
      </c>
      <c r="B8" s="8">
        <v>310556995432.65002</v>
      </c>
      <c r="C8" s="8">
        <v>367201347632.90002</v>
      </c>
      <c r="D8" s="8">
        <f t="shared" si="0"/>
        <v>18.239599504540664</v>
      </c>
    </row>
    <row r="9" spans="1:4" x14ac:dyDescent="0.25">
      <c r="A9" s="8" t="s">
        <v>2261</v>
      </c>
      <c r="B9" s="8">
        <v>49418694912.699997</v>
      </c>
      <c r="C9" s="8">
        <v>57906324894.300003</v>
      </c>
      <c r="D9" s="8">
        <f t="shared" si="0"/>
        <v>17.174937534456802</v>
      </c>
    </row>
    <row r="10" spans="1:4" x14ac:dyDescent="0.25">
      <c r="A10" s="8" t="s">
        <v>4033</v>
      </c>
      <c r="B10" s="8">
        <v>5391136089568.7002</v>
      </c>
      <c r="C10" s="8">
        <v>6255039918798.5498</v>
      </c>
      <c r="D10" s="8">
        <f t="shared" si="0"/>
        <v>16.024522751362476</v>
      </c>
    </row>
    <row r="11" spans="1:4" x14ac:dyDescent="0.25">
      <c r="A11" s="8" t="s">
        <v>2594</v>
      </c>
      <c r="B11" s="8">
        <v>3056923846.8499999</v>
      </c>
      <c r="C11" s="8">
        <v>3534159822.8000002</v>
      </c>
      <c r="D11" s="8">
        <f t="shared" si="0"/>
        <v>15.611640978291527</v>
      </c>
    </row>
    <row r="12" spans="1:4" x14ac:dyDescent="0.25">
      <c r="A12" s="8" t="s">
        <v>1606</v>
      </c>
      <c r="B12" s="8">
        <v>156631311458.66</v>
      </c>
      <c r="C12" s="8">
        <v>180849839424.68002</v>
      </c>
      <c r="D12" s="8">
        <f t="shared" si="0"/>
        <v>15.462124233322314</v>
      </c>
    </row>
    <row r="13" spans="1:4" x14ac:dyDescent="0.25">
      <c r="A13" s="8" t="s">
        <v>3262</v>
      </c>
      <c r="B13" s="8">
        <v>4199260807156.6006</v>
      </c>
      <c r="C13" s="8">
        <v>4842123060913.9502</v>
      </c>
      <c r="D13" s="8">
        <f t="shared" si="0"/>
        <v>15.308938484167262</v>
      </c>
    </row>
    <row r="14" spans="1:4" x14ac:dyDescent="0.25">
      <c r="A14" s="8" t="s">
        <v>3023</v>
      </c>
      <c r="B14" s="8">
        <v>57263471086.729996</v>
      </c>
      <c r="C14" s="8">
        <v>66002495686.940002</v>
      </c>
      <c r="D14" s="8">
        <f t="shared" si="0"/>
        <v>15.26108081533177</v>
      </c>
    </row>
    <row r="15" spans="1:4" x14ac:dyDescent="0.25">
      <c r="A15" s="8" t="s">
        <v>3501</v>
      </c>
      <c r="B15" s="8">
        <v>16951010226.400002</v>
      </c>
      <c r="C15" s="8">
        <v>19440624631.5</v>
      </c>
      <c r="D15" s="8">
        <f t="shared" si="0"/>
        <v>14.687115232947001</v>
      </c>
    </row>
    <row r="16" spans="1:4" x14ac:dyDescent="0.25">
      <c r="A16" s="8" t="s">
        <v>295</v>
      </c>
      <c r="B16" s="8">
        <v>73992992180.850006</v>
      </c>
      <c r="C16" s="8">
        <v>84764290820.599991</v>
      </c>
      <c r="D16" s="8">
        <f t="shared" si="0"/>
        <v>14.557187542062511</v>
      </c>
    </row>
    <row r="17" spans="1:4" x14ac:dyDescent="0.25">
      <c r="A17" s="8" t="s">
        <v>3690</v>
      </c>
      <c r="B17" s="8">
        <v>55575317414.5</v>
      </c>
      <c r="C17" s="8">
        <v>63534319384.770004</v>
      </c>
      <c r="D17" s="8">
        <f t="shared" si="0"/>
        <v>14.321109335119054</v>
      </c>
    </row>
    <row r="18" spans="1:4" x14ac:dyDescent="0.25">
      <c r="A18" s="8" t="s">
        <v>3672</v>
      </c>
      <c r="B18" s="8">
        <v>7957818829.5500002</v>
      </c>
      <c r="C18" s="8">
        <v>9076386436.25</v>
      </c>
      <c r="D18" s="8">
        <f t="shared" si="0"/>
        <v>14.056208499575163</v>
      </c>
    </row>
    <row r="19" spans="1:4" x14ac:dyDescent="0.25">
      <c r="A19" s="8" t="s">
        <v>831</v>
      </c>
      <c r="B19" s="8">
        <v>125565084980.5</v>
      </c>
      <c r="C19" s="8">
        <v>143092447003</v>
      </c>
      <c r="D19" s="8">
        <f t="shared" si="0"/>
        <v>13.958786413613279</v>
      </c>
    </row>
    <row r="20" spans="1:4" x14ac:dyDescent="0.25">
      <c r="A20" s="8" t="s">
        <v>2816</v>
      </c>
      <c r="B20" s="8">
        <v>248207315952.20001</v>
      </c>
      <c r="C20" s="8">
        <v>282817646934.25</v>
      </c>
      <c r="D20" s="8">
        <f t="shared" si="0"/>
        <v>13.944122013194518</v>
      </c>
    </row>
    <row r="21" spans="1:4" x14ac:dyDescent="0.25">
      <c r="A21" s="8" t="s">
        <v>2501</v>
      </c>
      <c r="B21" s="8">
        <v>103182354544.73</v>
      </c>
      <c r="C21" s="8">
        <v>117068854177.75</v>
      </c>
      <c r="D21" s="8">
        <f t="shared" si="0"/>
        <v>13.458211623771529</v>
      </c>
    </row>
    <row r="22" spans="1:4" x14ac:dyDescent="0.25">
      <c r="A22" s="8" t="s">
        <v>4094</v>
      </c>
      <c r="B22" s="8">
        <v>28519551817.880001</v>
      </c>
      <c r="C22" s="8">
        <v>32231581702.940002</v>
      </c>
      <c r="D22" s="8">
        <f t="shared" si="0"/>
        <v>13.015737094202118</v>
      </c>
    </row>
    <row r="23" spans="1:4" x14ac:dyDescent="0.25">
      <c r="A23" s="8" t="s">
        <v>4066</v>
      </c>
      <c r="B23" s="8">
        <v>45536530033.650002</v>
      </c>
      <c r="C23" s="8">
        <v>51326005846.849998</v>
      </c>
      <c r="D23" s="8">
        <f t="shared" si="0"/>
        <v>12.713915199339439</v>
      </c>
    </row>
    <row r="24" spans="1:4" x14ac:dyDescent="0.25">
      <c r="A24" s="8" t="s">
        <v>3454</v>
      </c>
      <c r="B24" s="8">
        <v>26457288076.18</v>
      </c>
      <c r="C24" s="8">
        <v>29758978947.509998</v>
      </c>
      <c r="D24" s="8">
        <f t="shared" si="0"/>
        <v>12.479324645153532</v>
      </c>
    </row>
    <row r="25" spans="1:4" x14ac:dyDescent="0.25">
      <c r="A25" s="8" t="s">
        <v>3793</v>
      </c>
      <c r="B25" s="8">
        <v>602079695472.09998</v>
      </c>
      <c r="C25" s="8">
        <v>671945231810.09985</v>
      </c>
      <c r="D25" s="8">
        <f t="shared" si="0"/>
        <v>11.604034625884076</v>
      </c>
    </row>
    <row r="26" spans="1:4" x14ac:dyDescent="0.25">
      <c r="A26" s="8" t="s">
        <v>2749</v>
      </c>
      <c r="B26" s="8">
        <v>197352000</v>
      </c>
      <c r="C26" s="8">
        <v>219965250</v>
      </c>
      <c r="D26" s="8">
        <f t="shared" si="0"/>
        <v>11.458333333333332</v>
      </c>
    </row>
    <row r="27" spans="1:4" x14ac:dyDescent="0.25">
      <c r="A27" s="8" t="s">
        <v>3475</v>
      </c>
      <c r="B27" s="8">
        <v>8591612058585.9199</v>
      </c>
      <c r="C27" s="8">
        <v>9566424941159.2734</v>
      </c>
      <c r="D27" s="8">
        <f t="shared" si="0"/>
        <v>11.34609984629353</v>
      </c>
    </row>
    <row r="28" spans="1:4" x14ac:dyDescent="0.25">
      <c r="A28" s="8" t="s">
        <v>3209</v>
      </c>
      <c r="B28" s="8">
        <v>302039888532.01007</v>
      </c>
      <c r="C28" s="8">
        <v>335554916543.64001</v>
      </c>
      <c r="D28" s="8">
        <f t="shared" si="0"/>
        <v>11.096225791408354</v>
      </c>
    </row>
    <row r="29" spans="1:4" x14ac:dyDescent="0.25">
      <c r="A29" s="8" t="s">
        <v>108</v>
      </c>
      <c r="B29" s="8">
        <v>1743520968581.6001</v>
      </c>
      <c r="C29" s="39">
        <v>1934223811578.4001</v>
      </c>
      <c r="D29" s="8">
        <f t="shared" si="0"/>
        <v>10.937800372538209</v>
      </c>
    </row>
    <row r="30" spans="1:4" x14ac:dyDescent="0.25">
      <c r="A30" s="8" t="s">
        <v>935</v>
      </c>
      <c r="B30" s="8">
        <v>3102460962885.8999</v>
      </c>
      <c r="C30" s="8">
        <v>3440501759745.7998</v>
      </c>
      <c r="D30" s="8">
        <f t="shared" si="0"/>
        <v>10.895892032287019</v>
      </c>
    </row>
    <row r="31" spans="1:4" x14ac:dyDescent="0.25">
      <c r="A31" s="8" t="s">
        <v>56</v>
      </c>
      <c r="B31" s="8">
        <v>8046371712.5200005</v>
      </c>
      <c r="C31" s="8">
        <v>8902089255.25</v>
      </c>
      <c r="D31" s="8">
        <f t="shared" si="0"/>
        <v>10.634824903732937</v>
      </c>
    </row>
    <row r="32" spans="1:4" x14ac:dyDescent="0.25">
      <c r="A32" s="8" t="s">
        <v>262</v>
      </c>
      <c r="B32" s="8">
        <v>12033184550.52</v>
      </c>
      <c r="C32" s="8">
        <v>13296657824.200001</v>
      </c>
      <c r="D32" s="8">
        <f t="shared" si="0"/>
        <v>10.499907720815274</v>
      </c>
    </row>
    <row r="33" spans="1:4" x14ac:dyDescent="0.25">
      <c r="A33" s="8" t="s">
        <v>1598</v>
      </c>
      <c r="B33" s="8">
        <v>1313493676724.26</v>
      </c>
      <c r="C33" s="8">
        <v>1447975115108.2</v>
      </c>
      <c r="D33" s="8">
        <f t="shared" si="0"/>
        <v>10.23845342897463</v>
      </c>
    </row>
    <row r="34" spans="1:4" x14ac:dyDescent="0.25">
      <c r="A34" s="8" t="s">
        <v>2834</v>
      </c>
      <c r="B34" s="8">
        <v>24122689454.75</v>
      </c>
      <c r="C34" s="8">
        <v>26577617549.799999</v>
      </c>
      <c r="D34" s="8">
        <f t="shared" si="0"/>
        <v>10.176842427354629</v>
      </c>
    </row>
    <row r="35" spans="1:4" x14ac:dyDescent="0.25">
      <c r="A35" s="8" t="s">
        <v>1807</v>
      </c>
      <c r="B35" s="8">
        <v>1127663617957.6499</v>
      </c>
      <c r="C35" s="8">
        <v>1240700195596.25</v>
      </c>
      <c r="D35" s="8">
        <f t="shared" si="0"/>
        <v>10.023962451083108</v>
      </c>
    </row>
    <row r="36" spans="1:4" x14ac:dyDescent="0.25">
      <c r="A36" s="8" t="s">
        <v>1333</v>
      </c>
      <c r="B36" s="8">
        <v>64118789862.349998</v>
      </c>
      <c r="C36" s="8">
        <v>70534769761.75</v>
      </c>
      <c r="D36" s="8">
        <f t="shared" si="0"/>
        <v>10.006395805619235</v>
      </c>
    </row>
    <row r="37" spans="1:4" x14ac:dyDescent="0.25">
      <c r="A37" s="8" t="s">
        <v>2825</v>
      </c>
      <c r="B37" s="8">
        <v>1203890528.5999999</v>
      </c>
      <c r="C37" s="8">
        <v>1320635510.8</v>
      </c>
      <c r="D37" s="8">
        <f t="shared" si="0"/>
        <v>9.6973088023013503</v>
      </c>
    </row>
    <row r="38" spans="1:4" x14ac:dyDescent="0.25">
      <c r="A38" s="8" t="s">
        <v>1685</v>
      </c>
      <c r="B38" s="8">
        <v>200612861601.24002</v>
      </c>
      <c r="C38" s="8">
        <v>219746838958.73999</v>
      </c>
      <c r="D38" s="8">
        <f t="shared" si="0"/>
        <v>9.537762038175174</v>
      </c>
    </row>
    <row r="39" spans="1:4" x14ac:dyDescent="0.25">
      <c r="A39" s="8" t="s">
        <v>3068</v>
      </c>
      <c r="B39" s="8">
        <v>1899124972.6000001</v>
      </c>
      <c r="C39" s="8">
        <v>2078687840.3</v>
      </c>
      <c r="D39" s="8">
        <f t="shared" si="0"/>
        <v>9.4550316746227061</v>
      </c>
    </row>
    <row r="40" spans="1:4" x14ac:dyDescent="0.25">
      <c r="A40" s="8" t="s">
        <v>1907</v>
      </c>
      <c r="B40" s="8">
        <v>470374566486.25</v>
      </c>
      <c r="C40" s="8">
        <v>514201218823.79999</v>
      </c>
      <c r="D40" s="8">
        <f t="shared" si="0"/>
        <v>9.3173941492925358</v>
      </c>
    </row>
    <row r="41" spans="1:4" x14ac:dyDescent="0.25">
      <c r="A41" s="8" t="s">
        <v>356</v>
      </c>
      <c r="B41" s="8">
        <v>2528143151015.3901</v>
      </c>
      <c r="C41" s="8">
        <v>2759403474604.4399</v>
      </c>
      <c r="D41" s="8">
        <f t="shared" si="0"/>
        <v>9.1474378535949441</v>
      </c>
    </row>
    <row r="42" spans="1:4" x14ac:dyDescent="0.25">
      <c r="A42" s="8" t="s">
        <v>3974</v>
      </c>
      <c r="B42" s="8">
        <v>264179924507.95001</v>
      </c>
      <c r="C42" s="8">
        <v>286845757928.90002</v>
      </c>
      <c r="D42" s="8">
        <f t="shared" si="0"/>
        <v>8.5796956234151409</v>
      </c>
    </row>
    <row r="43" spans="1:4" x14ac:dyDescent="0.25">
      <c r="A43" s="8" t="s">
        <v>3906</v>
      </c>
      <c r="B43" s="8">
        <v>156276105747.92001</v>
      </c>
      <c r="C43" s="8">
        <v>169473592714.01001</v>
      </c>
      <c r="D43" s="8">
        <f t="shared" si="0"/>
        <v>8.4449806980589237</v>
      </c>
    </row>
    <row r="44" spans="1:4" x14ac:dyDescent="0.25">
      <c r="A44" s="8" t="s">
        <v>2787</v>
      </c>
      <c r="B44" s="8">
        <v>684363340463.1499</v>
      </c>
      <c r="C44" s="8">
        <v>741484346480.94995</v>
      </c>
      <c r="D44" s="8">
        <f t="shared" si="0"/>
        <v>8.3465905668095584</v>
      </c>
    </row>
    <row r="45" spans="1:4" x14ac:dyDescent="0.25">
      <c r="A45" s="8" t="s">
        <v>807</v>
      </c>
      <c r="B45" s="8">
        <v>2905014653275.04</v>
      </c>
      <c r="C45" s="8">
        <v>3146563495194.0996</v>
      </c>
      <c r="D45" s="8">
        <f t="shared" si="0"/>
        <v>8.3148923757318585</v>
      </c>
    </row>
    <row r="46" spans="1:4" x14ac:dyDescent="0.25">
      <c r="A46" s="8" t="s">
        <v>659</v>
      </c>
      <c r="B46" s="8">
        <v>71856250459.699997</v>
      </c>
      <c r="C46" s="8">
        <v>77816896664.049988</v>
      </c>
      <c r="D46" s="8">
        <f t="shared" si="0"/>
        <v>8.2952369017542473</v>
      </c>
    </row>
    <row r="47" spans="1:4" x14ac:dyDescent="0.25">
      <c r="A47" s="8" t="s">
        <v>1001</v>
      </c>
      <c r="B47" s="8">
        <v>546876132427.02997</v>
      </c>
      <c r="C47" s="8">
        <v>592025528710.22998</v>
      </c>
      <c r="D47" s="8">
        <f t="shared" si="0"/>
        <v>8.2558725104398896</v>
      </c>
    </row>
    <row r="48" spans="1:4" x14ac:dyDescent="0.25">
      <c r="A48" s="8" t="s">
        <v>41</v>
      </c>
      <c r="B48" s="8">
        <v>384863814801.90002</v>
      </c>
      <c r="C48" s="8">
        <v>415921159244.90002</v>
      </c>
      <c r="D48" s="8">
        <f t="shared" si="0"/>
        <v>8.0696971885980151</v>
      </c>
    </row>
    <row r="49" spans="1:4" x14ac:dyDescent="0.25">
      <c r="A49" s="8" t="s">
        <v>2951</v>
      </c>
      <c r="B49" s="8">
        <v>289754628751.3299</v>
      </c>
      <c r="C49" s="8">
        <v>312927745060.66003</v>
      </c>
      <c r="D49" s="8">
        <f t="shared" si="0"/>
        <v>7.9974965056442704</v>
      </c>
    </row>
    <row r="50" spans="1:4" x14ac:dyDescent="0.25">
      <c r="A50" s="8" t="s">
        <v>1351</v>
      </c>
      <c r="B50" s="8">
        <v>34261788389</v>
      </c>
      <c r="C50" s="8">
        <v>36958287184.199997</v>
      </c>
      <c r="D50" s="8">
        <f t="shared" si="0"/>
        <v>7.8702803385059958</v>
      </c>
    </row>
    <row r="51" spans="1:4" x14ac:dyDescent="0.25">
      <c r="A51" s="8" t="s">
        <v>3744</v>
      </c>
      <c r="B51" s="8">
        <v>934025748031.6499</v>
      </c>
      <c r="C51" s="8">
        <v>1006517888389.8501</v>
      </c>
      <c r="D51" s="8">
        <f t="shared" si="0"/>
        <v>7.7612571720821295</v>
      </c>
    </row>
    <row r="52" spans="1:4" x14ac:dyDescent="0.25">
      <c r="A52" s="8" t="s">
        <v>3287</v>
      </c>
      <c r="B52" s="8">
        <v>187553000469.25</v>
      </c>
      <c r="C52" s="8">
        <v>201705438432.64999</v>
      </c>
      <c r="D52" s="8">
        <f t="shared" si="0"/>
        <v>7.5458339392018088</v>
      </c>
    </row>
    <row r="53" spans="1:4" x14ac:dyDescent="0.25">
      <c r="A53" s="8" t="s">
        <v>4057</v>
      </c>
      <c r="B53" s="8">
        <v>2598933029.2999997</v>
      </c>
      <c r="C53" s="8">
        <v>2793447468.7000003</v>
      </c>
      <c r="D53" s="8">
        <f t="shared" si="0"/>
        <v>7.4843959889336347</v>
      </c>
    </row>
    <row r="54" spans="1:4" x14ac:dyDescent="0.25">
      <c r="A54" s="8" t="s">
        <v>2671</v>
      </c>
      <c r="B54" s="8">
        <v>217633064479.04999</v>
      </c>
      <c r="C54" s="8">
        <v>233879987019.32999</v>
      </c>
      <c r="D54" s="8">
        <f t="shared" si="0"/>
        <v>7.4652822534895549</v>
      </c>
    </row>
    <row r="55" spans="1:4" x14ac:dyDescent="0.25">
      <c r="A55" s="8" t="s">
        <v>3361</v>
      </c>
      <c r="B55" s="8">
        <v>128612152168.79999</v>
      </c>
      <c r="C55" s="8">
        <v>138211660899.75</v>
      </c>
      <c r="D55" s="8">
        <f t="shared" si="0"/>
        <v>7.4639204531395418</v>
      </c>
    </row>
    <row r="56" spans="1:4" x14ac:dyDescent="0.25">
      <c r="A56" s="8" t="s">
        <v>1064</v>
      </c>
      <c r="B56" s="8">
        <v>840004775439.13965</v>
      </c>
      <c r="C56" s="8">
        <v>899908408811.80994</v>
      </c>
      <c r="D56" s="8">
        <f t="shared" si="0"/>
        <v>7.1313443832927881</v>
      </c>
    </row>
    <row r="57" spans="1:4" x14ac:dyDescent="0.25">
      <c r="A57" s="8" t="s">
        <v>1633</v>
      </c>
      <c r="B57" s="8">
        <v>1273558348390.2603</v>
      </c>
      <c r="C57" s="8">
        <v>1363752873248.73</v>
      </c>
      <c r="D57" s="8">
        <f t="shared" si="0"/>
        <v>7.0820881487269833</v>
      </c>
    </row>
    <row r="58" spans="1:4" x14ac:dyDescent="0.25">
      <c r="A58" s="8" t="s">
        <v>350</v>
      </c>
      <c r="B58" s="8">
        <v>814433406889.44995</v>
      </c>
      <c r="C58" s="8">
        <v>871149698234.63989</v>
      </c>
      <c r="D58" s="8">
        <f t="shared" si="0"/>
        <v>6.9638954966011761</v>
      </c>
    </row>
    <row r="59" spans="1:4" x14ac:dyDescent="0.25">
      <c r="A59" s="8" t="s">
        <v>1501</v>
      </c>
      <c r="B59" s="8">
        <v>792565211015.75</v>
      </c>
      <c r="C59" s="8">
        <v>847598466793.69995</v>
      </c>
      <c r="D59" s="8">
        <f t="shared" si="0"/>
        <v>6.9436880414444939</v>
      </c>
    </row>
    <row r="60" spans="1:4" x14ac:dyDescent="0.25">
      <c r="A60" s="8" t="s">
        <v>3519</v>
      </c>
      <c r="B60" s="8">
        <v>7288601515.6800003</v>
      </c>
      <c r="C60" s="8">
        <v>7794148552.1800003</v>
      </c>
      <c r="D60" s="8">
        <f t="shared" si="0"/>
        <v>6.9361321978216868</v>
      </c>
    </row>
    <row r="61" spans="1:4" x14ac:dyDescent="0.25">
      <c r="A61" s="8" t="s">
        <v>3652</v>
      </c>
      <c r="B61" s="8">
        <v>89797845168.100006</v>
      </c>
      <c r="C61" s="8">
        <v>95991752651.37999</v>
      </c>
      <c r="D61" s="8">
        <f t="shared" si="0"/>
        <v>6.8976126004862328</v>
      </c>
    </row>
    <row r="62" spans="1:4" x14ac:dyDescent="0.25">
      <c r="A62" s="8" t="s">
        <v>2444</v>
      </c>
      <c r="B62" s="8">
        <v>1187556250135.2798</v>
      </c>
      <c r="C62" s="8">
        <v>1268555505455.6101</v>
      </c>
      <c r="D62" s="8">
        <f t="shared" si="0"/>
        <v>6.8206668367164367</v>
      </c>
    </row>
    <row r="63" spans="1:4" x14ac:dyDescent="0.25">
      <c r="A63" s="8" t="s">
        <v>4053</v>
      </c>
      <c r="B63" s="8">
        <v>13370082174</v>
      </c>
      <c r="C63" s="8">
        <v>14274574413</v>
      </c>
      <c r="D63" s="8">
        <f t="shared" si="0"/>
        <v>6.7650462220711844</v>
      </c>
    </row>
    <row r="64" spans="1:4" x14ac:dyDescent="0.25">
      <c r="A64" s="8" t="s">
        <v>183</v>
      </c>
      <c r="B64" s="8">
        <v>767931156028.20007</v>
      </c>
      <c r="C64" s="8">
        <v>819673252734.30005</v>
      </c>
      <c r="D64" s="8">
        <f t="shared" si="0"/>
        <v>6.73785616066343</v>
      </c>
    </row>
    <row r="65" spans="1:4" x14ac:dyDescent="0.25">
      <c r="A65" s="8" t="s">
        <v>3872</v>
      </c>
      <c r="B65" s="8">
        <v>646861922175.62988</v>
      </c>
      <c r="C65" s="8">
        <v>689893957552.46997</v>
      </c>
      <c r="D65" s="8">
        <f t="shared" si="0"/>
        <v>6.6524298156410007</v>
      </c>
    </row>
    <row r="66" spans="1:4" x14ac:dyDescent="0.25">
      <c r="A66" s="8" t="s">
        <v>850</v>
      </c>
      <c r="B66" s="8">
        <v>453345312015.55005</v>
      </c>
      <c r="C66" s="8">
        <v>482662454650.94995</v>
      </c>
      <c r="D66" s="8">
        <f t="shared" si="0"/>
        <v>6.4668458806946489</v>
      </c>
    </row>
    <row r="67" spans="1:4" x14ac:dyDescent="0.25">
      <c r="A67" s="8" t="s">
        <v>3847</v>
      </c>
      <c r="B67" s="8">
        <v>991877100273.05005</v>
      </c>
      <c r="C67" s="8">
        <v>1054305728267.35</v>
      </c>
      <c r="D67" s="8">
        <f t="shared" si="0"/>
        <v>6.2939882347434164</v>
      </c>
    </row>
    <row r="68" spans="1:4" x14ac:dyDescent="0.25">
      <c r="A68" s="8" t="s">
        <v>1453</v>
      </c>
      <c r="B68" s="8">
        <v>372101635467.5</v>
      </c>
      <c r="C68" s="8">
        <v>395384369981.89001</v>
      </c>
      <c r="D68" s="8">
        <f t="shared" si="0"/>
        <v>6.2570900783970265</v>
      </c>
    </row>
    <row r="69" spans="1:4" x14ac:dyDescent="0.25">
      <c r="A69" s="8" t="s">
        <v>3683</v>
      </c>
      <c r="B69" s="8">
        <v>3168742406045.5093</v>
      </c>
      <c r="C69" s="8">
        <v>3363129338371.4604</v>
      </c>
      <c r="D69" s="8">
        <f t="shared" si="0"/>
        <v>6.1345135519721827</v>
      </c>
    </row>
    <row r="70" spans="1:4" x14ac:dyDescent="0.25">
      <c r="A70" s="8" t="s">
        <v>3131</v>
      </c>
      <c r="B70" s="8">
        <v>947753510325.34998</v>
      </c>
      <c r="C70" s="8">
        <v>1003009360512.1499</v>
      </c>
      <c r="D70" s="8">
        <f t="shared" si="0"/>
        <v>5.830192089484469</v>
      </c>
    </row>
    <row r="71" spans="1:4" x14ac:dyDescent="0.25">
      <c r="A71" s="8" t="s">
        <v>3918</v>
      </c>
      <c r="B71" s="8">
        <v>56506908150.889999</v>
      </c>
      <c r="C71" s="8">
        <v>59752621363.640007</v>
      </c>
      <c r="D71" s="8">
        <f t="shared" si="0"/>
        <v>5.743922856446158</v>
      </c>
    </row>
    <row r="72" spans="1:4" x14ac:dyDescent="0.25">
      <c r="A72" s="8" t="s">
        <v>642</v>
      </c>
      <c r="B72" s="8">
        <v>1356276410370.8</v>
      </c>
      <c r="C72" s="8">
        <v>1430697137447.25</v>
      </c>
      <c r="D72" s="8">
        <f t="shared" si="0"/>
        <v>5.4871356979587702</v>
      </c>
    </row>
    <row r="73" spans="1:4" x14ac:dyDescent="0.25">
      <c r="A73" s="8" t="s">
        <v>4077</v>
      </c>
      <c r="B73" s="8">
        <v>4127761755</v>
      </c>
      <c r="C73" s="8">
        <v>4347073575</v>
      </c>
      <c r="D73" s="8">
        <f t="shared" si="0"/>
        <v>5.3130929791271351</v>
      </c>
    </row>
    <row r="74" spans="1:4" x14ac:dyDescent="0.25">
      <c r="A74" s="8" t="s">
        <v>4016</v>
      </c>
      <c r="B74" s="8">
        <v>1730762361392.46</v>
      </c>
      <c r="C74" s="8">
        <v>1821388159322.2002</v>
      </c>
      <c r="D74" s="8">
        <f t="shared" si="0"/>
        <v>5.2361779959686983</v>
      </c>
    </row>
    <row r="75" spans="1:4" x14ac:dyDescent="0.25">
      <c r="A75" s="8" t="s">
        <v>1760</v>
      </c>
      <c r="B75" s="8">
        <v>206546960562.38998</v>
      </c>
      <c r="C75" s="8">
        <v>217170940118.98999</v>
      </c>
      <c r="D75" s="8">
        <f t="shared" si="0"/>
        <v>5.1436145696227298</v>
      </c>
    </row>
    <row r="76" spans="1:4" x14ac:dyDescent="0.25">
      <c r="A76" s="8" t="s">
        <v>2522</v>
      </c>
      <c r="B76" s="8">
        <v>291188815476.20001</v>
      </c>
      <c r="C76" s="8">
        <v>306004441656.40002</v>
      </c>
      <c r="D76" s="8">
        <f t="shared" si="0"/>
        <v>5.0879791368260676</v>
      </c>
    </row>
    <row r="77" spans="1:4" x14ac:dyDescent="0.25">
      <c r="A77" s="8" t="s">
        <v>680</v>
      </c>
      <c r="B77" s="8">
        <v>22502978984964.816</v>
      </c>
      <c r="C77" s="8">
        <v>23627585324495.25</v>
      </c>
      <c r="D77" s="8">
        <f t="shared" si="0"/>
        <v>4.9975887205059841</v>
      </c>
    </row>
    <row r="78" spans="1:4" x14ac:dyDescent="0.25">
      <c r="A78" s="8" t="s">
        <v>3140</v>
      </c>
      <c r="B78" s="8">
        <v>2882384134027.5195</v>
      </c>
      <c r="C78" s="8">
        <v>3021994616345.4897</v>
      </c>
      <c r="D78" s="8">
        <f t="shared" si="0"/>
        <v>4.8435765611467696</v>
      </c>
    </row>
    <row r="79" spans="1:4" x14ac:dyDescent="0.25">
      <c r="A79" s="8" t="s">
        <v>3503</v>
      </c>
      <c r="B79" s="8">
        <v>1906815203756.0498</v>
      </c>
      <c r="C79" s="8">
        <v>1998276681837.6001</v>
      </c>
      <c r="D79" s="8">
        <f t="shared" si="0"/>
        <v>4.7965569973109732</v>
      </c>
    </row>
    <row r="80" spans="1:4" x14ac:dyDescent="0.25">
      <c r="A80" s="8" t="s">
        <v>1868</v>
      </c>
      <c r="B80" s="8">
        <v>5154141646086.2705</v>
      </c>
      <c r="C80" s="8">
        <v>5401276331150.7402</v>
      </c>
      <c r="D80" s="8">
        <f t="shared" si="0"/>
        <v>4.7948756948138627</v>
      </c>
    </row>
    <row r="81" spans="1:4" x14ac:dyDescent="0.25">
      <c r="A81" s="8" t="s">
        <v>4082</v>
      </c>
      <c r="B81" s="8">
        <v>1150219976541.75</v>
      </c>
      <c r="C81" s="8">
        <v>1205334287247</v>
      </c>
      <c r="D81" s="8">
        <f t="shared" si="0"/>
        <v>4.7916321946482467</v>
      </c>
    </row>
    <row r="82" spans="1:4" x14ac:dyDescent="0.25">
      <c r="A82" s="8" t="s">
        <v>4168</v>
      </c>
      <c r="B82" s="8">
        <v>50268571561.199997</v>
      </c>
      <c r="C82" s="8">
        <v>52618128241.399994</v>
      </c>
      <c r="D82" s="8">
        <f t="shared" si="0"/>
        <v>4.6740072519059046</v>
      </c>
    </row>
    <row r="83" spans="1:4" x14ac:dyDescent="0.25">
      <c r="A83" s="8" t="s">
        <v>324</v>
      </c>
      <c r="B83" s="8">
        <v>312837117669.59998</v>
      </c>
      <c r="C83" s="8">
        <v>327384646823.70001</v>
      </c>
      <c r="D83" s="8">
        <f t="shared" si="0"/>
        <v>4.6501928103890391</v>
      </c>
    </row>
    <row r="84" spans="1:4" x14ac:dyDescent="0.25">
      <c r="A84" s="8" t="s">
        <v>3772</v>
      </c>
      <c r="B84" s="8">
        <v>504251685528.20001</v>
      </c>
      <c r="C84" s="8">
        <v>527528314045.40002</v>
      </c>
      <c r="D84" s="8">
        <f t="shared" si="0"/>
        <v>4.616073517497103</v>
      </c>
    </row>
    <row r="85" spans="1:4" x14ac:dyDescent="0.25">
      <c r="A85" s="8" t="s">
        <v>2721</v>
      </c>
      <c r="B85" s="8">
        <v>4921650799146.5605</v>
      </c>
      <c r="C85" s="8">
        <v>5144862569263.9209</v>
      </c>
      <c r="D85" s="8">
        <f t="shared" si="0"/>
        <v>4.5353028735006236</v>
      </c>
    </row>
    <row r="86" spans="1:4" x14ac:dyDescent="0.25">
      <c r="A86" s="8" t="s">
        <v>9</v>
      </c>
      <c r="B86" s="8">
        <v>2942162703784.6699</v>
      </c>
      <c r="C86" s="8">
        <v>3072427636476.2695</v>
      </c>
      <c r="D86" s="8">
        <f t="shared" si="0"/>
        <v>4.427523077633758</v>
      </c>
    </row>
    <row r="87" spans="1:4" x14ac:dyDescent="0.25">
      <c r="A87" s="8" t="s">
        <v>2753</v>
      </c>
      <c r="B87" s="8">
        <v>1079543806242.5503</v>
      </c>
      <c r="C87" s="8">
        <v>1125839985287.9302</v>
      </c>
      <c r="D87" s="8">
        <f t="shared" si="0"/>
        <v>4.2884947120874992</v>
      </c>
    </row>
    <row r="88" spans="1:4" x14ac:dyDescent="0.25">
      <c r="A88" s="8" t="s">
        <v>1136</v>
      </c>
      <c r="B88" s="8">
        <v>6042083916093.9893</v>
      </c>
      <c r="C88" s="8">
        <v>6289481471798.7998</v>
      </c>
      <c r="D88" s="8">
        <f t="shared" si="0"/>
        <v>4.0945733151078949</v>
      </c>
    </row>
    <row r="89" spans="1:4" x14ac:dyDescent="0.25">
      <c r="A89" s="8" t="s">
        <v>1478</v>
      </c>
      <c r="B89" s="8">
        <v>356456879494.66986</v>
      </c>
      <c r="C89" s="8">
        <v>370889109727.4201</v>
      </c>
      <c r="D89" s="8">
        <f t="shared" si="0"/>
        <v>4.0488011490225855</v>
      </c>
    </row>
    <row r="90" spans="1:4" x14ac:dyDescent="0.25">
      <c r="A90" s="8" t="s">
        <v>4068</v>
      </c>
      <c r="B90" s="8">
        <v>19511623705.299999</v>
      </c>
      <c r="C90" s="8">
        <v>20282539987</v>
      </c>
      <c r="D90" s="8">
        <f t="shared" si="0"/>
        <v>3.9510616509613934</v>
      </c>
    </row>
    <row r="91" spans="1:4" x14ac:dyDescent="0.25">
      <c r="A91" s="8" t="s">
        <v>677</v>
      </c>
      <c r="B91" s="8">
        <v>257777057686.34998</v>
      </c>
      <c r="C91" s="8">
        <v>267937768454.85001</v>
      </c>
      <c r="D91" s="8">
        <f t="shared" si="0"/>
        <v>3.9416660503833771</v>
      </c>
    </row>
    <row r="92" spans="1:4" x14ac:dyDescent="0.25">
      <c r="A92" s="8" t="s">
        <v>3183</v>
      </c>
      <c r="B92" s="8">
        <v>4176235736925.1997</v>
      </c>
      <c r="C92" s="8">
        <v>4335394091844.3999</v>
      </c>
      <c r="D92" s="8">
        <f t="shared" si="0"/>
        <v>3.8110481530523543</v>
      </c>
    </row>
    <row r="93" spans="1:4" x14ac:dyDescent="0.25">
      <c r="A93" s="8" t="s">
        <v>206</v>
      </c>
      <c r="B93" s="8">
        <v>1123717919995.8699</v>
      </c>
      <c r="C93" s="8">
        <v>1165704825078.9697</v>
      </c>
      <c r="D93" s="8">
        <f t="shared" si="0"/>
        <v>3.7364274731201381</v>
      </c>
    </row>
    <row r="94" spans="1:4" x14ac:dyDescent="0.25">
      <c r="A94" s="8" t="s">
        <v>1337</v>
      </c>
      <c r="B94" s="8">
        <v>895116135164.78967</v>
      </c>
      <c r="C94" s="8">
        <v>928556335292.95984</v>
      </c>
      <c r="D94" s="8">
        <f t="shared" si="0"/>
        <v>3.7358504460445094</v>
      </c>
    </row>
    <row r="95" spans="1:4" x14ac:dyDescent="0.25">
      <c r="A95" s="8" t="s">
        <v>1999</v>
      </c>
      <c r="B95" s="8">
        <v>688074398334.45007</v>
      </c>
      <c r="C95" s="8">
        <v>713274762377.65002</v>
      </c>
      <c r="D95" s="8">
        <f t="shared" si="0"/>
        <v>3.6624475644203369</v>
      </c>
    </row>
    <row r="96" spans="1:4" x14ac:dyDescent="0.25">
      <c r="A96" s="8" t="s">
        <v>2265</v>
      </c>
      <c r="B96" s="8">
        <v>16087474469.9</v>
      </c>
      <c r="C96" s="8">
        <v>16661001782.790001</v>
      </c>
      <c r="D96" s="8">
        <f t="shared" si="0"/>
        <v>3.5650549995469016</v>
      </c>
    </row>
    <row r="97" spans="1:4" x14ac:dyDescent="0.25">
      <c r="A97" s="8" t="s">
        <v>1376</v>
      </c>
      <c r="B97" s="8">
        <v>5144355444606.25</v>
      </c>
      <c r="C97" s="8">
        <v>5326591568328.6396</v>
      </c>
      <c r="D97" s="8">
        <f t="shared" si="0"/>
        <v>3.5424481392214151</v>
      </c>
    </row>
    <row r="98" spans="1:4" x14ac:dyDescent="0.25">
      <c r="A98" s="8" t="s">
        <v>1271</v>
      </c>
      <c r="B98" s="8">
        <v>1053435021801.3201</v>
      </c>
      <c r="C98" s="8">
        <v>1090125219708.3501</v>
      </c>
      <c r="D98" s="8">
        <f t="shared" si="0"/>
        <v>3.4829103976713878</v>
      </c>
    </row>
    <row r="99" spans="1:4" x14ac:dyDescent="0.25">
      <c r="A99" s="8" t="s">
        <v>204</v>
      </c>
      <c r="B99" s="8">
        <v>1090772599978.2999</v>
      </c>
      <c r="C99" s="8">
        <v>1127702958250.3501</v>
      </c>
      <c r="D99" s="8">
        <f t="shared" si="0"/>
        <v>3.3857064499772798</v>
      </c>
    </row>
    <row r="100" spans="1:4" x14ac:dyDescent="0.25">
      <c r="A100" s="8" t="s">
        <v>2228</v>
      </c>
      <c r="B100" s="8">
        <v>3854994461935.2104</v>
      </c>
      <c r="C100" s="8">
        <v>3975186027321.2598</v>
      </c>
      <c r="D100" s="8">
        <f t="shared" si="0"/>
        <v>3.1178142166697964</v>
      </c>
    </row>
    <row r="101" spans="1:4" x14ac:dyDescent="0.25">
      <c r="A101" s="8" t="s">
        <v>3118</v>
      </c>
      <c r="B101" s="8">
        <v>9311099762904.9004</v>
      </c>
      <c r="C101" s="8">
        <v>9587373426270.0996</v>
      </c>
      <c r="D101" s="8">
        <f t="shared" si="0"/>
        <v>2.967143198979179</v>
      </c>
    </row>
    <row r="102" spans="1:4" x14ac:dyDescent="0.25">
      <c r="A102" s="8" t="s">
        <v>3951</v>
      </c>
      <c r="B102" s="8">
        <v>755169817369.8999</v>
      </c>
      <c r="C102" s="8">
        <v>777514537793.06006</v>
      </c>
      <c r="D102" s="8">
        <f t="shared" si="0"/>
        <v>2.9589000922974109</v>
      </c>
    </row>
    <row r="103" spans="1:4" x14ac:dyDescent="0.25">
      <c r="A103" s="8" t="s">
        <v>3431</v>
      </c>
      <c r="B103" s="8">
        <v>3886136566430.1499</v>
      </c>
      <c r="C103" s="8">
        <v>3992751325270.2998</v>
      </c>
      <c r="D103" s="8">
        <f t="shared" si="0"/>
        <v>2.7434640295744281</v>
      </c>
    </row>
    <row r="104" spans="1:4" x14ac:dyDescent="0.25">
      <c r="A104" s="8" t="s">
        <v>985</v>
      </c>
      <c r="B104" s="8">
        <v>1667622927928.8499</v>
      </c>
      <c r="C104" s="8">
        <v>1713244988069.0503</v>
      </c>
      <c r="D104" s="8">
        <f t="shared" si="0"/>
        <v>2.7357539510962479</v>
      </c>
    </row>
    <row r="105" spans="1:4" x14ac:dyDescent="0.25">
      <c r="A105" s="8" t="s">
        <v>4145</v>
      </c>
      <c r="B105" s="8">
        <v>7622878688001.1006</v>
      </c>
      <c r="C105" s="8">
        <v>7827745057411.6592</v>
      </c>
      <c r="D105" s="8">
        <f t="shared" si="0"/>
        <v>2.6875197388754382</v>
      </c>
    </row>
    <row r="106" spans="1:4" x14ac:dyDescent="0.25">
      <c r="A106" s="8" t="s">
        <v>2681</v>
      </c>
      <c r="B106" s="8">
        <v>381942507951.17004</v>
      </c>
      <c r="C106" s="8">
        <v>392114897007.41003</v>
      </c>
      <c r="D106" s="8">
        <f t="shared" si="0"/>
        <v>2.6633299107782191</v>
      </c>
    </row>
    <row r="107" spans="1:4" x14ac:dyDescent="0.25">
      <c r="A107" s="8" t="s">
        <v>2929</v>
      </c>
      <c r="B107" s="8">
        <v>433417251480.67004</v>
      </c>
      <c r="C107" s="8">
        <v>444708366163.56006</v>
      </c>
      <c r="D107" s="8">
        <f t="shared" si="0"/>
        <v>2.6051373461292844</v>
      </c>
    </row>
    <row r="108" spans="1:4" x14ac:dyDescent="0.25">
      <c r="A108" s="8" t="s">
        <v>711</v>
      </c>
      <c r="B108" s="8">
        <v>378615783805.49994</v>
      </c>
      <c r="C108" s="8">
        <v>388316213803.90002</v>
      </c>
      <c r="D108" s="8">
        <f t="shared" si="0"/>
        <v>2.5620775502014803</v>
      </c>
    </row>
    <row r="109" spans="1:4" x14ac:dyDescent="0.25">
      <c r="A109" s="8" t="s">
        <v>1046</v>
      </c>
      <c r="B109" s="8">
        <v>680048604474.16992</v>
      </c>
      <c r="C109" s="8">
        <v>697284662804.06018</v>
      </c>
      <c r="D109" s="8">
        <f t="shared" si="0"/>
        <v>2.5345332990158251</v>
      </c>
    </row>
    <row r="110" spans="1:4" x14ac:dyDescent="0.25">
      <c r="A110" s="8" t="s">
        <v>893</v>
      </c>
      <c r="B110" s="8">
        <v>1204618921973.3501</v>
      </c>
      <c r="C110" s="8">
        <v>1233969737548.99</v>
      </c>
      <c r="D110" s="8">
        <f t="shared" si="0"/>
        <v>2.4365228737698033</v>
      </c>
    </row>
    <row r="111" spans="1:4" x14ac:dyDescent="0.25">
      <c r="A111" s="8" t="s">
        <v>67</v>
      </c>
      <c r="B111" s="8">
        <v>850579414132.55005</v>
      </c>
      <c r="C111" s="8">
        <v>871167341437.94995</v>
      </c>
      <c r="D111" s="8">
        <f t="shared" si="0"/>
        <v>2.4204591556446466</v>
      </c>
    </row>
    <row r="112" spans="1:4" x14ac:dyDescent="0.25">
      <c r="A112" s="8" t="s">
        <v>3814</v>
      </c>
      <c r="B112" s="8">
        <v>3491523183.1999998</v>
      </c>
      <c r="C112" s="8">
        <v>3573559716.8499999</v>
      </c>
      <c r="D112" s="8">
        <f t="shared" si="0"/>
        <v>2.3495915491763446</v>
      </c>
    </row>
    <row r="113" spans="1:4" x14ac:dyDescent="0.25">
      <c r="A113" s="8" t="s">
        <v>4051</v>
      </c>
      <c r="B113" s="8">
        <v>23695448467.099998</v>
      </c>
      <c r="C113" s="8">
        <v>24238856458.5</v>
      </c>
      <c r="D113" s="8">
        <f t="shared" si="0"/>
        <v>2.2933011466505797</v>
      </c>
    </row>
    <row r="114" spans="1:4" x14ac:dyDescent="0.25">
      <c r="A114" s="8" t="s">
        <v>788</v>
      </c>
      <c r="B114" s="8">
        <v>19514101624726.348</v>
      </c>
      <c r="C114" s="8">
        <v>19941601353758.801</v>
      </c>
      <c r="D114" s="8">
        <f t="shared" si="0"/>
        <v>2.1907220596349033</v>
      </c>
    </row>
    <row r="115" spans="1:4" x14ac:dyDescent="0.25">
      <c r="A115" s="8" t="s">
        <v>2247</v>
      </c>
      <c r="B115" s="8">
        <v>137067279403.79999</v>
      </c>
      <c r="C115" s="8">
        <v>139998116419.37997</v>
      </c>
      <c r="D115" s="8">
        <f t="shared" si="0"/>
        <v>2.1382470187839253</v>
      </c>
    </row>
    <row r="116" spans="1:4" x14ac:dyDescent="0.25">
      <c r="A116" s="8" t="s">
        <v>858</v>
      </c>
      <c r="B116" s="8">
        <v>3495965066677.4604</v>
      </c>
      <c r="C116" s="8">
        <v>3566930163847.1299</v>
      </c>
      <c r="D116" s="8">
        <f t="shared" si="0"/>
        <v>2.0299143674543103</v>
      </c>
    </row>
    <row r="117" spans="1:4" x14ac:dyDescent="0.25">
      <c r="A117" s="8" t="s">
        <v>3867</v>
      </c>
      <c r="B117" s="8">
        <v>2929506283</v>
      </c>
      <c r="C117" s="8">
        <v>2986377059.6000004</v>
      </c>
      <c r="D117" s="8">
        <f t="shared" si="0"/>
        <v>1.9413092550790199</v>
      </c>
    </row>
    <row r="118" spans="1:4" x14ac:dyDescent="0.25">
      <c r="A118" s="8" t="s">
        <v>2297</v>
      </c>
      <c r="B118" s="8">
        <v>991463082954.24963</v>
      </c>
      <c r="C118" s="8">
        <v>1009657142574.4796</v>
      </c>
      <c r="D118" s="8">
        <f t="shared" si="0"/>
        <v>1.8350718179054513</v>
      </c>
    </row>
    <row r="119" spans="1:4" x14ac:dyDescent="0.25">
      <c r="A119" s="8" t="s">
        <v>1645</v>
      </c>
      <c r="B119" s="8">
        <v>516587298087.37</v>
      </c>
      <c r="C119" s="8">
        <v>525674106187.79004</v>
      </c>
      <c r="D119" s="8">
        <f t="shared" si="0"/>
        <v>1.7590072644184911</v>
      </c>
    </row>
    <row r="120" spans="1:4" x14ac:dyDescent="0.25">
      <c r="A120" s="8" t="s">
        <v>959</v>
      </c>
      <c r="B120" s="8">
        <v>237310236246</v>
      </c>
      <c r="C120" s="8">
        <v>241451879968.29999</v>
      </c>
      <c r="D120" s="8">
        <f t="shared" si="0"/>
        <v>1.7452444478655724</v>
      </c>
    </row>
    <row r="121" spans="1:4" x14ac:dyDescent="0.25">
      <c r="A121" s="8" t="s">
        <v>376</v>
      </c>
      <c r="B121" s="8">
        <v>4375570059316.8516</v>
      </c>
      <c r="C121" s="8">
        <v>4451893302902.0391</v>
      </c>
      <c r="D121" s="8">
        <f t="shared" si="0"/>
        <v>1.7443040004050052</v>
      </c>
    </row>
    <row r="122" spans="1:4" x14ac:dyDescent="0.25">
      <c r="A122" s="8" t="s">
        <v>1793</v>
      </c>
      <c r="B122" s="8">
        <v>1038257917109.8998</v>
      </c>
      <c r="C122" s="8">
        <v>1056251162937.1997</v>
      </c>
      <c r="D122" s="8">
        <f t="shared" si="0"/>
        <v>1.7330227423053051</v>
      </c>
    </row>
    <row r="123" spans="1:4" x14ac:dyDescent="0.25">
      <c r="A123" s="8" t="s">
        <v>3707</v>
      </c>
      <c r="B123" s="8">
        <v>153900518508.65002</v>
      </c>
      <c r="C123" s="8">
        <v>156496412061.45001</v>
      </c>
      <c r="D123" s="8">
        <f t="shared" si="0"/>
        <v>1.6867347673387367</v>
      </c>
    </row>
    <row r="124" spans="1:4" x14ac:dyDescent="0.25">
      <c r="A124" s="8" t="s">
        <v>1695</v>
      </c>
      <c r="B124" s="8">
        <v>80170993894.87001</v>
      </c>
      <c r="C124" s="8">
        <v>81501175446.650009</v>
      </c>
      <c r="D124" s="8">
        <f t="shared" si="0"/>
        <v>1.659180567880068</v>
      </c>
    </row>
    <row r="125" spans="1:4" x14ac:dyDescent="0.25">
      <c r="A125" s="8" t="s">
        <v>1616</v>
      </c>
      <c r="B125" s="8">
        <v>488219936311.59998</v>
      </c>
      <c r="C125" s="8">
        <v>496218763166.15002</v>
      </c>
      <c r="D125" s="8">
        <f t="shared" si="0"/>
        <v>1.6383654700747212</v>
      </c>
    </row>
    <row r="126" spans="1:4" x14ac:dyDescent="0.25">
      <c r="A126" s="8" t="s">
        <v>3232</v>
      </c>
      <c r="B126" s="8">
        <v>1390014277333.9497</v>
      </c>
      <c r="C126" s="8">
        <v>1411892763601.7498</v>
      </c>
      <c r="D126" s="8">
        <f t="shared" si="0"/>
        <v>1.5739756507942515</v>
      </c>
    </row>
    <row r="127" spans="1:4" x14ac:dyDescent="0.25">
      <c r="A127" s="8" t="s">
        <v>110</v>
      </c>
      <c r="B127" s="8">
        <v>463765241258.99005</v>
      </c>
      <c r="C127" s="8">
        <v>470845293532.08002</v>
      </c>
      <c r="D127" s="8">
        <f t="shared" si="0"/>
        <v>1.5266457343525031</v>
      </c>
    </row>
    <row r="128" spans="1:4" x14ac:dyDescent="0.25">
      <c r="A128" s="8" t="s">
        <v>3402</v>
      </c>
      <c r="B128" s="8">
        <v>6023195894077.3994</v>
      </c>
      <c r="C128" s="8">
        <v>6114141303352.751</v>
      </c>
      <c r="D128" s="8">
        <f t="shared" si="0"/>
        <v>1.5099194991279974</v>
      </c>
    </row>
    <row r="129" spans="1:4" x14ac:dyDescent="0.25">
      <c r="A129" s="8" t="s">
        <v>833</v>
      </c>
      <c r="B129" s="8">
        <v>218498223271.11996</v>
      </c>
      <c r="C129" s="8">
        <v>221673040145</v>
      </c>
      <c r="D129" s="8">
        <f t="shared" si="0"/>
        <v>1.4530172494540678</v>
      </c>
    </row>
    <row r="130" spans="1:4" x14ac:dyDescent="0.25">
      <c r="A130" s="8" t="s">
        <v>767</v>
      </c>
      <c r="B130" s="8">
        <v>723772525477.17004</v>
      </c>
      <c r="C130" s="8">
        <v>733806551285.28003</v>
      </c>
      <c r="D130" s="8">
        <f t="shared" si="0"/>
        <v>1.3863507462506586</v>
      </c>
    </row>
    <row r="131" spans="1:4" x14ac:dyDescent="0.25">
      <c r="A131" s="8" t="s">
        <v>3561</v>
      </c>
      <c r="B131" s="8">
        <v>338363681132.26996</v>
      </c>
      <c r="C131" s="8">
        <v>342861538129.43005</v>
      </c>
      <c r="D131" s="8">
        <f t="shared" si="0"/>
        <v>1.3292966260766725</v>
      </c>
    </row>
    <row r="132" spans="1:4" x14ac:dyDescent="0.25">
      <c r="A132" s="8" t="s">
        <v>96</v>
      </c>
      <c r="B132" s="8">
        <v>20697328590.700001</v>
      </c>
      <c r="C132" s="8">
        <v>20945701026.400002</v>
      </c>
      <c r="D132" s="8">
        <f t="shared" si="0"/>
        <v>1.2000217062389529</v>
      </c>
    </row>
    <row r="133" spans="1:4" x14ac:dyDescent="0.25">
      <c r="A133" s="8" t="s">
        <v>2755</v>
      </c>
      <c r="B133" s="8">
        <v>3119777696048.1392</v>
      </c>
      <c r="C133" s="8">
        <v>3155475927465.6401</v>
      </c>
      <c r="D133" s="8">
        <f t="shared" si="0"/>
        <v>1.1442556135560673</v>
      </c>
    </row>
    <row r="134" spans="1:4" x14ac:dyDescent="0.25">
      <c r="A134" s="8" t="s">
        <v>13</v>
      </c>
      <c r="B134" s="8">
        <v>8369587708307.0654</v>
      </c>
      <c r="C134" s="8">
        <v>8461701359915.0742</v>
      </c>
      <c r="D134" s="8">
        <f t="shared" si="0"/>
        <v>1.1005757370411837</v>
      </c>
    </row>
    <row r="135" spans="1:4" x14ac:dyDescent="0.25">
      <c r="A135" s="8" t="s">
        <v>166</v>
      </c>
      <c r="B135" s="8">
        <v>542314015594.45001</v>
      </c>
      <c r="C135" s="8">
        <v>548189297671.25</v>
      </c>
      <c r="D135" s="8">
        <f t="shared" si="0"/>
        <v>1.0833727154109927</v>
      </c>
    </row>
    <row r="136" spans="1:4" x14ac:dyDescent="0.25">
      <c r="A136" s="8" t="s">
        <v>3831</v>
      </c>
      <c r="B136" s="8">
        <v>2846313042.9300003</v>
      </c>
      <c r="C136" s="8">
        <v>2872124414.5300002</v>
      </c>
      <c r="D136" s="8">
        <f t="shared" si="0"/>
        <v>0.90683530626095954</v>
      </c>
    </row>
    <row r="137" spans="1:4" x14ac:dyDescent="0.25">
      <c r="A137" s="8" t="s">
        <v>2575</v>
      </c>
      <c r="B137" s="8">
        <v>869198375460.05005</v>
      </c>
      <c r="C137" s="8">
        <v>876866863069.3999</v>
      </c>
      <c r="D137" s="8">
        <f t="shared" si="0"/>
        <v>0.88224826758230757</v>
      </c>
    </row>
    <row r="138" spans="1:4" x14ac:dyDescent="0.25">
      <c r="A138" s="8" t="s">
        <v>3085</v>
      </c>
      <c r="B138" s="8">
        <v>8152490804167.25</v>
      </c>
      <c r="C138" s="8">
        <v>8216975844971.6494</v>
      </c>
      <c r="D138" s="8">
        <f t="shared" si="0"/>
        <v>0.79098575335328269</v>
      </c>
    </row>
    <row r="139" spans="1:4" x14ac:dyDescent="0.25">
      <c r="A139" s="8" t="s">
        <v>3611</v>
      </c>
      <c r="B139" s="8">
        <v>190058903483.29999</v>
      </c>
      <c r="C139" s="8">
        <v>191246566608.41</v>
      </c>
      <c r="D139" s="8">
        <f t="shared" si="0"/>
        <v>0.62489212730535038</v>
      </c>
    </row>
    <row r="140" spans="1:4" x14ac:dyDescent="0.25">
      <c r="A140" s="8" t="s">
        <v>1970</v>
      </c>
      <c r="B140" s="8">
        <v>757254930670.84998</v>
      </c>
      <c r="C140" s="8">
        <v>761773440785.5</v>
      </c>
      <c r="D140" s="8">
        <f t="shared" si="0"/>
        <v>0.59669603083958644</v>
      </c>
    </row>
    <row r="141" spans="1:4" x14ac:dyDescent="0.25">
      <c r="A141" s="8" t="s">
        <v>2286</v>
      </c>
      <c r="B141" s="8">
        <v>528923688370.70013</v>
      </c>
      <c r="C141" s="8">
        <v>531805479313.03998</v>
      </c>
      <c r="D141" s="8">
        <f t="shared" si="0"/>
        <v>0.54484058961642101</v>
      </c>
    </row>
    <row r="142" spans="1:4" x14ac:dyDescent="0.25">
      <c r="A142" s="8" t="s">
        <v>1563</v>
      </c>
      <c r="B142" s="8">
        <v>45124124877.900002</v>
      </c>
      <c r="C142" s="8">
        <v>45357062422.599998</v>
      </c>
      <c r="D142" s="8">
        <f t="shared" si="0"/>
        <v>0.51621509631554197</v>
      </c>
    </row>
    <row r="143" spans="1:4" x14ac:dyDescent="0.25">
      <c r="A143" s="8" t="s">
        <v>758</v>
      </c>
      <c r="B143" s="8">
        <v>51095179624.099998</v>
      </c>
      <c r="C143" s="8">
        <v>51224851930.699997</v>
      </c>
      <c r="D143" s="8">
        <f t="shared" si="0"/>
        <v>0.25378579262071155</v>
      </c>
    </row>
    <row r="144" spans="1:4" x14ac:dyDescent="0.25">
      <c r="A144" s="8" t="s">
        <v>2577</v>
      </c>
      <c r="B144" s="8">
        <v>418281876172.64996</v>
      </c>
      <c r="C144" s="8">
        <v>419333932087.04999</v>
      </c>
      <c r="D144" s="8">
        <f t="shared" si="0"/>
        <v>0.25151840764092248</v>
      </c>
    </row>
    <row r="145" spans="1:4" x14ac:dyDescent="0.25">
      <c r="A145" s="8" t="s">
        <v>2627</v>
      </c>
      <c r="B145" s="8">
        <v>463826042077.08014</v>
      </c>
      <c r="C145" s="8">
        <v>464310276603.04999</v>
      </c>
      <c r="D145" s="8">
        <f t="shared" si="0"/>
        <v>0.10440002976145461</v>
      </c>
    </row>
    <row r="146" spans="1:4" x14ac:dyDescent="0.25">
      <c r="A146" s="8" t="s">
        <v>3369</v>
      </c>
      <c r="B146" s="8">
        <v>75870297670.610001</v>
      </c>
      <c r="C146" s="8">
        <v>75907659476.680008</v>
      </c>
      <c r="D146" s="8">
        <f t="shared" si="0"/>
        <v>4.9244311960146989E-2</v>
      </c>
    </row>
    <row r="147" spans="1:4" x14ac:dyDescent="0.25">
      <c r="A147" s="8" t="s">
        <v>3536</v>
      </c>
      <c r="B147" s="8">
        <v>1979618382324.3</v>
      </c>
      <c r="C147" s="8">
        <v>1980539498249.7502</v>
      </c>
      <c r="D147" s="8">
        <f t="shared" si="0"/>
        <v>4.6529974346303002E-2</v>
      </c>
    </row>
    <row r="148" spans="1:4" x14ac:dyDescent="0.25">
      <c r="A148" s="8" t="s">
        <v>3190</v>
      </c>
      <c r="B148" s="8">
        <v>111903430369.59999</v>
      </c>
      <c r="C148" s="8">
        <v>111748601754.25002</v>
      </c>
      <c r="D148" s="8">
        <f t="shared" si="0"/>
        <v>-0.13835913236850758</v>
      </c>
    </row>
    <row r="149" spans="1:4" x14ac:dyDescent="0.25">
      <c r="A149" s="8" t="s">
        <v>15</v>
      </c>
      <c r="B149" s="8">
        <v>10990592833503.385</v>
      </c>
      <c r="C149" s="8">
        <v>10913306717009.617</v>
      </c>
      <c r="D149" s="8">
        <f t="shared" si="0"/>
        <v>-0.70320243561540152</v>
      </c>
    </row>
    <row r="150" spans="1:4" x14ac:dyDescent="0.25">
      <c r="A150" s="8" t="s">
        <v>3312</v>
      </c>
      <c r="B150" s="8">
        <v>202000794868.28</v>
      </c>
      <c r="C150" s="8">
        <v>199694347875.27997</v>
      </c>
      <c r="D150" s="8">
        <f t="shared" si="0"/>
        <v>-1.1418009491022107</v>
      </c>
    </row>
    <row r="151" spans="1:4" x14ac:dyDescent="0.25">
      <c r="A151" s="8" t="s">
        <v>876</v>
      </c>
      <c r="B151" s="8">
        <v>1083571624.55</v>
      </c>
      <c r="C151" s="8">
        <v>1067279501.55</v>
      </c>
      <c r="D151" s="8">
        <f t="shared" si="0"/>
        <v>-1.503557552715171</v>
      </c>
    </row>
    <row r="152" spans="1:4" x14ac:dyDescent="0.25">
      <c r="A152" s="8" t="s">
        <v>3663</v>
      </c>
      <c r="B152" s="8">
        <v>88615789366.799988</v>
      </c>
      <c r="C152" s="8">
        <v>87001631547.200012</v>
      </c>
      <c r="D152" s="8">
        <f t="shared" si="0"/>
        <v>-1.8215239418774751</v>
      </c>
    </row>
    <row r="153" spans="1:4" x14ac:dyDescent="0.25">
      <c r="A153" s="8" t="s">
        <v>52</v>
      </c>
      <c r="B153" s="8">
        <v>708619329023.17004</v>
      </c>
      <c r="C153" s="8">
        <v>690808068399.91992</v>
      </c>
      <c r="D153" s="8">
        <f t="shared" si="0"/>
        <v>-2.5135160577404654</v>
      </c>
    </row>
    <row r="154" spans="1:4" x14ac:dyDescent="0.25">
      <c r="A154" s="8" t="s">
        <v>11</v>
      </c>
      <c r="B154" s="8">
        <v>947906983342.62</v>
      </c>
      <c r="C154" s="8">
        <v>922806667632.02002</v>
      </c>
      <c r="D154" s="8">
        <f t="shared" si="0"/>
        <v>-2.6479724436767329</v>
      </c>
    </row>
    <row r="155" spans="1:4" x14ac:dyDescent="0.25">
      <c r="A155" s="8" t="s">
        <v>1968</v>
      </c>
      <c r="B155" s="8">
        <v>28306677407718.289</v>
      </c>
      <c r="C155" s="8">
        <v>27554944821601.824</v>
      </c>
      <c r="D155" s="8">
        <f t="shared" si="0"/>
        <v>-2.6556722828638741</v>
      </c>
    </row>
    <row r="156" spans="1:4" x14ac:dyDescent="0.25">
      <c r="A156" s="8" t="s">
        <v>3639</v>
      </c>
      <c r="B156" s="8">
        <v>7580561673.3199997</v>
      </c>
      <c r="C156" s="8">
        <v>7375306396.6800003</v>
      </c>
      <c r="D156" s="8">
        <f t="shared" si="0"/>
        <v>-2.7076526184385665</v>
      </c>
    </row>
    <row r="157" spans="1:4" x14ac:dyDescent="0.25">
      <c r="A157" s="8" t="s">
        <v>3110</v>
      </c>
      <c r="B157" s="8">
        <v>1502577830915.99</v>
      </c>
      <c r="C157" s="8">
        <v>1460568967420.6003</v>
      </c>
      <c r="D157" s="8">
        <f t="shared" si="0"/>
        <v>-2.7957861903087262</v>
      </c>
    </row>
    <row r="158" spans="1:4" x14ac:dyDescent="0.25">
      <c r="A158" s="8" t="s">
        <v>3874</v>
      </c>
      <c r="B158" s="8">
        <v>217322450519.84998</v>
      </c>
      <c r="C158" s="8">
        <v>210442942648.54999</v>
      </c>
      <c r="D158" s="8">
        <f t="shared" si="0"/>
        <v>-3.1655762461925772</v>
      </c>
    </row>
    <row r="159" spans="1:4" x14ac:dyDescent="0.25">
      <c r="A159" s="8" t="s">
        <v>3618</v>
      </c>
      <c r="B159" s="8">
        <v>151026305050</v>
      </c>
      <c r="C159" s="8">
        <v>146024502003.95001</v>
      </c>
      <c r="D159" s="8">
        <f t="shared" si="0"/>
        <v>-3.3118754010396074</v>
      </c>
    </row>
    <row r="160" spans="1:4" x14ac:dyDescent="0.25">
      <c r="A160" s="8" t="s">
        <v>3976</v>
      </c>
      <c r="B160" s="8">
        <v>1052331398555.01</v>
      </c>
      <c r="C160" s="8">
        <v>1016555688867.26</v>
      </c>
      <c r="D160" s="8">
        <f t="shared" si="0"/>
        <v>-3.3996619065890057</v>
      </c>
    </row>
    <row r="161" spans="1:4" x14ac:dyDescent="0.25">
      <c r="A161" s="8" t="s">
        <v>3900</v>
      </c>
      <c r="B161" s="8">
        <v>189435355342.64999</v>
      </c>
      <c r="C161" s="8">
        <v>182763310749.26999</v>
      </c>
      <c r="D161" s="8">
        <f t="shared" si="0"/>
        <v>-3.5220693525301203</v>
      </c>
    </row>
    <row r="162" spans="1:4" x14ac:dyDescent="0.25">
      <c r="A162" s="8" t="s">
        <v>342</v>
      </c>
      <c r="B162" s="8">
        <v>1101559777559.75</v>
      </c>
      <c r="C162" s="8">
        <v>1056162349247.3</v>
      </c>
      <c r="D162" s="8">
        <f t="shared" si="0"/>
        <v>-4.121195166822214</v>
      </c>
    </row>
    <row r="163" spans="1:4" x14ac:dyDescent="0.25">
      <c r="A163" s="8" t="s">
        <v>1315</v>
      </c>
      <c r="B163" s="8">
        <v>112037224244.5</v>
      </c>
      <c r="C163" s="8">
        <v>107197689637.35001</v>
      </c>
      <c r="D163" s="8">
        <f t="shared" si="0"/>
        <v>-4.3195773902686367</v>
      </c>
    </row>
    <row r="164" spans="1:4" x14ac:dyDescent="0.25">
      <c r="A164" s="8" t="s">
        <v>2567</v>
      </c>
      <c r="B164" s="8">
        <v>122248216143</v>
      </c>
      <c r="C164" s="8">
        <v>116337011340</v>
      </c>
      <c r="D164" s="8">
        <f t="shared" si="0"/>
        <v>-4.8354119098845256</v>
      </c>
    </row>
    <row r="165" spans="1:4" x14ac:dyDescent="0.25">
      <c r="A165" s="8" t="s">
        <v>2422</v>
      </c>
      <c r="B165" s="8">
        <v>433731413064.1001</v>
      </c>
      <c r="C165" s="8">
        <v>411895304687.4801</v>
      </c>
      <c r="D165" s="8">
        <f t="shared" si="0"/>
        <v>-5.0344770332309068</v>
      </c>
    </row>
    <row r="166" spans="1:4" x14ac:dyDescent="0.25">
      <c r="A166" s="8" t="s">
        <v>2867</v>
      </c>
      <c r="B166" s="8">
        <v>4803620944.3000002</v>
      </c>
      <c r="C166" s="8">
        <v>4534524331.75</v>
      </c>
      <c r="D166" s="8">
        <f t="shared" si="0"/>
        <v>-5.6019535194447752</v>
      </c>
    </row>
    <row r="167" spans="1:4" x14ac:dyDescent="0.25">
      <c r="A167" s="8" t="s">
        <v>815</v>
      </c>
      <c r="B167" s="8">
        <v>32367520108.500004</v>
      </c>
      <c r="C167" s="8">
        <v>30548923226.699997</v>
      </c>
      <c r="D167" s="8">
        <f t="shared" si="0"/>
        <v>-5.6185857789037934</v>
      </c>
    </row>
    <row r="168" spans="1:4" x14ac:dyDescent="0.25">
      <c r="A168" s="8" t="s">
        <v>1672</v>
      </c>
      <c r="B168" s="8">
        <v>314278494435.34998</v>
      </c>
      <c r="C168" s="8">
        <v>293931845887.54999</v>
      </c>
      <c r="D168" s="8">
        <f t="shared" si="0"/>
        <v>-6.4740823530912914</v>
      </c>
    </row>
    <row r="169" spans="1:4" x14ac:dyDescent="0.25">
      <c r="A169" s="8" t="s">
        <v>2778</v>
      </c>
      <c r="B169" s="8">
        <v>4677072375.3999996</v>
      </c>
      <c r="C169" s="8">
        <v>4337944261.0500002</v>
      </c>
      <c r="D169" s="8">
        <f t="shared" si="0"/>
        <v>-7.250863085500062</v>
      </c>
    </row>
    <row r="170" spans="1:4" x14ac:dyDescent="0.25">
      <c r="A170" s="8" t="s">
        <v>1538</v>
      </c>
      <c r="B170" s="8">
        <v>829048181.86000001</v>
      </c>
      <c r="C170" s="8">
        <v>762532064.10000002</v>
      </c>
      <c r="D170" s="8">
        <f t="shared" si="0"/>
        <v>-8.0231908368423941</v>
      </c>
    </row>
    <row r="171" spans="1:4" x14ac:dyDescent="0.25">
      <c r="A171" s="8" t="s">
        <v>2757</v>
      </c>
      <c r="B171" s="8">
        <v>740429222456.31006</v>
      </c>
      <c r="C171" s="8">
        <v>676137902461.41003</v>
      </c>
      <c r="D171" s="8">
        <f t="shared" si="0"/>
        <v>-8.6829798237323903</v>
      </c>
    </row>
    <row r="172" spans="1:4" x14ac:dyDescent="0.25">
      <c r="A172" s="8" t="s">
        <v>668</v>
      </c>
      <c r="B172" s="8">
        <v>82448776212.850006</v>
      </c>
      <c r="C172" s="8">
        <v>74943982433.700012</v>
      </c>
      <c r="D172" s="8">
        <f t="shared" si="0"/>
        <v>-9.1023713436032043</v>
      </c>
    </row>
    <row r="173" spans="1:4" x14ac:dyDescent="0.25">
      <c r="A173" s="8" t="s">
        <v>4036</v>
      </c>
      <c r="B173" s="8">
        <v>249383005437.62</v>
      </c>
      <c r="C173" s="8">
        <v>224989909274.23001</v>
      </c>
      <c r="D173" s="8">
        <f t="shared" si="0"/>
        <v>-9.7813786952261292</v>
      </c>
    </row>
    <row r="174" spans="1:4" x14ac:dyDescent="0.25">
      <c r="A174" s="8" t="s">
        <v>2998</v>
      </c>
      <c r="B174" s="8">
        <v>16387435418.300001</v>
      </c>
      <c r="C174" s="8">
        <v>14485947372.540001</v>
      </c>
      <c r="D174" s="8">
        <f t="shared" si="0"/>
        <v>-11.603328997022871</v>
      </c>
    </row>
    <row r="175" spans="1:4" x14ac:dyDescent="0.25">
      <c r="A175" s="8" t="s">
        <v>1171</v>
      </c>
      <c r="B175" s="8">
        <v>874678241484.99988</v>
      </c>
      <c r="C175" s="8">
        <v>737192521500.92969</v>
      </c>
      <c r="D175" s="8">
        <f t="shared" si="0"/>
        <v>-15.718433758069878</v>
      </c>
    </row>
    <row r="176" spans="1:4" x14ac:dyDescent="0.25">
      <c r="A176" s="8" t="s">
        <v>2905</v>
      </c>
      <c r="B176" s="8">
        <v>50488385446.620003</v>
      </c>
      <c r="C176" s="8">
        <v>16450921593.750002</v>
      </c>
      <c r="D176" s="8">
        <f t="shared" si="0"/>
        <v>-67.416423701757878</v>
      </c>
    </row>
    <row r="177" spans="4:4" x14ac:dyDescent="0.25">
      <c r="D177" s="8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Y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51.21875" customWidth="1"/>
    <col min="2" max="3" width="25.6640625" customWidth="1"/>
  </cols>
  <sheetData>
    <row r="1" spans="1:25" x14ac:dyDescent="0.25">
      <c r="A1" s="38" t="s">
        <v>0</v>
      </c>
      <c r="B1" s="38" t="s">
        <v>4354</v>
      </c>
      <c r="C1" s="38" t="s">
        <v>4505</v>
      </c>
      <c r="D1" s="38" t="s">
        <v>6</v>
      </c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</row>
    <row r="2" spans="1:25" x14ac:dyDescent="0.25">
      <c r="A2" s="8" t="s">
        <v>3262</v>
      </c>
      <c r="B2" s="8">
        <v>1826523728401.25</v>
      </c>
      <c r="C2" s="8">
        <v>2499077945776.3999</v>
      </c>
      <c r="D2" s="8">
        <f t="shared" ref="D2:D74" si="0">((C2-B2)/B2)*100</f>
        <v>36.821542853091451</v>
      </c>
    </row>
    <row r="3" spans="1:25" x14ac:dyDescent="0.25">
      <c r="A3" s="8" t="s">
        <v>4033</v>
      </c>
      <c r="B3" s="8">
        <v>2446335722327.6499</v>
      </c>
      <c r="C3" s="8">
        <v>3279403788062.6499</v>
      </c>
      <c r="D3" s="8">
        <f t="shared" si="0"/>
        <v>34.053709723142532</v>
      </c>
    </row>
    <row r="4" spans="1:25" x14ac:dyDescent="0.25">
      <c r="A4" s="8" t="s">
        <v>1672</v>
      </c>
      <c r="B4" s="8">
        <v>152589333471.15002</v>
      </c>
      <c r="C4" s="8">
        <v>197419312182.25</v>
      </c>
      <c r="D4" s="8">
        <f t="shared" si="0"/>
        <v>29.379497040385168</v>
      </c>
    </row>
    <row r="5" spans="1:25" x14ac:dyDescent="0.25">
      <c r="A5" s="8" t="s">
        <v>985</v>
      </c>
      <c r="B5" s="8">
        <v>1431164263322.0002</v>
      </c>
      <c r="C5" s="8">
        <v>1706055134770.6499</v>
      </c>
      <c r="D5" s="8">
        <f t="shared" si="0"/>
        <v>19.207499690537023</v>
      </c>
    </row>
    <row r="6" spans="1:25" x14ac:dyDescent="0.25">
      <c r="A6" s="8" t="s">
        <v>3874</v>
      </c>
      <c r="B6" s="8">
        <v>209028779024.39001</v>
      </c>
      <c r="C6" s="8">
        <v>244340859568.96002</v>
      </c>
      <c r="D6" s="8">
        <f t="shared" si="0"/>
        <v>16.893406118231074</v>
      </c>
    </row>
    <row r="7" spans="1:25" x14ac:dyDescent="0.25">
      <c r="A7" s="8" t="s">
        <v>3672</v>
      </c>
      <c r="B7" s="8">
        <v>4117256454.6600003</v>
      </c>
      <c r="C7" s="8">
        <v>4699697867.9899998</v>
      </c>
      <c r="D7" s="8">
        <f t="shared" si="0"/>
        <v>14.146347689145756</v>
      </c>
    </row>
    <row r="8" spans="1:25" x14ac:dyDescent="0.25">
      <c r="A8" s="8" t="s">
        <v>2567</v>
      </c>
      <c r="B8" s="8">
        <v>173470653024</v>
      </c>
      <c r="C8" s="8">
        <v>196523431089</v>
      </c>
      <c r="D8" s="8">
        <f t="shared" si="0"/>
        <v>13.289151601804718</v>
      </c>
    </row>
    <row r="9" spans="1:25" x14ac:dyDescent="0.25">
      <c r="A9" s="8" t="s">
        <v>935</v>
      </c>
      <c r="B9" s="8">
        <v>2871580777383.7495</v>
      </c>
      <c r="C9" s="8">
        <v>3252401382998.6597</v>
      </c>
      <c r="D9" s="8">
        <f t="shared" si="0"/>
        <v>13.261706186857456</v>
      </c>
    </row>
    <row r="10" spans="1:25" x14ac:dyDescent="0.25">
      <c r="A10" s="8" t="s">
        <v>876</v>
      </c>
      <c r="B10" s="8">
        <v>2292693469.1999998</v>
      </c>
      <c r="C10" s="8">
        <v>2595659737.9499998</v>
      </c>
      <c r="D10" s="8">
        <f t="shared" si="0"/>
        <v>13.214425426688873</v>
      </c>
    </row>
    <row r="11" spans="1:25" x14ac:dyDescent="0.25">
      <c r="A11" s="8" t="s">
        <v>183</v>
      </c>
      <c r="B11" s="8">
        <v>702719178947.59998</v>
      </c>
      <c r="C11" s="8">
        <v>792367645070.99988</v>
      </c>
      <c r="D11" s="8">
        <f t="shared" si="0"/>
        <v>12.757367211417003</v>
      </c>
    </row>
    <row r="12" spans="1:25" x14ac:dyDescent="0.25">
      <c r="A12" s="8" t="s">
        <v>2816</v>
      </c>
      <c r="B12" s="8">
        <v>176216242356.5</v>
      </c>
      <c r="C12" s="8">
        <v>197481800742.89999</v>
      </c>
      <c r="D12" s="8">
        <f t="shared" si="0"/>
        <v>12.067876435236892</v>
      </c>
    </row>
    <row r="13" spans="1:25" x14ac:dyDescent="0.25">
      <c r="A13" s="8" t="s">
        <v>1970</v>
      </c>
      <c r="B13" s="8">
        <v>1024871282096.5499</v>
      </c>
      <c r="C13" s="8">
        <v>1140912165092.0498</v>
      </c>
      <c r="D13" s="8">
        <f t="shared" si="0"/>
        <v>11.322483615514951</v>
      </c>
    </row>
    <row r="14" spans="1:25" x14ac:dyDescent="0.25">
      <c r="A14" s="8" t="s">
        <v>3118</v>
      </c>
      <c r="B14" s="8">
        <v>7782543272775.9492</v>
      </c>
      <c r="C14" s="8">
        <v>8578840165372</v>
      </c>
      <c r="D14" s="8">
        <f t="shared" si="0"/>
        <v>10.231833793736431</v>
      </c>
    </row>
    <row r="15" spans="1:25" x14ac:dyDescent="0.25">
      <c r="A15" s="8" t="s">
        <v>2575</v>
      </c>
      <c r="B15" s="8">
        <v>834375498564.08008</v>
      </c>
      <c r="C15" s="8">
        <v>918452104434.05005</v>
      </c>
      <c r="D15" s="8">
        <f t="shared" si="0"/>
        <v>10.076590937133432</v>
      </c>
    </row>
    <row r="16" spans="1:25" x14ac:dyDescent="0.25">
      <c r="A16" s="8" t="s">
        <v>2721</v>
      </c>
      <c r="B16" s="8">
        <v>4124783974399.9702</v>
      </c>
      <c r="C16" s="8">
        <v>4528368909692.7393</v>
      </c>
      <c r="D16" s="8">
        <f t="shared" si="0"/>
        <v>9.7843896261616532</v>
      </c>
    </row>
    <row r="17" spans="1:4" x14ac:dyDescent="0.25">
      <c r="A17" s="8" t="s">
        <v>13</v>
      </c>
      <c r="B17" s="8">
        <v>7860361137501.8545</v>
      </c>
      <c r="C17" s="8">
        <v>8608689752384.5703</v>
      </c>
      <c r="D17" s="8">
        <f t="shared" si="0"/>
        <v>9.5202828698599244</v>
      </c>
    </row>
    <row r="18" spans="1:4" x14ac:dyDescent="0.25">
      <c r="A18" s="8" t="s">
        <v>3140</v>
      </c>
      <c r="B18" s="8">
        <v>2453382175472.0894</v>
      </c>
      <c r="C18" s="8">
        <v>2681318999447.9204</v>
      </c>
      <c r="D18" s="8">
        <f t="shared" si="0"/>
        <v>9.2907181871071742</v>
      </c>
    </row>
    <row r="19" spans="1:4" x14ac:dyDescent="0.25">
      <c r="A19" s="8" t="s">
        <v>1968</v>
      </c>
      <c r="B19" s="8">
        <v>29717799988569.094</v>
      </c>
      <c r="C19" s="8">
        <v>32466451160897.035</v>
      </c>
      <c r="D19" s="8">
        <f t="shared" si="0"/>
        <v>9.2491744792185351</v>
      </c>
    </row>
    <row r="20" spans="1:4" x14ac:dyDescent="0.25">
      <c r="A20" s="8" t="s">
        <v>2787</v>
      </c>
      <c r="B20" s="8">
        <v>492273967499.18994</v>
      </c>
      <c r="C20" s="8">
        <v>536035652674.93994</v>
      </c>
      <c r="D20" s="8">
        <f t="shared" si="0"/>
        <v>8.8897012771291859</v>
      </c>
    </row>
    <row r="21" spans="1:4" x14ac:dyDescent="0.25">
      <c r="A21" s="8" t="s">
        <v>2834</v>
      </c>
      <c r="B21" s="8">
        <v>15381389154.049999</v>
      </c>
      <c r="C21" s="8">
        <v>16733478604.650002</v>
      </c>
      <c r="D21" s="8">
        <f t="shared" si="0"/>
        <v>8.7904248248214323</v>
      </c>
    </row>
    <row r="22" spans="1:4" x14ac:dyDescent="0.25">
      <c r="A22" s="8" t="s">
        <v>1695</v>
      </c>
      <c r="B22" s="8">
        <v>52500561914.500008</v>
      </c>
      <c r="C22" s="8">
        <v>57092994640.93</v>
      </c>
      <c r="D22" s="8">
        <f t="shared" si="0"/>
        <v>8.7473972829262596</v>
      </c>
    </row>
    <row r="23" spans="1:4" x14ac:dyDescent="0.25">
      <c r="A23" s="8" t="s">
        <v>2892</v>
      </c>
      <c r="B23" s="8">
        <v>1646996928709.3501</v>
      </c>
      <c r="C23" s="8">
        <v>1786146064966.25</v>
      </c>
      <c r="D23" s="8">
        <f t="shared" si="0"/>
        <v>8.4486579076952193</v>
      </c>
    </row>
    <row r="24" spans="1:4" x14ac:dyDescent="0.25">
      <c r="A24" s="8" t="s">
        <v>893</v>
      </c>
      <c r="B24" s="8">
        <v>1034397787914.21</v>
      </c>
      <c r="C24" s="8">
        <v>1121343120626.3301</v>
      </c>
      <c r="D24" s="8">
        <f t="shared" si="0"/>
        <v>8.4054059016734008</v>
      </c>
    </row>
    <row r="25" spans="1:4" x14ac:dyDescent="0.25">
      <c r="A25" s="8" t="s">
        <v>108</v>
      </c>
      <c r="B25" s="8">
        <v>1026531736573.1</v>
      </c>
      <c r="C25" s="8">
        <v>1112125668415.1499</v>
      </c>
      <c r="D25" s="8">
        <f t="shared" si="0"/>
        <v>8.3381671303987712</v>
      </c>
    </row>
    <row r="26" spans="1:4" x14ac:dyDescent="0.25">
      <c r="A26" s="8" t="s">
        <v>850</v>
      </c>
      <c r="B26" s="8">
        <v>268945432006.5</v>
      </c>
      <c r="C26" s="8">
        <v>291037291834</v>
      </c>
      <c r="D26" s="8">
        <f t="shared" si="0"/>
        <v>8.2142535988363896</v>
      </c>
    </row>
    <row r="27" spans="1:4" x14ac:dyDescent="0.25">
      <c r="A27" s="8" t="s">
        <v>2755</v>
      </c>
      <c r="B27" s="8">
        <v>3052627845344.1392</v>
      </c>
      <c r="C27" s="8">
        <v>3298339242442.6807</v>
      </c>
      <c r="D27" s="8">
        <f t="shared" si="0"/>
        <v>8.0491763014381181</v>
      </c>
    </row>
    <row r="28" spans="1:4" x14ac:dyDescent="0.25">
      <c r="A28" s="8" t="s">
        <v>41</v>
      </c>
      <c r="B28" s="8">
        <v>278862826752.70001</v>
      </c>
      <c r="C28" s="8">
        <v>300893590653.5</v>
      </c>
      <c r="D28" s="8">
        <f t="shared" si="0"/>
        <v>7.900215370167361</v>
      </c>
    </row>
    <row r="29" spans="1:4" x14ac:dyDescent="0.25">
      <c r="A29" s="8" t="s">
        <v>788</v>
      </c>
      <c r="B29" s="8">
        <v>16478152568567.031</v>
      </c>
      <c r="C29" s="8">
        <v>17761896145144.02</v>
      </c>
      <c r="D29" s="8">
        <f t="shared" si="0"/>
        <v>7.7905795035894894</v>
      </c>
    </row>
    <row r="30" spans="1:4" x14ac:dyDescent="0.25">
      <c r="A30" s="8" t="s">
        <v>1478</v>
      </c>
      <c r="B30" s="8">
        <v>242804620898.82999</v>
      </c>
      <c r="C30" s="8">
        <v>261272794405.78003</v>
      </c>
      <c r="D30" s="8">
        <f t="shared" si="0"/>
        <v>7.6061869986589841</v>
      </c>
    </row>
    <row r="31" spans="1:4" x14ac:dyDescent="0.25">
      <c r="A31" s="8" t="s">
        <v>3793</v>
      </c>
      <c r="B31" s="8">
        <v>341242589630.22003</v>
      </c>
      <c r="C31" s="8">
        <v>366854938315.59998</v>
      </c>
      <c r="D31" s="8">
        <f t="shared" si="0"/>
        <v>7.5056131513754485</v>
      </c>
    </row>
    <row r="32" spans="1:4" x14ac:dyDescent="0.25">
      <c r="A32" s="8" t="s">
        <v>1001</v>
      </c>
      <c r="B32" s="8">
        <v>440924769951.59998</v>
      </c>
      <c r="C32" s="8">
        <v>473201915653.84998</v>
      </c>
      <c r="D32" s="8">
        <f t="shared" si="0"/>
        <v>7.3203294307536959</v>
      </c>
    </row>
    <row r="33" spans="1:4" x14ac:dyDescent="0.25">
      <c r="A33" s="8" t="s">
        <v>3814</v>
      </c>
      <c r="B33" s="8">
        <v>2527572641.25</v>
      </c>
      <c r="C33" s="8">
        <v>2710761346.3900003</v>
      </c>
      <c r="D33" s="8">
        <f t="shared" si="0"/>
        <v>7.2476138628168236</v>
      </c>
    </row>
    <row r="34" spans="1:4" x14ac:dyDescent="0.25">
      <c r="A34" s="8" t="s">
        <v>3475</v>
      </c>
      <c r="B34" s="8">
        <v>4684544490858.791</v>
      </c>
      <c r="C34" s="8">
        <v>4992966864530.7393</v>
      </c>
      <c r="D34" s="8">
        <f t="shared" si="0"/>
        <v>6.5838284655805861</v>
      </c>
    </row>
    <row r="35" spans="1:4" x14ac:dyDescent="0.25">
      <c r="A35" s="8" t="s">
        <v>2522</v>
      </c>
      <c r="B35" s="8">
        <v>292197584631.45001</v>
      </c>
      <c r="C35" s="8">
        <v>311108866571.65002</v>
      </c>
      <c r="D35" s="8">
        <f t="shared" si="0"/>
        <v>6.472087017438179</v>
      </c>
    </row>
    <row r="36" spans="1:4" x14ac:dyDescent="0.25">
      <c r="A36" s="8" t="s">
        <v>1376</v>
      </c>
      <c r="B36" s="8">
        <v>5610972253898.2988</v>
      </c>
      <c r="C36" s="8">
        <v>5948018972246.9092</v>
      </c>
      <c r="D36" s="8">
        <f t="shared" si="0"/>
        <v>6.0069218505659618</v>
      </c>
    </row>
    <row r="37" spans="1:4" x14ac:dyDescent="0.25">
      <c r="A37" s="8" t="s">
        <v>807</v>
      </c>
      <c r="B37" s="8">
        <v>2058886156003.9397</v>
      </c>
      <c r="C37" s="8">
        <v>2180080532986.9001</v>
      </c>
      <c r="D37" s="8">
        <f t="shared" si="0"/>
        <v>5.8864049685090283</v>
      </c>
    </row>
    <row r="38" spans="1:4" x14ac:dyDescent="0.25">
      <c r="A38" s="8" t="s">
        <v>3663</v>
      </c>
      <c r="B38" s="8">
        <v>58446889.199999996</v>
      </c>
      <c r="C38" s="8">
        <v>61848560</v>
      </c>
      <c r="D38" s="8">
        <f t="shared" si="0"/>
        <v>5.8201058201058284</v>
      </c>
    </row>
    <row r="39" spans="1:4" x14ac:dyDescent="0.25">
      <c r="A39" s="8" t="s">
        <v>350</v>
      </c>
      <c r="B39" s="8">
        <v>1007199567287.37</v>
      </c>
      <c r="C39" s="8">
        <v>1065564603305.05</v>
      </c>
      <c r="D39" s="8">
        <f t="shared" si="0"/>
        <v>5.7947836668428181</v>
      </c>
    </row>
    <row r="40" spans="1:4" x14ac:dyDescent="0.25">
      <c r="A40" s="8" t="s">
        <v>2346</v>
      </c>
      <c r="B40" s="8">
        <v>6643649400.9699993</v>
      </c>
      <c r="C40" s="8">
        <v>7025783234.0700006</v>
      </c>
      <c r="D40" s="8">
        <f t="shared" si="0"/>
        <v>5.7518663318417778</v>
      </c>
    </row>
    <row r="41" spans="1:4" x14ac:dyDescent="0.25">
      <c r="A41" s="8" t="s">
        <v>3183</v>
      </c>
      <c r="B41" s="8">
        <v>4277606372683.3003</v>
      </c>
      <c r="C41" s="8">
        <v>4514474282900.8994</v>
      </c>
      <c r="D41" s="8">
        <f t="shared" si="0"/>
        <v>5.5373938034652364</v>
      </c>
    </row>
    <row r="42" spans="1:4" x14ac:dyDescent="0.25">
      <c r="A42" s="8" t="s">
        <v>2444</v>
      </c>
      <c r="B42" s="8">
        <v>1180877323864.3</v>
      </c>
      <c r="C42" s="8">
        <v>1245045952832.75</v>
      </c>
      <c r="D42" s="8">
        <f t="shared" si="0"/>
        <v>5.4339792687749044</v>
      </c>
    </row>
    <row r="43" spans="1:4" x14ac:dyDescent="0.25">
      <c r="A43" s="8" t="s">
        <v>680</v>
      </c>
      <c r="B43" s="8">
        <v>21283303878602.051</v>
      </c>
      <c r="C43" s="8">
        <v>22428818540832.246</v>
      </c>
      <c r="D43" s="8">
        <f t="shared" si="0"/>
        <v>5.3822219931834949</v>
      </c>
    </row>
    <row r="44" spans="1:4" x14ac:dyDescent="0.25">
      <c r="A44" s="8" t="s">
        <v>4016</v>
      </c>
      <c r="B44" s="8">
        <v>1542333274085.97</v>
      </c>
      <c r="C44" s="8">
        <v>1622871084071.27</v>
      </c>
      <c r="D44" s="8">
        <f t="shared" si="0"/>
        <v>5.221816279171505</v>
      </c>
    </row>
    <row r="45" spans="1:4" x14ac:dyDescent="0.25">
      <c r="A45" s="8" t="s">
        <v>2577</v>
      </c>
      <c r="B45" s="8">
        <v>343680183608.54999</v>
      </c>
      <c r="C45" s="8">
        <v>358833003791.04999</v>
      </c>
      <c r="D45" s="8">
        <f t="shared" si="0"/>
        <v>4.4089886194192056</v>
      </c>
    </row>
    <row r="46" spans="1:4" x14ac:dyDescent="0.25">
      <c r="A46" s="8" t="s">
        <v>295</v>
      </c>
      <c r="B46" s="8">
        <v>63940401490.150002</v>
      </c>
      <c r="C46" s="8">
        <v>66428938621.799995</v>
      </c>
      <c r="D46" s="8">
        <f t="shared" si="0"/>
        <v>3.8919635686575291</v>
      </c>
    </row>
    <row r="47" spans="1:4" x14ac:dyDescent="0.25">
      <c r="A47" s="8" t="s">
        <v>3085</v>
      </c>
      <c r="B47" s="8">
        <v>4162421262215.7998</v>
      </c>
      <c r="C47" s="8">
        <v>4316430708803.6001</v>
      </c>
      <c r="D47" s="8">
        <f t="shared" si="0"/>
        <v>3.6999966338297963</v>
      </c>
    </row>
    <row r="48" spans="1:4" x14ac:dyDescent="0.25">
      <c r="A48" s="8" t="s">
        <v>3431</v>
      </c>
      <c r="B48" s="8">
        <v>4199005466162.3008</v>
      </c>
      <c r="C48" s="8">
        <v>4346894314809.0503</v>
      </c>
      <c r="D48" s="8">
        <f t="shared" si="0"/>
        <v>3.521997049980341</v>
      </c>
    </row>
    <row r="49" spans="1:4" x14ac:dyDescent="0.25">
      <c r="A49" s="8" t="s">
        <v>67</v>
      </c>
      <c r="B49" s="8">
        <v>517333515246.15002</v>
      </c>
      <c r="C49" s="8">
        <v>535314349852.75</v>
      </c>
      <c r="D49" s="8">
        <f t="shared" si="0"/>
        <v>3.47567557034162</v>
      </c>
    </row>
    <row r="50" spans="1:4" x14ac:dyDescent="0.25">
      <c r="A50" s="8" t="s">
        <v>1868</v>
      </c>
      <c r="B50" s="8">
        <v>4617694849414.0986</v>
      </c>
      <c r="C50" s="8">
        <v>4773379278448.749</v>
      </c>
      <c r="D50" s="8">
        <f t="shared" si="0"/>
        <v>3.3714750348738156</v>
      </c>
    </row>
    <row r="51" spans="1:4" x14ac:dyDescent="0.25">
      <c r="A51" s="8" t="s">
        <v>642</v>
      </c>
      <c r="B51" s="8">
        <v>1285909436633.2</v>
      </c>
      <c r="C51" s="8">
        <v>1327667980433.75</v>
      </c>
      <c r="D51" s="8">
        <f t="shared" si="0"/>
        <v>3.2473938374605376</v>
      </c>
    </row>
    <row r="52" spans="1:4" x14ac:dyDescent="0.25">
      <c r="A52" s="8" t="s">
        <v>356</v>
      </c>
      <c r="B52" s="8">
        <v>2092870745043.27</v>
      </c>
      <c r="C52" s="8">
        <v>2154199152132.28</v>
      </c>
      <c r="D52" s="8">
        <f t="shared" si="0"/>
        <v>2.930348528893123</v>
      </c>
    </row>
    <row r="53" spans="1:4" x14ac:dyDescent="0.25">
      <c r="A53" s="8" t="s">
        <v>3707</v>
      </c>
      <c r="B53" s="8">
        <v>129656730483.90002</v>
      </c>
      <c r="C53" s="8">
        <v>133382031517.55</v>
      </c>
      <c r="D53" s="8">
        <f t="shared" si="0"/>
        <v>2.873202971991156</v>
      </c>
    </row>
    <row r="54" spans="1:4" x14ac:dyDescent="0.25">
      <c r="A54" s="8" t="s">
        <v>4051</v>
      </c>
      <c r="B54" s="8">
        <v>28629021020.599998</v>
      </c>
      <c r="C54" s="8">
        <v>29444133007.700001</v>
      </c>
      <c r="D54" s="8">
        <f t="shared" si="0"/>
        <v>2.8471528471528553</v>
      </c>
    </row>
    <row r="55" spans="1:4" x14ac:dyDescent="0.25">
      <c r="A55" s="8" t="s">
        <v>711</v>
      </c>
      <c r="B55" s="8">
        <v>592584554230.97998</v>
      </c>
      <c r="C55" s="8">
        <v>608859669970.17004</v>
      </c>
      <c r="D55" s="8">
        <f t="shared" si="0"/>
        <v>2.746463036032202</v>
      </c>
    </row>
    <row r="56" spans="1:4" x14ac:dyDescent="0.25">
      <c r="A56" s="8" t="s">
        <v>3536</v>
      </c>
      <c r="B56" s="8">
        <v>1687803892176.9299</v>
      </c>
      <c r="C56" s="8">
        <v>1724886790716.8501</v>
      </c>
      <c r="D56" s="8">
        <f t="shared" si="0"/>
        <v>2.197109433850791</v>
      </c>
    </row>
    <row r="57" spans="1:4" x14ac:dyDescent="0.25">
      <c r="A57" s="8" t="s">
        <v>3639</v>
      </c>
      <c r="B57" s="8">
        <v>7294939600.1399994</v>
      </c>
      <c r="C57" s="8">
        <v>7429147806.0200005</v>
      </c>
      <c r="D57" s="8">
        <f t="shared" si="0"/>
        <v>1.8397438942116182</v>
      </c>
    </row>
    <row r="58" spans="1:4" x14ac:dyDescent="0.25">
      <c r="A58" s="8" t="s">
        <v>110</v>
      </c>
      <c r="B58" s="8">
        <v>441513195618.07996</v>
      </c>
      <c r="C58" s="8">
        <v>449137876546.58002</v>
      </c>
      <c r="D58" s="8">
        <f t="shared" si="0"/>
        <v>1.7269429326627876</v>
      </c>
    </row>
    <row r="59" spans="1:4" x14ac:dyDescent="0.25">
      <c r="A59" s="8" t="s">
        <v>1606</v>
      </c>
      <c r="B59" s="8">
        <v>125930674483.19</v>
      </c>
      <c r="C59" s="8">
        <v>127931440036.94</v>
      </c>
      <c r="D59" s="8">
        <f t="shared" si="0"/>
        <v>1.5887833222215246</v>
      </c>
    </row>
    <row r="60" spans="1:4" x14ac:dyDescent="0.25">
      <c r="A60" s="8" t="s">
        <v>2867</v>
      </c>
      <c r="B60" s="8">
        <v>3091400390.3800006</v>
      </c>
      <c r="C60" s="8">
        <v>3119403925.3000002</v>
      </c>
      <c r="D60" s="8">
        <f t="shared" si="0"/>
        <v>0.90585273286315893</v>
      </c>
    </row>
    <row r="61" spans="1:4" x14ac:dyDescent="0.25">
      <c r="A61" s="8" t="s">
        <v>2753</v>
      </c>
      <c r="B61" s="8">
        <v>1113688589857.8403</v>
      </c>
      <c r="C61" s="8">
        <v>1123374672748.9199</v>
      </c>
      <c r="D61" s="8">
        <f t="shared" si="0"/>
        <v>0.86972992084941758</v>
      </c>
    </row>
    <row r="62" spans="1:4" x14ac:dyDescent="0.25">
      <c r="A62" s="8" t="s">
        <v>1645</v>
      </c>
      <c r="B62" s="8">
        <v>611240768223.39001</v>
      </c>
      <c r="C62" s="8">
        <v>616166246832.75</v>
      </c>
      <c r="D62" s="8">
        <f t="shared" si="0"/>
        <v>0.80581644180511736</v>
      </c>
    </row>
    <row r="63" spans="1:4" x14ac:dyDescent="0.25">
      <c r="A63" s="8" t="s">
        <v>3683</v>
      </c>
      <c r="B63" s="8">
        <v>2993441294715.061</v>
      </c>
      <c r="C63" s="8">
        <v>3016641588409.6797</v>
      </c>
      <c r="D63" s="8">
        <f t="shared" si="0"/>
        <v>0.77503753741818537</v>
      </c>
    </row>
    <row r="64" spans="1:4" x14ac:dyDescent="0.25">
      <c r="A64" s="8" t="s">
        <v>1807</v>
      </c>
      <c r="B64" s="8">
        <v>608487361455.53003</v>
      </c>
      <c r="C64" s="8">
        <v>613128259106.66003</v>
      </c>
      <c r="D64" s="8">
        <f t="shared" si="0"/>
        <v>0.76269417330686418</v>
      </c>
    </row>
    <row r="65" spans="1:4" x14ac:dyDescent="0.25">
      <c r="A65" s="8" t="s">
        <v>204</v>
      </c>
      <c r="B65" s="8">
        <v>1171871587651.45</v>
      </c>
      <c r="C65" s="8">
        <v>1179938565812.4702</v>
      </c>
      <c r="D65" s="8">
        <f t="shared" si="0"/>
        <v>0.68838414089271582</v>
      </c>
    </row>
    <row r="66" spans="1:4" x14ac:dyDescent="0.25">
      <c r="A66" s="8" t="s">
        <v>3883</v>
      </c>
      <c r="B66" s="8">
        <v>173548985923.25</v>
      </c>
      <c r="C66" s="8">
        <v>174730404614.64999</v>
      </c>
      <c r="D66" s="8">
        <f t="shared" si="0"/>
        <v>0.68074076325773658</v>
      </c>
    </row>
    <row r="67" spans="1:4" x14ac:dyDescent="0.25">
      <c r="A67" s="8" t="s">
        <v>262</v>
      </c>
      <c r="B67" s="8">
        <v>8505902298.3699999</v>
      </c>
      <c r="C67" s="8">
        <v>8554173696.9299994</v>
      </c>
      <c r="D67" s="8">
        <f t="shared" si="0"/>
        <v>0.56750473808345758</v>
      </c>
    </row>
    <row r="68" spans="1:4" x14ac:dyDescent="0.25">
      <c r="A68" s="8" t="s">
        <v>4111</v>
      </c>
      <c r="B68" s="8">
        <v>32903527115.799999</v>
      </c>
      <c r="C68" s="8">
        <v>33069924305.760002</v>
      </c>
      <c r="D68" s="8">
        <f t="shared" si="0"/>
        <v>0.50571231884772727</v>
      </c>
    </row>
    <row r="69" spans="1:4" x14ac:dyDescent="0.25">
      <c r="A69" s="8" t="s">
        <v>1271</v>
      </c>
      <c r="B69" s="8">
        <v>1050022905202.05</v>
      </c>
      <c r="C69" s="8">
        <v>1055178913784.3298</v>
      </c>
      <c r="D69" s="8">
        <f t="shared" si="0"/>
        <v>0.4910377246758863</v>
      </c>
    </row>
    <row r="70" spans="1:4" x14ac:dyDescent="0.25">
      <c r="A70" s="8" t="s">
        <v>4082</v>
      </c>
      <c r="B70" s="8">
        <v>1357285636127</v>
      </c>
      <c r="C70" s="8">
        <v>1363620198834.5</v>
      </c>
      <c r="D70" s="8">
        <f t="shared" si="0"/>
        <v>0.46670815183571868</v>
      </c>
    </row>
    <row r="71" spans="1:4" x14ac:dyDescent="0.25">
      <c r="A71" s="8" t="s">
        <v>3900</v>
      </c>
      <c r="B71" s="8">
        <v>171571559701.89999</v>
      </c>
      <c r="C71" s="8">
        <v>172362641807</v>
      </c>
      <c r="D71" s="8">
        <f t="shared" si="0"/>
        <v>0.46107997530271655</v>
      </c>
    </row>
    <row r="72" spans="1:4" x14ac:dyDescent="0.25">
      <c r="A72" s="8" t="s">
        <v>2671</v>
      </c>
      <c r="B72" s="8">
        <v>188670431325.52002</v>
      </c>
      <c r="C72" s="8">
        <v>189279410807.29999</v>
      </c>
      <c r="D72" s="8">
        <f t="shared" si="0"/>
        <v>0.32277420340936924</v>
      </c>
    </row>
    <row r="73" spans="1:4" x14ac:dyDescent="0.25">
      <c r="A73" s="8" t="s">
        <v>1501</v>
      </c>
      <c r="B73" s="8">
        <v>807623425254.6499</v>
      </c>
      <c r="C73" s="8">
        <v>809688716616.8999</v>
      </c>
      <c r="D73" s="8">
        <f t="shared" si="0"/>
        <v>0.25572454904942826</v>
      </c>
    </row>
    <row r="74" spans="1:4" x14ac:dyDescent="0.25">
      <c r="A74" s="8" t="s">
        <v>3831</v>
      </c>
      <c r="B74" s="8">
        <v>2105682523.7199998</v>
      </c>
      <c r="C74" s="8">
        <v>2107112835.4699996</v>
      </c>
      <c r="D74" s="8">
        <f t="shared" si="0"/>
        <v>6.7926277294304754E-2</v>
      </c>
    </row>
    <row r="75" spans="1:4" x14ac:dyDescent="0.25">
      <c r="A75" s="8" t="s">
        <v>4168</v>
      </c>
      <c r="B75" s="8">
        <v>0</v>
      </c>
      <c r="C75" s="8">
        <v>0</v>
      </c>
      <c r="D75" s="8">
        <v>0</v>
      </c>
    </row>
    <row r="76" spans="1:4" x14ac:dyDescent="0.25">
      <c r="A76" s="8" t="s">
        <v>1598</v>
      </c>
      <c r="B76" s="8">
        <v>891638347301.42004</v>
      </c>
      <c r="C76" s="8">
        <v>891522580146.15991</v>
      </c>
      <c r="D76" s="8">
        <f t="shared" ref="D76:D176" si="1">((C76-B76)/B76)*100</f>
        <v>-1.2983644726643472E-2</v>
      </c>
    </row>
    <row r="77" spans="1:4" x14ac:dyDescent="0.25">
      <c r="A77" s="8" t="s">
        <v>3454</v>
      </c>
      <c r="B77" s="8">
        <v>12832732061.780001</v>
      </c>
      <c r="C77" s="8">
        <v>12792994316.059999</v>
      </c>
      <c r="D77" s="8">
        <f t="shared" si="1"/>
        <v>-0.30965928010258231</v>
      </c>
    </row>
    <row r="78" spans="1:4" x14ac:dyDescent="0.25">
      <c r="A78" s="8" t="s">
        <v>2261</v>
      </c>
      <c r="B78" s="8">
        <v>40476848783.449997</v>
      </c>
      <c r="C78" s="8">
        <v>40340972112.239998</v>
      </c>
      <c r="D78" s="8">
        <f t="shared" si="1"/>
        <v>-0.33568984566198684</v>
      </c>
    </row>
    <row r="79" spans="1:4" x14ac:dyDescent="0.25">
      <c r="A79" s="8" t="s">
        <v>767</v>
      </c>
      <c r="B79" s="8">
        <v>597646603518.62</v>
      </c>
      <c r="C79" s="8">
        <v>594190582258.20996</v>
      </c>
      <c r="D79" s="8">
        <f t="shared" si="1"/>
        <v>-0.57827171443171432</v>
      </c>
    </row>
    <row r="80" spans="1:4" x14ac:dyDescent="0.25">
      <c r="A80" s="8" t="s">
        <v>3110</v>
      </c>
      <c r="B80" s="8">
        <v>855481198301.14014</v>
      </c>
      <c r="C80" s="8">
        <v>848648673419.34998</v>
      </c>
      <c r="D80" s="8">
        <f t="shared" si="1"/>
        <v>-0.79867621817505174</v>
      </c>
    </row>
    <row r="81" spans="1:4" x14ac:dyDescent="0.25">
      <c r="A81" s="8" t="s">
        <v>858</v>
      </c>
      <c r="B81" s="8">
        <v>3066832207985.5298</v>
      </c>
      <c r="C81" s="8">
        <v>3039897947829.6021</v>
      </c>
      <c r="D81" s="8">
        <f t="shared" si="1"/>
        <v>-0.87824368368753025</v>
      </c>
    </row>
    <row r="82" spans="1:4" x14ac:dyDescent="0.25">
      <c r="A82" s="8" t="s">
        <v>166</v>
      </c>
      <c r="B82" s="8">
        <v>580753222295.25</v>
      </c>
      <c r="C82" s="8">
        <v>575023056303.94995</v>
      </c>
      <c r="D82" s="8">
        <f t="shared" si="1"/>
        <v>-0.98667829489663705</v>
      </c>
    </row>
    <row r="83" spans="1:4" x14ac:dyDescent="0.25">
      <c r="A83" s="8" t="s">
        <v>1171</v>
      </c>
      <c r="B83" s="8">
        <v>1148693401860.7695</v>
      </c>
      <c r="C83" s="8">
        <v>1136298327309.6501</v>
      </c>
      <c r="D83" s="8">
        <f t="shared" si="1"/>
        <v>-1.0790585661100334</v>
      </c>
    </row>
    <row r="84" spans="1:4" x14ac:dyDescent="0.25">
      <c r="A84" s="8" t="s">
        <v>677</v>
      </c>
      <c r="B84" s="8">
        <v>287092281173.70001</v>
      </c>
      <c r="C84" s="8">
        <v>283697362382.75006</v>
      </c>
      <c r="D84" s="8">
        <f t="shared" si="1"/>
        <v>-1.1825183098168763</v>
      </c>
    </row>
    <row r="85" spans="1:4" x14ac:dyDescent="0.25">
      <c r="A85" s="8" t="s">
        <v>1633</v>
      </c>
      <c r="B85" s="8">
        <v>1053901816980.4598</v>
      </c>
      <c r="C85" s="8">
        <v>1039927359048.2101</v>
      </c>
      <c r="D85" s="8">
        <f t="shared" si="1"/>
        <v>-1.3259734167920931</v>
      </c>
    </row>
    <row r="86" spans="1:4" x14ac:dyDescent="0.25">
      <c r="A86" s="8" t="s">
        <v>9</v>
      </c>
      <c r="B86" s="8">
        <v>2611676258914.3696</v>
      </c>
      <c r="C86" s="8">
        <v>2570491954973.0503</v>
      </c>
      <c r="D86" s="8">
        <f t="shared" si="1"/>
        <v>-1.5769299047209997</v>
      </c>
    </row>
    <row r="87" spans="1:4" x14ac:dyDescent="0.25">
      <c r="A87" s="8" t="s">
        <v>833</v>
      </c>
      <c r="B87" s="8">
        <v>268719004376.37997</v>
      </c>
      <c r="C87" s="8">
        <v>264373809981.67999</v>
      </c>
      <c r="D87" s="8">
        <f t="shared" si="1"/>
        <v>-1.617003012043728</v>
      </c>
    </row>
    <row r="88" spans="1:4" x14ac:dyDescent="0.25">
      <c r="A88" s="8" t="s">
        <v>2627</v>
      </c>
      <c r="B88" s="8">
        <v>464222084727.63989</v>
      </c>
      <c r="C88" s="8">
        <v>456401385451.40002</v>
      </c>
      <c r="D88" s="8">
        <f t="shared" si="1"/>
        <v>-1.6846891894056031</v>
      </c>
    </row>
    <row r="89" spans="1:4" x14ac:dyDescent="0.25">
      <c r="A89" s="8" t="s">
        <v>2321</v>
      </c>
      <c r="B89" s="8">
        <v>93639614627.150009</v>
      </c>
      <c r="C89" s="8">
        <v>91869445460.5</v>
      </c>
      <c r="D89" s="8">
        <f t="shared" si="1"/>
        <v>-1.8904062919293172</v>
      </c>
    </row>
    <row r="90" spans="1:4" x14ac:dyDescent="0.25">
      <c r="A90" s="8" t="s">
        <v>342</v>
      </c>
      <c r="B90" s="8">
        <v>1347955260124.7</v>
      </c>
      <c r="C90" s="8">
        <v>1314820488626.8999</v>
      </c>
      <c r="D90" s="8">
        <f t="shared" si="1"/>
        <v>-2.4581506877857899</v>
      </c>
    </row>
    <row r="91" spans="1:4" x14ac:dyDescent="0.25">
      <c r="A91" s="8" t="s">
        <v>1136</v>
      </c>
      <c r="B91" s="8">
        <v>7311404813329.2998</v>
      </c>
      <c r="C91" s="8">
        <v>7130522727466.6113</v>
      </c>
      <c r="D91" s="8">
        <f t="shared" si="1"/>
        <v>-2.4739716987483087</v>
      </c>
    </row>
    <row r="92" spans="1:4" x14ac:dyDescent="0.25">
      <c r="A92" s="8" t="s">
        <v>1315</v>
      </c>
      <c r="B92" s="8">
        <v>105209955049.10001</v>
      </c>
      <c r="C92" s="8">
        <v>102560860970.09999</v>
      </c>
      <c r="D92" s="8">
        <f t="shared" si="1"/>
        <v>-2.5179119958408118</v>
      </c>
    </row>
    <row r="93" spans="1:4" x14ac:dyDescent="0.25">
      <c r="A93" s="8" t="s">
        <v>15</v>
      </c>
      <c r="B93" s="8">
        <v>12948297752887.963</v>
      </c>
      <c r="C93" s="8">
        <v>12617361839749.34</v>
      </c>
      <c r="D93" s="8">
        <f t="shared" si="1"/>
        <v>-2.5558256340283165</v>
      </c>
    </row>
    <row r="94" spans="1:4" x14ac:dyDescent="0.25">
      <c r="A94" s="8" t="s">
        <v>4036</v>
      </c>
      <c r="B94" s="8">
        <v>159955468709.24002</v>
      </c>
      <c r="C94" s="8">
        <v>155865314102.98001</v>
      </c>
      <c r="D94" s="8">
        <f t="shared" si="1"/>
        <v>-2.5570583108320681</v>
      </c>
    </row>
    <row r="95" spans="1:4" x14ac:dyDescent="0.25">
      <c r="A95" s="8" t="s">
        <v>1064</v>
      </c>
      <c r="B95" s="8">
        <v>565794922593.33984</v>
      </c>
      <c r="C95" s="8">
        <v>551008040227.84009</v>
      </c>
      <c r="D95" s="8">
        <f t="shared" si="1"/>
        <v>-2.6134703184898846</v>
      </c>
    </row>
    <row r="96" spans="1:4" x14ac:dyDescent="0.25">
      <c r="A96" s="8" t="s">
        <v>11</v>
      </c>
      <c r="B96" s="8">
        <v>1095408953456.0498</v>
      </c>
      <c r="C96" s="8">
        <v>1064716097255.7699</v>
      </c>
      <c r="D96" s="8">
        <f t="shared" si="1"/>
        <v>-2.8019541106947297</v>
      </c>
    </row>
    <row r="97" spans="1:4" x14ac:dyDescent="0.25">
      <c r="A97" s="8" t="s">
        <v>3867</v>
      </c>
      <c r="B97" s="8">
        <v>975399947.5</v>
      </c>
      <c r="C97" s="8">
        <v>945641983</v>
      </c>
      <c r="D97" s="8">
        <f t="shared" si="1"/>
        <v>-3.050847457627119</v>
      </c>
    </row>
    <row r="98" spans="1:4" x14ac:dyDescent="0.25">
      <c r="A98" s="8" t="s">
        <v>1046</v>
      </c>
      <c r="B98" s="8">
        <v>665415251271.17017</v>
      </c>
      <c r="C98" s="8">
        <v>644945258420.55994</v>
      </c>
      <c r="D98" s="8">
        <f t="shared" si="1"/>
        <v>-3.0762734715661475</v>
      </c>
    </row>
    <row r="99" spans="1:4" x14ac:dyDescent="0.25">
      <c r="A99" s="8" t="s">
        <v>3369</v>
      </c>
      <c r="B99" s="8">
        <v>71625188884.119995</v>
      </c>
      <c r="C99" s="8">
        <v>69411685282.519989</v>
      </c>
      <c r="D99" s="8">
        <f t="shared" si="1"/>
        <v>-3.0903982748040777</v>
      </c>
    </row>
    <row r="100" spans="1:4" x14ac:dyDescent="0.25">
      <c r="A100" s="8" t="s">
        <v>3503</v>
      </c>
      <c r="B100" s="8">
        <v>1990713502909.8701</v>
      </c>
      <c r="C100" s="8">
        <v>1927850079928.04</v>
      </c>
      <c r="D100" s="8">
        <f t="shared" si="1"/>
        <v>-3.1578337560850023</v>
      </c>
    </row>
    <row r="101" spans="1:4" x14ac:dyDescent="0.25">
      <c r="A101" s="8" t="s">
        <v>3361</v>
      </c>
      <c r="B101" s="8">
        <v>111586970298.25</v>
      </c>
      <c r="C101" s="8">
        <v>108031505111.55</v>
      </c>
      <c r="D101" s="8">
        <f t="shared" si="1"/>
        <v>-3.1862727137379379</v>
      </c>
    </row>
    <row r="102" spans="1:4" x14ac:dyDescent="0.25">
      <c r="A102" s="8" t="s">
        <v>3402</v>
      </c>
      <c r="B102" s="8">
        <v>4254123818532.5996</v>
      </c>
      <c r="C102" s="8">
        <v>4093588495071.8799</v>
      </c>
      <c r="D102" s="8">
        <f t="shared" si="1"/>
        <v>-3.7736401268192084</v>
      </c>
    </row>
    <row r="103" spans="1:4" x14ac:dyDescent="0.25">
      <c r="A103" s="8" t="s">
        <v>3744</v>
      </c>
      <c r="B103" s="8">
        <v>1064287642147.7701</v>
      </c>
      <c r="C103" s="8">
        <v>1023629110102.7499</v>
      </c>
      <c r="D103" s="8">
        <f t="shared" si="1"/>
        <v>-3.8202578358393704</v>
      </c>
    </row>
    <row r="104" spans="1:4" x14ac:dyDescent="0.25">
      <c r="A104" s="8" t="s">
        <v>3519</v>
      </c>
      <c r="B104" s="8">
        <v>7960875042.7600002</v>
      </c>
      <c r="C104" s="8">
        <v>7655491860.5</v>
      </c>
      <c r="D104" s="8">
        <f t="shared" si="1"/>
        <v>-3.8360504419389208</v>
      </c>
    </row>
    <row r="105" spans="1:4" x14ac:dyDescent="0.25">
      <c r="A105" s="8" t="s">
        <v>376</v>
      </c>
      <c r="B105" s="8">
        <v>3765789560234.6899</v>
      </c>
      <c r="C105" s="8">
        <v>3620799022622.7798</v>
      </c>
      <c r="D105" s="8">
        <f t="shared" si="1"/>
        <v>-3.8502028669619581</v>
      </c>
    </row>
    <row r="106" spans="1:4" x14ac:dyDescent="0.25">
      <c r="A106" s="8" t="s">
        <v>1999</v>
      </c>
      <c r="B106" s="8">
        <v>786769051298.46008</v>
      </c>
      <c r="C106" s="8">
        <v>756393390186.39001</v>
      </c>
      <c r="D106" s="8">
        <f t="shared" si="1"/>
        <v>-3.8608103689308808</v>
      </c>
    </row>
    <row r="107" spans="1:4" x14ac:dyDescent="0.25">
      <c r="A107" s="8" t="s">
        <v>2749</v>
      </c>
      <c r="B107" s="8">
        <v>120055800</v>
      </c>
      <c r="C107" s="8">
        <v>115122000</v>
      </c>
      <c r="D107" s="8">
        <f t="shared" si="1"/>
        <v>-4.10958904109589</v>
      </c>
    </row>
    <row r="108" spans="1:4" x14ac:dyDescent="0.25">
      <c r="A108" s="8" t="s">
        <v>3501</v>
      </c>
      <c r="B108" s="8">
        <v>12776415634.799999</v>
      </c>
      <c r="C108" s="8">
        <v>12226402239.6</v>
      </c>
      <c r="D108" s="8">
        <f t="shared" si="1"/>
        <v>-4.3049115723966409</v>
      </c>
    </row>
    <row r="109" spans="1:4" x14ac:dyDescent="0.25">
      <c r="A109" s="8" t="s">
        <v>959</v>
      </c>
      <c r="B109" s="8">
        <v>295955430577.89001</v>
      </c>
      <c r="C109" s="8">
        <v>282976091452.59998</v>
      </c>
      <c r="D109" s="8">
        <f t="shared" si="1"/>
        <v>-4.3855722126626482</v>
      </c>
    </row>
    <row r="110" spans="1:4" x14ac:dyDescent="0.25">
      <c r="A110" s="8" t="s">
        <v>3906</v>
      </c>
      <c r="B110" s="8">
        <v>113917109581.15001</v>
      </c>
      <c r="C110" s="8">
        <v>108811211671.92001</v>
      </c>
      <c r="D110" s="8">
        <f t="shared" si="1"/>
        <v>-4.4821168022989184</v>
      </c>
    </row>
    <row r="111" spans="1:4" x14ac:dyDescent="0.25">
      <c r="A111" s="8" t="s">
        <v>3232</v>
      </c>
      <c r="B111" s="8">
        <v>459613279376.94012</v>
      </c>
      <c r="C111" s="8">
        <v>438483036402.13</v>
      </c>
      <c r="D111" s="8">
        <f t="shared" si="1"/>
        <v>-4.5973960986189635</v>
      </c>
    </row>
    <row r="112" spans="1:4" x14ac:dyDescent="0.25">
      <c r="A112" s="8" t="s">
        <v>3131</v>
      </c>
      <c r="B112" s="8">
        <v>1160200885074.75</v>
      </c>
      <c r="C112" s="8">
        <v>1105306710516.95</v>
      </c>
      <c r="D112" s="8">
        <f t="shared" si="1"/>
        <v>-4.7314370523224776</v>
      </c>
    </row>
    <row r="113" spans="1:4" x14ac:dyDescent="0.25">
      <c r="A113" s="8" t="s">
        <v>1453</v>
      </c>
      <c r="B113" s="8">
        <v>380891600801.15002</v>
      </c>
      <c r="C113" s="8">
        <v>362869201054.59998</v>
      </c>
      <c r="D113" s="8">
        <f t="shared" si="1"/>
        <v>-4.7316348558599231</v>
      </c>
    </row>
    <row r="114" spans="1:4" x14ac:dyDescent="0.25">
      <c r="A114" s="8" t="s">
        <v>1351</v>
      </c>
      <c r="B114" s="8">
        <v>35676031045.5</v>
      </c>
      <c r="C114" s="8">
        <v>33986878831.599998</v>
      </c>
      <c r="D114" s="8">
        <f t="shared" si="1"/>
        <v>-4.7346976790823909</v>
      </c>
    </row>
    <row r="115" spans="1:4" x14ac:dyDescent="0.25">
      <c r="A115" s="8" t="s">
        <v>1337</v>
      </c>
      <c r="B115" s="8">
        <v>844046257474.73022</v>
      </c>
      <c r="C115" s="8">
        <v>803919544133.28015</v>
      </c>
      <c r="D115" s="8">
        <f t="shared" si="1"/>
        <v>-4.754089362531345</v>
      </c>
    </row>
    <row r="116" spans="1:4" x14ac:dyDescent="0.25">
      <c r="A116" s="8" t="s">
        <v>4053</v>
      </c>
      <c r="B116" s="8">
        <v>15518701195.200001</v>
      </c>
      <c r="C116" s="8">
        <v>14760722760</v>
      </c>
      <c r="D116" s="8">
        <f t="shared" si="1"/>
        <v>-4.8842904162266274</v>
      </c>
    </row>
    <row r="117" spans="1:4" x14ac:dyDescent="0.25">
      <c r="A117" s="8" t="s">
        <v>3209</v>
      </c>
      <c r="B117" s="8">
        <v>255141232564.60995</v>
      </c>
      <c r="C117" s="8">
        <v>241877147817.41998</v>
      </c>
      <c r="D117" s="8">
        <f t="shared" si="1"/>
        <v>-5.1987225325608941</v>
      </c>
    </row>
    <row r="118" spans="1:4" x14ac:dyDescent="0.25">
      <c r="A118" s="8" t="s">
        <v>3847</v>
      </c>
      <c r="B118" s="8">
        <v>982409991355.4801</v>
      </c>
      <c r="C118" s="8">
        <v>931178893405.32996</v>
      </c>
      <c r="D118" s="8">
        <f t="shared" si="1"/>
        <v>-5.2148388555641665</v>
      </c>
    </row>
    <row r="119" spans="1:4" x14ac:dyDescent="0.25">
      <c r="A119" s="8" t="s">
        <v>668</v>
      </c>
      <c r="B119" s="8">
        <v>39712683248.550003</v>
      </c>
      <c r="C119" s="8">
        <v>37605688765.600006</v>
      </c>
      <c r="D119" s="8">
        <f t="shared" si="1"/>
        <v>-5.3055958716335994</v>
      </c>
    </row>
    <row r="120" spans="1:4" x14ac:dyDescent="0.25">
      <c r="A120" s="8" t="s">
        <v>1935</v>
      </c>
      <c r="B120" s="8">
        <v>221365548941.44998</v>
      </c>
      <c r="C120" s="8">
        <v>209380257891.35001</v>
      </c>
      <c r="D120" s="8">
        <f t="shared" si="1"/>
        <v>-5.4142530793127257</v>
      </c>
    </row>
    <row r="121" spans="1:4" x14ac:dyDescent="0.25">
      <c r="A121" s="8" t="s">
        <v>1563</v>
      </c>
      <c r="B121" s="8">
        <v>31663161099.750004</v>
      </c>
      <c r="C121" s="8">
        <v>29875472554.110004</v>
      </c>
      <c r="D121" s="8">
        <f t="shared" si="1"/>
        <v>-5.6459572687899247</v>
      </c>
    </row>
    <row r="122" spans="1:4" x14ac:dyDescent="0.25">
      <c r="A122" s="8" t="s">
        <v>2998</v>
      </c>
      <c r="B122" s="8">
        <v>16601718578.049999</v>
      </c>
      <c r="C122" s="8">
        <v>15653403729.610001</v>
      </c>
      <c r="D122" s="8">
        <f t="shared" si="1"/>
        <v>-5.7121486789555354</v>
      </c>
    </row>
    <row r="123" spans="1:4" x14ac:dyDescent="0.25">
      <c r="A123" s="8" t="s">
        <v>3976</v>
      </c>
      <c r="B123" s="8">
        <v>1091502391957.79</v>
      </c>
      <c r="C123" s="8">
        <v>1029078719131.08</v>
      </c>
      <c r="D123" s="8">
        <f t="shared" si="1"/>
        <v>-5.7190596453703506</v>
      </c>
    </row>
    <row r="124" spans="1:4" x14ac:dyDescent="0.25">
      <c r="A124" s="8" t="s">
        <v>758</v>
      </c>
      <c r="B124" s="8">
        <v>58270366815.099991</v>
      </c>
      <c r="C124" s="8">
        <v>54796235637</v>
      </c>
      <c r="D124" s="8">
        <f t="shared" si="1"/>
        <v>-5.96208908230129</v>
      </c>
    </row>
    <row r="125" spans="1:4" x14ac:dyDescent="0.25">
      <c r="A125" s="8" t="s">
        <v>4145</v>
      </c>
      <c r="B125" s="8">
        <v>6920363608983.0996</v>
      </c>
      <c r="C125" s="8">
        <v>6505840423923.7207</v>
      </c>
      <c r="D125" s="8">
        <f t="shared" si="1"/>
        <v>-5.9899046998238621</v>
      </c>
    </row>
    <row r="126" spans="1:4" x14ac:dyDescent="0.25">
      <c r="A126" s="8" t="s">
        <v>3772</v>
      </c>
      <c r="B126" s="8">
        <v>525434299129.39001</v>
      </c>
      <c r="C126" s="8">
        <v>492753369130.34003</v>
      </c>
      <c r="D126" s="8">
        <f t="shared" si="1"/>
        <v>-6.219793807370424</v>
      </c>
    </row>
    <row r="127" spans="1:4" x14ac:dyDescent="0.25">
      <c r="A127" s="8" t="s">
        <v>2228</v>
      </c>
      <c r="B127" s="8">
        <v>4799351788434.0508</v>
      </c>
      <c r="C127" s="8">
        <v>4498891099420.6689</v>
      </c>
      <c r="D127" s="8">
        <f t="shared" si="1"/>
        <v>-6.2604431235372555</v>
      </c>
    </row>
    <row r="128" spans="1:4" x14ac:dyDescent="0.25">
      <c r="A128" s="8" t="s">
        <v>2757</v>
      </c>
      <c r="B128" s="8">
        <v>763500081194.16003</v>
      </c>
      <c r="C128" s="8">
        <v>714746495002.42004</v>
      </c>
      <c r="D128" s="8">
        <f t="shared" si="1"/>
        <v>-6.38553778743369</v>
      </c>
    </row>
    <row r="129" spans="1:4" x14ac:dyDescent="0.25">
      <c r="A129" s="8" t="s">
        <v>2594</v>
      </c>
      <c r="B129" s="8">
        <v>2076189786.25</v>
      </c>
      <c r="C129" s="8">
        <v>1943569477.5</v>
      </c>
      <c r="D129" s="8">
        <f t="shared" si="1"/>
        <v>-6.3876775441390601</v>
      </c>
    </row>
    <row r="130" spans="1:4" x14ac:dyDescent="0.25">
      <c r="A130" s="8" t="s">
        <v>206</v>
      </c>
      <c r="B130" s="8">
        <v>882687547635.17993</v>
      </c>
      <c r="C130" s="8">
        <v>826304255006.96997</v>
      </c>
      <c r="D130" s="8">
        <f t="shared" si="1"/>
        <v>-6.3876841561056565</v>
      </c>
    </row>
    <row r="131" spans="1:4" x14ac:dyDescent="0.25">
      <c r="A131" s="8" t="s">
        <v>831</v>
      </c>
      <c r="B131" s="8">
        <v>109346496057.10001</v>
      </c>
      <c r="C131" s="8">
        <v>102320522895.74998</v>
      </c>
      <c r="D131" s="8">
        <f t="shared" si="1"/>
        <v>-6.4254214032437824</v>
      </c>
    </row>
    <row r="132" spans="1:4" x14ac:dyDescent="0.25">
      <c r="A132" s="8" t="s">
        <v>2951</v>
      </c>
      <c r="B132" s="8">
        <v>277206947041.73999</v>
      </c>
      <c r="C132" s="8">
        <v>259308604512.64996</v>
      </c>
      <c r="D132" s="8">
        <f t="shared" si="1"/>
        <v>-6.456671710465832</v>
      </c>
    </row>
    <row r="133" spans="1:4" x14ac:dyDescent="0.25">
      <c r="A133" s="8" t="s">
        <v>3312</v>
      </c>
      <c r="B133" s="8">
        <v>167509509307.48004</v>
      </c>
      <c r="C133" s="8">
        <v>156682542182.58997</v>
      </c>
      <c r="D133" s="8">
        <f t="shared" si="1"/>
        <v>-6.4634940246980976</v>
      </c>
    </row>
    <row r="134" spans="1:4" x14ac:dyDescent="0.25">
      <c r="A134" s="8" t="s">
        <v>4068</v>
      </c>
      <c r="B134" s="8">
        <v>24952909997.699997</v>
      </c>
      <c r="C134" s="8">
        <v>23326464907.999996</v>
      </c>
      <c r="D134" s="8">
        <f t="shared" si="1"/>
        <v>-6.518057773020927</v>
      </c>
    </row>
    <row r="135" spans="1:4" x14ac:dyDescent="0.25">
      <c r="A135" s="8" t="s">
        <v>2286</v>
      </c>
      <c r="B135" s="8">
        <v>633978465873.66992</v>
      </c>
      <c r="C135" s="8">
        <v>592387232181.69995</v>
      </c>
      <c r="D135" s="8">
        <f t="shared" si="1"/>
        <v>-6.5603543228639678</v>
      </c>
    </row>
    <row r="136" spans="1:4" x14ac:dyDescent="0.25">
      <c r="A136" s="8" t="s">
        <v>3974</v>
      </c>
      <c r="B136" s="8">
        <v>195106756541.65997</v>
      </c>
      <c r="C136" s="8">
        <v>181766326873.85001</v>
      </c>
      <c r="D136" s="8">
        <f t="shared" si="1"/>
        <v>-6.8375026597100259</v>
      </c>
    </row>
    <row r="137" spans="1:4" x14ac:dyDescent="0.25">
      <c r="A137" s="8" t="s">
        <v>56</v>
      </c>
      <c r="B137" s="8">
        <v>6438515764.0099993</v>
      </c>
      <c r="C137" s="8">
        <v>5988786407.3100004</v>
      </c>
      <c r="D137" s="8">
        <f t="shared" si="1"/>
        <v>-6.9849849434848785</v>
      </c>
    </row>
    <row r="138" spans="1:4" x14ac:dyDescent="0.25">
      <c r="A138" s="8" t="s">
        <v>2929</v>
      </c>
      <c r="B138" s="8">
        <v>401152618235.78998</v>
      </c>
      <c r="C138" s="8">
        <v>371643598439.21997</v>
      </c>
      <c r="D138" s="8">
        <f t="shared" si="1"/>
        <v>-7.356058132275523</v>
      </c>
    </row>
    <row r="139" spans="1:4" x14ac:dyDescent="0.25">
      <c r="A139" s="8" t="s">
        <v>2681</v>
      </c>
      <c r="B139" s="8">
        <v>336110558923.02002</v>
      </c>
      <c r="C139" s="8">
        <v>310641153134.92004</v>
      </c>
      <c r="D139" s="8">
        <f t="shared" si="1"/>
        <v>-7.5776868985342638</v>
      </c>
    </row>
    <row r="140" spans="1:4" x14ac:dyDescent="0.25">
      <c r="A140" s="8" t="s">
        <v>1584</v>
      </c>
      <c r="B140" s="8">
        <v>105020246455.32001</v>
      </c>
      <c r="C140" s="8">
        <v>97043900121.610001</v>
      </c>
      <c r="D140" s="8">
        <f t="shared" si="1"/>
        <v>-7.595055813455434</v>
      </c>
    </row>
    <row r="141" spans="1:4" x14ac:dyDescent="0.25">
      <c r="A141" s="8" t="s">
        <v>324</v>
      </c>
      <c r="B141" s="8">
        <v>420537042489.75</v>
      </c>
      <c r="C141" s="8">
        <v>388358758768.45001</v>
      </c>
      <c r="D141" s="8">
        <f t="shared" si="1"/>
        <v>-7.651712089568016</v>
      </c>
    </row>
    <row r="142" spans="1:4" x14ac:dyDescent="0.25">
      <c r="A142" s="8" t="s">
        <v>659</v>
      </c>
      <c r="B142" s="8">
        <v>57818528145.550003</v>
      </c>
      <c r="C142" s="8">
        <v>53303458063.050003</v>
      </c>
      <c r="D142" s="8">
        <f t="shared" si="1"/>
        <v>-7.8090367003704202</v>
      </c>
    </row>
    <row r="143" spans="1:4" x14ac:dyDescent="0.25">
      <c r="A143" s="8" t="s">
        <v>2297</v>
      </c>
      <c r="B143" s="8">
        <v>886466611612.02991</v>
      </c>
      <c r="C143" s="8">
        <v>816200281102.78003</v>
      </c>
      <c r="D143" s="8">
        <f t="shared" si="1"/>
        <v>-7.9265625561995305</v>
      </c>
    </row>
    <row r="144" spans="1:4" x14ac:dyDescent="0.25">
      <c r="A144" s="8" t="s">
        <v>3618</v>
      </c>
      <c r="B144" s="8">
        <v>242862545012.64999</v>
      </c>
      <c r="C144" s="8">
        <v>223247613901.04999</v>
      </c>
      <c r="D144" s="8">
        <f t="shared" si="1"/>
        <v>-8.0765566837728393</v>
      </c>
    </row>
    <row r="145" spans="1:4" x14ac:dyDescent="0.25">
      <c r="A145" s="8" t="s">
        <v>1793</v>
      </c>
      <c r="B145" s="8">
        <v>1048913362979.2504</v>
      </c>
      <c r="C145" s="8">
        <v>963360568254.50024</v>
      </c>
      <c r="D145" s="8">
        <f t="shared" si="1"/>
        <v>-8.1563261318125218</v>
      </c>
    </row>
    <row r="146" spans="1:4" x14ac:dyDescent="0.25">
      <c r="A146" s="8" t="s">
        <v>1685</v>
      </c>
      <c r="B146" s="8">
        <v>198438632647.07999</v>
      </c>
      <c r="C146" s="8">
        <v>181891465380.91998</v>
      </c>
      <c r="D146" s="8">
        <f t="shared" si="1"/>
        <v>-8.3386823651364708</v>
      </c>
    </row>
    <row r="147" spans="1:4" x14ac:dyDescent="0.25">
      <c r="A147" s="8" t="s">
        <v>3023</v>
      </c>
      <c r="B147" s="8">
        <v>35949894020.739998</v>
      </c>
      <c r="C147" s="8">
        <v>32873862658.199997</v>
      </c>
      <c r="D147" s="8">
        <f t="shared" si="1"/>
        <v>-8.556440697058509</v>
      </c>
    </row>
    <row r="148" spans="1:4" x14ac:dyDescent="0.25">
      <c r="A148" s="8" t="s">
        <v>2265</v>
      </c>
      <c r="B148" s="8">
        <v>13425196234.039999</v>
      </c>
      <c r="C148" s="8">
        <v>12258789008.509998</v>
      </c>
      <c r="D148" s="8">
        <f t="shared" si="1"/>
        <v>-8.6881949820036102</v>
      </c>
    </row>
    <row r="149" spans="1:4" x14ac:dyDescent="0.25">
      <c r="A149" s="8" t="s">
        <v>4094</v>
      </c>
      <c r="B149" s="8">
        <v>34555701882.490005</v>
      </c>
      <c r="C149" s="8">
        <v>31551136657.699997</v>
      </c>
      <c r="D149" s="8">
        <f t="shared" si="1"/>
        <v>-8.6948464684853519</v>
      </c>
    </row>
    <row r="150" spans="1:4" x14ac:dyDescent="0.25">
      <c r="A150" s="8" t="s">
        <v>3611</v>
      </c>
      <c r="B150" s="8">
        <v>198657831617.80002</v>
      </c>
      <c r="C150" s="8">
        <v>181112089576.44998</v>
      </c>
      <c r="D150" s="8">
        <f t="shared" si="1"/>
        <v>-8.8321421302465861</v>
      </c>
    </row>
    <row r="151" spans="1:4" x14ac:dyDescent="0.25">
      <c r="A151" s="8" t="s">
        <v>1333</v>
      </c>
      <c r="B151" s="8">
        <v>65085126816.350006</v>
      </c>
      <c r="C151" s="8">
        <v>58884984600.949997</v>
      </c>
      <c r="D151" s="8">
        <f t="shared" si="1"/>
        <v>-9.526204401344847</v>
      </c>
    </row>
    <row r="152" spans="1:4" x14ac:dyDescent="0.25">
      <c r="A152" s="8" t="s">
        <v>3561</v>
      </c>
      <c r="B152" s="8">
        <v>288228420937.82996</v>
      </c>
      <c r="C152" s="8">
        <v>260125406527.96002</v>
      </c>
      <c r="D152" s="8">
        <f t="shared" si="1"/>
        <v>-9.7502579094834214</v>
      </c>
    </row>
    <row r="153" spans="1:4" x14ac:dyDescent="0.25">
      <c r="A153" s="8" t="s">
        <v>1760</v>
      </c>
      <c r="B153" s="8">
        <v>316164513355.98999</v>
      </c>
      <c r="C153" s="8">
        <v>283535626720.57996</v>
      </c>
      <c r="D153" s="8">
        <f t="shared" si="1"/>
        <v>-10.320224205134327</v>
      </c>
    </row>
    <row r="154" spans="1:4" x14ac:dyDescent="0.25">
      <c r="A154" s="8" t="s">
        <v>2422</v>
      </c>
      <c r="B154" s="8">
        <v>378864422679.66998</v>
      </c>
      <c r="C154" s="8">
        <v>339753967267.74005</v>
      </c>
      <c r="D154" s="8">
        <f t="shared" si="1"/>
        <v>-10.323074184507906</v>
      </c>
    </row>
    <row r="155" spans="1:4" x14ac:dyDescent="0.25">
      <c r="A155" s="8" t="s">
        <v>4057</v>
      </c>
      <c r="B155" s="8">
        <v>1878022597.0999999</v>
      </c>
      <c r="C155" s="8">
        <v>1682298157.7</v>
      </c>
      <c r="D155" s="8">
        <f t="shared" si="1"/>
        <v>-10.421836228287834</v>
      </c>
    </row>
    <row r="156" spans="1:4" x14ac:dyDescent="0.25">
      <c r="A156" s="8" t="s">
        <v>3951</v>
      </c>
      <c r="B156" s="8">
        <v>663009933332.72009</v>
      </c>
      <c r="C156" s="8">
        <v>592620277092.90991</v>
      </c>
      <c r="D156" s="8">
        <f t="shared" si="1"/>
        <v>-10.616681998410776</v>
      </c>
    </row>
    <row r="157" spans="1:4" x14ac:dyDescent="0.25">
      <c r="A157" s="8" t="s">
        <v>2778</v>
      </c>
      <c r="B157" s="8">
        <v>5550429894.6700001</v>
      </c>
      <c r="C157" s="8">
        <v>4937627320.8400002</v>
      </c>
      <c r="D157" s="8">
        <f t="shared" si="1"/>
        <v>-11.040632625924447</v>
      </c>
    </row>
    <row r="158" spans="1:4" x14ac:dyDescent="0.25">
      <c r="A158" s="8" t="s">
        <v>1538</v>
      </c>
      <c r="B158" s="8">
        <v>801048640.32000005</v>
      </c>
      <c r="C158" s="8">
        <v>712393059.75</v>
      </c>
      <c r="D158" s="8">
        <f t="shared" si="1"/>
        <v>-11.067440365991288</v>
      </c>
    </row>
    <row r="159" spans="1:4" x14ac:dyDescent="0.25">
      <c r="A159" s="8" t="s">
        <v>3190</v>
      </c>
      <c r="B159" s="8">
        <v>152033245486.89999</v>
      </c>
      <c r="C159" s="8">
        <v>134284316329</v>
      </c>
      <c r="D159" s="8">
        <f t="shared" si="1"/>
        <v>-11.674373654957815</v>
      </c>
    </row>
    <row r="160" spans="1:4" x14ac:dyDescent="0.25">
      <c r="A160" s="8" t="s">
        <v>3287</v>
      </c>
      <c r="B160" s="8">
        <v>265408578397.15002</v>
      </c>
      <c r="C160" s="8">
        <v>233060004432.39999</v>
      </c>
      <c r="D160" s="8">
        <f t="shared" si="1"/>
        <v>-12.188217185785351</v>
      </c>
    </row>
    <row r="161" spans="1:4" x14ac:dyDescent="0.25">
      <c r="A161" s="8" t="s">
        <v>4066</v>
      </c>
      <c r="B161" s="8">
        <v>56164207576.470001</v>
      </c>
      <c r="C161" s="8">
        <v>49298133248.170006</v>
      </c>
      <c r="D161" s="8">
        <f t="shared" si="1"/>
        <v>-12.224999914672592</v>
      </c>
    </row>
    <row r="162" spans="1:4" x14ac:dyDescent="0.25">
      <c r="A162" s="8" t="s">
        <v>3652</v>
      </c>
      <c r="B162" s="8">
        <v>92468257234.430008</v>
      </c>
      <c r="C162" s="8">
        <v>80956380611.679993</v>
      </c>
      <c r="D162" s="8">
        <f t="shared" si="1"/>
        <v>-12.449544272868199</v>
      </c>
    </row>
    <row r="163" spans="1:4" x14ac:dyDescent="0.25">
      <c r="A163" s="8" t="s">
        <v>3872</v>
      </c>
      <c r="B163" s="8">
        <v>658391380725.47998</v>
      </c>
      <c r="C163" s="8">
        <v>576243745668.45007</v>
      </c>
      <c r="D163" s="8">
        <f t="shared" si="1"/>
        <v>-12.477021641217661</v>
      </c>
    </row>
    <row r="164" spans="1:4" x14ac:dyDescent="0.25">
      <c r="A164" s="8" t="s">
        <v>52</v>
      </c>
      <c r="B164" s="8">
        <v>4725981661.1999998</v>
      </c>
      <c r="C164" s="8">
        <v>4135233953.5500002</v>
      </c>
      <c r="D164" s="8">
        <f t="shared" si="1"/>
        <v>-12.499999999999993</v>
      </c>
    </row>
    <row r="165" spans="1:4" x14ac:dyDescent="0.25">
      <c r="A165" s="8" t="s">
        <v>2825</v>
      </c>
      <c r="B165" s="8">
        <v>1782263499.75</v>
      </c>
      <c r="C165" s="8">
        <v>1559394885.3499999</v>
      </c>
      <c r="D165" s="8">
        <f t="shared" si="1"/>
        <v>-12.504807197771942</v>
      </c>
    </row>
    <row r="166" spans="1:4" x14ac:dyDescent="0.25">
      <c r="A166" s="8" t="s">
        <v>4077</v>
      </c>
      <c r="B166" s="8">
        <v>6408343597.5</v>
      </c>
      <c r="C166" s="8">
        <v>5570259142.5</v>
      </c>
      <c r="D166" s="8">
        <f t="shared" si="1"/>
        <v>-13.078019963332654</v>
      </c>
    </row>
    <row r="167" spans="1:4" x14ac:dyDescent="0.25">
      <c r="A167" s="8" t="s">
        <v>96</v>
      </c>
      <c r="B167" s="8">
        <v>23959839193</v>
      </c>
      <c r="C167" s="8">
        <v>20822357941.5</v>
      </c>
      <c r="D167" s="8">
        <f t="shared" si="1"/>
        <v>-13.094750871352396</v>
      </c>
    </row>
    <row r="168" spans="1:4" x14ac:dyDescent="0.25">
      <c r="A168" s="8" t="s">
        <v>1616</v>
      </c>
      <c r="B168" s="8">
        <v>440752455037</v>
      </c>
      <c r="C168" s="8">
        <v>383036422324.25</v>
      </c>
      <c r="D168" s="8">
        <f t="shared" si="1"/>
        <v>-13.094886268507544</v>
      </c>
    </row>
    <row r="169" spans="1:4" x14ac:dyDescent="0.25">
      <c r="A169" s="8" t="s">
        <v>815</v>
      </c>
      <c r="B169" s="8">
        <v>38962885831.800003</v>
      </c>
      <c r="C169" s="8">
        <v>33532298765.299995</v>
      </c>
      <c r="D169" s="8">
        <f t="shared" si="1"/>
        <v>-13.937846108071831</v>
      </c>
    </row>
    <row r="170" spans="1:4" x14ac:dyDescent="0.25">
      <c r="A170" s="8" t="s">
        <v>1685</v>
      </c>
      <c r="B170" s="8">
        <v>651220749320.66003</v>
      </c>
      <c r="C170" s="8">
        <v>556783859607.48999</v>
      </c>
      <c r="D170" s="8">
        <f t="shared" si="1"/>
        <v>-14.501517313704246</v>
      </c>
    </row>
    <row r="171" spans="1:4" x14ac:dyDescent="0.25">
      <c r="A171" s="8" t="s">
        <v>2905</v>
      </c>
      <c r="B171" s="8">
        <v>45188355063.049995</v>
      </c>
      <c r="C171" s="8">
        <v>37793440168.689995</v>
      </c>
      <c r="D171" s="8">
        <f t="shared" si="1"/>
        <v>-16.364647228344761</v>
      </c>
    </row>
    <row r="172" spans="1:4" x14ac:dyDescent="0.25">
      <c r="A172" s="8" t="s">
        <v>2247</v>
      </c>
      <c r="B172" s="8">
        <v>199692962498.59</v>
      </c>
      <c r="C172" s="8">
        <v>166915888726.03</v>
      </c>
      <c r="D172" s="8">
        <f t="shared" si="1"/>
        <v>-16.413735047268592</v>
      </c>
    </row>
    <row r="173" spans="1:4" x14ac:dyDescent="0.25">
      <c r="A173" s="8" t="s">
        <v>3690</v>
      </c>
      <c r="B173" s="8">
        <v>87938148129.200012</v>
      </c>
      <c r="C173" s="8">
        <v>70795966459.399994</v>
      </c>
      <c r="D173" s="8">
        <f t="shared" si="1"/>
        <v>-19.493453108217011</v>
      </c>
    </row>
    <row r="174" spans="1:4" x14ac:dyDescent="0.25">
      <c r="A174" s="8" t="s">
        <v>3918</v>
      </c>
      <c r="B174" s="8">
        <v>68039108235.990005</v>
      </c>
      <c r="C174" s="8">
        <v>53936123528.350006</v>
      </c>
      <c r="D174" s="8">
        <f t="shared" si="1"/>
        <v>-20.727762419702138</v>
      </c>
    </row>
    <row r="175" spans="1:4" x14ac:dyDescent="0.25">
      <c r="A175" s="8" t="s">
        <v>2501</v>
      </c>
      <c r="B175" s="8">
        <v>146401580468.64996</v>
      </c>
      <c r="C175" s="8">
        <v>115359624392.68999</v>
      </c>
      <c r="D175" s="8">
        <f t="shared" si="1"/>
        <v>-21.203293008580065</v>
      </c>
    </row>
    <row r="176" spans="1:4" x14ac:dyDescent="0.25">
      <c r="A176" s="8" t="s">
        <v>3068</v>
      </c>
      <c r="B176" s="8">
        <v>2338972112.77</v>
      </c>
      <c r="C176" s="8">
        <v>1824694847.48</v>
      </c>
      <c r="D176" s="8">
        <f t="shared" si="1"/>
        <v>-21.987319236609075</v>
      </c>
    </row>
    <row r="177" spans="1:4" x14ac:dyDescent="0.25">
      <c r="A177" s="8"/>
      <c r="B177" s="8"/>
      <c r="C177" s="8"/>
      <c r="D177" s="8"/>
    </row>
    <row r="178" spans="1:4" x14ac:dyDescent="0.25">
      <c r="A178" s="8"/>
      <c r="B178" s="8"/>
      <c r="C178" s="8"/>
      <c r="D178" s="8"/>
    </row>
    <row r="179" spans="1:4" x14ac:dyDescent="0.25">
      <c r="A179" s="8"/>
      <c r="B179" s="8"/>
      <c r="C179" s="8"/>
      <c r="D179" s="8"/>
    </row>
    <row r="180" spans="1:4" x14ac:dyDescent="0.25">
      <c r="A180" s="8"/>
      <c r="B180" s="8"/>
      <c r="C180" s="8"/>
      <c r="D180" s="8"/>
    </row>
    <row r="181" spans="1:4" x14ac:dyDescent="0.25">
      <c r="A181" s="8"/>
      <c r="B181" s="8"/>
      <c r="C181" s="8"/>
      <c r="D181" s="8"/>
    </row>
    <row r="182" spans="1:4" x14ac:dyDescent="0.25">
      <c r="A182" s="8"/>
      <c r="B182" s="8"/>
      <c r="C182" s="8"/>
      <c r="D182" s="8"/>
    </row>
    <row r="183" spans="1:4" x14ac:dyDescent="0.25">
      <c r="A183" s="8"/>
      <c r="B183" s="8"/>
      <c r="C183" s="8"/>
      <c r="D183" s="8"/>
    </row>
    <row r="184" spans="1:4" x14ac:dyDescent="0.25">
      <c r="A184" s="8"/>
      <c r="B184" s="8"/>
      <c r="C184" s="8"/>
      <c r="D184" s="8"/>
    </row>
    <row r="185" spans="1:4" x14ac:dyDescent="0.25">
      <c r="A185" s="8"/>
      <c r="B185" s="8"/>
      <c r="C185" s="8"/>
      <c r="D185" s="8"/>
    </row>
    <row r="186" spans="1:4" x14ac:dyDescent="0.25">
      <c r="A186" s="8"/>
      <c r="B186" s="8"/>
      <c r="C186" s="8"/>
      <c r="D186" s="8"/>
    </row>
    <row r="187" spans="1:4" x14ac:dyDescent="0.25">
      <c r="A187" s="8"/>
      <c r="B187" s="8"/>
      <c r="C187" s="8"/>
      <c r="D187" s="8"/>
    </row>
    <row r="188" spans="1:4" x14ac:dyDescent="0.25">
      <c r="A188" s="8"/>
      <c r="B188" s="8"/>
      <c r="C188" s="8"/>
      <c r="D188" s="8"/>
    </row>
    <row r="189" spans="1:4" x14ac:dyDescent="0.25">
      <c r="A189" s="8"/>
      <c r="B189" s="8"/>
      <c r="C189" s="8"/>
      <c r="D189" s="8"/>
    </row>
    <row r="190" spans="1:4" x14ac:dyDescent="0.25">
      <c r="A190" s="8"/>
      <c r="B190" s="8"/>
      <c r="C190" s="8"/>
      <c r="D190" s="8"/>
    </row>
    <row r="191" spans="1:4" x14ac:dyDescent="0.25">
      <c r="A191" s="8"/>
      <c r="B191" s="8"/>
      <c r="C191" s="8"/>
      <c r="D191" s="8"/>
    </row>
    <row r="192" spans="1:4" x14ac:dyDescent="0.25">
      <c r="A192" s="8"/>
      <c r="B192" s="8"/>
      <c r="C192" s="8"/>
      <c r="D192" s="8"/>
    </row>
    <row r="193" spans="1:4" x14ac:dyDescent="0.25">
      <c r="A193" s="8"/>
      <c r="B193" s="8"/>
      <c r="C193" s="8"/>
      <c r="D193" s="8"/>
    </row>
    <row r="194" spans="1:4" x14ac:dyDescent="0.25">
      <c r="A194" s="8"/>
      <c r="B194" s="8"/>
      <c r="C194" s="8"/>
      <c r="D194" s="8"/>
    </row>
    <row r="195" spans="1:4" x14ac:dyDescent="0.25">
      <c r="A195" s="8"/>
      <c r="B195" s="8"/>
      <c r="C195" s="8"/>
      <c r="D195" s="8"/>
    </row>
    <row r="196" spans="1:4" x14ac:dyDescent="0.25">
      <c r="A196" s="8"/>
      <c r="B196" s="8"/>
      <c r="C196" s="8"/>
      <c r="D196" s="8"/>
    </row>
    <row r="197" spans="1:4" x14ac:dyDescent="0.25">
      <c r="A197" s="8"/>
      <c r="B197" s="8"/>
      <c r="C197" s="8"/>
      <c r="D197" s="8"/>
    </row>
    <row r="198" spans="1:4" x14ac:dyDescent="0.25">
      <c r="A198" s="8"/>
      <c r="B198" s="8"/>
      <c r="C198" s="8"/>
      <c r="D198" s="8"/>
    </row>
    <row r="199" spans="1:4" x14ac:dyDescent="0.25">
      <c r="A199" s="8"/>
      <c r="B199" s="8"/>
      <c r="C199" s="8"/>
      <c r="D199" s="8"/>
    </row>
    <row r="200" spans="1:4" x14ac:dyDescent="0.25">
      <c r="A200" s="8"/>
      <c r="B200" s="8"/>
      <c r="C200" s="8"/>
      <c r="D200" s="8"/>
    </row>
    <row r="201" spans="1:4" x14ac:dyDescent="0.25">
      <c r="A201" s="8"/>
      <c r="B201" s="8"/>
      <c r="C201" s="8"/>
      <c r="D201" s="8"/>
    </row>
    <row r="202" spans="1:4" x14ac:dyDescent="0.25">
      <c r="A202" s="8"/>
      <c r="B202" s="8"/>
      <c r="C202" s="8"/>
      <c r="D202" s="8"/>
    </row>
    <row r="203" spans="1:4" x14ac:dyDescent="0.25">
      <c r="A203" s="8"/>
      <c r="B203" s="8"/>
      <c r="C203" s="8"/>
      <c r="D203" s="8"/>
    </row>
    <row r="204" spans="1:4" x14ac:dyDescent="0.25">
      <c r="A204" s="8"/>
      <c r="B204" s="8"/>
      <c r="C204" s="8"/>
      <c r="D204" s="8"/>
    </row>
    <row r="205" spans="1:4" x14ac:dyDescent="0.25">
      <c r="A205" s="8"/>
      <c r="B205" s="8"/>
      <c r="C205" s="8"/>
      <c r="D205" s="8"/>
    </row>
    <row r="206" spans="1:4" x14ac:dyDescent="0.25">
      <c r="A206" s="8"/>
      <c r="B206" s="8"/>
      <c r="C206" s="8"/>
      <c r="D206" s="8"/>
    </row>
    <row r="207" spans="1:4" x14ac:dyDescent="0.25">
      <c r="A207" s="8"/>
      <c r="B207" s="8"/>
      <c r="C207" s="8"/>
      <c r="D207" s="8"/>
    </row>
    <row r="208" spans="1:4" x14ac:dyDescent="0.25">
      <c r="A208" s="8"/>
      <c r="B208" s="8"/>
      <c r="C208" s="8"/>
      <c r="D208" s="8"/>
    </row>
    <row r="209" spans="1:4" x14ac:dyDescent="0.25">
      <c r="A209" s="8"/>
      <c r="B209" s="8"/>
      <c r="C209" s="8"/>
      <c r="D209" s="8"/>
    </row>
    <row r="210" spans="1:4" x14ac:dyDescent="0.25">
      <c r="A210" s="8"/>
      <c r="B210" s="8"/>
      <c r="C210" s="8"/>
      <c r="D210" s="8"/>
    </row>
    <row r="211" spans="1:4" x14ac:dyDescent="0.25">
      <c r="A211" s="8"/>
      <c r="B211" s="8"/>
      <c r="C211" s="8"/>
      <c r="D211" s="8"/>
    </row>
    <row r="212" spans="1:4" x14ac:dyDescent="0.25">
      <c r="A212" s="8"/>
      <c r="B212" s="8"/>
      <c r="C212" s="8"/>
      <c r="D212" s="8"/>
    </row>
    <row r="213" spans="1:4" x14ac:dyDescent="0.25">
      <c r="A213" s="8"/>
      <c r="B213" s="8"/>
      <c r="C213" s="8"/>
      <c r="D213" s="8"/>
    </row>
    <row r="214" spans="1:4" x14ac:dyDescent="0.25">
      <c r="A214" s="8"/>
      <c r="B214" s="8"/>
      <c r="C214" s="8"/>
      <c r="D214" s="8"/>
    </row>
    <row r="215" spans="1:4" x14ac:dyDescent="0.25">
      <c r="A215" s="8"/>
      <c r="B215" s="8"/>
      <c r="C215" s="8"/>
      <c r="D215" s="8"/>
    </row>
    <row r="216" spans="1:4" x14ac:dyDescent="0.25">
      <c r="A216" s="8"/>
      <c r="B216" s="8"/>
      <c r="C216" s="8"/>
      <c r="D216" s="8"/>
    </row>
    <row r="217" spans="1:4" x14ac:dyDescent="0.25">
      <c r="A217" s="8"/>
      <c r="B217" s="8"/>
      <c r="C217" s="8"/>
      <c r="D217" s="8"/>
    </row>
    <row r="218" spans="1:4" x14ac:dyDescent="0.25">
      <c r="A218" s="8"/>
      <c r="B218" s="8"/>
      <c r="C218" s="8"/>
      <c r="D218" s="8"/>
    </row>
    <row r="219" spans="1:4" x14ac:dyDescent="0.25">
      <c r="A219" s="8"/>
      <c r="B219" s="8"/>
      <c r="C219" s="8"/>
      <c r="D219" s="8"/>
    </row>
    <row r="220" spans="1:4" x14ac:dyDescent="0.25">
      <c r="A220" s="8"/>
      <c r="B220" s="8"/>
      <c r="C220" s="8"/>
      <c r="D220" s="8"/>
    </row>
    <row r="221" spans="1:4" x14ac:dyDescent="0.25">
      <c r="A221" s="8"/>
      <c r="B221" s="8"/>
      <c r="C221" s="8"/>
      <c r="D221" s="8"/>
    </row>
    <row r="222" spans="1:4" x14ac:dyDescent="0.25">
      <c r="A222" s="8"/>
      <c r="B222" s="8"/>
      <c r="C222" s="8"/>
      <c r="D222" s="8"/>
    </row>
    <row r="223" spans="1:4" x14ac:dyDescent="0.25">
      <c r="A223" s="8"/>
      <c r="B223" s="8"/>
      <c r="C223" s="8"/>
      <c r="D223" s="8"/>
    </row>
    <row r="224" spans="1:4" x14ac:dyDescent="0.25">
      <c r="A224" s="8"/>
      <c r="B224" s="8"/>
      <c r="C224" s="8"/>
      <c r="D224" s="8"/>
    </row>
    <row r="225" spans="1:4" x14ac:dyDescent="0.25">
      <c r="A225" s="8"/>
      <c r="B225" s="8"/>
      <c r="C225" s="8"/>
      <c r="D225" s="8"/>
    </row>
    <row r="226" spans="1:4" x14ac:dyDescent="0.25">
      <c r="A226" s="8"/>
      <c r="B226" s="8"/>
      <c r="C226" s="8"/>
      <c r="D226" s="8"/>
    </row>
    <row r="227" spans="1:4" x14ac:dyDescent="0.25">
      <c r="A227" s="8"/>
      <c r="B227" s="8"/>
      <c r="C227" s="8"/>
      <c r="D227" s="8"/>
    </row>
    <row r="228" spans="1:4" x14ac:dyDescent="0.25">
      <c r="A228" s="8"/>
      <c r="B228" s="8"/>
      <c r="C228" s="8"/>
      <c r="D228" s="8"/>
    </row>
    <row r="229" spans="1:4" x14ac:dyDescent="0.25">
      <c r="A229" s="8"/>
      <c r="B229" s="8"/>
      <c r="C229" s="8"/>
      <c r="D229" s="8"/>
    </row>
    <row r="230" spans="1:4" x14ac:dyDescent="0.25">
      <c r="A230" s="8"/>
      <c r="B230" s="8"/>
      <c r="C230" s="8"/>
      <c r="D230" s="8"/>
    </row>
    <row r="231" spans="1:4" x14ac:dyDescent="0.25">
      <c r="A231" s="8"/>
      <c r="B231" s="8"/>
      <c r="C231" s="8"/>
      <c r="D231" s="8"/>
    </row>
    <row r="232" spans="1:4" x14ac:dyDescent="0.25">
      <c r="A232" s="8"/>
      <c r="B232" s="8"/>
      <c r="C232" s="8"/>
      <c r="D232" s="8"/>
    </row>
    <row r="233" spans="1:4" x14ac:dyDescent="0.25">
      <c r="A233" s="8"/>
      <c r="B233" s="8"/>
      <c r="C233" s="8"/>
      <c r="D233" s="8"/>
    </row>
    <row r="234" spans="1:4" x14ac:dyDescent="0.25">
      <c r="A234" s="8"/>
      <c r="B234" s="8"/>
      <c r="C234" s="8"/>
      <c r="D234" s="8"/>
    </row>
    <row r="235" spans="1:4" x14ac:dyDescent="0.25">
      <c r="A235" s="8"/>
      <c r="B235" s="8"/>
      <c r="C235" s="8"/>
      <c r="D235" s="8"/>
    </row>
    <row r="236" spans="1:4" x14ac:dyDescent="0.25">
      <c r="A236" s="8"/>
      <c r="B236" s="8"/>
      <c r="C236" s="8"/>
      <c r="D236" s="8"/>
    </row>
    <row r="237" spans="1:4" x14ac:dyDescent="0.25">
      <c r="A237" s="8"/>
      <c r="B237" s="8"/>
      <c r="C237" s="8"/>
      <c r="D237" s="8"/>
    </row>
    <row r="238" spans="1:4" x14ac:dyDescent="0.25">
      <c r="A238" s="8"/>
      <c r="B238" s="8"/>
      <c r="C238" s="8"/>
      <c r="D238" s="8"/>
    </row>
    <row r="239" spans="1:4" x14ac:dyDescent="0.25">
      <c r="A239" s="8"/>
      <c r="B239" s="8"/>
      <c r="C239" s="8"/>
      <c r="D239" s="8"/>
    </row>
    <row r="240" spans="1:4" x14ac:dyDescent="0.25">
      <c r="A240" s="8"/>
      <c r="B240" s="8"/>
      <c r="C240" s="8"/>
      <c r="D240" s="8"/>
    </row>
    <row r="241" spans="1:4" x14ac:dyDescent="0.25">
      <c r="A241" s="8"/>
      <c r="B241" s="8"/>
      <c r="C241" s="8"/>
      <c r="D241" s="8"/>
    </row>
    <row r="242" spans="1:4" x14ac:dyDescent="0.25">
      <c r="A242" s="8"/>
      <c r="B242" s="8"/>
      <c r="C242" s="8"/>
      <c r="D242" s="8"/>
    </row>
    <row r="243" spans="1:4" x14ac:dyDescent="0.25">
      <c r="A243" s="8"/>
      <c r="B243" s="8"/>
      <c r="C243" s="8"/>
      <c r="D243" s="8"/>
    </row>
    <row r="244" spans="1:4" x14ac:dyDescent="0.25">
      <c r="A244" s="8"/>
      <c r="B244" s="8"/>
      <c r="C244" s="8"/>
      <c r="D244" s="8"/>
    </row>
    <row r="245" spans="1:4" x14ac:dyDescent="0.25">
      <c r="A245" s="8"/>
      <c r="B245" s="8"/>
      <c r="C245" s="8"/>
      <c r="D245" s="8"/>
    </row>
    <row r="246" spans="1:4" x14ac:dyDescent="0.25">
      <c r="A246" s="8"/>
      <c r="B246" s="8"/>
      <c r="C246" s="8"/>
      <c r="D246" s="8"/>
    </row>
    <row r="247" spans="1:4" x14ac:dyDescent="0.25">
      <c r="A247" s="8"/>
      <c r="B247" s="8"/>
      <c r="C247" s="8"/>
      <c r="D247" s="8"/>
    </row>
    <row r="248" spans="1:4" x14ac:dyDescent="0.25">
      <c r="A248" s="8"/>
      <c r="B248" s="8"/>
      <c r="C248" s="8"/>
      <c r="D248" s="8"/>
    </row>
    <row r="249" spans="1:4" x14ac:dyDescent="0.25">
      <c r="A249" s="8"/>
      <c r="B249" s="8"/>
      <c r="C249" s="8"/>
      <c r="D249" s="8"/>
    </row>
    <row r="250" spans="1:4" x14ac:dyDescent="0.25">
      <c r="A250" s="8"/>
      <c r="B250" s="8"/>
      <c r="C250" s="8"/>
      <c r="D250" s="8"/>
    </row>
    <row r="251" spans="1:4" x14ac:dyDescent="0.25">
      <c r="A251" s="8"/>
      <c r="B251" s="8"/>
      <c r="C251" s="8"/>
      <c r="D251" s="8"/>
    </row>
    <row r="252" spans="1:4" x14ac:dyDescent="0.25">
      <c r="A252" s="8"/>
      <c r="B252" s="8"/>
      <c r="C252" s="8"/>
      <c r="D252" s="8"/>
    </row>
    <row r="253" spans="1:4" x14ac:dyDescent="0.25">
      <c r="A253" s="8"/>
      <c r="B253" s="8"/>
      <c r="C253" s="8"/>
      <c r="D253" s="8"/>
    </row>
    <row r="254" spans="1:4" x14ac:dyDescent="0.25">
      <c r="A254" s="8"/>
      <c r="B254" s="8"/>
      <c r="C254" s="8"/>
      <c r="D254" s="8"/>
    </row>
    <row r="255" spans="1:4" x14ac:dyDescent="0.25">
      <c r="A255" s="8"/>
      <c r="B255" s="8"/>
      <c r="C255" s="8"/>
      <c r="D255" s="8"/>
    </row>
    <row r="256" spans="1:4" x14ac:dyDescent="0.25">
      <c r="A256" s="8"/>
      <c r="B256" s="8"/>
      <c r="C256" s="8"/>
      <c r="D256" s="8"/>
    </row>
    <row r="257" spans="1:4" x14ac:dyDescent="0.25">
      <c r="A257" s="8"/>
      <c r="B257" s="8"/>
      <c r="C257" s="8"/>
      <c r="D257" s="8"/>
    </row>
    <row r="258" spans="1:4" x14ac:dyDescent="0.25">
      <c r="A258" s="8"/>
      <c r="B258" s="8"/>
      <c r="C258" s="8"/>
      <c r="D258" s="8"/>
    </row>
    <row r="259" spans="1:4" x14ac:dyDescent="0.25">
      <c r="A259" s="8"/>
      <c r="B259" s="8"/>
      <c r="C259" s="8"/>
      <c r="D259" s="8"/>
    </row>
    <row r="260" spans="1:4" x14ac:dyDescent="0.25">
      <c r="A260" s="8"/>
      <c r="B260" s="8"/>
      <c r="C260" s="8"/>
      <c r="D260" s="8"/>
    </row>
    <row r="261" spans="1:4" x14ac:dyDescent="0.25">
      <c r="A261" s="8"/>
      <c r="B261" s="8"/>
      <c r="C261" s="8"/>
      <c r="D261" s="8"/>
    </row>
    <row r="262" spans="1:4" x14ac:dyDescent="0.25">
      <c r="A262" s="8"/>
      <c r="B262" s="8"/>
      <c r="C262" s="8"/>
      <c r="D262" s="8"/>
    </row>
    <row r="263" spans="1:4" x14ac:dyDescent="0.25">
      <c r="A263" s="8"/>
      <c r="B263" s="8"/>
      <c r="C263" s="8"/>
      <c r="D263" s="8"/>
    </row>
    <row r="264" spans="1:4" x14ac:dyDescent="0.25">
      <c r="A264" s="8"/>
      <c r="B264" s="8"/>
      <c r="C264" s="8"/>
      <c r="D264" s="8"/>
    </row>
    <row r="265" spans="1:4" x14ac:dyDescent="0.25">
      <c r="A265" s="8"/>
      <c r="B265" s="8"/>
      <c r="C265" s="8"/>
      <c r="D265" s="8"/>
    </row>
    <row r="266" spans="1:4" x14ac:dyDescent="0.25">
      <c r="A266" s="8"/>
      <c r="B266" s="8"/>
      <c r="C266" s="8"/>
      <c r="D266" s="8"/>
    </row>
    <row r="267" spans="1:4" x14ac:dyDescent="0.25">
      <c r="A267" s="8"/>
      <c r="B267" s="8"/>
      <c r="C267" s="8"/>
      <c r="D267" s="8"/>
    </row>
    <row r="268" spans="1:4" x14ac:dyDescent="0.25">
      <c r="A268" s="8"/>
      <c r="B268" s="8"/>
      <c r="C268" s="8"/>
      <c r="D268" s="8"/>
    </row>
    <row r="269" spans="1:4" x14ac:dyDescent="0.25">
      <c r="A269" s="8"/>
      <c r="B269" s="8"/>
      <c r="C269" s="8"/>
      <c r="D269" s="8"/>
    </row>
    <row r="270" spans="1:4" x14ac:dyDescent="0.25">
      <c r="A270" s="8"/>
      <c r="B270" s="8"/>
      <c r="C270" s="8"/>
      <c r="D270" s="8"/>
    </row>
    <row r="271" spans="1:4" x14ac:dyDescent="0.25">
      <c r="A271" s="8"/>
      <c r="B271" s="8"/>
      <c r="C271" s="8"/>
      <c r="D271" s="8"/>
    </row>
    <row r="272" spans="1:4" x14ac:dyDescent="0.25">
      <c r="A272" s="8"/>
      <c r="B272" s="8"/>
      <c r="C272" s="8"/>
      <c r="D272" s="8"/>
    </row>
    <row r="273" spans="1:4" x14ac:dyDescent="0.25">
      <c r="A273" s="8"/>
      <c r="B273" s="8"/>
      <c r="C273" s="8"/>
      <c r="D273" s="8"/>
    </row>
    <row r="274" spans="1:4" x14ac:dyDescent="0.25">
      <c r="A274" s="8"/>
      <c r="B274" s="8"/>
      <c r="C274" s="8"/>
      <c r="D274" s="8"/>
    </row>
    <row r="275" spans="1:4" x14ac:dyDescent="0.25">
      <c r="A275" s="8"/>
      <c r="B275" s="8"/>
      <c r="C275" s="8"/>
      <c r="D275" s="8"/>
    </row>
    <row r="276" spans="1:4" x14ac:dyDescent="0.25">
      <c r="A276" s="8"/>
      <c r="B276" s="8"/>
      <c r="C276" s="8"/>
      <c r="D276" s="8"/>
    </row>
    <row r="277" spans="1:4" x14ac:dyDescent="0.25">
      <c r="A277" s="8"/>
      <c r="B277" s="8"/>
      <c r="C277" s="8"/>
      <c r="D277" s="8"/>
    </row>
    <row r="278" spans="1:4" x14ac:dyDescent="0.25">
      <c r="A278" s="8"/>
      <c r="B278" s="8"/>
      <c r="C278" s="8"/>
      <c r="D278" s="8"/>
    </row>
    <row r="279" spans="1:4" x14ac:dyDescent="0.25">
      <c r="A279" s="8"/>
      <c r="B279" s="8"/>
      <c r="C279" s="8"/>
      <c r="D279" s="8"/>
    </row>
    <row r="280" spans="1:4" x14ac:dyDescent="0.25">
      <c r="A280" s="8"/>
      <c r="B280" s="8"/>
      <c r="C280" s="8"/>
      <c r="D280" s="8"/>
    </row>
    <row r="281" spans="1:4" x14ac:dyDescent="0.25">
      <c r="A281" s="8"/>
      <c r="B281" s="8"/>
      <c r="C281" s="8"/>
      <c r="D281" s="8"/>
    </row>
    <row r="282" spans="1:4" x14ac:dyDescent="0.25">
      <c r="A282" s="8"/>
      <c r="B282" s="8"/>
      <c r="C282" s="8"/>
      <c r="D282" s="8"/>
    </row>
    <row r="283" spans="1:4" x14ac:dyDescent="0.25">
      <c r="A283" s="8"/>
      <c r="B283" s="8"/>
      <c r="C283" s="8"/>
      <c r="D283" s="8"/>
    </row>
    <row r="284" spans="1:4" x14ac:dyDescent="0.25">
      <c r="A284" s="8"/>
      <c r="B284" s="8"/>
      <c r="C284" s="8"/>
      <c r="D284" s="8"/>
    </row>
    <row r="285" spans="1:4" x14ac:dyDescent="0.25">
      <c r="A285" s="8"/>
      <c r="B285" s="8"/>
      <c r="C285" s="8"/>
      <c r="D285" s="8"/>
    </row>
    <row r="286" spans="1:4" x14ac:dyDescent="0.25">
      <c r="A286" s="8"/>
      <c r="B286" s="8"/>
      <c r="C286" s="8"/>
      <c r="D286" s="8"/>
    </row>
    <row r="287" spans="1:4" x14ac:dyDescent="0.25">
      <c r="A287" s="8"/>
      <c r="B287" s="8"/>
      <c r="C287" s="8"/>
      <c r="D287" s="8"/>
    </row>
    <row r="288" spans="1:4" x14ac:dyDescent="0.25">
      <c r="A288" s="8"/>
      <c r="B288" s="8"/>
      <c r="C288" s="8"/>
      <c r="D288" s="8"/>
    </row>
    <row r="289" spans="1:4" x14ac:dyDescent="0.25">
      <c r="A289" s="8"/>
      <c r="B289" s="8"/>
      <c r="C289" s="8"/>
      <c r="D289" s="8"/>
    </row>
    <row r="290" spans="1:4" x14ac:dyDescent="0.25">
      <c r="A290" s="8"/>
      <c r="B290" s="8"/>
      <c r="C290" s="8"/>
      <c r="D290" s="8"/>
    </row>
    <row r="291" spans="1:4" x14ac:dyDescent="0.25">
      <c r="A291" s="8"/>
      <c r="B291" s="8"/>
      <c r="C291" s="8"/>
      <c r="D291" s="8"/>
    </row>
    <row r="292" spans="1:4" x14ac:dyDescent="0.25">
      <c r="A292" s="8"/>
      <c r="B292" s="8"/>
      <c r="C292" s="8"/>
      <c r="D292" s="8"/>
    </row>
    <row r="293" spans="1:4" x14ac:dyDescent="0.25">
      <c r="A293" s="8"/>
      <c r="B293" s="8"/>
      <c r="C293" s="8"/>
      <c r="D293" s="8"/>
    </row>
    <row r="294" spans="1:4" x14ac:dyDescent="0.25">
      <c r="A294" s="8"/>
      <c r="B294" s="8"/>
      <c r="C294" s="8"/>
      <c r="D294" s="8"/>
    </row>
    <row r="295" spans="1:4" x14ac:dyDescent="0.25">
      <c r="A295" s="8"/>
      <c r="B295" s="8"/>
      <c r="C295" s="8"/>
      <c r="D295" s="8"/>
    </row>
    <row r="296" spans="1:4" x14ac:dyDescent="0.25">
      <c r="A296" s="8"/>
      <c r="B296" s="8"/>
      <c r="C296" s="8"/>
      <c r="D296" s="8"/>
    </row>
    <row r="297" spans="1:4" x14ac:dyDescent="0.25">
      <c r="A297" s="8"/>
      <c r="B297" s="8"/>
      <c r="C297" s="8"/>
      <c r="D297" s="8"/>
    </row>
    <row r="298" spans="1:4" x14ac:dyDescent="0.25">
      <c r="A298" s="8"/>
      <c r="B298" s="8"/>
      <c r="C298" s="8"/>
      <c r="D298" s="8"/>
    </row>
    <row r="299" spans="1:4" x14ac:dyDescent="0.25">
      <c r="A299" s="8"/>
      <c r="B299" s="8"/>
      <c r="C299" s="8"/>
      <c r="D299" s="8"/>
    </row>
    <row r="300" spans="1:4" x14ac:dyDescent="0.25">
      <c r="A300" s="8"/>
      <c r="B300" s="8"/>
      <c r="C300" s="8"/>
      <c r="D300" s="8"/>
    </row>
    <row r="301" spans="1:4" x14ac:dyDescent="0.25">
      <c r="A301" s="8"/>
      <c r="B301" s="8"/>
      <c r="C301" s="8"/>
      <c r="D301" s="8"/>
    </row>
    <row r="302" spans="1:4" x14ac:dyDescent="0.25">
      <c r="A302" s="8"/>
      <c r="B302" s="8"/>
      <c r="C302" s="8"/>
      <c r="D302" s="8"/>
    </row>
    <row r="303" spans="1:4" x14ac:dyDescent="0.25">
      <c r="A303" s="8"/>
      <c r="B303" s="8"/>
      <c r="C303" s="8"/>
      <c r="D303" s="8"/>
    </row>
    <row r="304" spans="1:4" x14ac:dyDescent="0.25">
      <c r="A304" s="8"/>
      <c r="B304" s="8"/>
      <c r="C304" s="8"/>
      <c r="D304" s="8"/>
    </row>
    <row r="305" spans="1:4" x14ac:dyDescent="0.25">
      <c r="A305" s="8"/>
      <c r="B305" s="8"/>
      <c r="C305" s="8"/>
      <c r="D305" s="8"/>
    </row>
    <row r="306" spans="1:4" x14ac:dyDescent="0.25">
      <c r="A306" s="8"/>
      <c r="B306" s="8"/>
      <c r="C306" s="8"/>
      <c r="D306" s="8"/>
    </row>
    <row r="307" spans="1:4" x14ac:dyDescent="0.25">
      <c r="A307" s="8"/>
      <c r="B307" s="8"/>
      <c r="C307" s="8"/>
      <c r="D307" s="8"/>
    </row>
    <row r="308" spans="1:4" x14ac:dyDescent="0.25">
      <c r="A308" s="8"/>
      <c r="B308" s="8"/>
      <c r="C308" s="8"/>
      <c r="D308" s="8"/>
    </row>
    <row r="309" spans="1:4" x14ac:dyDescent="0.25">
      <c r="A309" s="8"/>
      <c r="B309" s="8"/>
      <c r="C309" s="8"/>
      <c r="D309" s="8"/>
    </row>
    <row r="310" spans="1:4" x14ac:dyDescent="0.25">
      <c r="A310" s="8"/>
      <c r="B310" s="8"/>
      <c r="C310" s="8"/>
      <c r="D310" s="8"/>
    </row>
    <row r="311" spans="1:4" x14ac:dyDescent="0.25">
      <c r="A311" s="8"/>
      <c r="B311" s="8"/>
      <c r="C311" s="8"/>
      <c r="D311" s="8"/>
    </row>
    <row r="312" spans="1:4" x14ac:dyDescent="0.25">
      <c r="A312" s="8"/>
      <c r="B312" s="8"/>
      <c r="C312" s="8"/>
      <c r="D312" s="8"/>
    </row>
    <row r="313" spans="1:4" x14ac:dyDescent="0.25">
      <c r="A313" s="8"/>
      <c r="B313" s="8"/>
      <c r="C313" s="8"/>
      <c r="D313" s="8"/>
    </row>
    <row r="314" spans="1:4" x14ac:dyDescent="0.25">
      <c r="A314" s="8"/>
      <c r="B314" s="8"/>
      <c r="C314" s="8"/>
      <c r="D314" s="8"/>
    </row>
    <row r="315" spans="1:4" x14ac:dyDescent="0.25">
      <c r="A315" s="8"/>
      <c r="B315" s="8"/>
      <c r="C315" s="8"/>
      <c r="D315" s="8"/>
    </row>
    <row r="316" spans="1:4" x14ac:dyDescent="0.25">
      <c r="A316" s="8"/>
      <c r="B316" s="8"/>
      <c r="C316" s="8"/>
      <c r="D316" s="8"/>
    </row>
    <row r="317" spans="1:4" x14ac:dyDescent="0.25">
      <c r="A317" s="8"/>
      <c r="B317" s="8"/>
      <c r="C317" s="8"/>
      <c r="D317" s="8"/>
    </row>
    <row r="318" spans="1:4" x14ac:dyDescent="0.25">
      <c r="A318" s="8"/>
      <c r="B318" s="8"/>
      <c r="C318" s="8"/>
      <c r="D318" s="8"/>
    </row>
    <row r="319" spans="1:4" x14ac:dyDescent="0.25">
      <c r="A319" s="8"/>
      <c r="B319" s="8"/>
      <c r="C319" s="8"/>
      <c r="D319" s="8"/>
    </row>
    <row r="320" spans="1:4" x14ac:dyDescent="0.25">
      <c r="A320" s="8"/>
      <c r="B320" s="8"/>
      <c r="C320" s="8"/>
      <c r="D320" s="8"/>
    </row>
    <row r="321" spans="1:4" x14ac:dyDescent="0.25">
      <c r="A321" s="8"/>
      <c r="B321" s="8"/>
      <c r="C321" s="8"/>
      <c r="D321" s="8"/>
    </row>
    <row r="322" spans="1:4" x14ac:dyDescent="0.25">
      <c r="A322" s="8"/>
      <c r="B322" s="8"/>
      <c r="C322" s="8"/>
      <c r="D322" s="8"/>
    </row>
    <row r="323" spans="1:4" x14ac:dyDescent="0.25">
      <c r="A323" s="8"/>
      <c r="B323" s="8"/>
      <c r="C323" s="8"/>
      <c r="D323" s="8"/>
    </row>
    <row r="324" spans="1:4" x14ac:dyDescent="0.25">
      <c r="A324" s="8"/>
      <c r="B324" s="8"/>
      <c r="C324" s="8"/>
      <c r="D324" s="8"/>
    </row>
    <row r="325" spans="1:4" x14ac:dyDescent="0.25">
      <c r="A325" s="8"/>
      <c r="B325" s="8"/>
      <c r="C325" s="8"/>
      <c r="D325" s="8"/>
    </row>
    <row r="326" spans="1:4" x14ac:dyDescent="0.25">
      <c r="A326" s="8"/>
      <c r="B326" s="8"/>
      <c r="C326" s="8"/>
      <c r="D326" s="8"/>
    </row>
    <row r="327" spans="1:4" x14ac:dyDescent="0.25">
      <c r="A327" s="8"/>
      <c r="B327" s="8"/>
      <c r="C327" s="8"/>
      <c r="D327" s="8"/>
    </row>
    <row r="328" spans="1:4" x14ac:dyDescent="0.25">
      <c r="A328" s="8"/>
      <c r="B328" s="8"/>
      <c r="C328" s="8"/>
      <c r="D328" s="8"/>
    </row>
    <row r="329" spans="1:4" x14ac:dyDescent="0.25">
      <c r="A329" s="8"/>
      <c r="B329" s="8"/>
      <c r="C329" s="8"/>
      <c r="D329" s="8"/>
    </row>
    <row r="330" spans="1:4" x14ac:dyDescent="0.25">
      <c r="A330" s="8"/>
      <c r="B330" s="8"/>
      <c r="C330" s="8"/>
      <c r="D330" s="8"/>
    </row>
    <row r="331" spans="1:4" x14ac:dyDescent="0.25">
      <c r="A331" s="8"/>
      <c r="B331" s="8"/>
      <c r="C331" s="8"/>
      <c r="D331" s="8"/>
    </row>
    <row r="332" spans="1:4" x14ac:dyDescent="0.25">
      <c r="A332" s="8"/>
      <c r="B332" s="8"/>
      <c r="C332" s="8"/>
      <c r="D332" s="8"/>
    </row>
    <row r="333" spans="1:4" x14ac:dyDescent="0.25">
      <c r="A333" s="8"/>
      <c r="B333" s="8"/>
      <c r="C333" s="8"/>
      <c r="D333" s="8"/>
    </row>
    <row r="334" spans="1:4" x14ac:dyDescent="0.25">
      <c r="A334" s="8"/>
      <c r="B334" s="8"/>
      <c r="C334" s="8"/>
      <c r="D334" s="8"/>
    </row>
    <row r="335" spans="1:4" x14ac:dyDescent="0.25">
      <c r="A335" s="8"/>
      <c r="B335" s="8"/>
      <c r="C335" s="8"/>
      <c r="D335" s="8"/>
    </row>
    <row r="336" spans="1:4" x14ac:dyDescent="0.25">
      <c r="A336" s="8"/>
      <c r="B336" s="8"/>
      <c r="C336" s="8"/>
      <c r="D336" s="8"/>
    </row>
    <row r="337" spans="1:4" x14ac:dyDescent="0.25">
      <c r="A337" s="8"/>
      <c r="B337" s="8"/>
      <c r="C337" s="8"/>
      <c r="D337" s="8"/>
    </row>
    <row r="338" spans="1:4" x14ac:dyDescent="0.25">
      <c r="A338" s="8"/>
      <c r="B338" s="8"/>
      <c r="C338" s="8"/>
      <c r="D338" s="8"/>
    </row>
    <row r="339" spans="1:4" x14ac:dyDescent="0.25">
      <c r="A339" s="8"/>
      <c r="B339" s="8"/>
      <c r="C339" s="8"/>
      <c r="D339" s="8"/>
    </row>
    <row r="340" spans="1:4" x14ac:dyDescent="0.25">
      <c r="A340" s="8"/>
      <c r="B340" s="8"/>
      <c r="C340" s="8"/>
      <c r="D340" s="8"/>
    </row>
    <row r="341" spans="1:4" x14ac:dyDescent="0.25">
      <c r="A341" s="8"/>
      <c r="B341" s="8"/>
      <c r="C341" s="8"/>
      <c r="D341" s="8"/>
    </row>
    <row r="342" spans="1:4" x14ac:dyDescent="0.25">
      <c r="A342" s="8"/>
      <c r="B342" s="8"/>
      <c r="C342" s="8"/>
      <c r="D342" s="8"/>
    </row>
    <row r="343" spans="1:4" x14ac:dyDescent="0.25">
      <c r="A343" s="8"/>
      <c r="B343" s="8"/>
      <c r="C343" s="8"/>
      <c r="D343" s="8"/>
    </row>
    <row r="344" spans="1:4" x14ac:dyDescent="0.25">
      <c r="A344" s="8"/>
      <c r="B344" s="8"/>
      <c r="C344" s="8"/>
      <c r="D344" s="8"/>
    </row>
    <row r="345" spans="1:4" x14ac:dyDescent="0.25">
      <c r="A345" s="8"/>
      <c r="B345" s="8"/>
      <c r="C345" s="8"/>
      <c r="D345" s="8"/>
    </row>
    <row r="346" spans="1:4" x14ac:dyDescent="0.25">
      <c r="A346" s="8"/>
      <c r="B346" s="8"/>
      <c r="C346" s="8"/>
      <c r="D346" s="8"/>
    </row>
    <row r="347" spans="1:4" x14ac:dyDescent="0.25">
      <c r="A347" s="8"/>
      <c r="B347" s="8"/>
      <c r="C347" s="8"/>
      <c r="D347" s="8"/>
    </row>
    <row r="348" spans="1:4" x14ac:dyDescent="0.25">
      <c r="A348" s="8"/>
      <c r="B348" s="8"/>
      <c r="C348" s="8"/>
      <c r="D348" s="8"/>
    </row>
    <row r="349" spans="1:4" x14ac:dyDescent="0.25">
      <c r="A349" s="8"/>
      <c r="B349" s="8"/>
      <c r="C349" s="8"/>
      <c r="D349" s="8"/>
    </row>
    <row r="350" spans="1:4" x14ac:dyDescent="0.25">
      <c r="A350" s="8"/>
      <c r="B350" s="8"/>
      <c r="C350" s="8"/>
      <c r="D350" s="8"/>
    </row>
    <row r="351" spans="1:4" x14ac:dyDescent="0.25">
      <c r="A351" s="8"/>
      <c r="B351" s="8"/>
      <c r="C351" s="8"/>
      <c r="D351" s="8"/>
    </row>
    <row r="352" spans="1:4" x14ac:dyDescent="0.25">
      <c r="A352" s="8"/>
      <c r="B352" s="8"/>
      <c r="C352" s="8"/>
      <c r="D352" s="8"/>
    </row>
    <row r="353" spans="1:4" x14ac:dyDescent="0.25">
      <c r="A353" s="8"/>
      <c r="B353" s="8"/>
      <c r="C353" s="8"/>
      <c r="D353" s="8"/>
    </row>
    <row r="354" spans="1:4" x14ac:dyDescent="0.25">
      <c r="A354" s="8"/>
      <c r="B354" s="8"/>
      <c r="C354" s="8"/>
      <c r="D354" s="8"/>
    </row>
    <row r="355" spans="1:4" x14ac:dyDescent="0.25">
      <c r="A355" s="8"/>
      <c r="B355" s="8"/>
      <c r="C355" s="8"/>
      <c r="D355" s="8"/>
    </row>
    <row r="356" spans="1:4" x14ac:dyDescent="0.25">
      <c r="A356" s="8"/>
      <c r="B356" s="8"/>
      <c r="C356" s="8"/>
      <c r="D356" s="8"/>
    </row>
    <row r="357" spans="1:4" x14ac:dyDescent="0.25">
      <c r="A357" s="8"/>
      <c r="B357" s="8"/>
      <c r="C357" s="8"/>
      <c r="D357" s="8"/>
    </row>
    <row r="358" spans="1:4" x14ac:dyDescent="0.25">
      <c r="A358" s="8"/>
      <c r="B358" s="8"/>
      <c r="C358" s="8"/>
      <c r="D358" s="8"/>
    </row>
    <row r="359" spans="1:4" x14ac:dyDescent="0.25">
      <c r="A359" s="8"/>
      <c r="B359" s="8"/>
      <c r="C359" s="8"/>
      <c r="D359" s="8"/>
    </row>
    <row r="360" spans="1:4" x14ac:dyDescent="0.25">
      <c r="A360" s="8"/>
      <c r="B360" s="8"/>
      <c r="C360" s="8"/>
      <c r="D360" s="8"/>
    </row>
    <row r="361" spans="1:4" x14ac:dyDescent="0.25">
      <c r="A361" s="8"/>
      <c r="B361" s="8"/>
      <c r="C361" s="8"/>
      <c r="D361" s="8"/>
    </row>
    <row r="362" spans="1:4" x14ac:dyDescent="0.25">
      <c r="A362" s="8"/>
      <c r="B362" s="8"/>
      <c r="C362" s="8"/>
      <c r="D362" s="8"/>
    </row>
    <row r="363" spans="1:4" x14ac:dyDescent="0.25">
      <c r="A363" s="8"/>
      <c r="B363" s="8"/>
      <c r="C363" s="8"/>
      <c r="D363" s="8"/>
    </row>
    <row r="364" spans="1:4" x14ac:dyDescent="0.25">
      <c r="A364" s="8"/>
      <c r="B364" s="8"/>
      <c r="C364" s="8"/>
      <c r="D364" s="8"/>
    </row>
    <row r="365" spans="1:4" x14ac:dyDescent="0.25">
      <c r="A365" s="8"/>
      <c r="B365" s="8"/>
      <c r="C365" s="8"/>
      <c r="D365" s="8"/>
    </row>
    <row r="366" spans="1:4" x14ac:dyDescent="0.25">
      <c r="A366" s="8"/>
      <c r="B366" s="8"/>
      <c r="C366" s="8"/>
      <c r="D366" s="8"/>
    </row>
    <row r="367" spans="1:4" x14ac:dyDescent="0.25">
      <c r="A367" s="8"/>
      <c r="B367" s="8"/>
      <c r="C367" s="8"/>
      <c r="D367" s="8"/>
    </row>
    <row r="368" spans="1:4" x14ac:dyDescent="0.25">
      <c r="A368" s="8"/>
      <c r="B368" s="8"/>
      <c r="C368" s="8"/>
      <c r="D368" s="8"/>
    </row>
    <row r="369" spans="1:4" x14ac:dyDescent="0.25">
      <c r="A369" s="8"/>
      <c r="B369" s="8"/>
      <c r="C369" s="8"/>
      <c r="D369" s="8"/>
    </row>
    <row r="370" spans="1:4" x14ac:dyDescent="0.25">
      <c r="A370" s="8"/>
      <c r="B370" s="8"/>
      <c r="C370" s="8"/>
      <c r="D370" s="8"/>
    </row>
    <row r="371" spans="1:4" x14ac:dyDescent="0.25">
      <c r="A371" s="8"/>
      <c r="B371" s="8"/>
      <c r="C371" s="8"/>
      <c r="D371" s="8"/>
    </row>
    <row r="372" spans="1:4" x14ac:dyDescent="0.25">
      <c r="A372" s="8"/>
      <c r="B372" s="8"/>
      <c r="C372" s="8"/>
      <c r="D372" s="8"/>
    </row>
    <row r="373" spans="1:4" x14ac:dyDescent="0.25">
      <c r="A373" s="8"/>
      <c r="B373" s="8"/>
      <c r="C373" s="8"/>
      <c r="D373" s="8"/>
    </row>
    <row r="374" spans="1:4" x14ac:dyDescent="0.25">
      <c r="A374" s="8"/>
      <c r="B374" s="8"/>
      <c r="C374" s="8"/>
      <c r="D374" s="8"/>
    </row>
    <row r="375" spans="1:4" x14ac:dyDescent="0.25">
      <c r="A375" s="8"/>
      <c r="B375" s="8"/>
      <c r="C375" s="8"/>
      <c r="D375" s="8"/>
    </row>
    <row r="376" spans="1:4" x14ac:dyDescent="0.25">
      <c r="A376" s="8"/>
      <c r="B376" s="8"/>
      <c r="C376" s="8"/>
      <c r="D376" s="8"/>
    </row>
    <row r="377" spans="1:4" x14ac:dyDescent="0.25">
      <c r="A377" s="8"/>
      <c r="B377" s="8"/>
      <c r="C377" s="8"/>
      <c r="D377" s="8"/>
    </row>
    <row r="378" spans="1:4" x14ac:dyDescent="0.25">
      <c r="A378" s="8"/>
      <c r="B378" s="8"/>
      <c r="C378" s="8"/>
      <c r="D378" s="8"/>
    </row>
    <row r="379" spans="1:4" x14ac:dyDescent="0.25">
      <c r="A379" s="8"/>
      <c r="B379" s="8"/>
      <c r="C379" s="8"/>
      <c r="D379" s="8"/>
    </row>
    <row r="380" spans="1:4" x14ac:dyDescent="0.25">
      <c r="A380" s="8"/>
      <c r="B380" s="8"/>
      <c r="C380" s="8"/>
      <c r="D380" s="8"/>
    </row>
    <row r="381" spans="1:4" x14ac:dyDescent="0.25">
      <c r="A381" s="8"/>
      <c r="B381" s="8"/>
      <c r="C381" s="8"/>
      <c r="D381" s="8"/>
    </row>
    <row r="382" spans="1:4" x14ac:dyDescent="0.25">
      <c r="A382" s="8"/>
      <c r="B382" s="8"/>
      <c r="C382" s="8"/>
      <c r="D382" s="8"/>
    </row>
    <row r="383" spans="1:4" x14ac:dyDescent="0.25">
      <c r="A383" s="8"/>
      <c r="B383" s="8"/>
      <c r="C383" s="8"/>
      <c r="D383" s="8"/>
    </row>
    <row r="384" spans="1:4" x14ac:dyDescent="0.25">
      <c r="A384" s="8"/>
      <c r="B384" s="8"/>
      <c r="C384" s="8"/>
      <c r="D384" s="8"/>
    </row>
    <row r="385" spans="1:4" x14ac:dyDescent="0.25">
      <c r="A385" s="8"/>
      <c r="B385" s="8"/>
      <c r="C385" s="8"/>
      <c r="D385" s="8"/>
    </row>
    <row r="386" spans="1:4" x14ac:dyDescent="0.25">
      <c r="A386" s="8"/>
      <c r="B386" s="8"/>
      <c r="C386" s="8"/>
      <c r="D386" s="8"/>
    </row>
    <row r="387" spans="1:4" x14ac:dyDescent="0.25">
      <c r="A387" s="8"/>
      <c r="B387" s="8"/>
      <c r="C387" s="8"/>
      <c r="D387" s="8"/>
    </row>
    <row r="388" spans="1:4" x14ac:dyDescent="0.25">
      <c r="A388" s="8"/>
      <c r="B388" s="8"/>
      <c r="C388" s="8"/>
      <c r="D388" s="8"/>
    </row>
    <row r="389" spans="1:4" x14ac:dyDescent="0.25">
      <c r="A389" s="8"/>
      <c r="B389" s="8"/>
      <c r="C389" s="8"/>
      <c r="D389" s="8"/>
    </row>
    <row r="390" spans="1:4" x14ac:dyDescent="0.25">
      <c r="A390" s="8"/>
      <c r="B390" s="8"/>
      <c r="C390" s="8"/>
      <c r="D390" s="8"/>
    </row>
    <row r="391" spans="1:4" x14ac:dyDescent="0.25">
      <c r="A391" s="8"/>
      <c r="B391" s="8"/>
      <c r="C391" s="8"/>
      <c r="D391" s="8"/>
    </row>
    <row r="392" spans="1:4" x14ac:dyDescent="0.25">
      <c r="A392" s="8"/>
      <c r="B392" s="8"/>
      <c r="C392" s="8"/>
      <c r="D392" s="8"/>
    </row>
    <row r="393" spans="1:4" x14ac:dyDescent="0.25">
      <c r="A393" s="8"/>
      <c r="B393" s="8"/>
      <c r="C393" s="8"/>
      <c r="D393" s="8"/>
    </row>
    <row r="394" spans="1:4" x14ac:dyDescent="0.25">
      <c r="A394" s="8"/>
      <c r="B394" s="8"/>
      <c r="C394" s="8"/>
      <c r="D394" s="8"/>
    </row>
    <row r="395" spans="1:4" x14ac:dyDescent="0.25">
      <c r="A395" s="8"/>
      <c r="B395" s="8"/>
      <c r="C395" s="8"/>
      <c r="D395" s="8"/>
    </row>
    <row r="396" spans="1:4" x14ac:dyDescent="0.25">
      <c r="A396" s="8"/>
      <c r="B396" s="8"/>
      <c r="C396" s="8"/>
      <c r="D396" s="8"/>
    </row>
    <row r="397" spans="1:4" x14ac:dyDescent="0.25">
      <c r="A397" s="8"/>
      <c r="B397" s="8"/>
      <c r="C397" s="8"/>
      <c r="D397" s="8"/>
    </row>
    <row r="398" spans="1:4" x14ac:dyDescent="0.25">
      <c r="A398" s="8"/>
      <c r="B398" s="8"/>
      <c r="C398" s="8"/>
      <c r="D398" s="8"/>
    </row>
    <row r="399" spans="1:4" x14ac:dyDescent="0.25">
      <c r="A399" s="8"/>
      <c r="B399" s="8"/>
      <c r="C399" s="8"/>
      <c r="D399" s="8"/>
    </row>
    <row r="400" spans="1:4" x14ac:dyDescent="0.25">
      <c r="A400" s="8"/>
      <c r="B400" s="8"/>
      <c r="C400" s="8"/>
      <c r="D400" s="8"/>
    </row>
    <row r="401" spans="1:4" x14ac:dyDescent="0.25">
      <c r="A401" s="8"/>
      <c r="B401" s="8"/>
      <c r="C401" s="8"/>
      <c r="D401" s="8"/>
    </row>
    <row r="402" spans="1:4" x14ac:dyDescent="0.25">
      <c r="A402" s="8"/>
      <c r="B402" s="8"/>
      <c r="C402" s="8"/>
      <c r="D402" s="8"/>
    </row>
    <row r="403" spans="1:4" x14ac:dyDescent="0.25">
      <c r="A403" s="8"/>
      <c r="B403" s="8"/>
      <c r="C403" s="8"/>
      <c r="D403" s="8"/>
    </row>
    <row r="404" spans="1:4" x14ac:dyDescent="0.25">
      <c r="A404" s="8"/>
      <c r="B404" s="8"/>
      <c r="C404" s="8"/>
      <c r="D404" s="8"/>
    </row>
    <row r="405" spans="1:4" x14ac:dyDescent="0.25">
      <c r="A405" s="8"/>
      <c r="B405" s="8"/>
      <c r="C405" s="8"/>
      <c r="D405" s="8"/>
    </row>
    <row r="406" spans="1:4" x14ac:dyDescent="0.25">
      <c r="A406" s="8"/>
      <c r="B406" s="8"/>
      <c r="C406" s="8"/>
      <c r="D406" s="8"/>
    </row>
    <row r="407" spans="1:4" x14ac:dyDescent="0.25">
      <c r="A407" s="8"/>
      <c r="B407" s="8"/>
      <c r="C407" s="8"/>
      <c r="D407" s="8"/>
    </row>
    <row r="408" spans="1:4" x14ac:dyDescent="0.25">
      <c r="A408" s="8"/>
      <c r="B408" s="8"/>
      <c r="C408" s="8"/>
      <c r="D408" s="8"/>
    </row>
    <row r="409" spans="1:4" x14ac:dyDescent="0.25">
      <c r="A409" s="8"/>
      <c r="B409" s="8"/>
      <c r="C409" s="8"/>
      <c r="D409" s="8"/>
    </row>
    <row r="410" spans="1:4" x14ac:dyDescent="0.25">
      <c r="A410" s="8"/>
      <c r="B410" s="8"/>
      <c r="C410" s="8"/>
      <c r="D410" s="8"/>
    </row>
    <row r="411" spans="1:4" x14ac:dyDescent="0.25">
      <c r="A411" s="8"/>
      <c r="B411" s="8"/>
      <c r="C411" s="8"/>
      <c r="D411" s="8"/>
    </row>
    <row r="412" spans="1:4" x14ac:dyDescent="0.25">
      <c r="A412" s="8"/>
      <c r="B412" s="8"/>
      <c r="C412" s="8"/>
      <c r="D412" s="8"/>
    </row>
    <row r="413" spans="1:4" x14ac:dyDescent="0.25">
      <c r="A413" s="8"/>
      <c r="B413" s="8"/>
      <c r="C413" s="8"/>
      <c r="D413" s="8"/>
    </row>
    <row r="414" spans="1:4" x14ac:dyDescent="0.25">
      <c r="A414" s="8"/>
      <c r="B414" s="8"/>
      <c r="C414" s="8"/>
      <c r="D414" s="8"/>
    </row>
    <row r="415" spans="1:4" x14ac:dyDescent="0.25">
      <c r="A415" s="8"/>
      <c r="B415" s="8"/>
      <c r="C415" s="8"/>
      <c r="D415" s="8"/>
    </row>
    <row r="416" spans="1:4" x14ac:dyDescent="0.25">
      <c r="A416" s="8"/>
      <c r="B416" s="8"/>
      <c r="C416" s="8"/>
      <c r="D416" s="8"/>
    </row>
    <row r="417" spans="1:4" x14ac:dyDescent="0.25">
      <c r="A417" s="8"/>
      <c r="B417" s="8"/>
      <c r="C417" s="8"/>
      <c r="D417" s="8"/>
    </row>
    <row r="418" spans="1:4" x14ac:dyDescent="0.25">
      <c r="A418" s="8"/>
      <c r="B418" s="8"/>
      <c r="C418" s="8"/>
      <c r="D418" s="8"/>
    </row>
    <row r="419" spans="1:4" x14ac:dyDescent="0.25">
      <c r="A419" s="8"/>
      <c r="B419" s="8"/>
      <c r="C419" s="8"/>
      <c r="D419" s="8"/>
    </row>
    <row r="420" spans="1:4" x14ac:dyDescent="0.25">
      <c r="A420" s="8"/>
      <c r="B420" s="8"/>
      <c r="C420" s="8"/>
      <c r="D420" s="8"/>
    </row>
    <row r="421" spans="1:4" x14ac:dyDescent="0.25">
      <c r="A421" s="8"/>
      <c r="B421" s="8"/>
      <c r="C421" s="8"/>
      <c r="D421" s="8"/>
    </row>
    <row r="422" spans="1:4" x14ac:dyDescent="0.25">
      <c r="A422" s="8"/>
      <c r="B422" s="8"/>
      <c r="C422" s="8"/>
      <c r="D422" s="8"/>
    </row>
    <row r="423" spans="1:4" x14ac:dyDescent="0.25">
      <c r="A423" s="8"/>
      <c r="B423" s="8"/>
      <c r="C423" s="8"/>
      <c r="D423" s="8"/>
    </row>
    <row r="424" spans="1:4" x14ac:dyDescent="0.25">
      <c r="A424" s="8"/>
      <c r="B424" s="8"/>
      <c r="C424" s="8"/>
      <c r="D424" s="8"/>
    </row>
    <row r="425" spans="1:4" x14ac:dyDescent="0.25">
      <c r="A425" s="8"/>
      <c r="B425" s="8"/>
      <c r="C425" s="8"/>
      <c r="D425" s="8"/>
    </row>
    <row r="426" spans="1:4" x14ac:dyDescent="0.25">
      <c r="A426" s="8"/>
      <c r="B426" s="8"/>
      <c r="C426" s="8"/>
      <c r="D426" s="8"/>
    </row>
    <row r="427" spans="1:4" x14ac:dyDescent="0.25">
      <c r="A427" s="8"/>
      <c r="B427" s="8"/>
      <c r="C427" s="8"/>
      <c r="D427" s="8"/>
    </row>
    <row r="428" spans="1:4" x14ac:dyDescent="0.25">
      <c r="A428" s="8"/>
      <c r="B428" s="8"/>
      <c r="C428" s="8"/>
      <c r="D428" s="8"/>
    </row>
    <row r="429" spans="1:4" x14ac:dyDescent="0.25">
      <c r="A429" s="8"/>
      <c r="B429" s="8"/>
      <c r="C429" s="8"/>
      <c r="D429" s="8"/>
    </row>
    <row r="430" spans="1:4" x14ac:dyDescent="0.25">
      <c r="A430" s="8"/>
      <c r="B430" s="8"/>
      <c r="C430" s="8"/>
      <c r="D430" s="8"/>
    </row>
    <row r="431" spans="1:4" x14ac:dyDescent="0.25">
      <c r="A431" s="8"/>
      <c r="B431" s="8"/>
      <c r="C431" s="8"/>
      <c r="D431" s="8"/>
    </row>
    <row r="432" spans="1:4" x14ac:dyDescent="0.25">
      <c r="A432" s="8"/>
      <c r="B432" s="8"/>
      <c r="C432" s="8"/>
      <c r="D432" s="8"/>
    </row>
    <row r="433" spans="1:4" x14ac:dyDescent="0.25">
      <c r="A433" s="8"/>
      <c r="B433" s="8"/>
      <c r="C433" s="8"/>
      <c r="D433" s="8"/>
    </row>
    <row r="434" spans="1:4" x14ac:dyDescent="0.25">
      <c r="A434" s="8"/>
      <c r="B434" s="8"/>
      <c r="C434" s="8"/>
      <c r="D434" s="8"/>
    </row>
    <row r="435" spans="1:4" x14ac:dyDescent="0.25">
      <c r="A435" s="8"/>
      <c r="B435" s="8"/>
      <c r="C435" s="8"/>
      <c r="D435" s="8"/>
    </row>
    <row r="436" spans="1:4" x14ac:dyDescent="0.25">
      <c r="A436" s="8"/>
      <c r="B436" s="8"/>
      <c r="C436" s="8"/>
      <c r="D436" s="8"/>
    </row>
    <row r="437" spans="1:4" x14ac:dyDescent="0.25">
      <c r="A437" s="8"/>
      <c r="B437" s="8"/>
      <c r="C437" s="8"/>
      <c r="D437" s="8"/>
    </row>
    <row r="438" spans="1:4" x14ac:dyDescent="0.25">
      <c r="A438" s="8"/>
      <c r="B438" s="8"/>
      <c r="C438" s="8"/>
      <c r="D438" s="8"/>
    </row>
    <row r="439" spans="1:4" x14ac:dyDescent="0.25">
      <c r="A439" s="8"/>
      <c r="B439" s="8"/>
      <c r="C439" s="8"/>
      <c r="D439" s="8"/>
    </row>
    <row r="440" spans="1:4" x14ac:dyDescent="0.25">
      <c r="A440" s="8"/>
      <c r="B440" s="8"/>
      <c r="C440" s="8"/>
      <c r="D440" s="8"/>
    </row>
    <row r="441" spans="1:4" x14ac:dyDescent="0.25">
      <c r="A441" s="8"/>
      <c r="B441" s="8"/>
      <c r="C441" s="8"/>
      <c r="D441" s="8"/>
    </row>
    <row r="442" spans="1:4" x14ac:dyDescent="0.25">
      <c r="A442" s="8"/>
      <c r="B442" s="8"/>
      <c r="C442" s="8"/>
      <c r="D442" s="8"/>
    </row>
    <row r="443" spans="1:4" x14ac:dyDescent="0.25">
      <c r="A443" s="8"/>
      <c r="B443" s="8"/>
      <c r="C443" s="8"/>
      <c r="D443" s="8"/>
    </row>
    <row r="444" spans="1:4" x14ac:dyDescent="0.25">
      <c r="A444" s="8"/>
      <c r="B444" s="8"/>
      <c r="C444" s="8"/>
      <c r="D444" s="8"/>
    </row>
    <row r="445" spans="1:4" x14ac:dyDescent="0.25">
      <c r="A445" s="8"/>
      <c r="B445" s="8"/>
      <c r="C445" s="8"/>
      <c r="D445" s="8"/>
    </row>
    <row r="446" spans="1:4" x14ac:dyDescent="0.25">
      <c r="A446" s="8"/>
      <c r="B446" s="8"/>
      <c r="C446" s="8"/>
      <c r="D446" s="8"/>
    </row>
    <row r="447" spans="1:4" x14ac:dyDescent="0.25">
      <c r="A447" s="8"/>
      <c r="B447" s="8"/>
      <c r="C447" s="8"/>
      <c r="D447" s="8"/>
    </row>
    <row r="448" spans="1:4" x14ac:dyDescent="0.25">
      <c r="A448" s="8"/>
      <c r="B448" s="8"/>
      <c r="C448" s="8"/>
      <c r="D448" s="8"/>
    </row>
    <row r="449" spans="1:4" x14ac:dyDescent="0.25">
      <c r="A449" s="8"/>
      <c r="B449" s="8"/>
      <c r="C449" s="8"/>
      <c r="D449" s="8"/>
    </row>
    <row r="450" spans="1:4" x14ac:dyDescent="0.25">
      <c r="A450" s="8"/>
      <c r="B450" s="8"/>
      <c r="C450" s="8"/>
      <c r="D450" s="8"/>
    </row>
    <row r="451" spans="1:4" x14ac:dyDescent="0.25">
      <c r="A451" s="8"/>
      <c r="B451" s="8"/>
      <c r="C451" s="8"/>
      <c r="D451" s="8"/>
    </row>
    <row r="452" spans="1:4" x14ac:dyDescent="0.25">
      <c r="A452" s="8"/>
      <c r="B452" s="8"/>
      <c r="C452" s="8"/>
      <c r="D452" s="8"/>
    </row>
    <row r="453" spans="1:4" x14ac:dyDescent="0.25">
      <c r="A453" s="8"/>
      <c r="B453" s="8"/>
      <c r="C453" s="8"/>
      <c r="D453" s="8"/>
    </row>
    <row r="454" spans="1:4" x14ac:dyDescent="0.25">
      <c r="A454" s="8"/>
      <c r="B454" s="8"/>
      <c r="C454" s="8"/>
      <c r="D454" s="8"/>
    </row>
    <row r="455" spans="1:4" x14ac:dyDescent="0.25">
      <c r="A455" s="8"/>
      <c r="B455" s="8"/>
      <c r="C455" s="8"/>
      <c r="D455" s="8"/>
    </row>
    <row r="456" spans="1:4" x14ac:dyDescent="0.25">
      <c r="A456" s="8"/>
      <c r="B456" s="8"/>
      <c r="C456" s="8"/>
      <c r="D456" s="8"/>
    </row>
    <row r="457" spans="1:4" x14ac:dyDescent="0.25">
      <c r="A457" s="8"/>
      <c r="B457" s="8"/>
      <c r="C457" s="8"/>
      <c r="D457" s="8"/>
    </row>
    <row r="458" spans="1:4" x14ac:dyDescent="0.25">
      <c r="A458" s="8"/>
      <c r="B458" s="8"/>
      <c r="C458" s="8"/>
      <c r="D458" s="8"/>
    </row>
    <row r="459" spans="1:4" x14ac:dyDescent="0.25">
      <c r="A459" s="8"/>
      <c r="B459" s="8"/>
      <c r="C459" s="8"/>
      <c r="D459" s="8"/>
    </row>
    <row r="460" spans="1:4" x14ac:dyDescent="0.25">
      <c r="A460" s="8"/>
      <c r="B460" s="8"/>
      <c r="C460" s="8"/>
      <c r="D460" s="8"/>
    </row>
    <row r="461" spans="1:4" x14ac:dyDescent="0.25">
      <c r="A461" s="8"/>
      <c r="B461" s="8"/>
      <c r="C461" s="8"/>
      <c r="D461" s="8"/>
    </row>
    <row r="462" spans="1:4" x14ac:dyDescent="0.25">
      <c r="A462" s="8"/>
      <c r="B462" s="8"/>
      <c r="C462" s="8"/>
      <c r="D462" s="8"/>
    </row>
    <row r="463" spans="1:4" x14ac:dyDescent="0.25">
      <c r="A463" s="8"/>
      <c r="B463" s="8"/>
      <c r="C463" s="8"/>
      <c r="D463" s="8"/>
    </row>
    <row r="464" spans="1:4" x14ac:dyDescent="0.25">
      <c r="A464" s="8"/>
      <c r="B464" s="8"/>
      <c r="C464" s="8"/>
      <c r="D464" s="8"/>
    </row>
    <row r="465" spans="1:4" x14ac:dyDescent="0.25">
      <c r="A465" s="8"/>
      <c r="B465" s="8"/>
      <c r="C465" s="8"/>
      <c r="D465" s="8"/>
    </row>
    <row r="466" spans="1:4" x14ac:dyDescent="0.25">
      <c r="A466" s="8"/>
      <c r="B466" s="8"/>
      <c r="C466" s="8"/>
      <c r="D466" s="8"/>
    </row>
    <row r="467" spans="1:4" x14ac:dyDescent="0.25">
      <c r="A467" s="8"/>
      <c r="B467" s="8"/>
      <c r="C467" s="8"/>
      <c r="D467" s="8"/>
    </row>
    <row r="468" spans="1:4" x14ac:dyDescent="0.25">
      <c r="A468" s="8"/>
      <c r="B468" s="8"/>
      <c r="C468" s="8"/>
      <c r="D468" s="8"/>
    </row>
    <row r="469" spans="1:4" x14ac:dyDescent="0.25">
      <c r="A469" s="8"/>
      <c r="B469" s="8"/>
      <c r="C469" s="8"/>
      <c r="D469" s="8"/>
    </row>
    <row r="470" spans="1:4" x14ac:dyDescent="0.25">
      <c r="A470" s="8"/>
      <c r="B470" s="8"/>
      <c r="C470" s="8"/>
      <c r="D470" s="8"/>
    </row>
    <row r="471" spans="1:4" x14ac:dyDescent="0.25">
      <c r="A471" s="8"/>
      <c r="B471" s="8"/>
      <c r="C471" s="8"/>
      <c r="D471" s="8"/>
    </row>
    <row r="472" spans="1:4" x14ac:dyDescent="0.25">
      <c r="A472" s="8"/>
      <c r="B472" s="8"/>
      <c r="C472" s="8"/>
      <c r="D472" s="8"/>
    </row>
    <row r="473" spans="1:4" x14ac:dyDescent="0.25">
      <c r="A473" s="8"/>
      <c r="B473" s="8"/>
      <c r="C473" s="8"/>
      <c r="D473" s="8"/>
    </row>
    <row r="474" spans="1:4" x14ac:dyDescent="0.25">
      <c r="A474" s="8"/>
      <c r="B474" s="8"/>
      <c r="C474" s="8"/>
      <c r="D474" s="8"/>
    </row>
    <row r="475" spans="1:4" x14ac:dyDescent="0.25">
      <c r="A475" s="8"/>
      <c r="B475" s="8"/>
      <c r="C475" s="8"/>
      <c r="D475" s="8"/>
    </row>
    <row r="476" spans="1:4" x14ac:dyDescent="0.25">
      <c r="A476" s="8"/>
      <c r="B476" s="8"/>
      <c r="C476" s="8"/>
      <c r="D476" s="8"/>
    </row>
    <row r="477" spans="1:4" x14ac:dyDescent="0.25">
      <c r="A477" s="8"/>
      <c r="B477" s="8"/>
      <c r="C477" s="8"/>
      <c r="D477" s="8"/>
    </row>
    <row r="478" spans="1:4" x14ac:dyDescent="0.25">
      <c r="A478" s="8"/>
      <c r="B478" s="8"/>
      <c r="C478" s="8"/>
      <c r="D478" s="8"/>
    </row>
    <row r="479" spans="1:4" x14ac:dyDescent="0.25">
      <c r="A479" s="8"/>
      <c r="B479" s="8"/>
      <c r="C479" s="8"/>
      <c r="D479" s="8"/>
    </row>
    <row r="480" spans="1:4" x14ac:dyDescent="0.25">
      <c r="A480" s="8"/>
      <c r="B480" s="8"/>
      <c r="C480" s="8"/>
      <c r="D480" s="8"/>
    </row>
    <row r="481" spans="1:4" x14ac:dyDescent="0.25">
      <c r="A481" s="8"/>
      <c r="B481" s="8"/>
      <c r="C481" s="8"/>
      <c r="D481" s="8"/>
    </row>
    <row r="482" spans="1:4" x14ac:dyDescent="0.25">
      <c r="A482" s="8"/>
      <c r="B482" s="8"/>
      <c r="C482" s="8"/>
      <c r="D482" s="8"/>
    </row>
    <row r="483" spans="1:4" x14ac:dyDescent="0.25">
      <c r="A483" s="8"/>
      <c r="B483" s="8"/>
      <c r="C483" s="8"/>
      <c r="D483" s="8"/>
    </row>
    <row r="484" spans="1:4" x14ac:dyDescent="0.25">
      <c r="A484" s="8"/>
      <c r="B484" s="8"/>
      <c r="C484" s="8"/>
      <c r="D484" s="8"/>
    </row>
    <row r="485" spans="1:4" x14ac:dyDescent="0.25">
      <c r="A485" s="8"/>
      <c r="B485" s="8"/>
      <c r="C485" s="8"/>
      <c r="D485" s="8"/>
    </row>
    <row r="486" spans="1:4" x14ac:dyDescent="0.25">
      <c r="A486" s="8"/>
      <c r="B486" s="8"/>
      <c r="C486" s="8"/>
      <c r="D486" s="8"/>
    </row>
    <row r="487" spans="1:4" x14ac:dyDescent="0.25">
      <c r="A487" s="8"/>
      <c r="B487" s="8"/>
      <c r="C487" s="8"/>
      <c r="D487" s="8"/>
    </row>
    <row r="488" spans="1:4" x14ac:dyDescent="0.25">
      <c r="A488" s="8"/>
      <c r="B488" s="8"/>
      <c r="C488" s="8"/>
      <c r="D488" s="8"/>
    </row>
    <row r="489" spans="1:4" x14ac:dyDescent="0.25">
      <c r="A489" s="8"/>
      <c r="B489" s="8"/>
      <c r="C489" s="8"/>
      <c r="D489" s="8"/>
    </row>
    <row r="490" spans="1:4" x14ac:dyDescent="0.25">
      <c r="A490" s="8"/>
      <c r="B490" s="8"/>
      <c r="C490" s="8"/>
      <c r="D490" s="8"/>
    </row>
    <row r="491" spans="1:4" x14ac:dyDescent="0.25">
      <c r="A491" s="8"/>
      <c r="B491" s="8"/>
      <c r="C491" s="8"/>
      <c r="D491" s="8"/>
    </row>
    <row r="492" spans="1:4" x14ac:dyDescent="0.25">
      <c r="A492" s="8"/>
      <c r="B492" s="8"/>
      <c r="C492" s="8"/>
      <c r="D492" s="8"/>
    </row>
    <row r="493" spans="1:4" x14ac:dyDescent="0.25">
      <c r="A493" s="8"/>
      <c r="B493" s="8"/>
      <c r="C493" s="8"/>
      <c r="D493" s="8"/>
    </row>
    <row r="494" spans="1:4" x14ac:dyDescent="0.25">
      <c r="A494" s="8"/>
      <c r="B494" s="8"/>
      <c r="C494" s="8"/>
      <c r="D494" s="8"/>
    </row>
    <row r="495" spans="1:4" x14ac:dyDescent="0.25">
      <c r="A495" s="8"/>
      <c r="B495" s="8"/>
      <c r="C495" s="8"/>
      <c r="D495" s="8"/>
    </row>
    <row r="496" spans="1:4" x14ac:dyDescent="0.25">
      <c r="A496" s="8"/>
      <c r="B496" s="8"/>
      <c r="C496" s="8"/>
      <c r="D496" s="8"/>
    </row>
    <row r="497" spans="1:4" x14ac:dyDescent="0.25">
      <c r="A497" s="8"/>
      <c r="B497" s="8"/>
      <c r="C497" s="8"/>
      <c r="D497" s="8"/>
    </row>
    <row r="498" spans="1:4" x14ac:dyDescent="0.25">
      <c r="A498" s="8"/>
      <c r="B498" s="8"/>
      <c r="C498" s="8"/>
      <c r="D498" s="8"/>
    </row>
    <row r="499" spans="1:4" x14ac:dyDescent="0.25">
      <c r="A499" s="8"/>
      <c r="B499" s="8"/>
      <c r="C499" s="8"/>
      <c r="D499" s="8"/>
    </row>
    <row r="500" spans="1:4" x14ac:dyDescent="0.25">
      <c r="A500" s="8"/>
      <c r="B500" s="8"/>
      <c r="C500" s="8"/>
      <c r="D500" s="8"/>
    </row>
    <row r="501" spans="1:4" x14ac:dyDescent="0.25">
      <c r="A501" s="8"/>
      <c r="B501" s="8"/>
      <c r="C501" s="8"/>
      <c r="D501" s="8"/>
    </row>
    <row r="502" spans="1:4" x14ac:dyDescent="0.25">
      <c r="A502" s="8"/>
      <c r="B502" s="8"/>
      <c r="C502" s="8"/>
      <c r="D502" s="8"/>
    </row>
    <row r="503" spans="1:4" x14ac:dyDescent="0.25">
      <c r="A503" s="8"/>
      <c r="B503" s="8"/>
      <c r="C503" s="8"/>
      <c r="D503" s="8"/>
    </row>
    <row r="504" spans="1:4" x14ac:dyDescent="0.25">
      <c r="A504" s="8"/>
      <c r="B504" s="8"/>
      <c r="C504" s="8"/>
      <c r="D504" s="8"/>
    </row>
    <row r="505" spans="1:4" x14ac:dyDescent="0.25">
      <c r="A505" s="8"/>
      <c r="B505" s="8"/>
      <c r="C505" s="8"/>
      <c r="D505" s="8"/>
    </row>
    <row r="506" spans="1:4" x14ac:dyDescent="0.25">
      <c r="A506" s="8"/>
      <c r="B506" s="8"/>
      <c r="C506" s="8"/>
      <c r="D506" s="8"/>
    </row>
    <row r="507" spans="1:4" x14ac:dyDescent="0.25">
      <c r="A507" s="8"/>
      <c r="B507" s="8"/>
      <c r="C507" s="8"/>
      <c r="D507" s="8"/>
    </row>
    <row r="508" spans="1:4" x14ac:dyDescent="0.25">
      <c r="A508" s="8"/>
      <c r="B508" s="8"/>
      <c r="C508" s="8"/>
      <c r="D508" s="8"/>
    </row>
    <row r="509" spans="1:4" x14ac:dyDescent="0.25">
      <c r="A509" s="8"/>
      <c r="B509" s="8"/>
      <c r="C509" s="8"/>
      <c r="D509" s="8"/>
    </row>
    <row r="510" spans="1:4" x14ac:dyDescent="0.25">
      <c r="A510" s="8"/>
      <c r="B510" s="8"/>
      <c r="C510" s="8"/>
      <c r="D510" s="8"/>
    </row>
    <row r="511" spans="1:4" x14ac:dyDescent="0.25">
      <c r="A511" s="8"/>
      <c r="B511" s="8"/>
      <c r="C511" s="8"/>
      <c r="D511" s="8"/>
    </row>
    <row r="512" spans="1:4" x14ac:dyDescent="0.25">
      <c r="A512" s="8"/>
      <c r="B512" s="8"/>
      <c r="C512" s="8"/>
      <c r="D512" s="8"/>
    </row>
    <row r="513" spans="1:4" x14ac:dyDescent="0.25">
      <c r="A513" s="8"/>
      <c r="B513" s="8"/>
      <c r="C513" s="8"/>
      <c r="D513" s="8"/>
    </row>
    <row r="514" spans="1:4" x14ac:dyDescent="0.25">
      <c r="A514" s="8"/>
      <c r="B514" s="8"/>
      <c r="C514" s="8"/>
      <c r="D514" s="8"/>
    </row>
    <row r="515" spans="1:4" x14ac:dyDescent="0.25">
      <c r="A515" s="8"/>
      <c r="B515" s="8"/>
      <c r="C515" s="8"/>
      <c r="D515" s="8"/>
    </row>
    <row r="516" spans="1:4" x14ac:dyDescent="0.25">
      <c r="A516" s="8"/>
      <c r="B516" s="8"/>
      <c r="C516" s="8"/>
      <c r="D516" s="8"/>
    </row>
    <row r="517" spans="1:4" x14ac:dyDescent="0.25">
      <c r="A517" s="8"/>
      <c r="B517" s="8"/>
      <c r="C517" s="8"/>
      <c r="D517" s="8"/>
    </row>
    <row r="518" spans="1:4" x14ac:dyDescent="0.25">
      <c r="A518" s="8"/>
      <c r="B518" s="8"/>
      <c r="C518" s="8"/>
      <c r="D518" s="8"/>
    </row>
    <row r="519" spans="1:4" x14ac:dyDescent="0.25">
      <c r="A519" s="8"/>
      <c r="B519" s="8"/>
      <c r="C519" s="8"/>
      <c r="D519" s="8"/>
    </row>
    <row r="520" spans="1:4" x14ac:dyDescent="0.25">
      <c r="A520" s="8"/>
      <c r="B520" s="8"/>
      <c r="C520" s="8"/>
      <c r="D520" s="8"/>
    </row>
    <row r="521" spans="1:4" x14ac:dyDescent="0.25">
      <c r="A521" s="8"/>
      <c r="B521" s="8"/>
      <c r="C521" s="8"/>
      <c r="D521" s="8"/>
    </row>
    <row r="522" spans="1:4" x14ac:dyDescent="0.25">
      <c r="A522" s="8"/>
      <c r="B522" s="8"/>
      <c r="C522" s="8"/>
      <c r="D522" s="8"/>
    </row>
    <row r="523" spans="1:4" x14ac:dyDescent="0.25">
      <c r="A523" s="8"/>
      <c r="B523" s="8"/>
      <c r="C523" s="8"/>
      <c r="D523" s="8"/>
    </row>
    <row r="524" spans="1:4" x14ac:dyDescent="0.25">
      <c r="A524" s="8"/>
      <c r="B524" s="8"/>
      <c r="C524" s="8"/>
      <c r="D524" s="8"/>
    </row>
    <row r="525" spans="1:4" x14ac:dyDescent="0.25">
      <c r="A525" s="8"/>
      <c r="B525" s="8"/>
      <c r="C525" s="8"/>
      <c r="D525" s="8"/>
    </row>
    <row r="526" spans="1:4" x14ac:dyDescent="0.25">
      <c r="A526" s="8"/>
      <c r="B526" s="8"/>
      <c r="C526" s="8"/>
      <c r="D526" s="8"/>
    </row>
    <row r="527" spans="1:4" x14ac:dyDescent="0.25">
      <c r="A527" s="8"/>
      <c r="B527" s="8"/>
      <c r="C527" s="8"/>
      <c r="D527" s="8"/>
    </row>
    <row r="528" spans="1:4" x14ac:dyDescent="0.25">
      <c r="A528" s="8"/>
      <c r="B528" s="8"/>
      <c r="C528" s="8"/>
      <c r="D528" s="8"/>
    </row>
    <row r="529" spans="1:4" x14ac:dyDescent="0.25">
      <c r="A529" s="8"/>
      <c r="B529" s="8"/>
      <c r="C529" s="8"/>
      <c r="D529" s="8"/>
    </row>
    <row r="530" spans="1:4" x14ac:dyDescent="0.25">
      <c r="A530" s="8"/>
      <c r="B530" s="8"/>
      <c r="C530" s="8"/>
      <c r="D530" s="8"/>
    </row>
    <row r="531" spans="1:4" x14ac:dyDescent="0.25">
      <c r="A531" s="8"/>
      <c r="B531" s="8"/>
      <c r="C531" s="8"/>
      <c r="D531" s="8"/>
    </row>
    <row r="532" spans="1:4" x14ac:dyDescent="0.25">
      <c r="A532" s="8"/>
      <c r="B532" s="8"/>
      <c r="C532" s="8"/>
      <c r="D532" s="8"/>
    </row>
    <row r="533" spans="1:4" x14ac:dyDescent="0.25">
      <c r="A533" s="8"/>
      <c r="B533" s="8"/>
      <c r="C533" s="8"/>
      <c r="D533" s="8"/>
    </row>
    <row r="534" spans="1:4" x14ac:dyDescent="0.25">
      <c r="A534" s="8"/>
      <c r="B534" s="8"/>
      <c r="C534" s="8"/>
      <c r="D534" s="8"/>
    </row>
    <row r="535" spans="1:4" x14ac:dyDescent="0.25">
      <c r="A535" s="8"/>
      <c r="B535" s="8"/>
      <c r="C535" s="8"/>
      <c r="D535" s="8"/>
    </row>
    <row r="536" spans="1:4" x14ac:dyDescent="0.25">
      <c r="A536" s="8"/>
      <c r="B536" s="8"/>
      <c r="C536" s="8"/>
      <c r="D536" s="8"/>
    </row>
    <row r="537" spans="1:4" x14ac:dyDescent="0.25">
      <c r="A537" s="8"/>
      <c r="B537" s="8"/>
      <c r="C537" s="8"/>
      <c r="D537" s="8"/>
    </row>
    <row r="538" spans="1:4" x14ac:dyDescent="0.25">
      <c r="A538" s="8"/>
      <c r="B538" s="8"/>
      <c r="C538" s="8"/>
      <c r="D538" s="8"/>
    </row>
    <row r="539" spans="1:4" x14ac:dyDescent="0.25">
      <c r="A539" s="8"/>
      <c r="B539" s="8"/>
      <c r="C539" s="8"/>
      <c r="D539" s="8"/>
    </row>
    <row r="540" spans="1:4" x14ac:dyDescent="0.25">
      <c r="A540" s="8"/>
      <c r="B540" s="8"/>
      <c r="C540" s="8"/>
      <c r="D540" s="8"/>
    </row>
    <row r="541" spans="1:4" x14ac:dyDescent="0.25">
      <c r="A541" s="8"/>
      <c r="B541" s="8"/>
      <c r="C541" s="8"/>
      <c r="D541" s="8"/>
    </row>
    <row r="542" spans="1:4" x14ac:dyDescent="0.25">
      <c r="A542" s="8"/>
      <c r="B542" s="8"/>
      <c r="C542" s="8"/>
      <c r="D542" s="8"/>
    </row>
    <row r="543" spans="1:4" x14ac:dyDescent="0.25">
      <c r="A543" s="8"/>
      <c r="B543" s="8"/>
      <c r="C543" s="8"/>
      <c r="D543" s="8"/>
    </row>
    <row r="544" spans="1:4" x14ac:dyDescent="0.25">
      <c r="A544" s="8"/>
      <c r="B544" s="8"/>
      <c r="C544" s="8"/>
      <c r="D544" s="8"/>
    </row>
    <row r="545" spans="1:4" x14ac:dyDescent="0.25">
      <c r="A545" s="8"/>
      <c r="B545" s="8"/>
      <c r="C545" s="8"/>
      <c r="D545" s="8"/>
    </row>
    <row r="546" spans="1:4" x14ac:dyDescent="0.25">
      <c r="A546" s="8"/>
      <c r="B546" s="8"/>
      <c r="C546" s="8"/>
      <c r="D546" s="8"/>
    </row>
    <row r="547" spans="1:4" x14ac:dyDescent="0.25">
      <c r="A547" s="8"/>
      <c r="B547" s="8"/>
      <c r="C547" s="8"/>
      <c r="D547" s="8"/>
    </row>
    <row r="548" spans="1:4" x14ac:dyDescent="0.25">
      <c r="A548" s="8"/>
      <c r="B548" s="8"/>
      <c r="C548" s="8"/>
      <c r="D548" s="8"/>
    </row>
    <row r="549" spans="1:4" x14ac:dyDescent="0.25">
      <c r="A549" s="8"/>
      <c r="B549" s="8"/>
      <c r="C549" s="8"/>
      <c r="D549" s="8"/>
    </row>
    <row r="550" spans="1:4" x14ac:dyDescent="0.25">
      <c r="A550" s="8"/>
      <c r="B550" s="8"/>
      <c r="C550" s="8"/>
      <c r="D550" s="8"/>
    </row>
    <row r="551" spans="1:4" x14ac:dyDescent="0.25">
      <c r="A551" s="8"/>
      <c r="B551" s="8"/>
      <c r="C551" s="8"/>
      <c r="D551" s="8"/>
    </row>
    <row r="552" spans="1:4" x14ac:dyDescent="0.25">
      <c r="A552" s="8"/>
      <c r="B552" s="8"/>
      <c r="C552" s="8"/>
      <c r="D552" s="8"/>
    </row>
    <row r="553" spans="1:4" x14ac:dyDescent="0.25">
      <c r="A553" s="8"/>
      <c r="B553" s="8"/>
      <c r="C553" s="8"/>
      <c r="D553" s="8"/>
    </row>
    <row r="554" spans="1:4" x14ac:dyDescent="0.25">
      <c r="A554" s="8"/>
      <c r="B554" s="8"/>
      <c r="C554" s="8"/>
      <c r="D554" s="8"/>
    </row>
    <row r="555" spans="1:4" x14ac:dyDescent="0.25">
      <c r="A555" s="8"/>
      <c r="B555" s="8"/>
      <c r="C555" s="8"/>
      <c r="D555" s="8"/>
    </row>
    <row r="556" spans="1:4" x14ac:dyDescent="0.25">
      <c r="A556" s="8"/>
      <c r="B556" s="8"/>
      <c r="C556" s="8"/>
      <c r="D556" s="8"/>
    </row>
    <row r="557" spans="1:4" x14ac:dyDescent="0.25">
      <c r="A557" s="8"/>
      <c r="B557" s="8"/>
      <c r="C557" s="8"/>
      <c r="D557" s="8"/>
    </row>
    <row r="558" spans="1:4" x14ac:dyDescent="0.25">
      <c r="A558" s="8"/>
      <c r="B558" s="8"/>
      <c r="C558" s="8"/>
      <c r="D558" s="8"/>
    </row>
    <row r="559" spans="1:4" x14ac:dyDescent="0.25">
      <c r="A559" s="8"/>
      <c r="B559" s="8"/>
      <c r="C559" s="8"/>
      <c r="D559" s="8"/>
    </row>
    <row r="560" spans="1:4" x14ac:dyDescent="0.25">
      <c r="A560" s="8"/>
      <c r="B560" s="8"/>
      <c r="C560" s="8"/>
      <c r="D560" s="8"/>
    </row>
    <row r="561" spans="1:4" x14ac:dyDescent="0.25">
      <c r="A561" s="8"/>
      <c r="B561" s="8"/>
      <c r="C561" s="8"/>
      <c r="D561" s="8"/>
    </row>
    <row r="562" spans="1:4" x14ac:dyDescent="0.25">
      <c r="A562" s="8"/>
      <c r="B562" s="8"/>
      <c r="C562" s="8"/>
      <c r="D562" s="8"/>
    </row>
    <row r="563" spans="1:4" x14ac:dyDescent="0.25">
      <c r="A563" s="8"/>
      <c r="B563" s="8"/>
      <c r="C563" s="8"/>
      <c r="D563" s="8"/>
    </row>
    <row r="564" spans="1:4" x14ac:dyDescent="0.25">
      <c r="A564" s="8"/>
      <c r="B564" s="8"/>
      <c r="C564" s="8"/>
      <c r="D564" s="8"/>
    </row>
    <row r="565" spans="1:4" x14ac:dyDescent="0.25">
      <c r="A565" s="8"/>
      <c r="B565" s="8"/>
      <c r="C565" s="8"/>
      <c r="D565" s="8"/>
    </row>
    <row r="566" spans="1:4" x14ac:dyDescent="0.25">
      <c r="A566" s="8"/>
      <c r="B566" s="8"/>
      <c r="C566" s="8"/>
      <c r="D566" s="8"/>
    </row>
    <row r="567" spans="1:4" x14ac:dyDescent="0.25">
      <c r="A567" s="8"/>
      <c r="B567" s="8"/>
      <c r="C567" s="8"/>
      <c r="D567" s="8"/>
    </row>
    <row r="568" spans="1:4" x14ac:dyDescent="0.25">
      <c r="A568" s="8"/>
      <c r="B568" s="8"/>
      <c r="C568" s="8"/>
      <c r="D568" s="8"/>
    </row>
    <row r="569" spans="1:4" x14ac:dyDescent="0.25">
      <c r="A569" s="8"/>
      <c r="B569" s="8"/>
      <c r="C569" s="8"/>
      <c r="D569" s="8"/>
    </row>
    <row r="570" spans="1:4" x14ac:dyDescent="0.25">
      <c r="A570" s="8"/>
      <c r="B570" s="8"/>
      <c r="C570" s="8"/>
      <c r="D570" s="8"/>
    </row>
    <row r="571" spans="1:4" x14ac:dyDescent="0.25">
      <c r="A571" s="8"/>
      <c r="B571" s="8"/>
      <c r="C571" s="8"/>
      <c r="D571" s="8"/>
    </row>
    <row r="572" spans="1:4" x14ac:dyDescent="0.25">
      <c r="A572" s="8"/>
      <c r="B572" s="8"/>
      <c r="C572" s="8"/>
      <c r="D572" s="8"/>
    </row>
    <row r="573" spans="1:4" x14ac:dyDescent="0.25">
      <c r="A573" s="8"/>
      <c r="B573" s="8"/>
      <c r="C573" s="8"/>
      <c r="D573" s="8"/>
    </row>
    <row r="574" spans="1:4" x14ac:dyDescent="0.25">
      <c r="A574" s="8"/>
      <c r="B574" s="8"/>
      <c r="C574" s="8"/>
      <c r="D574" s="8"/>
    </row>
    <row r="575" spans="1:4" x14ac:dyDescent="0.25">
      <c r="A575" s="8"/>
      <c r="B575" s="8"/>
      <c r="C575" s="8"/>
      <c r="D575" s="8"/>
    </row>
    <row r="576" spans="1:4" x14ac:dyDescent="0.25">
      <c r="A576" s="8"/>
      <c r="B576" s="8"/>
      <c r="C576" s="8"/>
      <c r="D576" s="8"/>
    </row>
    <row r="577" spans="1:4" x14ac:dyDescent="0.25">
      <c r="A577" s="8"/>
      <c r="B577" s="8"/>
      <c r="C577" s="8"/>
      <c r="D577" s="8"/>
    </row>
    <row r="578" spans="1:4" x14ac:dyDescent="0.25">
      <c r="A578" s="8"/>
      <c r="B578" s="8"/>
      <c r="C578" s="8"/>
      <c r="D578" s="8"/>
    </row>
    <row r="579" spans="1:4" x14ac:dyDescent="0.25">
      <c r="A579" s="8"/>
      <c r="B579" s="8"/>
      <c r="C579" s="8"/>
      <c r="D579" s="8"/>
    </row>
    <row r="580" spans="1:4" x14ac:dyDescent="0.25">
      <c r="A580" s="8"/>
      <c r="B580" s="8"/>
      <c r="C580" s="8"/>
      <c r="D580" s="8"/>
    </row>
    <row r="581" spans="1:4" x14ac:dyDescent="0.25">
      <c r="A581" s="8"/>
      <c r="B581" s="8"/>
      <c r="C581" s="8"/>
      <c r="D581" s="8"/>
    </row>
    <row r="582" spans="1:4" x14ac:dyDescent="0.25">
      <c r="A582" s="8"/>
      <c r="B582" s="8"/>
      <c r="C582" s="8"/>
      <c r="D582" s="8"/>
    </row>
    <row r="583" spans="1:4" x14ac:dyDescent="0.25">
      <c r="A583" s="8"/>
      <c r="B583" s="8"/>
      <c r="C583" s="8"/>
      <c r="D583" s="8"/>
    </row>
    <row r="584" spans="1:4" x14ac:dyDescent="0.25">
      <c r="A584" s="8"/>
      <c r="B584" s="8"/>
      <c r="C584" s="8"/>
      <c r="D584" s="8"/>
    </row>
    <row r="585" spans="1:4" x14ac:dyDescent="0.25">
      <c r="A585" s="8"/>
      <c r="B585" s="8"/>
      <c r="C585" s="8"/>
      <c r="D585" s="8"/>
    </row>
    <row r="586" spans="1:4" x14ac:dyDescent="0.25">
      <c r="A586" s="8"/>
      <c r="B586" s="8"/>
      <c r="C586" s="8"/>
      <c r="D586" s="8"/>
    </row>
    <row r="587" spans="1:4" x14ac:dyDescent="0.25">
      <c r="A587" s="8"/>
      <c r="B587" s="8"/>
      <c r="C587" s="8"/>
      <c r="D587" s="8"/>
    </row>
    <row r="588" spans="1:4" x14ac:dyDescent="0.25">
      <c r="A588" s="8"/>
      <c r="B588" s="8"/>
      <c r="C588" s="8"/>
      <c r="D588" s="8"/>
    </row>
    <row r="589" spans="1:4" x14ac:dyDescent="0.25">
      <c r="A589" s="8"/>
      <c r="B589" s="8"/>
      <c r="C589" s="8"/>
      <c r="D589" s="8"/>
    </row>
    <row r="590" spans="1:4" x14ac:dyDescent="0.25">
      <c r="A590" s="8"/>
      <c r="B590" s="8"/>
      <c r="C590" s="8"/>
      <c r="D590" s="8"/>
    </row>
    <row r="591" spans="1:4" x14ac:dyDescent="0.25">
      <c r="A591" s="8"/>
      <c r="B591" s="8"/>
      <c r="C591" s="8"/>
      <c r="D591" s="8"/>
    </row>
    <row r="592" spans="1:4" x14ac:dyDescent="0.25">
      <c r="A592" s="8"/>
      <c r="B592" s="8"/>
      <c r="C592" s="8"/>
      <c r="D592" s="8"/>
    </row>
    <row r="593" spans="1:4" x14ac:dyDescent="0.25">
      <c r="A593" s="8"/>
      <c r="B593" s="8"/>
      <c r="C593" s="8"/>
      <c r="D593" s="8"/>
    </row>
    <row r="594" spans="1:4" x14ac:dyDescent="0.25">
      <c r="A594" s="8"/>
      <c r="B594" s="8"/>
      <c r="C594" s="8"/>
      <c r="D594" s="8"/>
    </row>
    <row r="595" spans="1:4" x14ac:dyDescent="0.25">
      <c r="A595" s="8"/>
      <c r="B595" s="8"/>
      <c r="C595" s="8"/>
      <c r="D595" s="8"/>
    </row>
    <row r="596" spans="1:4" x14ac:dyDescent="0.25">
      <c r="A596" s="8"/>
      <c r="B596" s="8"/>
      <c r="C596" s="8"/>
      <c r="D596" s="8"/>
    </row>
    <row r="597" spans="1:4" x14ac:dyDescent="0.25">
      <c r="A597" s="8"/>
      <c r="B597" s="8"/>
      <c r="C597" s="8"/>
      <c r="D597" s="8"/>
    </row>
    <row r="598" spans="1:4" x14ac:dyDescent="0.25">
      <c r="A598" s="8"/>
      <c r="B598" s="8"/>
      <c r="C598" s="8"/>
      <c r="D598" s="8"/>
    </row>
    <row r="599" spans="1:4" x14ac:dyDescent="0.25">
      <c r="A599" s="8"/>
      <c r="B599" s="8"/>
      <c r="C599" s="8"/>
      <c r="D599" s="8"/>
    </row>
    <row r="600" spans="1:4" x14ac:dyDescent="0.25">
      <c r="A600" s="8"/>
      <c r="B600" s="8"/>
      <c r="C600" s="8"/>
      <c r="D600" s="8"/>
    </row>
    <row r="601" spans="1:4" x14ac:dyDescent="0.25">
      <c r="A601" s="8"/>
      <c r="B601" s="8"/>
      <c r="C601" s="8"/>
      <c r="D601" s="8"/>
    </row>
    <row r="602" spans="1:4" x14ac:dyDescent="0.25">
      <c r="A602" s="8"/>
      <c r="B602" s="8"/>
      <c r="C602" s="8"/>
      <c r="D602" s="8"/>
    </row>
    <row r="603" spans="1:4" x14ac:dyDescent="0.25">
      <c r="A603" s="8"/>
      <c r="B603" s="8"/>
      <c r="C603" s="8"/>
      <c r="D603" s="8"/>
    </row>
    <row r="604" spans="1:4" x14ac:dyDescent="0.25">
      <c r="A604" s="8"/>
      <c r="B604" s="8"/>
      <c r="C604" s="8"/>
      <c r="D604" s="8"/>
    </row>
    <row r="605" spans="1:4" x14ac:dyDescent="0.25">
      <c r="A605" s="8"/>
      <c r="B605" s="8"/>
      <c r="C605" s="8"/>
      <c r="D605" s="8"/>
    </row>
    <row r="606" spans="1:4" x14ac:dyDescent="0.25">
      <c r="A606" s="8"/>
      <c r="B606" s="8"/>
      <c r="C606" s="8"/>
      <c r="D606" s="8"/>
    </row>
    <row r="607" spans="1:4" x14ac:dyDescent="0.25">
      <c r="A607" s="8"/>
      <c r="B607" s="8"/>
      <c r="C607" s="8"/>
      <c r="D607" s="8"/>
    </row>
    <row r="608" spans="1:4" x14ac:dyDescent="0.25">
      <c r="A608" s="8"/>
      <c r="B608" s="8"/>
      <c r="C608" s="8"/>
      <c r="D608" s="8"/>
    </row>
    <row r="609" spans="1:4" x14ac:dyDescent="0.25">
      <c r="A609" s="8"/>
      <c r="B609" s="8"/>
      <c r="C609" s="8"/>
      <c r="D609" s="8"/>
    </row>
    <row r="610" spans="1:4" x14ac:dyDescent="0.25">
      <c r="A610" s="8"/>
      <c r="B610" s="8"/>
      <c r="C610" s="8"/>
      <c r="D610" s="8"/>
    </row>
    <row r="611" spans="1:4" x14ac:dyDescent="0.25">
      <c r="A611" s="8"/>
      <c r="B611" s="8"/>
      <c r="C611" s="8"/>
      <c r="D611" s="8"/>
    </row>
    <row r="612" spans="1:4" x14ac:dyDescent="0.25">
      <c r="A612" s="8"/>
      <c r="B612" s="8"/>
      <c r="C612" s="8"/>
      <c r="D612" s="8"/>
    </row>
    <row r="613" spans="1:4" x14ac:dyDescent="0.25">
      <c r="A613" s="8"/>
      <c r="B613" s="8"/>
      <c r="C613" s="8"/>
      <c r="D613" s="8"/>
    </row>
    <row r="614" spans="1:4" x14ac:dyDescent="0.25">
      <c r="A614" s="8"/>
      <c r="B614" s="8"/>
      <c r="C614" s="8"/>
      <c r="D614" s="8"/>
    </row>
    <row r="615" spans="1:4" x14ac:dyDescent="0.25">
      <c r="A615" s="8"/>
      <c r="B615" s="8"/>
      <c r="C615" s="8"/>
      <c r="D615" s="8"/>
    </row>
    <row r="616" spans="1:4" x14ac:dyDescent="0.25">
      <c r="A616" s="8"/>
      <c r="B616" s="8"/>
      <c r="C616" s="8"/>
      <c r="D616" s="8"/>
    </row>
    <row r="617" spans="1:4" x14ac:dyDescent="0.25">
      <c r="A617" s="8"/>
      <c r="B617" s="8"/>
      <c r="C617" s="8"/>
      <c r="D617" s="8"/>
    </row>
    <row r="618" spans="1:4" x14ac:dyDescent="0.25">
      <c r="A618" s="8"/>
      <c r="B618" s="8"/>
      <c r="C618" s="8"/>
      <c r="D618" s="8"/>
    </row>
    <row r="619" spans="1:4" x14ac:dyDescent="0.25">
      <c r="A619" s="8"/>
      <c r="B619" s="8"/>
      <c r="C619" s="8"/>
      <c r="D619" s="8"/>
    </row>
    <row r="620" spans="1:4" x14ac:dyDescent="0.25">
      <c r="A620" s="8"/>
      <c r="B620" s="8"/>
      <c r="C620" s="8"/>
      <c r="D620" s="8"/>
    </row>
    <row r="621" spans="1:4" x14ac:dyDescent="0.25">
      <c r="A621" s="8"/>
      <c r="B621" s="8"/>
      <c r="C621" s="8"/>
      <c r="D621" s="8"/>
    </row>
    <row r="622" spans="1:4" x14ac:dyDescent="0.25">
      <c r="A622" s="8"/>
      <c r="B622" s="8"/>
      <c r="C622" s="8"/>
      <c r="D622" s="8"/>
    </row>
    <row r="623" spans="1:4" x14ac:dyDescent="0.25">
      <c r="A623" s="8"/>
      <c r="B623" s="8"/>
      <c r="C623" s="8"/>
      <c r="D623" s="8"/>
    </row>
    <row r="624" spans="1:4" x14ac:dyDescent="0.25">
      <c r="A624" s="8"/>
      <c r="B624" s="8"/>
      <c r="C624" s="8"/>
      <c r="D624" s="8"/>
    </row>
    <row r="625" spans="1:4" x14ac:dyDescent="0.25">
      <c r="A625" s="8"/>
      <c r="B625" s="8"/>
      <c r="C625" s="8"/>
      <c r="D625" s="8"/>
    </row>
    <row r="626" spans="1:4" x14ac:dyDescent="0.25">
      <c r="A626" s="8"/>
      <c r="B626" s="8"/>
      <c r="C626" s="8"/>
      <c r="D626" s="8"/>
    </row>
    <row r="627" spans="1:4" x14ac:dyDescent="0.25">
      <c r="A627" s="8"/>
      <c r="B627" s="8"/>
      <c r="C627" s="8"/>
      <c r="D627" s="8"/>
    </row>
    <row r="628" spans="1:4" x14ac:dyDescent="0.25">
      <c r="A628" s="8"/>
      <c r="B628" s="8"/>
      <c r="C628" s="8"/>
      <c r="D628" s="8"/>
    </row>
    <row r="629" spans="1:4" x14ac:dyDescent="0.25">
      <c r="A629" s="8"/>
      <c r="B629" s="8"/>
      <c r="C629" s="8"/>
      <c r="D629" s="8"/>
    </row>
    <row r="630" spans="1:4" x14ac:dyDescent="0.25">
      <c r="A630" s="8"/>
      <c r="B630" s="8"/>
      <c r="C630" s="8"/>
      <c r="D630" s="8"/>
    </row>
    <row r="631" spans="1:4" x14ac:dyDescent="0.25">
      <c r="A631" s="8"/>
      <c r="B631" s="8"/>
      <c r="C631" s="8"/>
      <c r="D631" s="8"/>
    </row>
    <row r="632" spans="1:4" x14ac:dyDescent="0.25">
      <c r="A632" s="8"/>
      <c r="B632" s="8"/>
      <c r="C632" s="8"/>
      <c r="D632" s="8"/>
    </row>
    <row r="633" spans="1:4" x14ac:dyDescent="0.25">
      <c r="A633" s="8"/>
      <c r="B633" s="8"/>
      <c r="C633" s="8"/>
      <c r="D633" s="8"/>
    </row>
    <row r="634" spans="1:4" x14ac:dyDescent="0.25">
      <c r="A634" s="8"/>
      <c r="B634" s="8"/>
      <c r="C634" s="8"/>
      <c r="D634" s="8"/>
    </row>
    <row r="635" spans="1:4" x14ac:dyDescent="0.25">
      <c r="A635" s="8"/>
      <c r="B635" s="8"/>
      <c r="C635" s="8"/>
      <c r="D635" s="8"/>
    </row>
    <row r="636" spans="1:4" x14ac:dyDescent="0.25">
      <c r="A636" s="8"/>
      <c r="B636" s="8"/>
      <c r="C636" s="8"/>
      <c r="D636" s="8"/>
    </row>
    <row r="637" spans="1:4" x14ac:dyDescent="0.25">
      <c r="A637" s="8"/>
      <c r="B637" s="8"/>
      <c r="C637" s="8"/>
      <c r="D637" s="8"/>
    </row>
    <row r="638" spans="1:4" x14ac:dyDescent="0.25">
      <c r="A638" s="8"/>
      <c r="B638" s="8"/>
      <c r="C638" s="8"/>
      <c r="D638" s="8"/>
    </row>
    <row r="639" spans="1:4" x14ac:dyDescent="0.25">
      <c r="A639" s="8"/>
      <c r="B639" s="8"/>
      <c r="C639" s="8"/>
      <c r="D639" s="8"/>
    </row>
    <row r="640" spans="1:4" x14ac:dyDescent="0.25">
      <c r="A640" s="8"/>
      <c r="B640" s="8"/>
      <c r="C640" s="8"/>
      <c r="D640" s="8"/>
    </row>
    <row r="641" spans="1:4" x14ac:dyDescent="0.25">
      <c r="A641" s="8"/>
      <c r="B641" s="8"/>
      <c r="C641" s="8"/>
      <c r="D641" s="8"/>
    </row>
    <row r="642" spans="1:4" x14ac:dyDescent="0.25">
      <c r="A642" s="8"/>
      <c r="B642" s="8"/>
      <c r="C642" s="8"/>
      <c r="D642" s="8"/>
    </row>
    <row r="643" spans="1:4" x14ac:dyDescent="0.25">
      <c r="A643" s="8"/>
      <c r="B643" s="8"/>
      <c r="C643" s="8"/>
      <c r="D643" s="8"/>
    </row>
    <row r="644" spans="1:4" x14ac:dyDescent="0.25">
      <c r="A644" s="8"/>
      <c r="B644" s="8"/>
      <c r="C644" s="8"/>
      <c r="D644" s="8"/>
    </row>
    <row r="645" spans="1:4" x14ac:dyDescent="0.25">
      <c r="A645" s="8"/>
      <c r="B645" s="8"/>
      <c r="C645" s="8"/>
      <c r="D645" s="8"/>
    </row>
    <row r="646" spans="1:4" x14ac:dyDescent="0.25">
      <c r="A646" s="8"/>
      <c r="B646" s="8"/>
      <c r="C646" s="8"/>
      <c r="D646" s="8"/>
    </row>
    <row r="647" spans="1:4" x14ac:dyDescent="0.25">
      <c r="A647" s="8"/>
      <c r="B647" s="8"/>
      <c r="C647" s="8"/>
      <c r="D647" s="8"/>
    </row>
    <row r="648" spans="1:4" x14ac:dyDescent="0.25">
      <c r="A648" s="8"/>
      <c r="B648" s="8"/>
      <c r="C648" s="8"/>
      <c r="D648" s="8"/>
    </row>
    <row r="649" spans="1:4" x14ac:dyDescent="0.25">
      <c r="A649" s="8"/>
      <c r="B649" s="8"/>
      <c r="C649" s="8"/>
      <c r="D649" s="8"/>
    </row>
    <row r="650" spans="1:4" x14ac:dyDescent="0.25">
      <c r="A650" s="8"/>
      <c r="B650" s="8"/>
      <c r="C650" s="8"/>
      <c r="D650" s="8"/>
    </row>
    <row r="651" spans="1:4" x14ac:dyDescent="0.25">
      <c r="A651" s="8"/>
      <c r="B651" s="8"/>
      <c r="C651" s="8"/>
      <c r="D651" s="8"/>
    </row>
    <row r="652" spans="1:4" x14ac:dyDescent="0.25">
      <c r="A652" s="8"/>
      <c r="B652" s="8"/>
      <c r="C652" s="8"/>
      <c r="D652" s="8"/>
    </row>
    <row r="653" spans="1:4" x14ac:dyDescent="0.25">
      <c r="A653" s="8"/>
      <c r="B653" s="8"/>
      <c r="C653" s="8"/>
      <c r="D653" s="8"/>
    </row>
    <row r="654" spans="1:4" x14ac:dyDescent="0.25">
      <c r="A654" s="8"/>
      <c r="B654" s="8"/>
      <c r="C654" s="8"/>
      <c r="D654" s="8"/>
    </row>
    <row r="655" spans="1:4" x14ac:dyDescent="0.25">
      <c r="A655" s="8"/>
      <c r="B655" s="8"/>
      <c r="C655" s="8"/>
      <c r="D655" s="8"/>
    </row>
    <row r="656" spans="1:4" x14ac:dyDescent="0.25">
      <c r="A656" s="8"/>
      <c r="B656" s="8"/>
      <c r="C656" s="8"/>
      <c r="D656" s="8"/>
    </row>
    <row r="657" spans="1:4" x14ac:dyDescent="0.25">
      <c r="A657" s="8"/>
      <c r="B657" s="8"/>
      <c r="C657" s="8"/>
      <c r="D657" s="8"/>
    </row>
    <row r="658" spans="1:4" x14ac:dyDescent="0.25">
      <c r="A658" s="8"/>
      <c r="B658" s="8"/>
      <c r="C658" s="8"/>
      <c r="D658" s="8"/>
    </row>
    <row r="659" spans="1:4" x14ac:dyDescent="0.25">
      <c r="A659" s="8"/>
      <c r="B659" s="8"/>
      <c r="C659" s="8"/>
      <c r="D659" s="8"/>
    </row>
    <row r="660" spans="1:4" x14ac:dyDescent="0.25">
      <c r="A660" s="8"/>
      <c r="B660" s="8"/>
      <c r="C660" s="8"/>
      <c r="D660" s="8"/>
    </row>
    <row r="661" spans="1:4" x14ac:dyDescent="0.25">
      <c r="A661" s="8"/>
      <c r="B661" s="8"/>
      <c r="C661" s="8"/>
      <c r="D661" s="8"/>
    </row>
    <row r="662" spans="1:4" x14ac:dyDescent="0.25">
      <c r="A662" s="8"/>
      <c r="B662" s="8"/>
      <c r="C662" s="8"/>
      <c r="D662" s="8"/>
    </row>
    <row r="663" spans="1:4" x14ac:dyDescent="0.25">
      <c r="A663" s="8"/>
      <c r="B663" s="8"/>
      <c r="C663" s="8"/>
      <c r="D663" s="8"/>
    </row>
    <row r="664" spans="1:4" x14ac:dyDescent="0.25">
      <c r="A664" s="8"/>
      <c r="B664" s="8"/>
      <c r="C664" s="8"/>
      <c r="D664" s="8"/>
    </row>
    <row r="665" spans="1:4" x14ac:dyDescent="0.25">
      <c r="A665" s="8"/>
      <c r="B665" s="8"/>
      <c r="C665" s="8"/>
      <c r="D665" s="8"/>
    </row>
    <row r="666" spans="1:4" x14ac:dyDescent="0.25">
      <c r="A666" s="8"/>
      <c r="B666" s="8"/>
      <c r="C666" s="8"/>
      <c r="D666" s="8"/>
    </row>
    <row r="667" spans="1:4" x14ac:dyDescent="0.25">
      <c r="A667" s="8"/>
      <c r="B667" s="8"/>
      <c r="C667" s="8"/>
      <c r="D667" s="8"/>
    </row>
    <row r="668" spans="1:4" x14ac:dyDescent="0.25">
      <c r="A668" s="8"/>
      <c r="B668" s="8"/>
      <c r="C668" s="8"/>
      <c r="D668" s="8"/>
    </row>
    <row r="669" spans="1:4" x14ac:dyDescent="0.25">
      <c r="A669" s="8"/>
      <c r="B669" s="8"/>
      <c r="C669" s="8"/>
      <c r="D669" s="8"/>
    </row>
    <row r="670" spans="1:4" x14ac:dyDescent="0.25">
      <c r="A670" s="8"/>
      <c r="B670" s="8"/>
      <c r="C670" s="8"/>
      <c r="D670" s="8"/>
    </row>
    <row r="671" spans="1:4" x14ac:dyDescent="0.25">
      <c r="A671" s="8"/>
      <c r="B671" s="8"/>
      <c r="C671" s="8"/>
      <c r="D671" s="8"/>
    </row>
    <row r="672" spans="1:4" x14ac:dyDescent="0.25">
      <c r="A672" s="8"/>
      <c r="B672" s="8"/>
      <c r="C672" s="8"/>
      <c r="D672" s="8"/>
    </row>
    <row r="673" spans="1:4" x14ac:dyDescent="0.25">
      <c r="A673" s="8"/>
      <c r="B673" s="8"/>
      <c r="C673" s="8"/>
      <c r="D673" s="8"/>
    </row>
    <row r="674" spans="1:4" x14ac:dyDescent="0.25">
      <c r="A674" s="8"/>
      <c r="B674" s="8"/>
      <c r="C674" s="8"/>
      <c r="D674" s="8"/>
    </row>
    <row r="675" spans="1:4" x14ac:dyDescent="0.25">
      <c r="A675" s="8"/>
      <c r="B675" s="8"/>
      <c r="C675" s="8"/>
      <c r="D675" s="8"/>
    </row>
    <row r="676" spans="1:4" x14ac:dyDescent="0.25">
      <c r="A676" s="8"/>
      <c r="B676" s="8"/>
      <c r="C676" s="8"/>
      <c r="D676" s="8"/>
    </row>
    <row r="677" spans="1:4" x14ac:dyDescent="0.25">
      <c r="A677" s="8"/>
      <c r="B677" s="8"/>
      <c r="C677" s="8"/>
      <c r="D677" s="8"/>
    </row>
    <row r="678" spans="1:4" x14ac:dyDescent="0.25">
      <c r="A678" s="8"/>
      <c r="B678" s="8"/>
      <c r="C678" s="8"/>
      <c r="D678" s="8"/>
    </row>
    <row r="679" spans="1:4" x14ac:dyDescent="0.25">
      <c r="A679" s="8"/>
      <c r="B679" s="8"/>
      <c r="C679" s="8"/>
      <c r="D679" s="8"/>
    </row>
    <row r="680" spans="1:4" x14ac:dyDescent="0.25">
      <c r="A680" s="8"/>
      <c r="B680" s="8"/>
      <c r="C680" s="8"/>
      <c r="D680" s="8"/>
    </row>
    <row r="681" spans="1:4" x14ac:dyDescent="0.25">
      <c r="A681" s="8"/>
      <c r="B681" s="8"/>
      <c r="C681" s="8"/>
      <c r="D681" s="8"/>
    </row>
    <row r="682" spans="1:4" x14ac:dyDescent="0.25">
      <c r="A682" s="8"/>
      <c r="B682" s="8"/>
      <c r="C682" s="8"/>
      <c r="D682" s="8"/>
    </row>
    <row r="683" spans="1:4" x14ac:dyDescent="0.25">
      <c r="A683" s="8"/>
      <c r="B683" s="8"/>
      <c r="C683" s="8"/>
      <c r="D683" s="8"/>
    </row>
    <row r="684" spans="1:4" x14ac:dyDescent="0.25">
      <c r="A684" s="8"/>
      <c r="B684" s="8"/>
      <c r="C684" s="8"/>
      <c r="D684" s="8"/>
    </row>
    <row r="685" spans="1:4" x14ac:dyDescent="0.25">
      <c r="A685" s="8"/>
      <c r="B685" s="8"/>
      <c r="C685" s="8"/>
      <c r="D685" s="8"/>
    </row>
    <row r="686" spans="1:4" x14ac:dyDescent="0.25">
      <c r="A686" s="8"/>
      <c r="B686" s="8"/>
      <c r="C686" s="8"/>
      <c r="D686" s="8"/>
    </row>
    <row r="687" spans="1:4" x14ac:dyDescent="0.25">
      <c r="A687" s="8"/>
      <c r="B687" s="8"/>
      <c r="C687" s="8"/>
      <c r="D687" s="8"/>
    </row>
    <row r="688" spans="1:4" x14ac:dyDescent="0.25">
      <c r="A688" s="8"/>
      <c r="B688" s="8"/>
      <c r="C688" s="8"/>
      <c r="D688" s="8"/>
    </row>
    <row r="689" spans="1:4" x14ac:dyDescent="0.25">
      <c r="A689" s="8"/>
      <c r="B689" s="8"/>
      <c r="C689" s="8"/>
      <c r="D689" s="8"/>
    </row>
    <row r="690" spans="1:4" x14ac:dyDescent="0.25">
      <c r="A690" s="8"/>
      <c r="B690" s="8"/>
      <c r="C690" s="8"/>
      <c r="D690" s="8"/>
    </row>
    <row r="691" spans="1:4" x14ac:dyDescent="0.25">
      <c r="A691" s="8"/>
      <c r="B691" s="8"/>
      <c r="C691" s="8"/>
      <c r="D691" s="8"/>
    </row>
    <row r="692" spans="1:4" x14ac:dyDescent="0.25">
      <c r="A692" s="8"/>
      <c r="B692" s="8"/>
      <c r="C692" s="8"/>
      <c r="D692" s="8"/>
    </row>
    <row r="693" spans="1:4" x14ac:dyDescent="0.25">
      <c r="A693" s="8"/>
      <c r="B693" s="8"/>
      <c r="C693" s="8"/>
      <c r="D693" s="8"/>
    </row>
    <row r="694" spans="1:4" x14ac:dyDescent="0.25">
      <c r="A694" s="8"/>
      <c r="B694" s="8"/>
      <c r="C694" s="8"/>
      <c r="D694" s="8"/>
    </row>
    <row r="695" spans="1:4" x14ac:dyDescent="0.25">
      <c r="A695" s="8"/>
      <c r="B695" s="8"/>
      <c r="C695" s="8"/>
      <c r="D695" s="8"/>
    </row>
    <row r="696" spans="1:4" x14ac:dyDescent="0.25">
      <c r="A696" s="8"/>
      <c r="B696" s="8"/>
      <c r="C696" s="8"/>
      <c r="D696" s="8"/>
    </row>
    <row r="697" spans="1:4" x14ac:dyDescent="0.25">
      <c r="A697" s="8"/>
      <c r="B697" s="8"/>
      <c r="C697" s="8"/>
      <c r="D697" s="8"/>
    </row>
    <row r="698" spans="1:4" x14ac:dyDescent="0.25">
      <c r="A698" s="8"/>
      <c r="B698" s="8"/>
      <c r="C698" s="8"/>
      <c r="D698" s="8"/>
    </row>
    <row r="699" spans="1:4" x14ac:dyDescent="0.25">
      <c r="A699" s="8"/>
      <c r="B699" s="8"/>
      <c r="C699" s="8"/>
      <c r="D699" s="8"/>
    </row>
    <row r="700" spans="1:4" x14ac:dyDescent="0.25">
      <c r="A700" s="8"/>
      <c r="B700" s="8"/>
      <c r="C700" s="8"/>
      <c r="D700" s="8"/>
    </row>
    <row r="701" spans="1:4" x14ac:dyDescent="0.25">
      <c r="A701" s="8"/>
      <c r="B701" s="8"/>
      <c r="C701" s="8"/>
      <c r="D701" s="8"/>
    </row>
    <row r="702" spans="1:4" x14ac:dyDescent="0.25">
      <c r="A702" s="8"/>
      <c r="B702" s="8"/>
      <c r="C702" s="8"/>
      <c r="D702" s="8"/>
    </row>
    <row r="703" spans="1:4" x14ac:dyDescent="0.25">
      <c r="A703" s="8"/>
      <c r="B703" s="8"/>
      <c r="C703" s="8"/>
      <c r="D703" s="8"/>
    </row>
    <row r="704" spans="1:4" x14ac:dyDescent="0.25">
      <c r="A704" s="8"/>
      <c r="B704" s="8"/>
      <c r="C704" s="8"/>
      <c r="D704" s="8"/>
    </row>
    <row r="705" spans="1:4" x14ac:dyDescent="0.25">
      <c r="A705" s="8"/>
      <c r="B705" s="8"/>
      <c r="C705" s="8"/>
      <c r="D705" s="8"/>
    </row>
    <row r="706" spans="1:4" x14ac:dyDescent="0.25">
      <c r="A706" s="8"/>
      <c r="B706" s="8"/>
      <c r="C706" s="8"/>
      <c r="D706" s="8"/>
    </row>
    <row r="707" spans="1:4" x14ac:dyDescent="0.25">
      <c r="A707" s="8"/>
      <c r="B707" s="8"/>
      <c r="C707" s="8"/>
      <c r="D707" s="8"/>
    </row>
    <row r="708" spans="1:4" x14ac:dyDescent="0.25">
      <c r="A708" s="8"/>
      <c r="B708" s="8"/>
      <c r="C708" s="8"/>
      <c r="D708" s="8"/>
    </row>
    <row r="709" spans="1:4" x14ac:dyDescent="0.25">
      <c r="A709" s="8"/>
      <c r="B709" s="8"/>
      <c r="C709" s="8"/>
      <c r="D709" s="8"/>
    </row>
    <row r="710" spans="1:4" x14ac:dyDescent="0.25">
      <c r="A710" s="8"/>
      <c r="B710" s="8"/>
      <c r="C710" s="8"/>
      <c r="D710" s="8"/>
    </row>
    <row r="711" spans="1:4" x14ac:dyDescent="0.25">
      <c r="A711" s="8"/>
      <c r="B711" s="8"/>
      <c r="C711" s="8"/>
      <c r="D711" s="8"/>
    </row>
    <row r="712" spans="1:4" x14ac:dyDescent="0.25">
      <c r="A712" s="8"/>
      <c r="B712" s="8"/>
      <c r="C712" s="8"/>
      <c r="D712" s="8"/>
    </row>
    <row r="713" spans="1:4" x14ac:dyDescent="0.25">
      <c r="A713" s="8"/>
      <c r="B713" s="8"/>
      <c r="C713" s="8"/>
      <c r="D713" s="8"/>
    </row>
    <row r="714" spans="1:4" x14ac:dyDescent="0.25">
      <c r="A714" s="8"/>
      <c r="B714" s="8"/>
      <c r="C714" s="8"/>
      <c r="D714" s="8"/>
    </row>
    <row r="715" spans="1:4" x14ac:dyDescent="0.25">
      <c r="A715" s="8"/>
      <c r="B715" s="8"/>
      <c r="C715" s="8"/>
      <c r="D715" s="8"/>
    </row>
    <row r="716" spans="1:4" x14ac:dyDescent="0.25">
      <c r="A716" s="8"/>
      <c r="B716" s="8"/>
      <c r="C716" s="8"/>
      <c r="D716" s="8"/>
    </row>
    <row r="717" spans="1:4" x14ac:dyDescent="0.25">
      <c r="A717" s="8"/>
      <c r="B717" s="8"/>
      <c r="C717" s="8"/>
      <c r="D717" s="8"/>
    </row>
    <row r="718" spans="1:4" x14ac:dyDescent="0.25">
      <c r="A718" s="8"/>
      <c r="B718" s="8"/>
      <c r="C718" s="8"/>
      <c r="D718" s="8"/>
    </row>
    <row r="719" spans="1:4" x14ac:dyDescent="0.25">
      <c r="A719" s="8"/>
      <c r="B719" s="8"/>
      <c r="C719" s="8"/>
      <c r="D719" s="8"/>
    </row>
    <row r="720" spans="1:4" x14ac:dyDescent="0.25">
      <c r="A720" s="8"/>
      <c r="B720" s="8"/>
      <c r="C720" s="8"/>
      <c r="D720" s="8"/>
    </row>
    <row r="721" spans="1:4" x14ac:dyDescent="0.25">
      <c r="A721" s="8"/>
      <c r="B721" s="8"/>
      <c r="C721" s="8"/>
      <c r="D721" s="8"/>
    </row>
    <row r="722" spans="1:4" x14ac:dyDescent="0.25">
      <c r="A722" s="8"/>
      <c r="B722" s="8"/>
      <c r="C722" s="8"/>
      <c r="D722" s="8"/>
    </row>
    <row r="723" spans="1:4" x14ac:dyDescent="0.25">
      <c r="A723" s="8"/>
      <c r="B723" s="8"/>
      <c r="C723" s="8"/>
      <c r="D723" s="8"/>
    </row>
    <row r="724" spans="1:4" x14ac:dyDescent="0.25">
      <c r="A724" s="8"/>
      <c r="B724" s="8"/>
      <c r="C724" s="8"/>
      <c r="D724" s="8"/>
    </row>
    <row r="725" spans="1:4" x14ac:dyDescent="0.25">
      <c r="A725" s="8"/>
      <c r="B725" s="8"/>
      <c r="C725" s="8"/>
      <c r="D725" s="8"/>
    </row>
    <row r="726" spans="1:4" x14ac:dyDescent="0.25">
      <c r="A726" s="8"/>
      <c r="B726" s="8"/>
      <c r="C726" s="8"/>
      <c r="D726" s="8"/>
    </row>
    <row r="727" spans="1:4" x14ac:dyDescent="0.25">
      <c r="A727" s="8"/>
      <c r="B727" s="8"/>
      <c r="C727" s="8"/>
      <c r="D727" s="8"/>
    </row>
    <row r="728" spans="1:4" x14ac:dyDescent="0.25">
      <c r="A728" s="8"/>
      <c r="B728" s="8"/>
      <c r="C728" s="8"/>
      <c r="D728" s="8"/>
    </row>
    <row r="729" spans="1:4" x14ac:dyDescent="0.25">
      <c r="A729" s="8"/>
      <c r="B729" s="8"/>
      <c r="C729" s="8"/>
      <c r="D729" s="8"/>
    </row>
    <row r="730" spans="1:4" x14ac:dyDescent="0.25">
      <c r="A730" s="8"/>
      <c r="B730" s="8"/>
      <c r="C730" s="8"/>
      <c r="D730" s="8"/>
    </row>
    <row r="731" spans="1:4" x14ac:dyDescent="0.25">
      <c r="A731" s="8"/>
      <c r="B731" s="8"/>
      <c r="C731" s="8"/>
      <c r="D731" s="8"/>
    </row>
    <row r="732" spans="1:4" x14ac:dyDescent="0.25">
      <c r="A732" s="8"/>
      <c r="B732" s="8"/>
      <c r="C732" s="8"/>
      <c r="D732" s="8"/>
    </row>
    <row r="733" spans="1:4" x14ac:dyDescent="0.25">
      <c r="A733" s="8"/>
      <c r="B733" s="8"/>
      <c r="C733" s="8"/>
      <c r="D733" s="8"/>
    </row>
    <row r="734" spans="1:4" x14ac:dyDescent="0.25">
      <c r="A734" s="8"/>
      <c r="B734" s="8"/>
      <c r="C734" s="8"/>
      <c r="D734" s="8"/>
    </row>
    <row r="735" spans="1:4" x14ac:dyDescent="0.25">
      <c r="A735" s="8"/>
      <c r="B735" s="8"/>
      <c r="C735" s="8"/>
      <c r="D735" s="8"/>
    </row>
    <row r="736" spans="1:4" x14ac:dyDescent="0.25">
      <c r="A736" s="8"/>
      <c r="B736" s="8"/>
      <c r="C736" s="8"/>
      <c r="D736" s="8"/>
    </row>
    <row r="737" spans="1:4" x14ac:dyDescent="0.25">
      <c r="A737" s="8"/>
      <c r="B737" s="8"/>
      <c r="C737" s="8"/>
      <c r="D737" s="8"/>
    </row>
    <row r="738" spans="1:4" x14ac:dyDescent="0.25">
      <c r="A738" s="8"/>
      <c r="B738" s="8"/>
      <c r="C738" s="8"/>
      <c r="D738" s="8"/>
    </row>
    <row r="739" spans="1:4" x14ac:dyDescent="0.25">
      <c r="A739" s="8"/>
      <c r="B739" s="8"/>
      <c r="C739" s="8"/>
      <c r="D739" s="8"/>
    </row>
    <row r="740" spans="1:4" x14ac:dyDescent="0.25">
      <c r="A740" s="8"/>
      <c r="B740" s="8"/>
      <c r="C740" s="8"/>
      <c r="D740" s="8"/>
    </row>
    <row r="741" spans="1:4" x14ac:dyDescent="0.25">
      <c r="A741" s="8"/>
      <c r="B741" s="8"/>
      <c r="C741" s="8"/>
      <c r="D741" s="8"/>
    </row>
    <row r="742" spans="1:4" x14ac:dyDescent="0.25">
      <c r="A742" s="8"/>
      <c r="B742" s="8"/>
      <c r="C742" s="8"/>
      <c r="D742" s="8"/>
    </row>
    <row r="743" spans="1:4" x14ac:dyDescent="0.25">
      <c r="A743" s="8"/>
      <c r="B743" s="8"/>
      <c r="C743" s="8"/>
      <c r="D743" s="8"/>
    </row>
    <row r="744" spans="1:4" x14ac:dyDescent="0.25">
      <c r="A744" s="8"/>
      <c r="B744" s="8"/>
      <c r="C744" s="8"/>
      <c r="D744" s="8"/>
    </row>
    <row r="745" spans="1:4" x14ac:dyDescent="0.25">
      <c r="A745" s="8"/>
      <c r="B745" s="8"/>
      <c r="C745" s="8"/>
      <c r="D745" s="8"/>
    </row>
    <row r="746" spans="1:4" x14ac:dyDescent="0.25">
      <c r="A746" s="8"/>
      <c r="B746" s="8"/>
      <c r="C746" s="8"/>
      <c r="D746" s="8"/>
    </row>
    <row r="747" spans="1:4" x14ac:dyDescent="0.25">
      <c r="A747" s="8"/>
      <c r="B747" s="8"/>
      <c r="C747" s="8"/>
      <c r="D747" s="8"/>
    </row>
    <row r="748" spans="1:4" x14ac:dyDescent="0.25">
      <c r="A748" s="8"/>
      <c r="B748" s="8"/>
      <c r="C748" s="8"/>
      <c r="D748" s="8"/>
    </row>
    <row r="749" spans="1:4" x14ac:dyDescent="0.25">
      <c r="A749" s="8"/>
      <c r="B749" s="8"/>
      <c r="C749" s="8"/>
      <c r="D749" s="8"/>
    </row>
    <row r="750" spans="1:4" x14ac:dyDescent="0.25">
      <c r="A750" s="8"/>
      <c r="B750" s="8"/>
      <c r="C750" s="8"/>
      <c r="D750" s="8"/>
    </row>
    <row r="751" spans="1:4" x14ac:dyDescent="0.25">
      <c r="A751" s="8"/>
      <c r="B751" s="8"/>
      <c r="C751" s="8"/>
      <c r="D751" s="8"/>
    </row>
    <row r="752" spans="1:4" x14ac:dyDescent="0.25">
      <c r="A752" s="8"/>
      <c r="B752" s="8"/>
      <c r="C752" s="8"/>
      <c r="D752" s="8"/>
    </row>
    <row r="753" spans="1:4" x14ac:dyDescent="0.25">
      <c r="A753" s="8"/>
      <c r="B753" s="8"/>
      <c r="C753" s="8"/>
      <c r="D753" s="8"/>
    </row>
    <row r="754" spans="1:4" x14ac:dyDescent="0.25">
      <c r="A754" s="8"/>
      <c r="B754" s="8"/>
      <c r="C754" s="8"/>
      <c r="D754" s="8"/>
    </row>
    <row r="755" spans="1:4" x14ac:dyDescent="0.25">
      <c r="A755" s="8"/>
      <c r="B755" s="8"/>
      <c r="C755" s="8"/>
      <c r="D755" s="8"/>
    </row>
    <row r="756" spans="1:4" x14ac:dyDescent="0.25">
      <c r="A756" s="8"/>
      <c r="B756" s="8"/>
      <c r="C756" s="8"/>
      <c r="D756" s="8"/>
    </row>
    <row r="757" spans="1:4" x14ac:dyDescent="0.25">
      <c r="A757" s="8"/>
      <c r="B757" s="8"/>
      <c r="C757" s="8"/>
      <c r="D757" s="8"/>
    </row>
    <row r="758" spans="1:4" x14ac:dyDescent="0.25">
      <c r="A758" s="8"/>
      <c r="B758" s="8"/>
      <c r="C758" s="8"/>
      <c r="D758" s="8"/>
    </row>
    <row r="759" spans="1:4" x14ac:dyDescent="0.25">
      <c r="A759" s="8"/>
      <c r="B759" s="8"/>
      <c r="C759" s="8"/>
      <c r="D759" s="8"/>
    </row>
    <row r="760" spans="1:4" x14ac:dyDescent="0.25">
      <c r="A760" s="8"/>
      <c r="B760" s="8"/>
      <c r="C760" s="8"/>
      <c r="D760" s="8"/>
    </row>
    <row r="761" spans="1:4" x14ac:dyDescent="0.25">
      <c r="A761" s="8"/>
      <c r="B761" s="8"/>
      <c r="C761" s="8"/>
      <c r="D761" s="8"/>
    </row>
    <row r="762" spans="1:4" x14ac:dyDescent="0.25">
      <c r="A762" s="8"/>
      <c r="B762" s="8"/>
      <c r="C762" s="8"/>
      <c r="D762" s="8"/>
    </row>
    <row r="763" spans="1:4" x14ac:dyDescent="0.25">
      <c r="A763" s="8"/>
      <c r="B763" s="8"/>
      <c r="C763" s="8"/>
      <c r="D763" s="8"/>
    </row>
    <row r="764" spans="1:4" x14ac:dyDescent="0.25">
      <c r="A764" s="8"/>
      <c r="B764" s="8"/>
      <c r="C764" s="8"/>
      <c r="D764" s="8"/>
    </row>
    <row r="765" spans="1:4" x14ac:dyDescent="0.25">
      <c r="A765" s="8"/>
      <c r="B765" s="8"/>
      <c r="C765" s="8"/>
      <c r="D765" s="8"/>
    </row>
    <row r="766" spans="1:4" x14ac:dyDescent="0.25">
      <c r="A766" s="8"/>
      <c r="B766" s="8"/>
      <c r="C766" s="8"/>
      <c r="D766" s="8"/>
    </row>
    <row r="767" spans="1:4" x14ac:dyDescent="0.25">
      <c r="A767" s="8"/>
      <c r="B767" s="8"/>
      <c r="C767" s="8"/>
      <c r="D767" s="8"/>
    </row>
    <row r="768" spans="1:4" x14ac:dyDescent="0.25">
      <c r="A768" s="8"/>
      <c r="B768" s="8"/>
      <c r="C768" s="8"/>
      <c r="D768" s="8"/>
    </row>
    <row r="769" spans="1:4" x14ac:dyDescent="0.25">
      <c r="A769" s="8"/>
      <c r="B769" s="8"/>
      <c r="C769" s="8"/>
      <c r="D769" s="8"/>
    </row>
    <row r="770" spans="1:4" x14ac:dyDescent="0.25">
      <c r="A770" s="8"/>
      <c r="B770" s="8"/>
      <c r="C770" s="8"/>
      <c r="D770" s="8"/>
    </row>
    <row r="771" spans="1:4" x14ac:dyDescent="0.25">
      <c r="A771" s="8"/>
      <c r="B771" s="8"/>
      <c r="C771" s="8"/>
      <c r="D771" s="8"/>
    </row>
    <row r="772" spans="1:4" x14ac:dyDescent="0.25">
      <c r="A772" s="8"/>
      <c r="B772" s="8"/>
      <c r="C772" s="8"/>
      <c r="D772" s="8"/>
    </row>
    <row r="773" spans="1:4" x14ac:dyDescent="0.25">
      <c r="A773" s="8"/>
      <c r="B773" s="8"/>
      <c r="C773" s="8"/>
      <c r="D773" s="8"/>
    </row>
    <row r="774" spans="1:4" x14ac:dyDescent="0.25">
      <c r="A774" s="8"/>
      <c r="B774" s="8"/>
      <c r="C774" s="8"/>
      <c r="D774" s="8"/>
    </row>
    <row r="775" spans="1:4" x14ac:dyDescent="0.25">
      <c r="A775" s="8"/>
      <c r="B775" s="8"/>
      <c r="C775" s="8"/>
      <c r="D775" s="8"/>
    </row>
    <row r="776" spans="1:4" x14ac:dyDescent="0.25">
      <c r="A776" s="8"/>
      <c r="B776" s="8"/>
      <c r="C776" s="8"/>
      <c r="D776" s="8"/>
    </row>
    <row r="777" spans="1:4" x14ac:dyDescent="0.25">
      <c r="A777" s="8"/>
      <c r="B777" s="8"/>
      <c r="C777" s="8"/>
      <c r="D777" s="8"/>
    </row>
    <row r="778" spans="1:4" x14ac:dyDescent="0.25">
      <c r="A778" s="8"/>
      <c r="B778" s="8"/>
      <c r="C778" s="8"/>
      <c r="D778" s="8"/>
    </row>
    <row r="779" spans="1:4" x14ac:dyDescent="0.25">
      <c r="A779" s="8"/>
      <c r="B779" s="8"/>
      <c r="C779" s="8"/>
      <c r="D779" s="8"/>
    </row>
    <row r="780" spans="1:4" x14ac:dyDescent="0.25">
      <c r="A780" s="8"/>
      <c r="B780" s="8"/>
      <c r="C780" s="8"/>
      <c r="D780" s="8"/>
    </row>
    <row r="781" spans="1:4" x14ac:dyDescent="0.25">
      <c r="A781" s="8"/>
      <c r="B781" s="8"/>
      <c r="C781" s="8"/>
      <c r="D781" s="8"/>
    </row>
    <row r="782" spans="1:4" x14ac:dyDescent="0.25">
      <c r="A782" s="8"/>
      <c r="B782" s="8"/>
      <c r="C782" s="8"/>
      <c r="D782" s="8"/>
    </row>
    <row r="783" spans="1:4" x14ac:dyDescent="0.25">
      <c r="A783" s="8"/>
      <c r="B783" s="8"/>
      <c r="C783" s="8"/>
      <c r="D783" s="8"/>
    </row>
    <row r="784" spans="1:4" x14ac:dyDescent="0.25">
      <c r="A784" s="8"/>
      <c r="B784" s="8"/>
      <c r="C784" s="8"/>
      <c r="D784" s="8"/>
    </row>
    <row r="785" spans="1:4" x14ac:dyDescent="0.25">
      <c r="A785" s="8"/>
      <c r="B785" s="8"/>
      <c r="C785" s="8"/>
      <c r="D785" s="8"/>
    </row>
    <row r="786" spans="1:4" x14ac:dyDescent="0.25">
      <c r="A786" s="8"/>
      <c r="B786" s="8"/>
      <c r="C786" s="8"/>
      <c r="D786" s="8"/>
    </row>
    <row r="787" spans="1:4" x14ac:dyDescent="0.25">
      <c r="A787" s="8"/>
      <c r="B787" s="8"/>
      <c r="C787" s="8"/>
      <c r="D787" s="8"/>
    </row>
    <row r="788" spans="1:4" x14ac:dyDescent="0.25">
      <c r="A788" s="8"/>
      <c r="B788" s="8"/>
      <c r="C788" s="8"/>
      <c r="D788" s="8"/>
    </row>
    <row r="789" spans="1:4" x14ac:dyDescent="0.25">
      <c r="A789" s="8"/>
      <c r="B789" s="8"/>
      <c r="C789" s="8"/>
      <c r="D789" s="8"/>
    </row>
    <row r="790" spans="1:4" x14ac:dyDescent="0.25">
      <c r="A790" s="8"/>
      <c r="B790" s="8"/>
      <c r="C790" s="8"/>
      <c r="D790" s="8"/>
    </row>
    <row r="791" spans="1:4" x14ac:dyDescent="0.25">
      <c r="A791" s="8"/>
      <c r="B791" s="8"/>
      <c r="C791" s="8"/>
      <c r="D791" s="8"/>
    </row>
    <row r="792" spans="1:4" x14ac:dyDescent="0.25">
      <c r="A792" s="8"/>
      <c r="B792" s="8"/>
      <c r="C792" s="8"/>
      <c r="D792" s="8"/>
    </row>
    <row r="793" spans="1:4" x14ac:dyDescent="0.25">
      <c r="A793" s="8"/>
      <c r="B793" s="8"/>
      <c r="C793" s="8"/>
      <c r="D793" s="8"/>
    </row>
    <row r="794" spans="1:4" x14ac:dyDescent="0.25">
      <c r="A794" s="8"/>
      <c r="B794" s="8"/>
      <c r="C794" s="8"/>
      <c r="D794" s="8"/>
    </row>
    <row r="795" spans="1:4" x14ac:dyDescent="0.25">
      <c r="A795" s="8"/>
      <c r="B795" s="8"/>
      <c r="C795" s="8"/>
      <c r="D795" s="8"/>
    </row>
    <row r="796" spans="1:4" x14ac:dyDescent="0.25">
      <c r="A796" s="8"/>
      <c r="B796" s="8"/>
      <c r="C796" s="8"/>
      <c r="D796" s="8"/>
    </row>
    <row r="797" spans="1:4" x14ac:dyDescent="0.25">
      <c r="A797" s="8"/>
      <c r="B797" s="8"/>
      <c r="C797" s="8"/>
      <c r="D797" s="8"/>
    </row>
    <row r="798" spans="1:4" x14ac:dyDescent="0.25">
      <c r="A798" s="8"/>
      <c r="B798" s="8"/>
      <c r="C798" s="8"/>
      <c r="D798" s="8"/>
    </row>
    <row r="799" spans="1:4" x14ac:dyDescent="0.25">
      <c r="A799" s="8"/>
      <c r="B799" s="8"/>
      <c r="C799" s="8"/>
      <c r="D799" s="8"/>
    </row>
    <row r="800" spans="1:4" x14ac:dyDescent="0.25">
      <c r="A800" s="8"/>
      <c r="B800" s="8"/>
      <c r="C800" s="8"/>
      <c r="D800" s="8"/>
    </row>
    <row r="801" spans="1:4" x14ac:dyDescent="0.25">
      <c r="A801" s="8"/>
      <c r="B801" s="8"/>
      <c r="C801" s="8"/>
      <c r="D801" s="8"/>
    </row>
    <row r="802" spans="1:4" x14ac:dyDescent="0.25">
      <c r="A802" s="8"/>
      <c r="B802" s="8"/>
      <c r="C802" s="8"/>
      <c r="D802" s="8"/>
    </row>
    <row r="803" spans="1:4" x14ac:dyDescent="0.25">
      <c r="A803" s="8"/>
      <c r="B803" s="8"/>
      <c r="C803" s="8"/>
      <c r="D803" s="8"/>
    </row>
    <row r="804" spans="1:4" x14ac:dyDescent="0.25">
      <c r="A804" s="8"/>
      <c r="B804" s="8"/>
      <c r="C804" s="8"/>
      <c r="D804" s="8"/>
    </row>
    <row r="805" spans="1:4" x14ac:dyDescent="0.25">
      <c r="A805" s="8"/>
      <c r="B805" s="8"/>
      <c r="C805" s="8"/>
      <c r="D805" s="8"/>
    </row>
    <row r="806" spans="1:4" x14ac:dyDescent="0.25">
      <c r="A806" s="8"/>
      <c r="B806" s="8"/>
      <c r="C806" s="8"/>
      <c r="D806" s="8"/>
    </row>
    <row r="807" spans="1:4" x14ac:dyDescent="0.25">
      <c r="A807" s="8"/>
      <c r="B807" s="8"/>
      <c r="C807" s="8"/>
      <c r="D807" s="8"/>
    </row>
    <row r="808" spans="1:4" x14ac:dyDescent="0.25">
      <c r="A808" s="8"/>
      <c r="B808" s="8"/>
      <c r="C808" s="8"/>
      <c r="D808" s="8"/>
    </row>
    <row r="809" spans="1:4" x14ac:dyDescent="0.25">
      <c r="A809" s="8"/>
      <c r="B809" s="8"/>
      <c r="C809" s="8"/>
      <c r="D809" s="8"/>
    </row>
    <row r="810" spans="1:4" x14ac:dyDescent="0.25">
      <c r="A810" s="8"/>
      <c r="B810" s="8"/>
      <c r="C810" s="8"/>
      <c r="D810" s="8"/>
    </row>
    <row r="811" spans="1:4" x14ac:dyDescent="0.25">
      <c r="A811" s="8"/>
      <c r="B811" s="8"/>
      <c r="C811" s="8"/>
      <c r="D811" s="8"/>
    </row>
    <row r="812" spans="1:4" x14ac:dyDescent="0.25">
      <c r="A812" s="8"/>
      <c r="B812" s="8"/>
      <c r="C812" s="8"/>
      <c r="D812" s="8"/>
    </row>
    <row r="813" spans="1:4" x14ac:dyDescent="0.25">
      <c r="A813" s="8"/>
      <c r="B813" s="8"/>
      <c r="C813" s="8"/>
      <c r="D813" s="8"/>
    </row>
    <row r="814" spans="1:4" x14ac:dyDescent="0.25">
      <c r="A814" s="8"/>
      <c r="B814" s="8"/>
      <c r="C814" s="8"/>
      <c r="D814" s="8"/>
    </row>
    <row r="815" spans="1:4" x14ac:dyDescent="0.25">
      <c r="A815" s="8"/>
      <c r="B815" s="8"/>
      <c r="C815" s="8"/>
      <c r="D815" s="8"/>
    </row>
    <row r="816" spans="1:4" x14ac:dyDescent="0.25">
      <c r="A816" s="8"/>
      <c r="B816" s="8"/>
      <c r="C816" s="8"/>
      <c r="D816" s="8"/>
    </row>
    <row r="817" spans="1:4" x14ac:dyDescent="0.25">
      <c r="A817" s="8"/>
      <c r="B817" s="8"/>
      <c r="C817" s="8"/>
      <c r="D817" s="8"/>
    </row>
    <row r="818" spans="1:4" x14ac:dyDescent="0.25">
      <c r="A818" s="8"/>
      <c r="B818" s="8"/>
      <c r="C818" s="8"/>
      <c r="D818" s="8"/>
    </row>
    <row r="819" spans="1:4" x14ac:dyDescent="0.25">
      <c r="A819" s="8"/>
      <c r="B819" s="8"/>
      <c r="C819" s="8"/>
      <c r="D819" s="8"/>
    </row>
    <row r="820" spans="1:4" x14ac:dyDescent="0.25">
      <c r="A820" s="8"/>
      <c r="B820" s="8"/>
      <c r="C820" s="8"/>
      <c r="D820" s="8"/>
    </row>
    <row r="821" spans="1:4" x14ac:dyDescent="0.25">
      <c r="A821" s="8"/>
      <c r="B821" s="8"/>
      <c r="C821" s="8"/>
      <c r="D821" s="8"/>
    </row>
    <row r="822" spans="1:4" x14ac:dyDescent="0.25">
      <c r="A822" s="8"/>
      <c r="B822" s="8"/>
      <c r="C822" s="8"/>
      <c r="D822" s="8"/>
    </row>
    <row r="823" spans="1:4" x14ac:dyDescent="0.25">
      <c r="A823" s="8"/>
      <c r="B823" s="8"/>
      <c r="C823" s="8"/>
      <c r="D823" s="8"/>
    </row>
    <row r="824" spans="1:4" x14ac:dyDescent="0.25">
      <c r="A824" s="8"/>
      <c r="B824" s="8"/>
      <c r="C824" s="8"/>
      <c r="D824" s="8"/>
    </row>
    <row r="825" spans="1:4" x14ac:dyDescent="0.25">
      <c r="A825" s="8"/>
      <c r="B825" s="8"/>
      <c r="C825" s="8"/>
      <c r="D825" s="8"/>
    </row>
    <row r="826" spans="1:4" x14ac:dyDescent="0.25">
      <c r="A826" s="8"/>
      <c r="B826" s="8"/>
      <c r="C826" s="8"/>
      <c r="D826" s="8"/>
    </row>
    <row r="827" spans="1:4" x14ac:dyDescent="0.25">
      <c r="A827" s="8"/>
      <c r="B827" s="8"/>
      <c r="C827" s="8"/>
      <c r="D827" s="8"/>
    </row>
    <row r="828" spans="1:4" x14ac:dyDescent="0.25">
      <c r="A828" s="8"/>
      <c r="B828" s="8"/>
      <c r="C828" s="8"/>
      <c r="D828" s="8"/>
    </row>
    <row r="829" spans="1:4" x14ac:dyDescent="0.25">
      <c r="A829" s="8"/>
      <c r="B829" s="8"/>
      <c r="C829" s="8"/>
      <c r="D829" s="8"/>
    </row>
    <row r="830" spans="1:4" x14ac:dyDescent="0.25">
      <c r="A830" s="8"/>
      <c r="B830" s="8"/>
      <c r="C830" s="8"/>
      <c r="D830" s="8"/>
    </row>
    <row r="831" spans="1:4" x14ac:dyDescent="0.25">
      <c r="A831" s="8"/>
      <c r="B831" s="8"/>
      <c r="C831" s="8"/>
      <c r="D831" s="8"/>
    </row>
    <row r="832" spans="1:4" x14ac:dyDescent="0.25">
      <c r="A832" s="8"/>
      <c r="B832" s="8"/>
      <c r="C832" s="8"/>
      <c r="D832" s="8"/>
    </row>
    <row r="833" spans="1:4" x14ac:dyDescent="0.25">
      <c r="A833" s="8"/>
      <c r="B833" s="8"/>
      <c r="C833" s="8"/>
      <c r="D833" s="8"/>
    </row>
    <row r="834" spans="1:4" x14ac:dyDescent="0.25">
      <c r="A834" s="8"/>
      <c r="B834" s="8"/>
      <c r="C834" s="8"/>
      <c r="D834" s="8"/>
    </row>
    <row r="835" spans="1:4" x14ac:dyDescent="0.25">
      <c r="A835" s="8"/>
      <c r="B835" s="8"/>
      <c r="C835" s="8"/>
      <c r="D835" s="8"/>
    </row>
    <row r="836" spans="1:4" x14ac:dyDescent="0.25">
      <c r="A836" s="8"/>
      <c r="B836" s="8"/>
      <c r="C836" s="8"/>
      <c r="D836" s="8"/>
    </row>
    <row r="837" spans="1:4" x14ac:dyDescent="0.25">
      <c r="A837" s="8"/>
      <c r="B837" s="8"/>
      <c r="C837" s="8"/>
      <c r="D837" s="8"/>
    </row>
    <row r="838" spans="1:4" x14ac:dyDescent="0.25">
      <c r="A838" s="8"/>
      <c r="B838" s="8"/>
      <c r="C838" s="8"/>
      <c r="D838" s="8"/>
    </row>
    <row r="839" spans="1:4" x14ac:dyDescent="0.25">
      <c r="A839" s="8"/>
      <c r="B839" s="8"/>
      <c r="C839" s="8"/>
      <c r="D839" s="8"/>
    </row>
    <row r="840" spans="1:4" x14ac:dyDescent="0.25">
      <c r="A840" s="8"/>
      <c r="B840" s="8"/>
      <c r="C840" s="8"/>
      <c r="D840" s="8"/>
    </row>
    <row r="841" spans="1:4" x14ac:dyDescent="0.25">
      <c r="A841" s="8"/>
      <c r="B841" s="8"/>
      <c r="C841" s="8"/>
      <c r="D841" s="8"/>
    </row>
    <row r="842" spans="1:4" x14ac:dyDescent="0.25">
      <c r="A842" s="8"/>
      <c r="B842" s="8"/>
      <c r="C842" s="8"/>
      <c r="D842" s="8"/>
    </row>
    <row r="843" spans="1:4" x14ac:dyDescent="0.25">
      <c r="A843" s="8"/>
      <c r="B843" s="8"/>
      <c r="C843" s="8"/>
      <c r="D843" s="8"/>
    </row>
    <row r="844" spans="1:4" x14ac:dyDescent="0.25">
      <c r="A844" s="8"/>
      <c r="B844" s="8"/>
      <c r="C844" s="8"/>
      <c r="D844" s="8"/>
    </row>
    <row r="845" spans="1:4" x14ac:dyDescent="0.25">
      <c r="A845" s="8"/>
      <c r="B845" s="8"/>
      <c r="C845" s="8"/>
      <c r="D845" s="8"/>
    </row>
    <row r="846" spans="1:4" x14ac:dyDescent="0.25">
      <c r="A846" s="8"/>
      <c r="B846" s="8"/>
      <c r="C846" s="8"/>
      <c r="D846" s="8"/>
    </row>
    <row r="847" spans="1:4" x14ac:dyDescent="0.25">
      <c r="A847" s="8"/>
      <c r="B847" s="8"/>
      <c r="C847" s="8"/>
      <c r="D847" s="8"/>
    </row>
    <row r="848" spans="1:4" x14ac:dyDescent="0.25">
      <c r="A848" s="8"/>
      <c r="B848" s="8"/>
      <c r="C848" s="8"/>
      <c r="D848" s="8"/>
    </row>
    <row r="849" spans="1:4" x14ac:dyDescent="0.25">
      <c r="A849" s="8"/>
      <c r="B849" s="8"/>
      <c r="C849" s="8"/>
      <c r="D849" s="8"/>
    </row>
    <row r="850" spans="1:4" x14ac:dyDescent="0.25">
      <c r="A850" s="8"/>
      <c r="B850" s="8"/>
      <c r="C850" s="8"/>
      <c r="D850" s="8"/>
    </row>
    <row r="851" spans="1:4" x14ac:dyDescent="0.25">
      <c r="A851" s="8"/>
      <c r="B851" s="8"/>
      <c r="C851" s="8"/>
      <c r="D851" s="8"/>
    </row>
    <row r="852" spans="1:4" x14ac:dyDescent="0.25">
      <c r="A852" s="8"/>
      <c r="B852" s="8"/>
      <c r="C852" s="8"/>
      <c r="D852" s="8"/>
    </row>
    <row r="853" spans="1:4" x14ac:dyDescent="0.25">
      <c r="A853" s="8"/>
      <c r="B853" s="8"/>
      <c r="C853" s="8"/>
      <c r="D853" s="8"/>
    </row>
    <row r="854" spans="1:4" x14ac:dyDescent="0.25">
      <c r="A854" s="8"/>
      <c r="B854" s="8"/>
      <c r="C854" s="8"/>
      <c r="D854" s="8"/>
    </row>
    <row r="855" spans="1:4" x14ac:dyDescent="0.25">
      <c r="A855" s="8"/>
      <c r="B855" s="8"/>
      <c r="C855" s="8"/>
      <c r="D855" s="8"/>
    </row>
    <row r="856" spans="1:4" x14ac:dyDescent="0.25">
      <c r="A856" s="8"/>
      <c r="B856" s="8"/>
      <c r="C856" s="8"/>
      <c r="D856" s="8"/>
    </row>
    <row r="857" spans="1:4" x14ac:dyDescent="0.25">
      <c r="A857" s="8"/>
      <c r="B857" s="8"/>
      <c r="C857" s="8"/>
      <c r="D857" s="8"/>
    </row>
    <row r="858" spans="1:4" x14ac:dyDescent="0.25">
      <c r="A858" s="8"/>
      <c r="B858" s="8"/>
      <c r="C858" s="8"/>
      <c r="D858" s="8"/>
    </row>
    <row r="859" spans="1:4" x14ac:dyDescent="0.25">
      <c r="A859" s="8"/>
      <c r="B859" s="8"/>
      <c r="C859" s="8"/>
      <c r="D859" s="8"/>
    </row>
    <row r="860" spans="1:4" x14ac:dyDescent="0.25">
      <c r="A860" s="8"/>
      <c r="B860" s="8"/>
      <c r="C860" s="8"/>
      <c r="D860" s="8"/>
    </row>
    <row r="861" spans="1:4" x14ac:dyDescent="0.25">
      <c r="A861" s="8"/>
      <c r="B861" s="8"/>
      <c r="C861" s="8"/>
      <c r="D861" s="8"/>
    </row>
    <row r="862" spans="1:4" x14ac:dyDescent="0.25">
      <c r="A862" s="8"/>
      <c r="B862" s="8"/>
      <c r="C862" s="8"/>
      <c r="D862" s="8"/>
    </row>
    <row r="863" spans="1:4" x14ac:dyDescent="0.25">
      <c r="A863" s="8"/>
      <c r="B863" s="8"/>
      <c r="C863" s="8"/>
      <c r="D863" s="8"/>
    </row>
    <row r="864" spans="1:4" x14ac:dyDescent="0.25">
      <c r="A864" s="8"/>
      <c r="B864" s="8"/>
      <c r="C864" s="8"/>
      <c r="D864" s="8"/>
    </row>
    <row r="865" spans="1:4" x14ac:dyDescent="0.25">
      <c r="A865" s="8"/>
      <c r="B865" s="8"/>
      <c r="C865" s="8"/>
      <c r="D865" s="8"/>
    </row>
    <row r="866" spans="1:4" x14ac:dyDescent="0.25">
      <c r="A866" s="8"/>
      <c r="B866" s="8"/>
      <c r="C866" s="8"/>
      <c r="D866" s="8"/>
    </row>
    <row r="867" spans="1:4" x14ac:dyDescent="0.25">
      <c r="A867" s="8"/>
      <c r="B867" s="8"/>
      <c r="C867" s="8"/>
      <c r="D867" s="8"/>
    </row>
    <row r="868" spans="1:4" x14ac:dyDescent="0.25">
      <c r="A868" s="8"/>
      <c r="B868" s="8"/>
      <c r="C868" s="8"/>
      <c r="D868" s="8"/>
    </row>
    <row r="869" spans="1:4" x14ac:dyDescent="0.25">
      <c r="A869" s="8"/>
      <c r="B869" s="8"/>
      <c r="C869" s="8"/>
      <c r="D869" s="8"/>
    </row>
    <row r="870" spans="1:4" x14ac:dyDescent="0.25">
      <c r="A870" s="8"/>
      <c r="B870" s="8"/>
      <c r="C870" s="8"/>
      <c r="D870" s="8"/>
    </row>
    <row r="871" spans="1:4" x14ac:dyDescent="0.25">
      <c r="A871" s="8"/>
      <c r="B871" s="8"/>
      <c r="C871" s="8"/>
      <c r="D871" s="8"/>
    </row>
    <row r="872" spans="1:4" x14ac:dyDescent="0.25">
      <c r="A872" s="8"/>
      <c r="B872" s="8"/>
      <c r="C872" s="8"/>
      <c r="D872" s="8"/>
    </row>
    <row r="873" spans="1:4" x14ac:dyDescent="0.25">
      <c r="A873" s="8"/>
      <c r="B873" s="8"/>
      <c r="C873" s="8"/>
      <c r="D873" s="8"/>
    </row>
    <row r="874" spans="1:4" x14ac:dyDescent="0.25">
      <c r="A874" s="8"/>
      <c r="B874" s="8"/>
      <c r="C874" s="8"/>
      <c r="D874" s="8"/>
    </row>
    <row r="875" spans="1:4" x14ac:dyDescent="0.25">
      <c r="A875" s="8"/>
      <c r="B875" s="8"/>
      <c r="C875" s="8"/>
      <c r="D875" s="8"/>
    </row>
    <row r="876" spans="1:4" x14ac:dyDescent="0.25">
      <c r="A876" s="8"/>
      <c r="B876" s="8"/>
      <c r="C876" s="8"/>
      <c r="D876" s="8"/>
    </row>
    <row r="877" spans="1:4" x14ac:dyDescent="0.25">
      <c r="A877" s="8"/>
      <c r="B877" s="8"/>
      <c r="C877" s="8"/>
      <c r="D877" s="8"/>
    </row>
    <row r="878" spans="1:4" x14ac:dyDescent="0.25">
      <c r="A878" s="8"/>
      <c r="B878" s="8"/>
      <c r="C878" s="8"/>
      <c r="D878" s="8"/>
    </row>
    <row r="879" spans="1:4" x14ac:dyDescent="0.25">
      <c r="A879" s="8"/>
      <c r="B879" s="8"/>
      <c r="C879" s="8"/>
      <c r="D879" s="8"/>
    </row>
    <row r="880" spans="1:4" x14ac:dyDescent="0.25">
      <c r="A880" s="8"/>
      <c r="B880" s="8"/>
      <c r="C880" s="8"/>
      <c r="D880" s="8"/>
    </row>
    <row r="881" spans="1:4" x14ac:dyDescent="0.25">
      <c r="A881" s="8"/>
      <c r="B881" s="8"/>
      <c r="C881" s="8"/>
      <c r="D881" s="8"/>
    </row>
    <row r="882" spans="1:4" x14ac:dyDescent="0.25">
      <c r="A882" s="8"/>
      <c r="B882" s="8"/>
      <c r="C882" s="8"/>
      <c r="D882" s="8"/>
    </row>
    <row r="883" spans="1:4" x14ac:dyDescent="0.25">
      <c r="A883" s="8"/>
      <c r="B883" s="8"/>
      <c r="C883" s="8"/>
      <c r="D883" s="8"/>
    </row>
    <row r="884" spans="1:4" x14ac:dyDescent="0.25">
      <c r="A884" s="8"/>
      <c r="B884" s="8"/>
      <c r="C884" s="8"/>
      <c r="D884" s="8"/>
    </row>
    <row r="885" spans="1:4" x14ac:dyDescent="0.25">
      <c r="A885" s="8"/>
      <c r="B885" s="8"/>
      <c r="C885" s="8"/>
      <c r="D885" s="8"/>
    </row>
    <row r="886" spans="1:4" x14ac:dyDescent="0.25">
      <c r="A886" s="8"/>
      <c r="B886" s="8"/>
      <c r="C886" s="8"/>
      <c r="D886" s="8"/>
    </row>
    <row r="887" spans="1:4" x14ac:dyDescent="0.25">
      <c r="A887" s="8"/>
      <c r="B887" s="8"/>
      <c r="C887" s="8"/>
      <c r="D887" s="8"/>
    </row>
    <row r="888" spans="1:4" x14ac:dyDescent="0.25">
      <c r="A888" s="8"/>
      <c r="B888" s="8"/>
      <c r="C888" s="8"/>
      <c r="D888" s="8"/>
    </row>
    <row r="889" spans="1:4" x14ac:dyDescent="0.25">
      <c r="A889" s="8"/>
      <c r="B889" s="8"/>
      <c r="C889" s="8"/>
      <c r="D889" s="8"/>
    </row>
    <row r="890" spans="1:4" x14ac:dyDescent="0.25">
      <c r="A890" s="8"/>
      <c r="B890" s="8"/>
      <c r="C890" s="8"/>
      <c r="D890" s="8"/>
    </row>
    <row r="891" spans="1:4" x14ac:dyDescent="0.25">
      <c r="A891" s="8"/>
      <c r="B891" s="8"/>
      <c r="C891" s="8"/>
      <c r="D891" s="8"/>
    </row>
    <row r="892" spans="1:4" x14ac:dyDescent="0.25">
      <c r="A892" s="8"/>
      <c r="B892" s="8"/>
      <c r="C892" s="8"/>
      <c r="D892" s="8"/>
    </row>
    <row r="893" spans="1:4" x14ac:dyDescent="0.25">
      <c r="A893" s="8"/>
      <c r="B893" s="8"/>
      <c r="C893" s="8"/>
      <c r="D893" s="8"/>
    </row>
    <row r="894" spans="1:4" x14ac:dyDescent="0.25">
      <c r="A894" s="8"/>
      <c r="B894" s="8"/>
      <c r="C894" s="8"/>
      <c r="D894" s="8"/>
    </row>
    <row r="895" spans="1:4" x14ac:dyDescent="0.25">
      <c r="A895" s="8"/>
      <c r="B895" s="8"/>
      <c r="C895" s="8"/>
      <c r="D895" s="8"/>
    </row>
    <row r="896" spans="1:4" x14ac:dyDescent="0.25">
      <c r="A896" s="8"/>
      <c r="B896" s="8"/>
      <c r="C896" s="8"/>
      <c r="D896" s="8"/>
    </row>
    <row r="897" spans="1:4" x14ac:dyDescent="0.25">
      <c r="A897" s="8"/>
      <c r="B897" s="8"/>
      <c r="C897" s="8"/>
      <c r="D897" s="8"/>
    </row>
    <row r="898" spans="1:4" x14ac:dyDescent="0.25">
      <c r="A898" s="8"/>
      <c r="B898" s="8"/>
      <c r="C898" s="8"/>
      <c r="D898" s="8"/>
    </row>
    <row r="899" spans="1:4" x14ac:dyDescent="0.25">
      <c r="A899" s="8"/>
      <c r="B899" s="8"/>
      <c r="C899" s="8"/>
      <c r="D899" s="8"/>
    </row>
    <row r="900" spans="1:4" x14ac:dyDescent="0.25">
      <c r="A900" s="8"/>
      <c r="B900" s="8"/>
      <c r="C900" s="8"/>
      <c r="D900" s="8"/>
    </row>
    <row r="901" spans="1:4" x14ac:dyDescent="0.25">
      <c r="A901" s="8"/>
      <c r="B901" s="8"/>
      <c r="C901" s="8"/>
      <c r="D901" s="8"/>
    </row>
    <row r="902" spans="1:4" x14ac:dyDescent="0.25">
      <c r="A902" s="8"/>
      <c r="B902" s="8"/>
      <c r="C902" s="8"/>
      <c r="D902" s="8"/>
    </row>
    <row r="903" spans="1:4" x14ac:dyDescent="0.25">
      <c r="A903" s="8"/>
      <c r="B903" s="8"/>
      <c r="C903" s="8"/>
      <c r="D903" s="8"/>
    </row>
    <row r="904" spans="1:4" x14ac:dyDescent="0.25">
      <c r="A904" s="8"/>
      <c r="B904" s="8"/>
      <c r="C904" s="8"/>
      <c r="D904" s="8"/>
    </row>
    <row r="905" spans="1:4" x14ac:dyDescent="0.25">
      <c r="A905" s="8"/>
      <c r="B905" s="8"/>
      <c r="C905" s="8"/>
      <c r="D905" s="8"/>
    </row>
    <row r="906" spans="1:4" x14ac:dyDescent="0.25">
      <c r="A906" s="8"/>
      <c r="B906" s="8"/>
      <c r="C906" s="8"/>
      <c r="D906" s="8"/>
    </row>
    <row r="907" spans="1:4" x14ac:dyDescent="0.25">
      <c r="A907" s="8"/>
      <c r="B907" s="8"/>
      <c r="C907" s="8"/>
      <c r="D907" s="8"/>
    </row>
    <row r="908" spans="1:4" x14ac:dyDescent="0.25">
      <c r="A908" s="8"/>
      <c r="B908" s="8"/>
      <c r="C908" s="8"/>
      <c r="D908" s="8"/>
    </row>
    <row r="909" spans="1:4" x14ac:dyDescent="0.25">
      <c r="A909" s="8"/>
      <c r="B909" s="8"/>
      <c r="C909" s="8"/>
      <c r="D909" s="8"/>
    </row>
    <row r="910" spans="1:4" x14ac:dyDescent="0.25">
      <c r="A910" s="8"/>
      <c r="B910" s="8"/>
      <c r="C910" s="8"/>
      <c r="D910" s="8"/>
    </row>
    <row r="911" spans="1:4" x14ac:dyDescent="0.25">
      <c r="A911" s="8"/>
      <c r="B911" s="8"/>
      <c r="C911" s="8"/>
      <c r="D911" s="8"/>
    </row>
    <row r="912" spans="1:4" x14ac:dyDescent="0.25">
      <c r="A912" s="8"/>
      <c r="B912" s="8"/>
      <c r="C912" s="8"/>
      <c r="D912" s="8"/>
    </row>
    <row r="913" spans="1:4" x14ac:dyDescent="0.25">
      <c r="A913" s="8"/>
      <c r="B913" s="8"/>
      <c r="C913" s="8"/>
      <c r="D913" s="8"/>
    </row>
    <row r="914" spans="1:4" x14ac:dyDescent="0.25">
      <c r="A914" s="8"/>
      <c r="B914" s="8"/>
      <c r="C914" s="8"/>
      <c r="D914" s="8"/>
    </row>
    <row r="915" spans="1:4" x14ac:dyDescent="0.25">
      <c r="A915" s="8"/>
      <c r="B915" s="8"/>
      <c r="C915" s="8"/>
      <c r="D915" s="8"/>
    </row>
    <row r="916" spans="1:4" x14ac:dyDescent="0.25">
      <c r="A916" s="8"/>
      <c r="B916" s="8"/>
      <c r="C916" s="8"/>
      <c r="D916" s="8"/>
    </row>
    <row r="917" spans="1:4" x14ac:dyDescent="0.25">
      <c r="A917" s="8"/>
      <c r="B917" s="8"/>
      <c r="C917" s="8"/>
      <c r="D917" s="8"/>
    </row>
    <row r="918" spans="1:4" x14ac:dyDescent="0.25">
      <c r="A918" s="8"/>
      <c r="B918" s="8"/>
      <c r="C918" s="8"/>
      <c r="D918" s="8"/>
    </row>
    <row r="919" spans="1:4" x14ac:dyDescent="0.25">
      <c r="A919" s="8"/>
      <c r="B919" s="8"/>
      <c r="C919" s="8"/>
      <c r="D919" s="8"/>
    </row>
    <row r="920" spans="1:4" x14ac:dyDescent="0.25">
      <c r="A920" s="8"/>
      <c r="B920" s="8"/>
      <c r="C920" s="8"/>
      <c r="D920" s="8"/>
    </row>
    <row r="921" spans="1:4" x14ac:dyDescent="0.25">
      <c r="A921" s="8"/>
      <c r="B921" s="8"/>
      <c r="C921" s="8"/>
      <c r="D921" s="8"/>
    </row>
    <row r="922" spans="1:4" x14ac:dyDescent="0.25">
      <c r="A922" s="8"/>
      <c r="B922" s="8"/>
      <c r="C922" s="8"/>
      <c r="D922" s="8"/>
    </row>
    <row r="923" spans="1:4" x14ac:dyDescent="0.25">
      <c r="A923" s="8"/>
      <c r="B923" s="8"/>
      <c r="C923" s="8"/>
      <c r="D923" s="8"/>
    </row>
    <row r="924" spans="1:4" x14ac:dyDescent="0.25">
      <c r="A924" s="8"/>
      <c r="B924" s="8"/>
      <c r="C924" s="8"/>
      <c r="D924" s="8"/>
    </row>
    <row r="925" spans="1:4" x14ac:dyDescent="0.25">
      <c r="A925" s="8"/>
      <c r="B925" s="8"/>
      <c r="C925" s="8"/>
      <c r="D925" s="8"/>
    </row>
    <row r="926" spans="1:4" x14ac:dyDescent="0.25">
      <c r="A926" s="8"/>
      <c r="B926" s="8"/>
      <c r="C926" s="8"/>
      <c r="D926" s="8"/>
    </row>
    <row r="927" spans="1:4" x14ac:dyDescent="0.25">
      <c r="A927" s="8"/>
      <c r="B927" s="8"/>
      <c r="C927" s="8"/>
      <c r="D927" s="8"/>
    </row>
    <row r="928" spans="1:4" x14ac:dyDescent="0.25">
      <c r="A928" s="8"/>
      <c r="B928" s="8"/>
      <c r="C928" s="8"/>
      <c r="D928" s="8"/>
    </row>
    <row r="929" spans="1:4" x14ac:dyDescent="0.25">
      <c r="A929" s="8"/>
      <c r="B929" s="8"/>
      <c r="C929" s="8"/>
      <c r="D929" s="8"/>
    </row>
    <row r="930" spans="1:4" x14ac:dyDescent="0.25">
      <c r="A930" s="8"/>
      <c r="B930" s="8"/>
      <c r="C930" s="8"/>
      <c r="D930" s="8"/>
    </row>
    <row r="931" spans="1:4" x14ac:dyDescent="0.25">
      <c r="A931" s="8"/>
      <c r="B931" s="8"/>
      <c r="C931" s="8"/>
      <c r="D931" s="8"/>
    </row>
    <row r="932" spans="1:4" x14ac:dyDescent="0.25">
      <c r="A932" s="8"/>
      <c r="B932" s="8"/>
      <c r="C932" s="8"/>
      <c r="D932" s="8"/>
    </row>
    <row r="933" spans="1:4" x14ac:dyDescent="0.25">
      <c r="A933" s="8"/>
      <c r="B933" s="8"/>
      <c r="C933" s="8"/>
      <c r="D933" s="8"/>
    </row>
    <row r="934" spans="1:4" x14ac:dyDescent="0.25">
      <c r="A934" s="8"/>
      <c r="B934" s="8"/>
      <c r="C934" s="8"/>
      <c r="D934" s="8"/>
    </row>
    <row r="935" spans="1:4" x14ac:dyDescent="0.25">
      <c r="A935" s="8"/>
      <c r="B935" s="8"/>
      <c r="C935" s="8"/>
      <c r="D935" s="8"/>
    </row>
    <row r="936" spans="1:4" x14ac:dyDescent="0.25">
      <c r="A936" s="8"/>
      <c r="B936" s="8"/>
      <c r="C936" s="8"/>
      <c r="D936" s="8"/>
    </row>
    <row r="937" spans="1:4" x14ac:dyDescent="0.25">
      <c r="A937" s="8"/>
      <c r="B937" s="8"/>
      <c r="C937" s="8"/>
      <c r="D937" s="8"/>
    </row>
    <row r="938" spans="1:4" x14ac:dyDescent="0.25">
      <c r="A938" s="8"/>
      <c r="B938" s="8"/>
      <c r="C938" s="8"/>
      <c r="D938" s="8"/>
    </row>
    <row r="939" spans="1:4" x14ac:dyDescent="0.25">
      <c r="A939" s="8"/>
      <c r="B939" s="8"/>
      <c r="C939" s="8"/>
      <c r="D939" s="8"/>
    </row>
    <row r="940" spans="1:4" x14ac:dyDescent="0.25">
      <c r="A940" s="8"/>
      <c r="B940" s="8"/>
      <c r="C940" s="8"/>
      <c r="D940" s="8"/>
    </row>
    <row r="941" spans="1:4" x14ac:dyDescent="0.25">
      <c r="A941" s="8"/>
      <c r="B941" s="8"/>
      <c r="C941" s="8"/>
      <c r="D941" s="8"/>
    </row>
    <row r="942" spans="1:4" x14ac:dyDescent="0.25">
      <c r="A942" s="8"/>
      <c r="B942" s="8"/>
      <c r="C942" s="8"/>
      <c r="D942" s="8"/>
    </row>
    <row r="943" spans="1:4" x14ac:dyDescent="0.25">
      <c r="A943" s="8"/>
      <c r="B943" s="8"/>
      <c r="C943" s="8"/>
      <c r="D943" s="8"/>
    </row>
    <row r="944" spans="1:4" x14ac:dyDescent="0.25">
      <c r="A944" s="8"/>
      <c r="B944" s="8"/>
      <c r="C944" s="8"/>
      <c r="D944" s="8"/>
    </row>
    <row r="945" spans="1:4" x14ac:dyDescent="0.25">
      <c r="A945" s="8"/>
      <c r="B945" s="8"/>
      <c r="C945" s="8"/>
      <c r="D945" s="8"/>
    </row>
    <row r="946" spans="1:4" x14ac:dyDescent="0.25">
      <c r="A946" s="8"/>
      <c r="B946" s="8"/>
      <c r="C946" s="8"/>
      <c r="D946" s="8"/>
    </row>
    <row r="947" spans="1:4" x14ac:dyDescent="0.25">
      <c r="A947" s="8"/>
      <c r="B947" s="8"/>
      <c r="C947" s="8"/>
      <c r="D947" s="8"/>
    </row>
    <row r="948" spans="1:4" x14ac:dyDescent="0.25">
      <c r="A948" s="8"/>
      <c r="B948" s="8"/>
      <c r="C948" s="8"/>
      <c r="D948" s="8"/>
    </row>
    <row r="949" spans="1:4" x14ac:dyDescent="0.25">
      <c r="A949" s="8"/>
      <c r="B949" s="8"/>
      <c r="C949" s="8"/>
      <c r="D949" s="8"/>
    </row>
    <row r="950" spans="1:4" x14ac:dyDescent="0.25">
      <c r="A950" s="8"/>
      <c r="B950" s="8"/>
      <c r="C950" s="8"/>
      <c r="D950" s="8"/>
    </row>
    <row r="951" spans="1:4" x14ac:dyDescent="0.25">
      <c r="A951" s="8"/>
      <c r="B951" s="8"/>
      <c r="C951" s="8"/>
      <c r="D951" s="8"/>
    </row>
    <row r="952" spans="1:4" x14ac:dyDescent="0.25">
      <c r="A952" s="8"/>
      <c r="B952" s="8"/>
      <c r="C952" s="8"/>
      <c r="D952" s="8"/>
    </row>
    <row r="953" spans="1:4" x14ac:dyDescent="0.25">
      <c r="A953" s="8"/>
      <c r="B953" s="8"/>
      <c r="C953" s="8"/>
      <c r="D953" s="8"/>
    </row>
    <row r="954" spans="1:4" x14ac:dyDescent="0.25">
      <c r="A954" s="8"/>
      <c r="B954" s="8"/>
      <c r="C954" s="8"/>
      <c r="D954" s="8"/>
    </row>
    <row r="955" spans="1:4" x14ac:dyDescent="0.25">
      <c r="A955" s="8"/>
      <c r="B955" s="8"/>
      <c r="C955" s="8"/>
      <c r="D955" s="8"/>
    </row>
    <row r="956" spans="1:4" x14ac:dyDescent="0.25">
      <c r="A956" s="8"/>
      <c r="B956" s="8"/>
      <c r="C956" s="8"/>
      <c r="D956" s="8"/>
    </row>
    <row r="957" spans="1:4" x14ac:dyDescent="0.25">
      <c r="A957" s="8"/>
      <c r="B957" s="8"/>
      <c r="C957" s="8"/>
      <c r="D957" s="8"/>
    </row>
    <row r="958" spans="1:4" x14ac:dyDescent="0.25">
      <c r="A958" s="8"/>
      <c r="B958" s="8"/>
      <c r="C958" s="8"/>
      <c r="D958" s="8"/>
    </row>
    <row r="959" spans="1:4" x14ac:dyDescent="0.25">
      <c r="A959" s="8"/>
      <c r="B959" s="8"/>
      <c r="C959" s="8"/>
      <c r="D959" s="8"/>
    </row>
    <row r="960" spans="1:4" x14ac:dyDescent="0.25">
      <c r="A960" s="8"/>
      <c r="B960" s="8"/>
      <c r="C960" s="8"/>
      <c r="D960" s="8"/>
    </row>
    <row r="961" spans="1:4" x14ac:dyDescent="0.25">
      <c r="A961" s="8"/>
      <c r="B961" s="8"/>
      <c r="C961" s="8"/>
      <c r="D961" s="8"/>
    </row>
    <row r="962" spans="1:4" x14ac:dyDescent="0.25">
      <c r="A962" s="8"/>
      <c r="B962" s="8"/>
      <c r="C962" s="8"/>
      <c r="D962" s="8"/>
    </row>
    <row r="963" spans="1:4" x14ac:dyDescent="0.25">
      <c r="A963" s="8"/>
      <c r="B963" s="8"/>
      <c r="C963" s="8"/>
      <c r="D963" s="8"/>
    </row>
    <row r="964" spans="1:4" x14ac:dyDescent="0.25">
      <c r="A964" s="8"/>
      <c r="B964" s="8"/>
      <c r="C964" s="8"/>
      <c r="D964" s="8"/>
    </row>
    <row r="965" spans="1:4" x14ac:dyDescent="0.25">
      <c r="A965" s="8"/>
      <c r="B965" s="8"/>
      <c r="C965" s="8"/>
      <c r="D965" s="8"/>
    </row>
    <row r="966" spans="1:4" x14ac:dyDescent="0.25">
      <c r="A966" s="8"/>
      <c r="B966" s="8"/>
      <c r="C966" s="8"/>
      <c r="D966" s="8"/>
    </row>
    <row r="967" spans="1:4" x14ac:dyDescent="0.25">
      <c r="A967" s="8"/>
      <c r="B967" s="8"/>
      <c r="C967" s="8"/>
      <c r="D967" s="8"/>
    </row>
    <row r="968" spans="1:4" x14ac:dyDescent="0.25">
      <c r="A968" s="8"/>
      <c r="B968" s="8"/>
      <c r="C968" s="8"/>
      <c r="D968" s="8"/>
    </row>
    <row r="969" spans="1:4" x14ac:dyDescent="0.25">
      <c r="A969" s="8"/>
      <c r="B969" s="8"/>
      <c r="C969" s="8"/>
      <c r="D969" s="8"/>
    </row>
    <row r="970" spans="1:4" x14ac:dyDescent="0.25">
      <c r="A970" s="8"/>
      <c r="B970" s="8"/>
      <c r="C970" s="8"/>
      <c r="D970" s="8"/>
    </row>
    <row r="971" spans="1:4" x14ac:dyDescent="0.25">
      <c r="A971" s="8"/>
      <c r="B971" s="8"/>
      <c r="C971" s="8"/>
      <c r="D971" s="8"/>
    </row>
    <row r="972" spans="1:4" x14ac:dyDescent="0.25">
      <c r="A972" s="8"/>
      <c r="B972" s="8"/>
      <c r="C972" s="8"/>
      <c r="D972" s="8"/>
    </row>
    <row r="973" spans="1:4" x14ac:dyDescent="0.25">
      <c r="A973" s="8"/>
      <c r="B973" s="8"/>
      <c r="C973" s="8"/>
      <c r="D973" s="8"/>
    </row>
    <row r="974" spans="1:4" x14ac:dyDescent="0.25">
      <c r="A974" s="8"/>
      <c r="B974" s="8"/>
      <c r="C974" s="8"/>
      <c r="D974" s="8"/>
    </row>
    <row r="975" spans="1:4" x14ac:dyDescent="0.25">
      <c r="A975" s="8"/>
      <c r="B975" s="8"/>
      <c r="C975" s="8"/>
      <c r="D975" s="8"/>
    </row>
    <row r="976" spans="1:4" x14ac:dyDescent="0.25">
      <c r="A976" s="8"/>
      <c r="B976" s="8"/>
      <c r="C976" s="8"/>
      <c r="D976" s="8"/>
    </row>
    <row r="977" spans="1:4" x14ac:dyDescent="0.25">
      <c r="A977" s="8"/>
      <c r="B977" s="8"/>
      <c r="C977" s="8"/>
      <c r="D977" s="8"/>
    </row>
    <row r="978" spans="1:4" x14ac:dyDescent="0.25">
      <c r="A978" s="8"/>
      <c r="B978" s="8"/>
      <c r="C978" s="8"/>
      <c r="D978" s="8"/>
    </row>
    <row r="979" spans="1:4" x14ac:dyDescent="0.25">
      <c r="A979" s="8"/>
      <c r="B979" s="8"/>
      <c r="C979" s="8"/>
      <c r="D979" s="8"/>
    </row>
    <row r="980" spans="1:4" x14ac:dyDescent="0.25">
      <c r="A980" s="8"/>
      <c r="B980" s="8"/>
      <c r="C980" s="8"/>
      <c r="D980" s="8"/>
    </row>
    <row r="981" spans="1:4" x14ac:dyDescent="0.25">
      <c r="A981" s="8"/>
      <c r="B981" s="8"/>
      <c r="C981" s="8"/>
      <c r="D981" s="8"/>
    </row>
    <row r="982" spans="1:4" x14ac:dyDescent="0.25">
      <c r="A982" s="8"/>
      <c r="B982" s="8"/>
      <c r="C982" s="8"/>
      <c r="D982" s="8"/>
    </row>
    <row r="983" spans="1:4" x14ac:dyDescent="0.25">
      <c r="A983" s="8"/>
      <c r="B983" s="8"/>
      <c r="C983" s="8"/>
      <c r="D983" s="8"/>
    </row>
    <row r="984" spans="1:4" x14ac:dyDescent="0.25">
      <c r="A984" s="8"/>
      <c r="B984" s="8"/>
      <c r="C984" s="8"/>
      <c r="D984" s="8"/>
    </row>
    <row r="985" spans="1:4" x14ac:dyDescent="0.25">
      <c r="A985" s="8"/>
      <c r="B985" s="8"/>
      <c r="C985" s="8"/>
      <c r="D985" s="8"/>
    </row>
    <row r="986" spans="1:4" x14ac:dyDescent="0.25">
      <c r="A986" s="8"/>
      <c r="B986" s="8"/>
      <c r="C986" s="8"/>
      <c r="D986" s="8"/>
    </row>
    <row r="987" spans="1:4" x14ac:dyDescent="0.25">
      <c r="A987" s="8"/>
      <c r="B987" s="8"/>
      <c r="C987" s="8"/>
      <c r="D987" s="8"/>
    </row>
    <row r="988" spans="1:4" x14ac:dyDescent="0.25">
      <c r="A988" s="8"/>
      <c r="B988" s="8"/>
      <c r="C988" s="8"/>
      <c r="D988" s="8"/>
    </row>
    <row r="989" spans="1:4" x14ac:dyDescent="0.25">
      <c r="A989" s="8"/>
      <c r="B989" s="8"/>
      <c r="C989" s="8"/>
      <c r="D989" s="8"/>
    </row>
    <row r="990" spans="1:4" x14ac:dyDescent="0.25">
      <c r="A990" s="8"/>
      <c r="B990" s="8"/>
      <c r="C990" s="8"/>
      <c r="D990" s="8"/>
    </row>
    <row r="991" spans="1:4" x14ac:dyDescent="0.25">
      <c r="A991" s="8"/>
      <c r="B991" s="8"/>
      <c r="C991" s="8"/>
      <c r="D991" s="8"/>
    </row>
    <row r="992" spans="1:4" x14ac:dyDescent="0.25">
      <c r="A992" s="8"/>
      <c r="B992" s="8"/>
      <c r="C992" s="8"/>
      <c r="D992" s="8"/>
    </row>
    <row r="993" spans="1:4" x14ac:dyDescent="0.25">
      <c r="A993" s="8"/>
      <c r="B993" s="8"/>
      <c r="C993" s="8"/>
      <c r="D993" s="8"/>
    </row>
    <row r="994" spans="1:4" x14ac:dyDescent="0.25">
      <c r="A994" s="8"/>
      <c r="B994" s="8"/>
      <c r="C994" s="8"/>
      <c r="D994" s="8"/>
    </row>
    <row r="995" spans="1:4" x14ac:dyDescent="0.25">
      <c r="A995" s="8"/>
      <c r="B995" s="8"/>
      <c r="C995" s="8"/>
      <c r="D995" s="8"/>
    </row>
    <row r="996" spans="1:4" x14ac:dyDescent="0.25">
      <c r="A996" s="8"/>
      <c r="B996" s="8"/>
      <c r="C996" s="8"/>
      <c r="D996" s="8"/>
    </row>
    <row r="997" spans="1:4" x14ac:dyDescent="0.25">
      <c r="A997" s="8"/>
      <c r="B997" s="8"/>
      <c r="C997" s="8"/>
      <c r="D997" s="8"/>
    </row>
    <row r="998" spans="1:4" x14ac:dyDescent="0.25">
      <c r="A998" s="8"/>
      <c r="B998" s="8"/>
      <c r="C998" s="8"/>
      <c r="D998" s="8"/>
    </row>
    <row r="999" spans="1:4" x14ac:dyDescent="0.25">
      <c r="A999" s="8"/>
      <c r="B999" s="8"/>
      <c r="C999" s="8"/>
      <c r="D999" s="8"/>
    </row>
    <row r="1000" spans="1:4" x14ac:dyDescent="0.25">
      <c r="A1000" s="8"/>
      <c r="B1000" s="8"/>
      <c r="C1000" s="8"/>
      <c r="D1000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Stocks</vt:lpstr>
      <vt:lpstr>Current Month</vt:lpstr>
      <vt:lpstr>February 2024</vt:lpstr>
      <vt:lpstr>January 2024</vt:lpstr>
      <vt:lpstr>December 2023</vt:lpstr>
      <vt:lpstr>November 2023</vt:lpstr>
      <vt:lpstr>October 2023</vt:lpstr>
      <vt:lpstr>September 2023</vt:lpstr>
      <vt:lpstr>August 2023</vt:lpstr>
      <vt:lpstr>July 2023</vt:lpstr>
      <vt:lpstr>June 2023</vt:lpstr>
      <vt:lpstr>May 2023</vt:lpstr>
      <vt:lpstr>April 2023</vt:lpstr>
      <vt:lpstr>March 2023</vt:lpstr>
      <vt:lpstr>February 2023</vt:lpstr>
      <vt:lpstr>January 2023</vt:lpstr>
      <vt:lpstr>December 2022</vt:lpstr>
      <vt:lpstr>November 2022</vt:lpstr>
      <vt:lpstr>October 2022</vt:lpstr>
      <vt:lpstr>September 2022</vt:lpstr>
      <vt:lpstr>August 2022</vt:lpstr>
      <vt:lpstr>August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narinder kumar</cp:lastModifiedBy>
  <dcterms:modified xsi:type="dcterms:W3CDTF">2024-03-28T13:21:10Z</dcterms:modified>
</cp:coreProperties>
</file>